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88369f42e4cf940/Documents/Work/Smartair/LMC-AD/"/>
    </mc:Choice>
  </mc:AlternateContent>
  <xr:revisionPtr revIDLastSave="1309" documentId="11_EB2F30C80591AED4A313306098424BF83E7F5CD7" xr6:coauthVersionLast="47" xr6:coauthVersionMax="47" xr10:uidLastSave="{7C80EBFF-4269-483D-AC04-1101280D1AEA}"/>
  <workbookProtection workbookAlgorithmName="SHA-512" workbookHashValue="4tBSY2diB8k77IWazt5dAVqsxATNeRPwKI8XCyeE14aCNRa5TNm/tEitEZhnP0odXpJTAitPD7+2VLC/2LudVg==" workbookSaltValue="AkuD90Cs+Knmz+s5VEgEJA==" workbookSpinCount="100000" lockStructure="1"/>
  <bookViews>
    <workbookView xWindow="28275" yWindow="0" windowWidth="28275" windowHeight="24000" xr2:uid="{00000000-000D-0000-FFFF-FFFF00000000}"/>
  </bookViews>
  <sheets>
    <sheet name="LMC-AD" sheetId="1" r:id="rId1"/>
    <sheet name="LMC-ADequations" sheetId="3" state="hidden" r:id="rId2"/>
    <sheet name="Notes" sheetId="4" r:id="rId3"/>
    <sheet name="Diffuser Layout " sheetId="8" state="hidden" r:id="rId4"/>
    <sheet name="Dimensions" sheetId="5" r:id="rId5"/>
    <sheet name="diagrams" sheetId="9" state="hidden" r:id="rId6"/>
    <sheet name="data" sheetId="2" state="hidden" r:id="rId7"/>
    <sheet name="Selection Summary" sheetId="6" r:id="rId8"/>
  </sheets>
  <definedNames>
    <definedName name="_product_code">data!$B$72</definedName>
    <definedName name="adpi.">data!$A$2:$A$5</definedName>
    <definedName name="getCdiagram">IF('LMC-ADequations'!$B$32=2,diagrams!$B$10,diagrams!$B$11)</definedName>
    <definedName name="getDirectionDischarge">IF('LMC-AD'!$F$56="A",diagrams!$D$12,IF('LMC-AD'!$F$56="B",diagrams!$D$13,diagrams!$D$14))</definedName>
    <definedName name="getImage">IF('LMC-AD'!$E$19&lt;0.4,diagrams!$A$1,IF('LMC-AD'!$E$19&lt;0.65,diagrams!$A$2,IF('LMC-AD'!$E$19&lt;1,diagrams!$A$3,diagrams!$A$4)))</definedName>
    <definedName name="getLayout">IF('LMC-ADequations'!$B$14=2,diagrams!$A$6,diagrams!$A$7)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6" l="1"/>
  <c r="F12" i="2"/>
  <c r="F14" i="2"/>
  <c r="A12" i="6" s="1"/>
  <c r="E14" i="2"/>
  <c r="B8" i="6" s="1"/>
  <c r="D49" i="2"/>
  <c r="B91" i="2" s="1"/>
  <c r="B48" i="6" s="1"/>
  <c r="C49" i="2"/>
  <c r="B8" i="2"/>
  <c r="C67" i="2" s="1"/>
  <c r="D12" i="2"/>
  <c r="D14" i="2"/>
  <c r="N73" i="1" s="1"/>
  <c r="C14" i="2"/>
  <c r="A67" i="2" s="1"/>
  <c r="B14" i="2"/>
  <c r="B9" i="3"/>
  <c r="B26" i="3" s="1"/>
  <c r="B8" i="3"/>
  <c r="B25" i="3" s="1"/>
  <c r="B11" i="3"/>
  <c r="B29" i="3" s="1"/>
  <c r="B16" i="3"/>
  <c r="B34" i="3" s="1"/>
  <c r="B103" i="3" s="1"/>
  <c r="B13" i="3"/>
  <c r="B12" i="3"/>
  <c r="B30" i="3" s="1"/>
  <c r="B10" i="3"/>
  <c r="B28" i="3"/>
  <c r="B130" i="3"/>
  <c r="B322" i="3"/>
  <c r="B352" i="3"/>
  <c r="I130" i="3"/>
  <c r="C322" i="3"/>
  <c r="C352" i="3"/>
  <c r="P130" i="3"/>
  <c r="D322" i="3"/>
  <c r="D352" i="3"/>
  <c r="W130" i="3"/>
  <c r="E322" i="3"/>
  <c r="E352" i="3"/>
  <c r="AD130" i="3"/>
  <c r="F322" i="3"/>
  <c r="F352" i="3"/>
  <c r="AK130" i="3"/>
  <c r="G322" i="3"/>
  <c r="G352" i="3"/>
  <c r="AR130" i="3"/>
  <c r="H322" i="3"/>
  <c r="H352" i="3"/>
  <c r="AY130" i="3"/>
  <c r="I322" i="3"/>
  <c r="I352" i="3"/>
  <c r="B20" i="3"/>
  <c r="B17" i="3"/>
  <c r="B36" i="3"/>
  <c r="B4" i="3"/>
  <c r="L268" i="3"/>
  <c r="M268" i="3"/>
  <c r="B127" i="3"/>
  <c r="B157" i="3"/>
  <c r="B158" i="3"/>
  <c r="B37" i="3"/>
  <c r="B53" i="3" s="1"/>
  <c r="B32" i="3"/>
  <c r="D315" i="3" s="1"/>
  <c r="R268" i="3"/>
  <c r="S268" i="3"/>
  <c r="D268" i="3"/>
  <c r="E268" i="3"/>
  <c r="F268" i="3"/>
  <c r="E271" i="3"/>
  <c r="AY280" i="3"/>
  <c r="AR280" i="3"/>
  <c r="AK280" i="3"/>
  <c r="AD280" i="3"/>
  <c r="W280" i="3"/>
  <c r="P280" i="3"/>
  <c r="I280" i="3"/>
  <c r="B280" i="3"/>
  <c r="B15" i="3"/>
  <c r="I157" i="3"/>
  <c r="I158" i="3"/>
  <c r="I127" i="3"/>
  <c r="P157" i="3"/>
  <c r="P158" i="3"/>
  <c r="P127" i="3"/>
  <c r="W157" i="3"/>
  <c r="W158" i="3"/>
  <c r="W127" i="3"/>
  <c r="AD157" i="3"/>
  <c r="AD158" i="3"/>
  <c r="AD127" i="3"/>
  <c r="AK157" i="3"/>
  <c r="AK158" i="3"/>
  <c r="AK127" i="3"/>
  <c r="AR157" i="3"/>
  <c r="AR158" i="3"/>
  <c r="AR127" i="3"/>
  <c r="AY157" i="3"/>
  <c r="AY158" i="3"/>
  <c r="AY127" i="3"/>
  <c r="B31" i="3"/>
  <c r="B86" i="3"/>
  <c r="F2" i="6"/>
  <c r="G75" i="1"/>
  <c r="C96" i="2"/>
  <c r="B126" i="2"/>
  <c r="B82" i="2"/>
  <c r="B10" i="6" s="1"/>
  <c r="I329" i="3"/>
  <c r="I359" i="3"/>
  <c r="M53" i="1"/>
  <c r="B243" i="3"/>
  <c r="BM104" i="3"/>
  <c r="C3" i="3"/>
  <c r="D22" i="2"/>
  <c r="E22" i="2"/>
  <c r="F22" i="2"/>
  <c r="C22" i="2"/>
  <c r="AX286" i="3"/>
  <c r="AQ286" i="3"/>
  <c r="AJ286" i="3"/>
  <c r="AC286" i="3"/>
  <c r="V286" i="3"/>
  <c r="O286" i="3"/>
  <c r="H286" i="3"/>
  <c r="A286" i="3"/>
  <c r="BL94" i="3"/>
  <c r="BL95" i="3"/>
  <c r="BL96" i="3"/>
  <c r="BL104" i="3"/>
  <c r="B28" i="2"/>
  <c r="C92" i="2"/>
  <c r="D92" i="2"/>
  <c r="D55" i="2"/>
  <c r="B61" i="2"/>
  <c r="D61" i="2"/>
  <c r="D34" i="2"/>
  <c r="B89" i="2"/>
  <c r="B46" i="6"/>
  <c r="D43" i="2"/>
  <c r="B90" i="2"/>
  <c r="B47" i="6"/>
  <c r="C34" i="2"/>
  <c r="F67" i="2"/>
  <c r="B29" i="2"/>
  <c r="J67" i="2"/>
  <c r="C55" i="2"/>
  <c r="H67" i="2"/>
  <c r="C43" i="2"/>
  <c r="G67" i="2"/>
  <c r="D3" i="3"/>
  <c r="B130" i="2"/>
  <c r="B129" i="2"/>
  <c r="B174" i="2" s="1"/>
  <c r="B128" i="2"/>
  <c r="B164" i="2" s="1"/>
  <c r="F45" i="3"/>
  <c r="F46" i="3"/>
  <c r="F47" i="3"/>
  <c r="F48" i="3"/>
  <c r="F49" i="3"/>
  <c r="D4" i="3"/>
  <c r="B127" i="2"/>
  <c r="J45" i="3"/>
  <c r="J46" i="3"/>
  <c r="J47" i="3"/>
  <c r="J48" i="3"/>
  <c r="J49" i="3"/>
  <c r="B19" i="3"/>
  <c r="T24" i="8"/>
  <c r="P24" i="8"/>
  <c r="F24" i="8"/>
  <c r="D24" i="8"/>
  <c r="D57" i="3"/>
  <c r="C57" i="3" s="1"/>
  <c r="D7" i="2"/>
  <c r="G7" i="2"/>
  <c r="B83" i="2"/>
  <c r="B11" i="6" s="1"/>
  <c r="B392" i="3"/>
  <c r="B7" i="2"/>
  <c r="D28" i="2"/>
  <c r="I243" i="3"/>
  <c r="Q243" i="3"/>
  <c r="P243" i="3"/>
  <c r="AZ243" i="3"/>
  <c r="AY243" i="3"/>
  <c r="AS243" i="3"/>
  <c r="AR243" i="3"/>
  <c r="X243" i="3"/>
  <c r="W243" i="3"/>
  <c r="AL243" i="3"/>
  <c r="AK243" i="3"/>
  <c r="AE243" i="3"/>
  <c r="AD243" i="3"/>
  <c r="J243" i="3"/>
  <c r="A351" i="3"/>
  <c r="E46" i="1"/>
  <c r="E47" i="1"/>
  <c r="E48" i="1"/>
  <c r="E45" i="1"/>
  <c r="B92" i="2"/>
  <c r="B49" i="6"/>
  <c r="D62" i="2"/>
  <c r="B93" i="2"/>
  <c r="B50" i="6"/>
  <c r="C61" i="2"/>
  <c r="C62" i="2"/>
  <c r="K67" i="2"/>
  <c r="A353" i="3"/>
  <c r="BM96" i="3"/>
  <c r="BM95" i="3"/>
  <c r="BM94" i="3"/>
  <c r="E329" i="3"/>
  <c r="E359" i="3"/>
  <c r="I53" i="1"/>
  <c r="A352" i="3"/>
  <c r="C4" i="3"/>
  <c r="C309" i="3"/>
  <c r="C166" i="2"/>
  <c r="H329" i="3"/>
  <c r="H359" i="3"/>
  <c r="L53" i="1"/>
  <c r="B329" i="3"/>
  <c r="B359" i="3"/>
  <c r="F53" i="1"/>
  <c r="U24" i="8"/>
  <c r="D329" i="3"/>
  <c r="D359" i="3"/>
  <c r="H53" i="1"/>
  <c r="F329" i="3"/>
  <c r="F359" i="3"/>
  <c r="J53" i="1"/>
  <c r="C329" i="3"/>
  <c r="C359" i="3"/>
  <c r="G329" i="3"/>
  <c r="G359" i="3"/>
  <c r="K53" i="1"/>
  <c r="C37" i="3"/>
  <c r="G24" i="8"/>
  <c r="I67" i="2"/>
  <c r="C243" i="3"/>
  <c r="C130" i="2"/>
  <c r="M20" i="1"/>
  <c r="M21" i="1"/>
  <c r="N21" i="1"/>
  <c r="K46" i="1"/>
  <c r="M46" i="1"/>
  <c r="H46" i="1"/>
  <c r="G53" i="1"/>
  <c r="C105" i="2"/>
  <c r="J46" i="1"/>
  <c r="L46" i="1"/>
  <c r="F46" i="1"/>
  <c r="G46" i="1"/>
  <c r="C98" i="2"/>
  <c r="I46" i="1"/>
  <c r="B80" i="2" l="1"/>
  <c r="D87" i="2"/>
  <c r="B79" i="2"/>
  <c r="A354" i="3"/>
  <c r="D48" i="1" s="1"/>
  <c r="B16" i="2"/>
  <c r="D24" i="2" s="1"/>
  <c r="P77" i="3"/>
  <c r="Q78" i="3"/>
  <c r="Q77" i="3"/>
  <c r="P76" i="3"/>
  <c r="P78" i="3"/>
  <c r="Q76" i="3"/>
  <c r="B57" i="3"/>
  <c r="F321" i="3"/>
  <c r="F351" i="3" s="1"/>
  <c r="J45" i="1" s="1"/>
  <c r="AR128" i="3"/>
  <c r="H327" i="3" s="1"/>
  <c r="H357" i="3" s="1"/>
  <c r="L51" i="1" s="1"/>
  <c r="G45" i="3"/>
  <c r="K46" i="3"/>
  <c r="AD128" i="3"/>
  <c r="AD137" i="3" s="1"/>
  <c r="AD138" i="3" s="1"/>
  <c r="F331" i="3" s="1"/>
  <c r="F361" i="3" s="1"/>
  <c r="J55" i="1" s="1"/>
  <c r="AK128" i="3"/>
  <c r="AK137" i="3" s="1"/>
  <c r="G330" i="3" s="1"/>
  <c r="G360" i="3" s="1"/>
  <c r="K54" i="1" s="1"/>
  <c r="G46" i="3"/>
  <c r="B303" i="3"/>
  <c r="L22" i="1" s="1"/>
  <c r="W128" i="3"/>
  <c r="W137" i="3" s="1"/>
  <c r="W138" i="3" s="1"/>
  <c r="E331" i="3" s="1"/>
  <c r="E361" i="3" s="1"/>
  <c r="I55" i="1" s="1"/>
  <c r="G49" i="3"/>
  <c r="G48" i="3"/>
  <c r="K49" i="3"/>
  <c r="K48" i="3"/>
  <c r="B61" i="3"/>
  <c r="G47" i="3"/>
  <c r="P268" i="3"/>
  <c r="D348" i="3" s="1"/>
  <c r="H321" i="3"/>
  <c r="H351" i="3" s="1"/>
  <c r="L45" i="1" s="1"/>
  <c r="AK268" i="3"/>
  <c r="G348" i="3" s="1"/>
  <c r="E104" i="3"/>
  <c r="E95" i="3"/>
  <c r="E103" i="3"/>
  <c r="E94" i="3"/>
  <c r="B156" i="2"/>
  <c r="B95" i="3"/>
  <c r="B94" i="3"/>
  <c r="B104" i="3"/>
  <c r="B35" i="3"/>
  <c r="K47" i="3"/>
  <c r="K45" i="3"/>
  <c r="I268" i="3"/>
  <c r="C348" i="3" s="1"/>
  <c r="D321" i="3"/>
  <c r="D351" i="3" s="1"/>
  <c r="B128" i="3"/>
  <c r="B327" i="3" s="1"/>
  <c r="B357" i="3" s="1"/>
  <c r="F51" i="1" s="1"/>
  <c r="P128" i="3"/>
  <c r="AY128" i="3"/>
  <c r="B62" i="3"/>
  <c r="I128" i="3"/>
  <c r="AY268" i="3"/>
  <c r="I348" i="3" s="1"/>
  <c r="B268" i="3"/>
  <c r="B348" i="3" s="1"/>
  <c r="G321" i="3"/>
  <c r="G351" i="3" s="1"/>
  <c r="C321" i="3"/>
  <c r="C351" i="3" s="1"/>
  <c r="B321" i="3"/>
  <c r="B351" i="3" s="1"/>
  <c r="W268" i="3"/>
  <c r="E348" i="3" s="1"/>
  <c r="AD268" i="3"/>
  <c r="F348" i="3" s="1"/>
  <c r="I321" i="3"/>
  <c r="I351" i="3" s="1"/>
  <c r="E321" i="3"/>
  <c r="E351" i="3" s="1"/>
  <c r="AR268" i="3"/>
  <c r="H348" i="3" s="1"/>
  <c r="B73" i="2"/>
  <c r="B7" i="6" s="1"/>
  <c r="E117" i="3"/>
  <c r="E118" i="3"/>
  <c r="B38" i="3"/>
  <c r="B52" i="3"/>
  <c r="B39" i="3"/>
  <c r="B118" i="3" s="1"/>
  <c r="D314" i="3"/>
  <c r="E119" i="3"/>
  <c r="C87" i="2"/>
  <c r="B67" i="2"/>
  <c r="B71" i="2" s="1"/>
  <c r="D316" i="3"/>
  <c r="P131" i="3"/>
  <c r="W131" i="3"/>
  <c r="AD131" i="3"/>
  <c r="B65" i="3"/>
  <c r="AK131" i="3"/>
  <c r="B131" i="3"/>
  <c r="AR131" i="3"/>
  <c r="BF178" i="3"/>
  <c r="AY131" i="3"/>
  <c r="I131" i="3"/>
  <c r="H325" i="3"/>
  <c r="H355" i="3" s="1"/>
  <c r="L49" i="1" s="1"/>
  <c r="E325" i="3"/>
  <c r="E355" i="3" s="1"/>
  <c r="I49" i="1" s="1"/>
  <c r="F325" i="3"/>
  <c r="F355" i="3" s="1"/>
  <c r="J49" i="1" s="1"/>
  <c r="B27" i="3"/>
  <c r="G325" i="3"/>
  <c r="G355" i="3" s="1"/>
  <c r="K49" i="1" s="1"/>
  <c r="I325" i="3"/>
  <c r="I355" i="3" s="1"/>
  <c r="M49" i="1" s="1"/>
  <c r="B325" i="3"/>
  <c r="B355" i="3" s="1"/>
  <c r="C325" i="3"/>
  <c r="C355" i="3" s="1"/>
  <c r="G49" i="1" s="1"/>
  <c r="B55" i="3"/>
  <c r="D325" i="3"/>
  <c r="D355" i="3" s="1"/>
  <c r="H49" i="1" s="1"/>
  <c r="W281" i="3"/>
  <c r="W282" i="3" s="1"/>
  <c r="AD281" i="3"/>
  <c r="AD282" i="3" s="1"/>
  <c r="B281" i="3"/>
  <c r="B282" i="3" s="1"/>
  <c r="AK281" i="3"/>
  <c r="AK282" i="3" s="1"/>
  <c r="I281" i="3"/>
  <c r="I282" i="3" s="1"/>
  <c r="A80" i="3"/>
  <c r="AY281" i="3"/>
  <c r="AY282" i="3" s="1"/>
  <c r="AR281" i="3"/>
  <c r="AR282" i="3" s="1"/>
  <c r="P281" i="3"/>
  <c r="P282" i="3" s="1"/>
  <c r="A114" i="3"/>
  <c r="B114" i="3" s="1"/>
  <c r="B87" i="2" l="1"/>
  <c r="B44" i="6" s="1"/>
  <c r="B81" i="2"/>
  <c r="B9" i="6" s="1"/>
  <c r="H50" i="3"/>
  <c r="K50" i="3" s="1"/>
  <c r="D317" i="3"/>
  <c r="F380" i="3"/>
  <c r="AR137" i="3"/>
  <c r="E327" i="3"/>
  <c r="E357" i="3" s="1"/>
  <c r="I51" i="1" s="1"/>
  <c r="H380" i="3"/>
  <c r="F21" i="2"/>
  <c r="K76" i="1" s="1"/>
  <c r="E330" i="3"/>
  <c r="E360" i="3" s="1"/>
  <c r="I54" i="1" s="1"/>
  <c r="G21" i="2"/>
  <c r="L76" i="1" s="1"/>
  <c r="H21" i="2"/>
  <c r="D67" i="2"/>
  <c r="D21" i="2"/>
  <c r="I76" i="1" s="1"/>
  <c r="G24" i="2"/>
  <c r="C24" i="2"/>
  <c r="A21" i="2"/>
  <c r="C21" i="2"/>
  <c r="G76" i="1" s="1"/>
  <c r="E24" i="2"/>
  <c r="E21" i="2"/>
  <c r="J76" i="1" s="1"/>
  <c r="B21" i="2"/>
  <c r="F24" i="2"/>
  <c r="B63" i="3"/>
  <c r="C69" i="3" s="1"/>
  <c r="C68" i="3" s="1"/>
  <c r="F330" i="3"/>
  <c r="F360" i="3" s="1"/>
  <c r="J54" i="1" s="1"/>
  <c r="G327" i="3"/>
  <c r="G357" i="3" s="1"/>
  <c r="K51" i="1" s="1"/>
  <c r="F327" i="3"/>
  <c r="F357" i="3" s="1"/>
  <c r="J51" i="1" s="1"/>
  <c r="AK138" i="3"/>
  <c r="G331" i="3" s="1"/>
  <c r="G361" i="3" s="1"/>
  <c r="K55" i="1" s="1"/>
  <c r="D50" i="3"/>
  <c r="I50" i="3"/>
  <c r="B137" i="3"/>
  <c r="B330" i="3" s="1"/>
  <c r="B360" i="3" s="1"/>
  <c r="F54" i="1" s="1"/>
  <c r="B41" i="3"/>
  <c r="D78" i="3"/>
  <c r="D76" i="3"/>
  <c r="H76" i="3"/>
  <c r="H78" i="3"/>
  <c r="D77" i="3"/>
  <c r="H77" i="3"/>
  <c r="H330" i="3"/>
  <c r="H360" i="3" s="1"/>
  <c r="L54" i="1" s="1"/>
  <c r="AR138" i="3"/>
  <c r="H331" i="3" s="1"/>
  <c r="H361" i="3" s="1"/>
  <c r="L55" i="1" s="1"/>
  <c r="D380" i="3"/>
  <c r="H45" i="1"/>
  <c r="I137" i="3"/>
  <c r="C327" i="3"/>
  <c r="C357" i="3" s="1"/>
  <c r="BL109" i="3"/>
  <c r="I327" i="3"/>
  <c r="I357" i="3" s="1"/>
  <c r="M51" i="1" s="1"/>
  <c r="AY137" i="3"/>
  <c r="D327" i="3"/>
  <c r="D357" i="3" s="1"/>
  <c r="H51" i="1" s="1"/>
  <c r="P137" i="3"/>
  <c r="B380" i="3"/>
  <c r="F45" i="1"/>
  <c r="I45" i="1"/>
  <c r="E380" i="3"/>
  <c r="G45" i="1"/>
  <c r="C380" i="3"/>
  <c r="C97" i="2"/>
  <c r="I380" i="3"/>
  <c r="M45" i="1"/>
  <c r="K45" i="1"/>
  <c r="G380" i="3"/>
  <c r="B117" i="3"/>
  <c r="F324" i="3"/>
  <c r="F354" i="3" s="1"/>
  <c r="J48" i="1" s="1"/>
  <c r="AD132" i="3"/>
  <c r="F326" i="3" s="1"/>
  <c r="F356" i="3" s="1"/>
  <c r="J50" i="1" s="1"/>
  <c r="E324" i="3"/>
  <c r="E354" i="3" s="1"/>
  <c r="I48" i="1" s="1"/>
  <c r="W132" i="3"/>
  <c r="E326" i="3" s="1"/>
  <c r="E356" i="3" s="1"/>
  <c r="I50" i="1" s="1"/>
  <c r="AY132" i="3"/>
  <c r="I326" i="3" s="1"/>
  <c r="I356" i="3" s="1"/>
  <c r="M50" i="1" s="1"/>
  <c r="I324" i="3"/>
  <c r="I354" i="3" s="1"/>
  <c r="M48" i="1" s="1"/>
  <c r="D324" i="3"/>
  <c r="D354" i="3" s="1"/>
  <c r="H48" i="1" s="1"/>
  <c r="P132" i="3"/>
  <c r="D326" i="3" s="1"/>
  <c r="D356" i="3" s="1"/>
  <c r="H50" i="1" s="1"/>
  <c r="B132" i="3"/>
  <c r="B326" i="3" s="1"/>
  <c r="B356" i="3" s="1"/>
  <c r="B324" i="3"/>
  <c r="B354" i="3" s="1"/>
  <c r="AR132" i="3"/>
  <c r="H326" i="3" s="1"/>
  <c r="H356" i="3" s="1"/>
  <c r="L50" i="1" s="1"/>
  <c r="H324" i="3"/>
  <c r="H354" i="3" s="1"/>
  <c r="L48" i="1" s="1"/>
  <c r="G324" i="3"/>
  <c r="G354" i="3" s="1"/>
  <c r="K48" i="1" s="1"/>
  <c r="AK132" i="3"/>
  <c r="G326" i="3" s="1"/>
  <c r="G356" i="3" s="1"/>
  <c r="K50" i="1" s="1"/>
  <c r="C324" i="3"/>
  <c r="C354" i="3" s="1"/>
  <c r="G48" i="1" s="1"/>
  <c r="I132" i="3"/>
  <c r="C326" i="3" s="1"/>
  <c r="C356" i="3" s="1"/>
  <c r="G50" i="1" s="1"/>
  <c r="C101" i="2"/>
  <c r="D101" i="2" s="1"/>
  <c r="F49" i="1"/>
  <c r="B173" i="3"/>
  <c r="B176" i="3" s="1"/>
  <c r="W173" i="3"/>
  <c r="W176" i="3" s="1"/>
  <c r="F323" i="3"/>
  <c r="F353" i="3" s="1"/>
  <c r="AY173" i="3"/>
  <c r="AY176" i="3" s="1"/>
  <c r="P165" i="3"/>
  <c r="P168" i="3" s="1"/>
  <c r="AR165" i="3"/>
  <c r="AR168" i="3" s="1"/>
  <c r="W248" i="3"/>
  <c r="X248" i="3" s="1"/>
  <c r="P228" i="3"/>
  <c r="Q228" i="3" s="1"/>
  <c r="AF250" i="3"/>
  <c r="AG250" i="3" s="1"/>
  <c r="R228" i="3"/>
  <c r="S228" i="3" s="1"/>
  <c r="BA247" i="3"/>
  <c r="BB247" i="3" s="1"/>
  <c r="Y226" i="3"/>
  <c r="Z226" i="3" s="1"/>
  <c r="R249" i="3"/>
  <c r="S249" i="3" s="1"/>
  <c r="I250" i="3"/>
  <c r="J250" i="3" s="1"/>
  <c r="K247" i="3"/>
  <c r="L247" i="3" s="1"/>
  <c r="K227" i="3"/>
  <c r="L227" i="3" s="1"/>
  <c r="BA249" i="3"/>
  <c r="BB249" i="3" s="1"/>
  <c r="W250" i="3"/>
  <c r="X250" i="3" s="1"/>
  <c r="R226" i="3"/>
  <c r="S226" i="3" s="1"/>
  <c r="K225" i="3"/>
  <c r="L225" i="3" s="1"/>
  <c r="D225" i="3"/>
  <c r="E225" i="3" s="1"/>
  <c r="D249" i="3"/>
  <c r="E249" i="3" s="1"/>
  <c r="I248" i="3"/>
  <c r="J248" i="3" s="1"/>
  <c r="AY225" i="3"/>
  <c r="AZ225" i="3" s="1"/>
  <c r="W174" i="3"/>
  <c r="W177" i="3" s="1"/>
  <c r="AY174" i="3"/>
  <c r="AY177" i="3" s="1"/>
  <c r="P166" i="3"/>
  <c r="P169" i="3" s="1"/>
  <c r="AR166" i="3"/>
  <c r="AR169" i="3" s="1"/>
  <c r="R250" i="3"/>
  <c r="S250" i="3" s="1"/>
  <c r="W228" i="3"/>
  <c r="X228" i="3" s="1"/>
  <c r="AT228" i="3"/>
  <c r="AU228" i="3" s="1"/>
  <c r="AT249" i="3"/>
  <c r="AU249" i="3" s="1"/>
  <c r="BA225" i="3"/>
  <c r="BB225" i="3" s="1"/>
  <c r="Y249" i="3"/>
  <c r="Z249" i="3" s="1"/>
  <c r="P225" i="3"/>
  <c r="Q225" i="3" s="1"/>
  <c r="K226" i="3"/>
  <c r="L226" i="3" s="1"/>
  <c r="I225" i="3"/>
  <c r="J225" i="3" s="1"/>
  <c r="AR249" i="3"/>
  <c r="AS249" i="3" s="1"/>
  <c r="AD248" i="3"/>
  <c r="AE248" i="3" s="1"/>
  <c r="AM247" i="3"/>
  <c r="AN247" i="3" s="1"/>
  <c r="P249" i="3"/>
  <c r="Q249" i="3" s="1"/>
  <c r="B304" i="3"/>
  <c r="B225" i="3"/>
  <c r="C225" i="3" s="1"/>
  <c r="D248" i="3"/>
  <c r="E248" i="3" s="1"/>
  <c r="AR228" i="3"/>
  <c r="AS228" i="3" s="1"/>
  <c r="W226" i="3"/>
  <c r="X226" i="3" s="1"/>
  <c r="P173" i="3"/>
  <c r="P176" i="3" s="1"/>
  <c r="E323" i="3"/>
  <c r="E353" i="3" s="1"/>
  <c r="AR173" i="3"/>
  <c r="AR176" i="3" s="1"/>
  <c r="I323" i="3"/>
  <c r="I353" i="3" s="1"/>
  <c r="B165" i="3"/>
  <c r="B168" i="3" s="1"/>
  <c r="W165" i="3"/>
  <c r="W168" i="3" s="1"/>
  <c r="AY165" i="3"/>
  <c r="AY168" i="3" s="1"/>
  <c r="AK250" i="3"/>
  <c r="AL250" i="3" s="1"/>
  <c r="AD249" i="3"/>
  <c r="AE249" i="3" s="1"/>
  <c r="AY227" i="3"/>
  <c r="AZ227" i="3" s="1"/>
  <c r="AD250" i="3"/>
  <c r="AE250" i="3" s="1"/>
  <c r="AE258" i="3" s="1"/>
  <c r="AM227" i="3"/>
  <c r="AN227" i="3" s="1"/>
  <c r="AT226" i="3"/>
  <c r="AU226" i="3" s="1"/>
  <c r="AD228" i="3"/>
  <c r="AE228" i="3" s="1"/>
  <c r="AK228" i="3"/>
  <c r="AL228" i="3" s="1"/>
  <c r="I249" i="3"/>
  <c r="J249" i="3" s="1"/>
  <c r="I228" i="3"/>
  <c r="J228" i="3" s="1"/>
  <c r="BA250" i="3"/>
  <c r="BB250" i="3" s="1"/>
  <c r="AT227" i="3"/>
  <c r="AU227" i="3" s="1"/>
  <c r="AD226" i="3"/>
  <c r="AE226" i="3" s="1"/>
  <c r="AK226" i="3"/>
  <c r="AL226" i="3" s="1"/>
  <c r="AR227" i="3"/>
  <c r="AS227" i="3" s="1"/>
  <c r="D226" i="3"/>
  <c r="E226" i="3" s="1"/>
  <c r="B249" i="3"/>
  <c r="C249" i="3" s="1"/>
  <c r="AK166" i="3"/>
  <c r="AK169" i="3" s="1"/>
  <c r="AD227" i="3"/>
  <c r="AE227" i="3" s="1"/>
  <c r="AE229" i="3" s="1"/>
  <c r="AM225" i="3"/>
  <c r="AN225" i="3" s="1"/>
  <c r="P174" i="3"/>
  <c r="P177" i="3" s="1"/>
  <c r="AR174" i="3"/>
  <c r="AR177" i="3" s="1"/>
  <c r="W166" i="3"/>
  <c r="W169" i="3" s="1"/>
  <c r="AY166" i="3"/>
  <c r="AY169" i="3" s="1"/>
  <c r="P250" i="3"/>
  <c r="Q250" i="3" s="1"/>
  <c r="AK225" i="3"/>
  <c r="AL225" i="3" s="1"/>
  <c r="AT250" i="3"/>
  <c r="AU250" i="3" s="1"/>
  <c r="AY249" i="3"/>
  <c r="AZ249" i="3" s="1"/>
  <c r="AZ257" i="3" s="1"/>
  <c r="W249" i="3"/>
  <c r="X249" i="3" s="1"/>
  <c r="X257" i="3" s="1"/>
  <c r="P247" i="3"/>
  <c r="Q247" i="3" s="1"/>
  <c r="AK248" i="3"/>
  <c r="AL248" i="3" s="1"/>
  <c r="AT248" i="3"/>
  <c r="AU248" i="3" s="1"/>
  <c r="K248" i="3"/>
  <c r="L248" i="3" s="1"/>
  <c r="AY248" i="3"/>
  <c r="AZ248" i="3" s="1"/>
  <c r="Y250" i="3"/>
  <c r="Z250" i="3" s="1"/>
  <c r="P227" i="3"/>
  <c r="Q227" i="3" s="1"/>
  <c r="AD247" i="3"/>
  <c r="AE247" i="3" s="1"/>
  <c r="AR248" i="3"/>
  <c r="AS248" i="3" s="1"/>
  <c r="B226" i="3"/>
  <c r="C226" i="3" s="1"/>
  <c r="B250" i="3"/>
  <c r="C250" i="3" s="1"/>
  <c r="AD174" i="3"/>
  <c r="AD177" i="3" s="1"/>
  <c r="AY250" i="3"/>
  <c r="AZ250" i="3" s="1"/>
  <c r="I227" i="3"/>
  <c r="J227" i="3" s="1"/>
  <c r="J235" i="3" s="1"/>
  <c r="B323" i="3"/>
  <c r="B353" i="3" s="1"/>
  <c r="I173" i="3"/>
  <c r="I176" i="3" s="1"/>
  <c r="D323" i="3"/>
  <c r="D353" i="3" s="1"/>
  <c r="AK173" i="3"/>
  <c r="AK176" i="3" s="1"/>
  <c r="H323" i="3"/>
  <c r="H353" i="3" s="1"/>
  <c r="AD165" i="3"/>
  <c r="AD168" i="3" s="1"/>
  <c r="K249" i="3"/>
  <c r="L249" i="3" s="1"/>
  <c r="BA227" i="3"/>
  <c r="BB227" i="3" s="1"/>
  <c r="AM228" i="3"/>
  <c r="AN228" i="3" s="1"/>
  <c r="AY226" i="3"/>
  <c r="AZ226" i="3" s="1"/>
  <c r="Y227" i="3"/>
  <c r="Z227" i="3" s="1"/>
  <c r="R248" i="3"/>
  <c r="S248" i="3" s="1"/>
  <c r="BA228" i="3"/>
  <c r="BB228" i="3" s="1"/>
  <c r="AR226" i="3"/>
  <c r="AS226" i="3" s="1"/>
  <c r="K250" i="3"/>
  <c r="L250" i="3" s="1"/>
  <c r="AF249" i="3"/>
  <c r="AG249" i="3" s="1"/>
  <c r="W227" i="3"/>
  <c r="X227" i="3" s="1"/>
  <c r="R227" i="3"/>
  <c r="S227" i="3" s="1"/>
  <c r="AY228" i="3"/>
  <c r="AZ228" i="3" s="1"/>
  <c r="Y225" i="3"/>
  <c r="Z225" i="3" s="1"/>
  <c r="D227" i="3"/>
  <c r="E227" i="3" s="1"/>
  <c r="B248" i="3"/>
  <c r="C248" i="3" s="1"/>
  <c r="I166" i="3"/>
  <c r="I169" i="3" s="1"/>
  <c r="AY247" i="3"/>
  <c r="AZ247" i="3" s="1"/>
  <c r="AM248" i="3"/>
  <c r="AN248" i="3" s="1"/>
  <c r="B228" i="3"/>
  <c r="C228" i="3" s="1"/>
  <c r="B174" i="3"/>
  <c r="B177" i="3" s="1"/>
  <c r="I174" i="3"/>
  <c r="I177" i="3" s="1"/>
  <c r="AK174" i="3"/>
  <c r="AK177" i="3" s="1"/>
  <c r="B166" i="3"/>
  <c r="B169" i="3" s="1"/>
  <c r="AD166" i="3"/>
  <c r="AD169" i="3" s="1"/>
  <c r="AR247" i="3"/>
  <c r="AS247" i="3" s="1"/>
  <c r="P226" i="3"/>
  <c r="Q226" i="3" s="1"/>
  <c r="Q229" i="3" s="1"/>
  <c r="AF227" i="3"/>
  <c r="AG227" i="3" s="1"/>
  <c r="AF228" i="3"/>
  <c r="AG228" i="3" s="1"/>
  <c r="AM226" i="3"/>
  <c r="AN226" i="3" s="1"/>
  <c r="I226" i="3"/>
  <c r="J226" i="3" s="1"/>
  <c r="BA226" i="3"/>
  <c r="BB226" i="3" s="1"/>
  <c r="Y228" i="3"/>
  <c r="Z228" i="3" s="1"/>
  <c r="K228" i="3"/>
  <c r="L228" i="3" s="1"/>
  <c r="AF226" i="3"/>
  <c r="AG226" i="3" s="1"/>
  <c r="AK247" i="3"/>
  <c r="AL247" i="3" s="1"/>
  <c r="AT247" i="3"/>
  <c r="AU247" i="3" s="1"/>
  <c r="BA248" i="3"/>
  <c r="BB248" i="3" s="1"/>
  <c r="Y248" i="3"/>
  <c r="Z248" i="3" s="1"/>
  <c r="B227" i="3"/>
  <c r="C227" i="3" s="1"/>
  <c r="B247" i="3"/>
  <c r="C247" i="3" s="1"/>
  <c r="R225" i="3"/>
  <c r="S225" i="3" s="1"/>
  <c r="AD225" i="3"/>
  <c r="AE225" i="3" s="1"/>
  <c r="C323" i="3"/>
  <c r="C353" i="3" s="1"/>
  <c r="AD173" i="3"/>
  <c r="AD176" i="3" s="1"/>
  <c r="G323" i="3"/>
  <c r="G353" i="3" s="1"/>
  <c r="I165" i="3"/>
  <c r="I168" i="3" s="1"/>
  <c r="AK165" i="3"/>
  <c r="AK168" i="3" s="1"/>
  <c r="Y247" i="3"/>
  <c r="Z247" i="3" s="1"/>
  <c r="W225" i="3"/>
  <c r="X225" i="3" s="1"/>
  <c r="AR225" i="3"/>
  <c r="AS225" i="3" s="1"/>
  <c r="AF225" i="3"/>
  <c r="AG225" i="3" s="1"/>
  <c r="AM250" i="3"/>
  <c r="AN250" i="3" s="1"/>
  <c r="AT225" i="3"/>
  <c r="AU225" i="3" s="1"/>
  <c r="AF247" i="3"/>
  <c r="AG247" i="3" s="1"/>
  <c r="W247" i="3"/>
  <c r="X247" i="3" s="1"/>
  <c r="I247" i="3"/>
  <c r="J247" i="3" s="1"/>
  <c r="J255" i="3" s="1"/>
  <c r="P248" i="3"/>
  <c r="Q248" i="3" s="1"/>
  <c r="AK249" i="3"/>
  <c r="AL249" i="3" s="1"/>
  <c r="AR250" i="3"/>
  <c r="AS250" i="3" s="1"/>
  <c r="AF248" i="3"/>
  <c r="AG248" i="3" s="1"/>
  <c r="AK227" i="3"/>
  <c r="AL227" i="3" s="1"/>
  <c r="D228" i="3"/>
  <c r="E228" i="3" s="1"/>
  <c r="D250" i="3"/>
  <c r="E250" i="3" s="1"/>
  <c r="AM249" i="3"/>
  <c r="AN249" i="3" s="1"/>
  <c r="R247" i="3"/>
  <c r="S247" i="3" s="1"/>
  <c r="D247" i="3"/>
  <c r="E247" i="3" s="1"/>
  <c r="AK269" i="3"/>
  <c r="AK270" i="3" s="1"/>
  <c r="AK271" i="3" s="1"/>
  <c r="I269" i="3"/>
  <c r="I270" i="3" s="1"/>
  <c r="I271" i="3" s="1"/>
  <c r="AY269" i="3"/>
  <c r="AY270" i="3" s="1"/>
  <c r="AY271" i="3" s="1"/>
  <c r="AR269" i="3"/>
  <c r="AR270" i="3" s="1"/>
  <c r="AR271" i="3" s="1"/>
  <c r="P269" i="3"/>
  <c r="P270" i="3" s="1"/>
  <c r="P271" i="3" s="1"/>
  <c r="W269" i="3"/>
  <c r="W270" i="3" s="1"/>
  <c r="W271" i="3" s="1"/>
  <c r="AD269" i="3"/>
  <c r="AD270" i="3" s="1"/>
  <c r="AD271" i="3" s="1"/>
  <c r="B269" i="3"/>
  <c r="B270" i="3" s="1"/>
  <c r="B271" i="3" s="1"/>
  <c r="J50" i="3" l="1"/>
  <c r="C257" i="3"/>
  <c r="Z251" i="3"/>
  <c r="AL235" i="3"/>
  <c r="AN229" i="3"/>
  <c r="AS229" i="3"/>
  <c r="C70" i="3"/>
  <c r="C71" i="3" s="1"/>
  <c r="AG251" i="3"/>
  <c r="AZ229" i="3"/>
  <c r="B138" i="3"/>
  <c r="B331" i="3" s="1"/>
  <c r="B361" i="3" s="1"/>
  <c r="F55" i="1" s="1"/>
  <c r="BB229" i="3"/>
  <c r="AU251" i="3"/>
  <c r="L229" i="3"/>
  <c r="W178" i="3"/>
  <c r="E335" i="3" s="1"/>
  <c r="E365" i="3" s="1"/>
  <c r="I60" i="1" s="1"/>
  <c r="AG229" i="3"/>
  <c r="AD230" i="3" s="1"/>
  <c r="AD143" i="3"/>
  <c r="E251" i="3"/>
  <c r="AN251" i="3"/>
  <c r="E50" i="3"/>
  <c r="B45" i="3" s="1"/>
  <c r="G50" i="3"/>
  <c r="B47" i="3" s="1"/>
  <c r="F50" i="3"/>
  <c r="B46" i="3" s="1"/>
  <c r="AE251" i="3"/>
  <c r="J251" i="3"/>
  <c r="Q251" i="3"/>
  <c r="L251" i="3"/>
  <c r="E229" i="3"/>
  <c r="BB251" i="3"/>
  <c r="I178" i="3"/>
  <c r="C335" i="3" s="1"/>
  <c r="C365" i="3" s="1"/>
  <c r="G60" i="1" s="1"/>
  <c r="S251" i="3"/>
  <c r="C229" i="3"/>
  <c r="Z229" i="3"/>
  <c r="AU229" i="3"/>
  <c r="S229" i="3"/>
  <c r="P230" i="3" s="1"/>
  <c r="G80" i="3"/>
  <c r="F80" i="3"/>
  <c r="B80" i="3"/>
  <c r="C80" i="3"/>
  <c r="G51" i="1"/>
  <c r="C103" i="2"/>
  <c r="I138" i="3"/>
  <c r="C331" i="3" s="1"/>
  <c r="C361" i="3" s="1"/>
  <c r="C330" i="3"/>
  <c r="C360" i="3" s="1"/>
  <c r="AR178" i="3"/>
  <c r="H335" i="3" s="1"/>
  <c r="H365" i="3" s="1"/>
  <c r="L60" i="1" s="1"/>
  <c r="P138" i="3"/>
  <c r="D331" i="3" s="1"/>
  <c r="D361" i="3" s="1"/>
  <c r="H55" i="1" s="1"/>
  <c r="D330" i="3"/>
  <c r="D360" i="3" s="1"/>
  <c r="H54" i="1" s="1"/>
  <c r="AY138" i="3"/>
  <c r="I331" i="3" s="1"/>
  <c r="I361" i="3" s="1"/>
  <c r="M55" i="1" s="1"/>
  <c r="I330" i="3"/>
  <c r="I360" i="3" s="1"/>
  <c r="M54" i="1" s="1"/>
  <c r="X258" i="3"/>
  <c r="AZ258" i="3"/>
  <c r="AS257" i="3"/>
  <c r="X233" i="3"/>
  <c r="AS258" i="3"/>
  <c r="AL255" i="3"/>
  <c r="I170" i="3"/>
  <c r="C336" i="3" s="1"/>
  <c r="C290" i="3" s="1"/>
  <c r="C295" i="3" s="1"/>
  <c r="AS235" i="3"/>
  <c r="X255" i="3"/>
  <c r="AK170" i="3"/>
  <c r="G336" i="3" s="1"/>
  <c r="G366" i="3" s="1"/>
  <c r="K61" i="1" s="1"/>
  <c r="AK178" i="3"/>
  <c r="G335" i="3" s="1"/>
  <c r="G365" i="3" s="1"/>
  <c r="K60" i="1" s="1"/>
  <c r="AL256" i="3"/>
  <c r="AE236" i="3"/>
  <c r="AY178" i="3"/>
  <c r="I335" i="3" s="1"/>
  <c r="I365" i="3" s="1"/>
  <c r="M60" i="1" s="1"/>
  <c r="AZ236" i="3"/>
  <c r="AS256" i="3"/>
  <c r="C233" i="3"/>
  <c r="Q233" i="3"/>
  <c r="Q235" i="3"/>
  <c r="Q257" i="3"/>
  <c r="AE233" i="3"/>
  <c r="C258" i="3"/>
  <c r="C235" i="3"/>
  <c r="Q258" i="3"/>
  <c r="J234" i="3"/>
  <c r="AL236" i="3"/>
  <c r="AL234" i="3"/>
  <c r="C236" i="3"/>
  <c r="AE234" i="3"/>
  <c r="Q256" i="3"/>
  <c r="AS255" i="3"/>
  <c r="AZ255" i="3"/>
  <c r="AZ233" i="3"/>
  <c r="Q236" i="3"/>
  <c r="AZ256" i="3"/>
  <c r="AL233" i="3"/>
  <c r="P178" i="3"/>
  <c r="D335" i="3" s="1"/>
  <c r="D365" i="3" s="1"/>
  <c r="H60" i="1" s="1"/>
  <c r="X256" i="3"/>
  <c r="AE256" i="3"/>
  <c r="C256" i="3"/>
  <c r="AD170" i="3"/>
  <c r="F336" i="3" s="1"/>
  <c r="F290" i="3" s="1"/>
  <c r="F295" i="3" s="1"/>
  <c r="AD178" i="3"/>
  <c r="F335" i="3" s="1"/>
  <c r="F365" i="3" s="1"/>
  <c r="J60" i="1" s="1"/>
  <c r="J257" i="3"/>
  <c r="AL258" i="3"/>
  <c r="X234" i="3"/>
  <c r="X236" i="3"/>
  <c r="J258" i="3"/>
  <c r="AR170" i="3"/>
  <c r="H336" i="3" s="1"/>
  <c r="H290" i="3" s="1"/>
  <c r="H295" i="3" s="1"/>
  <c r="Q234" i="3"/>
  <c r="AS251" i="3"/>
  <c r="AL251" i="3"/>
  <c r="C234" i="3"/>
  <c r="J229" i="3"/>
  <c r="AZ251" i="3"/>
  <c r="AS233" i="3"/>
  <c r="X251" i="3"/>
  <c r="AL229" i="3"/>
  <c r="C100" i="2"/>
  <c r="F48" i="1"/>
  <c r="F50" i="1"/>
  <c r="C102" i="2"/>
  <c r="H381" i="3"/>
  <c r="L47" i="1"/>
  <c r="AY170" i="3"/>
  <c r="I336" i="3" s="1"/>
  <c r="AS236" i="3"/>
  <c r="J233" i="3"/>
  <c r="P170" i="3"/>
  <c r="D336" i="3" s="1"/>
  <c r="K47" i="1"/>
  <c r="G381" i="3"/>
  <c r="W170" i="3"/>
  <c r="E336" i="3" s="1"/>
  <c r="AZ234" i="3"/>
  <c r="C251" i="3"/>
  <c r="D381" i="3"/>
  <c r="H47" i="1"/>
  <c r="Q255" i="3"/>
  <c r="B170" i="3"/>
  <c r="B336" i="3" s="1"/>
  <c r="J47" i="1"/>
  <c r="F381" i="3"/>
  <c r="C381" i="3"/>
  <c r="G47" i="1"/>
  <c r="AE255" i="3"/>
  <c r="I381" i="3"/>
  <c r="M47" i="1"/>
  <c r="AS234" i="3"/>
  <c r="X229" i="3"/>
  <c r="AL257" i="3"/>
  <c r="X235" i="3"/>
  <c r="B381" i="3"/>
  <c r="C99" i="2"/>
  <c r="B135" i="2" s="1"/>
  <c r="B15" i="6" s="1"/>
  <c r="F47" i="1"/>
  <c r="B178" i="3"/>
  <c r="B335" i="3" s="1"/>
  <c r="B365" i="3" s="1"/>
  <c r="AE235" i="3"/>
  <c r="AZ235" i="3"/>
  <c r="E381" i="3"/>
  <c r="I47" i="1"/>
  <c r="J256" i="3"/>
  <c r="C255" i="3"/>
  <c r="J236" i="3"/>
  <c r="AE257" i="3"/>
  <c r="AK230" i="3" l="1"/>
  <c r="W252" i="3"/>
  <c r="AY230" i="3"/>
  <c r="I143" i="3"/>
  <c r="C338" i="3" s="1"/>
  <c r="C368" i="3" s="1"/>
  <c r="G63" i="1" s="1"/>
  <c r="AK143" i="3"/>
  <c r="AK146" i="3" s="1"/>
  <c r="AK149" i="3" s="1"/>
  <c r="AR143" i="3"/>
  <c r="H338" i="3" s="1"/>
  <c r="H368" i="3" s="1"/>
  <c r="L63" i="1" s="1"/>
  <c r="P143" i="3"/>
  <c r="D338" i="3" s="1"/>
  <c r="D368" i="3" s="1"/>
  <c r="H63" i="1" s="1"/>
  <c r="AY143" i="3"/>
  <c r="I338" i="3" s="1"/>
  <c r="I368" i="3" s="1"/>
  <c r="M63" i="1" s="1"/>
  <c r="W143" i="3"/>
  <c r="E338" i="3" s="1"/>
  <c r="E368" i="3" s="1"/>
  <c r="I63" i="1" s="1"/>
  <c r="B143" i="3"/>
  <c r="B338" i="3" s="1"/>
  <c r="B368" i="3" s="1"/>
  <c r="F63" i="1" s="1"/>
  <c r="AD252" i="3"/>
  <c r="AY252" i="3"/>
  <c r="AR230" i="3"/>
  <c r="AR252" i="3"/>
  <c r="B230" i="3"/>
  <c r="AK252" i="3"/>
  <c r="I252" i="3"/>
  <c r="F338" i="3"/>
  <c r="F368" i="3" s="1"/>
  <c r="J63" i="1" s="1"/>
  <c r="I230" i="3"/>
  <c r="G290" i="3"/>
  <c r="G295" i="3" s="1"/>
  <c r="B252" i="3"/>
  <c r="P252" i="3"/>
  <c r="W129" i="3"/>
  <c r="E328" i="3" s="1"/>
  <c r="E358" i="3" s="1"/>
  <c r="I52" i="1" s="1"/>
  <c r="B129" i="3"/>
  <c r="B328" i="3" s="1"/>
  <c r="B358" i="3" s="1"/>
  <c r="F52" i="1" s="1"/>
  <c r="AK129" i="3"/>
  <c r="G328" i="3" s="1"/>
  <c r="G358" i="3" s="1"/>
  <c r="K52" i="1" s="1"/>
  <c r="AR129" i="3"/>
  <c r="H328" i="3" s="1"/>
  <c r="H358" i="3" s="1"/>
  <c r="L52" i="1" s="1"/>
  <c r="I129" i="3"/>
  <c r="C328" i="3" s="1"/>
  <c r="C358" i="3" s="1"/>
  <c r="P129" i="3"/>
  <c r="D328" i="3" s="1"/>
  <c r="D358" i="3" s="1"/>
  <c r="H52" i="1" s="1"/>
  <c r="AY129" i="3"/>
  <c r="I328" i="3" s="1"/>
  <c r="I358" i="3" s="1"/>
  <c r="M52" i="1" s="1"/>
  <c r="AD129" i="3"/>
  <c r="F328" i="3" s="1"/>
  <c r="F358" i="3" s="1"/>
  <c r="J52" i="1" s="1"/>
  <c r="I345" i="3"/>
  <c r="I375" i="3" s="1"/>
  <c r="M69" i="1" s="1"/>
  <c r="H345" i="3"/>
  <c r="H375" i="3" s="1"/>
  <c r="L69" i="1" s="1"/>
  <c r="C345" i="3"/>
  <c r="C375" i="3" s="1"/>
  <c r="F345" i="3"/>
  <c r="F375" i="3" s="1"/>
  <c r="J69" i="1" s="1"/>
  <c r="D345" i="3"/>
  <c r="D375" i="3" s="1"/>
  <c r="H69" i="1" s="1"/>
  <c r="B345" i="3"/>
  <c r="B375" i="3" s="1"/>
  <c r="F69" i="1" s="1"/>
  <c r="G345" i="3"/>
  <c r="G375" i="3" s="1"/>
  <c r="K69" i="1" s="1"/>
  <c r="E345" i="3"/>
  <c r="E375" i="3" s="1"/>
  <c r="I69" i="1" s="1"/>
  <c r="C366" i="3"/>
  <c r="G61" i="1" s="1"/>
  <c r="W230" i="3"/>
  <c r="D80" i="3"/>
  <c r="H80" i="3"/>
  <c r="C106" i="2"/>
  <c r="B142" i="2" s="1"/>
  <c r="B20" i="6" s="1"/>
  <c r="G54" i="1"/>
  <c r="G55" i="1"/>
  <c r="C107" i="2"/>
  <c r="B143" i="2" s="1"/>
  <c r="B21" i="6" s="1"/>
  <c r="F366" i="3"/>
  <c r="J61" i="1" s="1"/>
  <c r="H366" i="3"/>
  <c r="L61" i="1" s="1"/>
  <c r="D290" i="3"/>
  <c r="D295" i="3" s="1"/>
  <c r="D366" i="3"/>
  <c r="H61" i="1" s="1"/>
  <c r="I290" i="3"/>
  <c r="I295" i="3" s="1"/>
  <c r="I366" i="3"/>
  <c r="M61" i="1" s="1"/>
  <c r="E366" i="3"/>
  <c r="I61" i="1" s="1"/>
  <c r="E290" i="3"/>
  <c r="E295" i="3" s="1"/>
  <c r="C111" i="2"/>
  <c r="B159" i="2" s="1"/>
  <c r="F60" i="1"/>
  <c r="B290" i="3"/>
  <c r="B295" i="3" s="1"/>
  <c r="B366" i="3"/>
  <c r="AK148" i="3" l="1"/>
  <c r="AK151" i="3" s="1"/>
  <c r="G339" i="3" s="1"/>
  <c r="G369" i="3" s="1"/>
  <c r="K56" i="1" s="1"/>
  <c r="C114" i="2"/>
  <c r="B175" i="2" s="1"/>
  <c r="G338" i="3"/>
  <c r="G368" i="3" s="1"/>
  <c r="K63" i="1" s="1"/>
  <c r="W146" i="3"/>
  <c r="W148" i="3" s="1"/>
  <c r="W151" i="3" s="1"/>
  <c r="E339" i="3" s="1"/>
  <c r="E369" i="3" s="1"/>
  <c r="I56" i="1" s="1"/>
  <c r="AY146" i="3"/>
  <c r="AY148" i="3" s="1"/>
  <c r="B146" i="3"/>
  <c r="B148" i="3" s="1"/>
  <c r="AR146" i="3"/>
  <c r="AR149" i="3" s="1"/>
  <c r="I146" i="3"/>
  <c r="I148" i="3" s="1"/>
  <c r="AD146" i="3"/>
  <c r="AD148" i="3" s="1"/>
  <c r="AD151" i="3" s="1"/>
  <c r="F339" i="3" s="1"/>
  <c r="F369" i="3" s="1"/>
  <c r="J56" i="1" s="1"/>
  <c r="P146" i="3"/>
  <c r="P149" i="3" s="1"/>
  <c r="B81" i="3"/>
  <c r="B82" i="3" s="1"/>
  <c r="AY149" i="3"/>
  <c r="G52" i="1"/>
  <c r="C104" i="2"/>
  <c r="B134" i="2" s="1"/>
  <c r="B14" i="6" s="1"/>
  <c r="G69" i="1"/>
  <c r="C121" i="2"/>
  <c r="B144" i="2" s="1"/>
  <c r="B22" i="6" s="1"/>
  <c r="AY151" i="3"/>
  <c r="I339" i="3" s="1"/>
  <c r="I369" i="3" s="1"/>
  <c r="M56" i="1" s="1"/>
  <c r="J295" i="3"/>
  <c r="C112" i="2"/>
  <c r="B160" i="2" s="1"/>
  <c r="B162" i="2" s="1"/>
  <c r="B169" i="2" s="1"/>
  <c r="F61" i="1"/>
  <c r="B149" i="3" l="1"/>
  <c r="B151" i="3" s="1"/>
  <c r="B339" i="3" s="1"/>
  <c r="B369" i="3" s="1"/>
  <c r="A363" i="3" s="1"/>
  <c r="W149" i="3"/>
  <c r="AD149" i="3"/>
  <c r="P148" i="3"/>
  <c r="P151" i="3" s="1"/>
  <c r="D339" i="3" s="1"/>
  <c r="D369" i="3" s="1"/>
  <c r="H56" i="1" s="1"/>
  <c r="I149" i="3"/>
  <c r="I151" i="3" s="1"/>
  <c r="C339" i="3" s="1"/>
  <c r="C369" i="3" s="1"/>
  <c r="G56" i="1" s="1"/>
  <c r="AR148" i="3"/>
  <c r="AR151" i="3" s="1"/>
  <c r="H339" i="3" s="1"/>
  <c r="H369" i="3" s="1"/>
  <c r="L56" i="1" s="1"/>
  <c r="B83" i="3"/>
  <c r="AD161" i="3" s="1"/>
  <c r="AD162" i="3" s="1"/>
  <c r="F337" i="3" s="1"/>
  <c r="F56" i="1" l="1"/>
  <c r="A362" i="3"/>
  <c r="C115" i="2"/>
  <c r="B139" i="2" s="1"/>
  <c r="B17" i="6" s="1"/>
  <c r="P161" i="3"/>
  <c r="P162" i="3" s="1"/>
  <c r="D337" i="3" s="1"/>
  <c r="D367" i="3" s="1"/>
  <c r="B161" i="3"/>
  <c r="B162" i="3" s="1"/>
  <c r="B337" i="3" s="1"/>
  <c r="AR161" i="3"/>
  <c r="AR162" i="3" s="1"/>
  <c r="H337" i="3" s="1"/>
  <c r="AY161" i="3"/>
  <c r="AY162" i="3" s="1"/>
  <c r="I337" i="3" s="1"/>
  <c r="W161" i="3"/>
  <c r="W162" i="3" s="1"/>
  <c r="E337" i="3" s="1"/>
  <c r="F291" i="3"/>
  <c r="F296" i="3" s="1"/>
  <c r="F367" i="3"/>
  <c r="I161" i="3"/>
  <c r="I162" i="3" s="1"/>
  <c r="C337" i="3" s="1"/>
  <c r="AK161" i="3"/>
  <c r="AK162" i="3" s="1"/>
  <c r="G337" i="3" s="1"/>
  <c r="B24" i="2" l="1"/>
  <c r="B26" i="2" s="1"/>
  <c r="B88" i="2" s="1"/>
  <c r="B45" i="6" s="1"/>
  <c r="D291" i="3"/>
  <c r="D296" i="3" s="1"/>
  <c r="C367" i="3"/>
  <c r="C291" i="3"/>
  <c r="C296" i="3" s="1"/>
  <c r="F382" i="3"/>
  <c r="F386" i="3" s="1"/>
  <c r="F292" i="3" s="1"/>
  <c r="J62" i="1"/>
  <c r="F383" i="3"/>
  <c r="H62" i="1"/>
  <c r="D383" i="3"/>
  <c r="D382" i="3"/>
  <c r="D386" i="3" s="1"/>
  <c r="D292" i="3" s="1"/>
  <c r="E291" i="3"/>
  <c r="E296" i="3" s="1"/>
  <c r="E367" i="3"/>
  <c r="I367" i="3"/>
  <c r="I291" i="3"/>
  <c r="I296" i="3" s="1"/>
  <c r="G367" i="3"/>
  <c r="G291" i="3"/>
  <c r="G296" i="3" s="1"/>
  <c r="H291" i="3"/>
  <c r="H296" i="3" s="1"/>
  <c r="H367" i="3"/>
  <c r="B291" i="3"/>
  <c r="B296" i="3" s="1"/>
  <c r="B367" i="3"/>
  <c r="E67" i="2" l="1"/>
  <c r="B70" i="2" s="1"/>
  <c r="D293" i="3"/>
  <c r="D294" i="3"/>
  <c r="L62" i="1"/>
  <c r="H383" i="3"/>
  <c r="H382" i="3"/>
  <c r="H386" i="3" s="1"/>
  <c r="H292" i="3" s="1"/>
  <c r="G382" i="3"/>
  <c r="G386" i="3" s="1"/>
  <c r="G292" i="3" s="1"/>
  <c r="G383" i="3"/>
  <c r="K62" i="1"/>
  <c r="F294" i="3"/>
  <c r="F293" i="3"/>
  <c r="M62" i="1"/>
  <c r="I382" i="3"/>
  <c r="I386" i="3" s="1"/>
  <c r="I292" i="3" s="1"/>
  <c r="I383" i="3"/>
  <c r="B382" i="3"/>
  <c r="B386" i="3" s="1"/>
  <c r="B292" i="3" s="1"/>
  <c r="B383" i="3"/>
  <c r="F62" i="1"/>
  <c r="I62" i="1"/>
  <c r="E382" i="3"/>
  <c r="E386" i="3" s="1"/>
  <c r="E292" i="3" s="1"/>
  <c r="E383" i="3"/>
  <c r="J296" i="3"/>
  <c r="C113" i="2"/>
  <c r="B158" i="2" s="1"/>
  <c r="B163" i="2" s="1"/>
  <c r="B170" i="2" s="1"/>
  <c r="C383" i="3"/>
  <c r="C382" i="3"/>
  <c r="C386" i="3" s="1"/>
  <c r="C292" i="3" s="1"/>
  <c r="G62" i="1"/>
  <c r="C294" i="3" l="1"/>
  <c r="C293" i="3"/>
  <c r="J383" i="3"/>
  <c r="G294" i="3"/>
  <c r="G293" i="3"/>
  <c r="B294" i="3"/>
  <c r="B293" i="3"/>
  <c r="H294" i="3"/>
  <c r="H293" i="3"/>
  <c r="I293" i="3"/>
  <c r="I294" i="3"/>
  <c r="E294" i="3"/>
  <c r="E293" i="3"/>
  <c r="E31" i="8"/>
  <c r="E30" i="8"/>
  <c r="B72" i="2"/>
  <c r="J293" i="3" l="1"/>
  <c r="J294" i="3"/>
  <c r="F84" i="1"/>
  <c r="B52" i="6"/>
  <c r="B297" i="3" l="1"/>
  <c r="L18" i="1" l="1"/>
  <c r="B305" i="3"/>
  <c r="B307" i="3" s="1"/>
  <c r="B42" i="3"/>
  <c r="B300" i="3"/>
  <c r="BA255" i="3" l="1"/>
  <c r="AM255" i="3"/>
  <c r="K256" i="3"/>
  <c r="D255" i="3"/>
  <c r="BA234" i="3"/>
  <c r="AM235" i="3"/>
  <c r="AT234" i="3"/>
  <c r="Y235" i="3"/>
  <c r="E384" i="3"/>
  <c r="AF233" i="3"/>
  <c r="AF235" i="3"/>
  <c r="AF258" i="3"/>
  <c r="B165" i="2"/>
  <c r="B167" i="2" s="1"/>
  <c r="B171" i="2" s="1"/>
  <c r="H384" i="3"/>
  <c r="R255" i="3"/>
  <c r="R233" i="3"/>
  <c r="BA257" i="3"/>
  <c r="AT258" i="3"/>
  <c r="BA258" i="3"/>
  <c r="BA236" i="3"/>
  <c r="AF257" i="3"/>
  <c r="R257" i="3"/>
  <c r="R234" i="3"/>
  <c r="R236" i="3"/>
  <c r="BA235" i="3"/>
  <c r="B384" i="3"/>
  <c r="AF236" i="3"/>
  <c r="R258" i="3"/>
  <c r="Y257" i="3"/>
  <c r="D256" i="3"/>
  <c r="K234" i="3"/>
  <c r="AF234" i="3"/>
  <c r="AM258" i="3"/>
  <c r="K233" i="3"/>
  <c r="D235" i="3"/>
  <c r="R256" i="3"/>
  <c r="I384" i="3"/>
  <c r="Y236" i="3"/>
  <c r="D236" i="3"/>
  <c r="AF255" i="3"/>
  <c r="K257" i="3"/>
  <c r="K235" i="3"/>
  <c r="R235" i="3"/>
  <c r="AT235" i="3"/>
  <c r="AT236" i="3"/>
  <c r="K258" i="3"/>
  <c r="AM233" i="3"/>
  <c r="D257" i="3"/>
  <c r="K236" i="3"/>
  <c r="AM236" i="3"/>
  <c r="AT255" i="3"/>
  <c r="G384" i="3"/>
  <c r="Y255" i="3"/>
  <c r="AT257" i="3"/>
  <c r="BA233" i="3"/>
  <c r="AT256" i="3"/>
  <c r="AF256" i="3"/>
  <c r="C384" i="3"/>
  <c r="Y234" i="3"/>
  <c r="AM257" i="3"/>
  <c r="D258" i="3"/>
  <c r="Y256" i="3"/>
  <c r="BA256" i="3"/>
  <c r="Y233" i="3"/>
  <c r="AT233" i="3"/>
  <c r="D233" i="3"/>
  <c r="AM256" i="3"/>
  <c r="F384" i="3"/>
  <c r="D384" i="3"/>
  <c r="K255" i="3"/>
  <c r="D234" i="3"/>
  <c r="AM234" i="3"/>
  <c r="N64" i="1"/>
  <c r="Y258" i="3"/>
  <c r="B310" i="3"/>
  <c r="B308" i="3"/>
  <c r="AY238" i="3" l="1"/>
  <c r="W238" i="3"/>
  <c r="AD260" i="3"/>
  <c r="P238" i="3"/>
  <c r="I260" i="3"/>
  <c r="P260" i="3"/>
  <c r="W260" i="3"/>
  <c r="AK238" i="3"/>
  <c r="W188" i="3"/>
  <c r="B311" i="3"/>
  <c r="I188" i="3"/>
  <c r="AD188" i="3"/>
  <c r="B309" i="3"/>
  <c r="AK188" i="3"/>
  <c r="AY188" i="3"/>
  <c r="AR188" i="3"/>
  <c r="P188" i="3"/>
  <c r="B188" i="3"/>
  <c r="B260" i="3"/>
  <c r="W221" i="3"/>
  <c r="P221" i="3"/>
  <c r="AK221" i="3"/>
  <c r="B221" i="3"/>
  <c r="AD221" i="3"/>
  <c r="I221" i="3"/>
  <c r="AR221" i="3"/>
  <c r="AY221" i="3"/>
  <c r="AR260" i="3"/>
  <c r="B238" i="3"/>
  <c r="I238" i="3"/>
  <c r="AD238" i="3"/>
  <c r="AK260" i="3"/>
  <c r="AR238" i="3"/>
  <c r="AY260" i="3"/>
  <c r="L20" i="1" l="1"/>
  <c r="B166" i="2"/>
  <c r="AD192" i="3"/>
  <c r="AD193" i="3" s="1"/>
  <c r="AD194" i="3" s="1"/>
  <c r="AD191" i="3"/>
  <c r="I191" i="3"/>
  <c r="I192" i="3"/>
  <c r="I193" i="3" s="1"/>
  <c r="I194" i="3" s="1"/>
  <c r="B191" i="3"/>
  <c r="B192" i="3"/>
  <c r="B193" i="3" s="1"/>
  <c r="B194" i="3" s="1"/>
  <c r="AR273" i="3"/>
  <c r="AR274" i="3" s="1"/>
  <c r="AD273" i="3"/>
  <c r="AD274" i="3" s="1"/>
  <c r="W273" i="3"/>
  <c r="W274" i="3" s="1"/>
  <c r="P273" i="3"/>
  <c r="P274" i="3" s="1"/>
  <c r="B273" i="3"/>
  <c r="B274" i="3" s="1"/>
  <c r="AY273" i="3"/>
  <c r="AY274" i="3" s="1"/>
  <c r="I273" i="3"/>
  <c r="I274" i="3" s="1"/>
  <c r="AK273" i="3"/>
  <c r="AK274" i="3" s="1"/>
  <c r="AK192" i="3"/>
  <c r="AK193" i="3" s="1"/>
  <c r="AK194" i="3" s="1"/>
  <c r="AK191" i="3"/>
  <c r="P192" i="3"/>
  <c r="P193" i="3" s="1"/>
  <c r="P194" i="3" s="1"/>
  <c r="P191" i="3"/>
  <c r="W191" i="3"/>
  <c r="W192" i="3"/>
  <c r="W193" i="3" s="1"/>
  <c r="W194" i="3" s="1"/>
  <c r="AY191" i="3"/>
  <c r="AY192" i="3"/>
  <c r="AY193" i="3" s="1"/>
  <c r="AY194" i="3" s="1"/>
  <c r="AR191" i="3"/>
  <c r="AR192" i="3"/>
  <c r="AR193" i="3" s="1"/>
  <c r="AR194" i="3" s="1"/>
  <c r="AK275" i="3" l="1"/>
  <c r="AK276" i="3"/>
  <c r="G333" i="3"/>
  <c r="G363" i="3" s="1"/>
  <c r="K58" i="1" s="1"/>
  <c r="I275" i="3"/>
  <c r="C333" i="3"/>
  <c r="C363" i="3" s="1"/>
  <c r="I276" i="3"/>
  <c r="W196" i="3"/>
  <c r="W210" i="3"/>
  <c r="W195" i="3"/>
  <c r="W197" i="3"/>
  <c r="AY275" i="3"/>
  <c r="AY276" i="3"/>
  <c r="I333" i="3"/>
  <c r="I363" i="3" s="1"/>
  <c r="M58" i="1" s="1"/>
  <c r="I210" i="3"/>
  <c r="I197" i="3"/>
  <c r="I196" i="3"/>
  <c r="I195" i="3"/>
  <c r="B333" i="3"/>
  <c r="B363" i="3" s="1"/>
  <c r="F58" i="1" s="1"/>
  <c r="B276" i="3"/>
  <c r="B275" i="3"/>
  <c r="B197" i="3"/>
  <c r="B195" i="3"/>
  <c r="B210" i="3"/>
  <c r="B196" i="3"/>
  <c r="D333" i="3"/>
  <c r="D363" i="3" s="1"/>
  <c r="H58" i="1" s="1"/>
  <c r="P275" i="3"/>
  <c r="P276" i="3"/>
  <c r="P197" i="3"/>
  <c r="P210" i="3"/>
  <c r="P196" i="3"/>
  <c r="P195" i="3"/>
  <c r="E333" i="3"/>
  <c r="E363" i="3" s="1"/>
  <c r="I58" i="1" s="1"/>
  <c r="W276" i="3"/>
  <c r="W275" i="3"/>
  <c r="AD196" i="3"/>
  <c r="AD197" i="3"/>
  <c r="AD210" i="3"/>
  <c r="AD195" i="3"/>
  <c r="AY210" i="3"/>
  <c r="AY195" i="3"/>
  <c r="AY196" i="3"/>
  <c r="AY197" i="3"/>
  <c r="AR197" i="3"/>
  <c r="AR196" i="3"/>
  <c r="AR210" i="3"/>
  <c r="AR195" i="3"/>
  <c r="F333" i="3"/>
  <c r="F363" i="3" s="1"/>
  <c r="J58" i="1" s="1"/>
  <c r="AD275" i="3"/>
  <c r="AD276" i="3"/>
  <c r="D171" i="2"/>
  <c r="D170" i="2"/>
  <c r="D169" i="2"/>
  <c r="AK195" i="3"/>
  <c r="AK197" i="3"/>
  <c r="AK196" i="3"/>
  <c r="AK210" i="3"/>
  <c r="AR275" i="3"/>
  <c r="H333" i="3"/>
  <c r="H363" i="3" s="1"/>
  <c r="L58" i="1" s="1"/>
  <c r="AR276" i="3"/>
  <c r="B172" i="2" l="1"/>
  <c r="AK211" i="3"/>
  <c r="AK213" i="3"/>
  <c r="AK212" i="3"/>
  <c r="F332" i="3"/>
  <c r="F362" i="3" s="1"/>
  <c r="J57" i="1" s="1"/>
  <c r="AD283" i="3"/>
  <c r="F334" i="3" s="1"/>
  <c r="F364" i="3" s="1"/>
  <c r="J59" i="1" s="1"/>
  <c r="AZ199" i="3"/>
  <c r="AY199" i="3"/>
  <c r="W212" i="3"/>
  <c r="W211" i="3"/>
  <c r="W213" i="3"/>
  <c r="AY213" i="3"/>
  <c r="AY212" i="3"/>
  <c r="AY211" i="3"/>
  <c r="Q199" i="3"/>
  <c r="P199" i="3"/>
  <c r="B213" i="3"/>
  <c r="B212" i="3"/>
  <c r="B211" i="3"/>
  <c r="AS199" i="3"/>
  <c r="AR199" i="3"/>
  <c r="AE199" i="3"/>
  <c r="AD199" i="3"/>
  <c r="C199" i="3"/>
  <c r="B199" i="3"/>
  <c r="I211" i="3"/>
  <c r="I213" i="3"/>
  <c r="I212" i="3"/>
  <c r="AL199" i="3"/>
  <c r="AK199" i="3"/>
  <c r="AR211" i="3"/>
  <c r="AR212" i="3"/>
  <c r="AR213" i="3"/>
  <c r="AD212" i="3"/>
  <c r="AD213" i="3"/>
  <c r="AD211" i="3"/>
  <c r="P211" i="3"/>
  <c r="P213" i="3"/>
  <c r="P212" i="3"/>
  <c r="C109" i="2"/>
  <c r="G58" i="1"/>
  <c r="B283" i="3"/>
  <c r="B334" i="3" s="1"/>
  <c r="B364" i="3" s="1"/>
  <c r="F59" i="1" s="1"/>
  <c r="B332" i="3"/>
  <c r="B362" i="3" s="1"/>
  <c r="F57" i="1" s="1"/>
  <c r="C332" i="3"/>
  <c r="C362" i="3" s="1"/>
  <c r="I283" i="3"/>
  <c r="C334" i="3" s="1"/>
  <c r="C364" i="3" s="1"/>
  <c r="AY283" i="3"/>
  <c r="I334" i="3" s="1"/>
  <c r="I364" i="3" s="1"/>
  <c r="M59" i="1" s="1"/>
  <c r="I332" i="3"/>
  <c r="I362" i="3" s="1"/>
  <c r="M57" i="1" s="1"/>
  <c r="W283" i="3"/>
  <c r="E334" i="3" s="1"/>
  <c r="E364" i="3" s="1"/>
  <c r="I59" i="1" s="1"/>
  <c r="E332" i="3"/>
  <c r="E362" i="3" s="1"/>
  <c r="I57" i="1" s="1"/>
  <c r="D332" i="3"/>
  <c r="D362" i="3" s="1"/>
  <c r="H57" i="1" s="1"/>
  <c r="P283" i="3"/>
  <c r="D334" i="3" s="1"/>
  <c r="D364" i="3" s="1"/>
  <c r="H59" i="1" s="1"/>
  <c r="AR283" i="3"/>
  <c r="H334" i="3" s="1"/>
  <c r="H364" i="3" s="1"/>
  <c r="L59" i="1" s="1"/>
  <c r="H332" i="3"/>
  <c r="H362" i="3" s="1"/>
  <c r="L57" i="1" s="1"/>
  <c r="J199" i="3"/>
  <c r="I199" i="3"/>
  <c r="X199" i="3"/>
  <c r="W199" i="3"/>
  <c r="G332" i="3"/>
  <c r="G362" i="3" s="1"/>
  <c r="K57" i="1" s="1"/>
  <c r="AK283" i="3"/>
  <c r="G334" i="3" s="1"/>
  <c r="G364" i="3" s="1"/>
  <c r="K59" i="1" s="1"/>
  <c r="AR200" i="3" l="1"/>
  <c r="H340" i="3" s="1"/>
  <c r="H370" i="3" s="1"/>
  <c r="L64" i="1" s="1"/>
  <c r="W200" i="3"/>
  <c r="E340" i="3" s="1"/>
  <c r="E370" i="3" s="1"/>
  <c r="I64" i="1" s="1"/>
  <c r="B200" i="3"/>
  <c r="B340" i="3" s="1"/>
  <c r="B370" i="3" s="1"/>
  <c r="F64" i="1" s="1"/>
  <c r="AD200" i="3"/>
  <c r="AD201" i="3" s="1"/>
  <c r="I200" i="3"/>
  <c r="I201" i="3" s="1"/>
  <c r="P200" i="3"/>
  <c r="AY200" i="3"/>
  <c r="AK200" i="3"/>
  <c r="AZ215" i="3"/>
  <c r="AY215" i="3"/>
  <c r="G57" i="1"/>
  <c r="C108" i="2"/>
  <c r="B136" i="2" s="1"/>
  <c r="B138" i="2" s="1"/>
  <c r="B16" i="6" s="1"/>
  <c r="AE215" i="3"/>
  <c r="AD215" i="3"/>
  <c r="AS215" i="3"/>
  <c r="AR215" i="3"/>
  <c r="C215" i="3"/>
  <c r="B215" i="3"/>
  <c r="G59" i="1"/>
  <c r="C110" i="2"/>
  <c r="B137" i="2" s="1"/>
  <c r="P215" i="3"/>
  <c r="Q215" i="3"/>
  <c r="J215" i="3"/>
  <c r="I215" i="3"/>
  <c r="W215" i="3"/>
  <c r="X215" i="3"/>
  <c r="AL215" i="3"/>
  <c r="AK215" i="3"/>
  <c r="B201" i="3" l="1"/>
  <c r="W201" i="3"/>
  <c r="W203" i="3" s="1"/>
  <c r="E343" i="3" s="1"/>
  <c r="E374" i="3" s="1"/>
  <c r="I68" i="1" s="1"/>
  <c r="AR201" i="3"/>
  <c r="B216" i="3"/>
  <c r="B217" i="3" s="1"/>
  <c r="B263" i="3" s="1"/>
  <c r="B346" i="3" s="1"/>
  <c r="B376" i="3" s="1"/>
  <c r="F340" i="3"/>
  <c r="F370" i="3" s="1"/>
  <c r="J64" i="1" s="1"/>
  <c r="AR216" i="3"/>
  <c r="AR217" i="3" s="1"/>
  <c r="AR263" i="3" s="1"/>
  <c r="H346" i="3" s="1"/>
  <c r="H376" i="3" s="1"/>
  <c r="C340" i="3"/>
  <c r="C370" i="3" s="1"/>
  <c r="G64" i="1" s="1"/>
  <c r="I216" i="3"/>
  <c r="I217" i="3" s="1"/>
  <c r="I264" i="3" s="1"/>
  <c r="C347" i="3" s="1"/>
  <c r="C377" i="3" s="1"/>
  <c r="W216" i="3"/>
  <c r="W217" i="3" s="1"/>
  <c r="W263" i="3" s="1"/>
  <c r="E346" i="3" s="1"/>
  <c r="E376" i="3" s="1"/>
  <c r="AY216" i="3"/>
  <c r="AY217" i="3" s="1"/>
  <c r="AY263" i="3" s="1"/>
  <c r="I346" i="3" s="1"/>
  <c r="I376" i="3" s="1"/>
  <c r="AK216" i="3"/>
  <c r="AK217" i="3" s="1"/>
  <c r="AK264" i="3" s="1"/>
  <c r="G347" i="3" s="1"/>
  <c r="G377" i="3" s="1"/>
  <c r="F341" i="3"/>
  <c r="F371" i="3" s="1"/>
  <c r="J65" i="1" s="1"/>
  <c r="AD202" i="3"/>
  <c r="F342" i="3" s="1"/>
  <c r="F372" i="3" s="1"/>
  <c r="J66" i="1" s="1"/>
  <c r="AD204" i="3"/>
  <c r="AD205" i="3" s="1"/>
  <c r="F344" i="3" s="1"/>
  <c r="F373" i="3" s="1"/>
  <c r="J67" i="1" s="1"/>
  <c r="AD203" i="3"/>
  <c r="F343" i="3" s="1"/>
  <c r="F374" i="3" s="1"/>
  <c r="J68" i="1" s="1"/>
  <c r="B203" i="3"/>
  <c r="B343" i="3" s="1"/>
  <c r="B374" i="3" s="1"/>
  <c r="F68" i="1" s="1"/>
  <c r="B341" i="3"/>
  <c r="B371" i="3" s="1"/>
  <c r="F65" i="1" s="1"/>
  <c r="B204" i="3"/>
  <c r="B205" i="3" s="1"/>
  <c r="B344" i="3" s="1"/>
  <c r="B373" i="3" s="1"/>
  <c r="F67" i="1" s="1"/>
  <c r="B202" i="3"/>
  <c r="B342" i="3" s="1"/>
  <c r="B372" i="3" s="1"/>
  <c r="F66" i="1" s="1"/>
  <c r="AD216" i="3"/>
  <c r="AD217" i="3" s="1"/>
  <c r="I204" i="3"/>
  <c r="I205" i="3" s="1"/>
  <c r="C344" i="3" s="1"/>
  <c r="C373" i="3" s="1"/>
  <c r="I202" i="3"/>
  <c r="C342" i="3" s="1"/>
  <c r="C372" i="3" s="1"/>
  <c r="C341" i="3"/>
  <c r="C371" i="3" s="1"/>
  <c r="I203" i="3"/>
  <c r="C343" i="3" s="1"/>
  <c r="C374" i="3" s="1"/>
  <c r="AK201" i="3"/>
  <c r="G340" i="3"/>
  <c r="G370" i="3" s="1"/>
  <c r="K64" i="1" s="1"/>
  <c r="P216" i="3"/>
  <c r="P217" i="3" s="1"/>
  <c r="I340" i="3"/>
  <c r="I370" i="3" s="1"/>
  <c r="M64" i="1" s="1"/>
  <c r="AY201" i="3"/>
  <c r="AR202" i="3"/>
  <c r="H342" i="3" s="1"/>
  <c r="H372" i="3" s="1"/>
  <c r="L66" i="1" s="1"/>
  <c r="H341" i="3"/>
  <c r="H371" i="3" s="1"/>
  <c r="L65" i="1" s="1"/>
  <c r="AR204" i="3"/>
  <c r="AR205" i="3" s="1"/>
  <c r="H344" i="3" s="1"/>
  <c r="H373" i="3" s="1"/>
  <c r="L67" i="1" s="1"/>
  <c r="AR203" i="3"/>
  <c r="H343" i="3" s="1"/>
  <c r="H374" i="3" s="1"/>
  <c r="L68" i="1" s="1"/>
  <c r="P201" i="3"/>
  <c r="D340" i="3"/>
  <c r="D370" i="3" s="1"/>
  <c r="H64" i="1" s="1"/>
  <c r="E341" i="3" l="1"/>
  <c r="E371" i="3" s="1"/>
  <c r="I65" i="1" s="1"/>
  <c r="W204" i="3"/>
  <c r="W205" i="3" s="1"/>
  <c r="E344" i="3" s="1"/>
  <c r="E373" i="3" s="1"/>
  <c r="I67" i="1" s="1"/>
  <c r="W202" i="3"/>
  <c r="E342" i="3" s="1"/>
  <c r="E372" i="3" s="1"/>
  <c r="I66" i="1" s="1"/>
  <c r="AR264" i="3"/>
  <c r="H347" i="3" s="1"/>
  <c r="H377" i="3" s="1"/>
  <c r="B264" i="3"/>
  <c r="B347" i="3" s="1"/>
  <c r="B377" i="3" s="1"/>
  <c r="I263" i="3"/>
  <c r="C346" i="3" s="1"/>
  <c r="C376" i="3" s="1"/>
  <c r="C116" i="2"/>
  <c r="B148" i="2" s="1"/>
  <c r="B27" i="6" s="1"/>
  <c r="AK263" i="3"/>
  <c r="G346" i="3" s="1"/>
  <c r="G376" i="3" s="1"/>
  <c r="AY264" i="3"/>
  <c r="I347" i="3" s="1"/>
  <c r="I377" i="3" s="1"/>
  <c r="W264" i="3"/>
  <c r="E347" i="3" s="1"/>
  <c r="E377" i="3" s="1"/>
  <c r="G67" i="1"/>
  <c r="C119" i="2"/>
  <c r="B152" i="2" s="1"/>
  <c r="B31" i="6" s="1"/>
  <c r="G68" i="1"/>
  <c r="C120" i="2"/>
  <c r="B151" i="2" s="1"/>
  <c r="B30" i="6" s="1"/>
  <c r="P264" i="3"/>
  <c r="D347" i="3" s="1"/>
  <c r="D377" i="3" s="1"/>
  <c r="C123" i="2" s="1"/>
  <c r="D123" i="2" s="1"/>
  <c r="P263" i="3"/>
  <c r="D346" i="3" s="1"/>
  <c r="D376" i="3" s="1"/>
  <c r="AK204" i="3"/>
  <c r="AK205" i="3" s="1"/>
  <c r="G344" i="3" s="1"/>
  <c r="G373" i="3" s="1"/>
  <c r="K67" i="1" s="1"/>
  <c r="AK202" i="3"/>
  <c r="G342" i="3" s="1"/>
  <c r="G372" i="3" s="1"/>
  <c r="K66" i="1" s="1"/>
  <c r="AK203" i="3"/>
  <c r="G343" i="3" s="1"/>
  <c r="G374" i="3" s="1"/>
  <c r="K68" i="1" s="1"/>
  <c r="G341" i="3"/>
  <c r="G371" i="3" s="1"/>
  <c r="K65" i="1" s="1"/>
  <c r="AY204" i="3"/>
  <c r="AY205" i="3" s="1"/>
  <c r="I344" i="3" s="1"/>
  <c r="I373" i="3" s="1"/>
  <c r="M67" i="1" s="1"/>
  <c r="AY202" i="3"/>
  <c r="I342" i="3" s="1"/>
  <c r="I372" i="3" s="1"/>
  <c r="M66" i="1" s="1"/>
  <c r="AY203" i="3"/>
  <c r="I343" i="3" s="1"/>
  <c r="I374" i="3" s="1"/>
  <c r="M68" i="1" s="1"/>
  <c r="I341" i="3"/>
  <c r="I371" i="3" s="1"/>
  <c r="M65" i="1" s="1"/>
  <c r="G65" i="1"/>
  <c r="C117" i="2"/>
  <c r="B149" i="2" s="1"/>
  <c r="B28" i="6" s="1"/>
  <c r="P204" i="3"/>
  <c r="P205" i="3" s="1"/>
  <c r="D344" i="3" s="1"/>
  <c r="D373" i="3" s="1"/>
  <c r="H67" i="1" s="1"/>
  <c r="P202" i="3"/>
  <c r="D342" i="3" s="1"/>
  <c r="D372" i="3" s="1"/>
  <c r="H66" i="1" s="1"/>
  <c r="D341" i="3"/>
  <c r="D371" i="3" s="1"/>
  <c r="H65" i="1" s="1"/>
  <c r="P203" i="3"/>
  <c r="D343" i="3" s="1"/>
  <c r="D374" i="3" s="1"/>
  <c r="H68" i="1" s="1"/>
  <c r="G66" i="1"/>
  <c r="C118" i="2"/>
  <c r="B150" i="2" s="1"/>
  <c r="B29" i="6" s="1"/>
  <c r="AD264" i="3"/>
  <c r="F347" i="3" s="1"/>
  <c r="F377" i="3" s="1"/>
  <c r="AD263" i="3"/>
  <c r="F346" i="3" s="1"/>
  <c r="F376" i="3" s="1"/>
  <c r="C122" i="2" l="1"/>
  <c r="D122" i="2" s="1"/>
  <c r="B147" i="2" s="1"/>
  <c r="B26" i="6" s="1"/>
</calcChain>
</file>

<file path=xl/sharedStrings.xml><?xml version="1.0" encoding="utf-8"?>
<sst xmlns="http://schemas.openxmlformats.org/spreadsheetml/2006/main" count="1777" uniqueCount="608">
  <si>
    <r>
      <t xml:space="preserve">SMARTEMP </t>
    </r>
    <r>
      <rPr>
        <sz val="14"/>
        <color rgb="FFFF9900"/>
        <rFont val="Calibri"/>
        <family val="2"/>
        <scheme val="minor"/>
      </rPr>
      <t>PRODUCT SELECTION CALCULATOR</t>
    </r>
  </si>
  <si>
    <t>Linear Multistream Ceiling Diffuser  [LMC-AD]</t>
  </si>
  <si>
    <t>Project:</t>
  </si>
  <si>
    <t>&lt;Project Name&gt;</t>
  </si>
  <si>
    <t>Inputs</t>
  </si>
  <si>
    <t>Detailed Selection</t>
  </si>
  <si>
    <t xml:space="preserve"> Maximum Airflow Rate</t>
  </si>
  <si>
    <t>[L/s/m]</t>
  </si>
  <si>
    <r>
      <t>[m</t>
    </r>
    <r>
      <rPr>
        <vertAlign val="superscript"/>
        <sz val="11"/>
        <color theme="1" tint="0.34998626667073579"/>
        <rFont val="Calibri"/>
        <family val="2"/>
        <scheme val="minor"/>
      </rPr>
      <t>3</t>
    </r>
    <r>
      <rPr>
        <sz val="11"/>
        <color theme="1" tint="0.34998626667073579"/>
        <rFont val="Calibri"/>
        <family val="2"/>
        <scheme val="minor"/>
      </rPr>
      <t>/h/m]</t>
    </r>
  </si>
  <si>
    <t>Air Pattern</t>
  </si>
  <si>
    <t>2-Way</t>
  </si>
  <si>
    <t>1-Way</t>
  </si>
  <si>
    <t>VAV (turndown to)</t>
  </si>
  <si>
    <r>
      <t xml:space="preserve">% </t>
    </r>
    <r>
      <rPr>
        <sz val="11"/>
        <color theme="0" tint="-0.34998626667073579"/>
        <rFont val="Calibri"/>
        <family val="2"/>
        <scheme val="minor"/>
      </rPr>
      <t xml:space="preserve">      10% to 100% (use 100% for CAV)</t>
    </r>
  </si>
  <si>
    <r>
      <t xml:space="preserve">ADPI </t>
    </r>
    <r>
      <rPr>
        <b/>
        <sz val="11"/>
        <color theme="1" tint="0.499984740745262"/>
        <rFont val="Calibri"/>
        <family val="2"/>
      </rPr>
      <t>≥</t>
    </r>
  </si>
  <si>
    <r>
      <t xml:space="preserve">default </t>
    </r>
    <r>
      <rPr>
        <sz val="11"/>
        <color theme="0" tint="-0.499984740745262"/>
        <rFont val="Calibri"/>
        <family val="2"/>
      </rPr>
      <t>≥ 90%</t>
    </r>
  </si>
  <si>
    <t>Specific Airflow Rate (heating)</t>
  </si>
  <si>
    <r>
      <t>L/s/m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</si>
  <si>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2 to 10 L/s/m</t>
    </r>
    <r>
      <rPr>
        <vertAlign val="superscript"/>
        <sz val="11"/>
        <color theme="0"/>
        <rFont val="Calibri"/>
        <family val="2"/>
        <scheme val="minor"/>
      </rPr>
      <t>2</t>
    </r>
    <r>
      <rPr>
        <sz val="11"/>
        <color theme="0"/>
        <rFont val="Calibri"/>
        <family val="2"/>
        <scheme val="minor"/>
      </rPr>
      <t xml:space="preserve"> (default 5 L/s/m</t>
    </r>
    <r>
      <rPr>
        <vertAlign val="superscript"/>
        <sz val="11"/>
        <color theme="0"/>
        <rFont val="Calibri"/>
        <family val="2"/>
        <scheme val="minor"/>
      </rPr>
      <t>2</t>
    </r>
    <r>
      <rPr>
        <sz val="11"/>
        <color theme="0"/>
        <rFont val="Calibri"/>
        <family val="2"/>
        <scheme val="minor"/>
      </rPr>
      <t>)</t>
    </r>
  </si>
  <si>
    <t>Maximum Permissible Static Pressure</t>
  </si>
  <si>
    <r>
      <t xml:space="preserve">Pa      </t>
    </r>
    <r>
      <rPr>
        <sz val="11"/>
        <color theme="0" tint="-0.34998626667073579"/>
        <rFont val="Calibri"/>
        <family val="2"/>
        <scheme val="minor"/>
      </rPr>
      <t>default 30 Pa</t>
    </r>
  </si>
  <si>
    <t>Diffuser Location</t>
  </si>
  <si>
    <t>Closed Ceiling</t>
  </si>
  <si>
    <t>Freely Suspended</t>
  </si>
  <si>
    <t>ΔT (cooling)</t>
  </si>
  <si>
    <r>
      <t xml:space="preserve">K        </t>
    </r>
    <r>
      <rPr>
        <sz val="11"/>
        <color theme="0" tint="-0.34998626667073579"/>
        <rFont val="Calibri"/>
        <family val="2"/>
        <scheme val="minor"/>
      </rPr>
      <t>0 K to -16 K (default -12 K)</t>
    </r>
  </si>
  <si>
    <t>Draught Rating &amp; Heating</t>
  </si>
  <si>
    <t>Diffuser Height</t>
  </si>
  <si>
    <t>Diffuser Coverage = Average (Max, Min) 'C' Distance</t>
  </si>
  <si>
    <t xml:space="preserve">see Distance section in  Results </t>
  </si>
  <si>
    <t>OR</t>
  </si>
  <si>
    <t>m</t>
  </si>
  <si>
    <t>Active Length Ratio (see diagram)</t>
  </si>
  <si>
    <r>
      <t>*</t>
    </r>
    <r>
      <rPr>
        <sz val="11"/>
        <color theme="0" tint="-0.34998626667073579"/>
        <rFont val="Calibri"/>
        <family val="2"/>
        <scheme val="minor"/>
      </rPr>
      <t xml:space="preserve">          0.1 to 1.0 (default 0.5)</t>
    </r>
  </si>
  <si>
    <t>Manual Diffuser Coverage</t>
  </si>
  <si>
    <t>see 'C' in diagram below</t>
  </si>
  <si>
    <t>Specific Airflow Rate</t>
  </si>
  <si>
    <t>Room Temperature (draught rating)</t>
  </si>
  <si>
    <r>
      <t>°</t>
    </r>
    <r>
      <rPr>
        <sz val="8.8000000000000007"/>
        <color theme="1" tint="0.34998626667073579"/>
        <rFont val="Calibri"/>
        <family val="2"/>
      </rPr>
      <t>C</t>
    </r>
  </si>
  <si>
    <t>20 °C to 26 °C (default 23 °C)</t>
  </si>
  <si>
    <t>Low Level Return (heating)</t>
  </si>
  <si>
    <t>%</t>
  </si>
  <si>
    <t>0% to 100% (default 0%)</t>
  </si>
  <si>
    <t>Thermal Comfort Guide</t>
  </si>
  <si>
    <r>
      <t xml:space="preserve">ADPI </t>
    </r>
    <r>
      <rPr>
        <sz val="9"/>
        <color theme="1" tint="0.499984740745262"/>
        <rFont val="Calibri"/>
        <family val="2"/>
      </rPr>
      <t xml:space="preserve">≥ </t>
    </r>
    <r>
      <rPr>
        <b/>
        <sz val="9"/>
        <color theme="1" tint="0.499984740745262"/>
        <rFont val="Calibri"/>
        <family val="2"/>
      </rPr>
      <t>95%</t>
    </r>
    <r>
      <rPr>
        <sz val="9"/>
        <color theme="1" tint="0.499984740745262"/>
        <rFont val="Calibri"/>
        <family val="2"/>
      </rPr>
      <t xml:space="preserve">; ṽ ≤ </t>
    </r>
    <r>
      <rPr>
        <b/>
        <sz val="9"/>
        <color theme="1" tint="0.499984740745262"/>
        <rFont val="Calibri"/>
        <family val="2"/>
      </rPr>
      <t>0.20</t>
    </r>
    <r>
      <rPr>
        <sz val="9"/>
        <color theme="1" tint="0.499984740745262"/>
        <rFont val="Calibri"/>
        <family val="2"/>
      </rPr>
      <t xml:space="preserve"> m/s:</t>
    </r>
  </si>
  <si>
    <t>Premium comfort, sedentary activity, such as in auditoria.</t>
  </si>
  <si>
    <t>Spigot Size</t>
  </si>
  <si>
    <t>ASNZ Sizes (DN150; DN200; DN250; DN300; DN350)</t>
  </si>
  <si>
    <r>
      <t xml:space="preserve">ADPI </t>
    </r>
    <r>
      <rPr>
        <sz val="9"/>
        <color theme="1" tint="0.499984740745262"/>
        <rFont val="Calibri"/>
        <family val="2"/>
      </rPr>
      <t xml:space="preserve">≥ </t>
    </r>
    <r>
      <rPr>
        <b/>
        <sz val="9"/>
        <color theme="1" tint="0.499984740745262"/>
        <rFont val="Calibri"/>
        <family val="2"/>
      </rPr>
      <t>90%</t>
    </r>
    <r>
      <rPr>
        <sz val="9"/>
        <color theme="1" tint="0.499984740745262"/>
        <rFont val="Calibri"/>
        <family val="2"/>
      </rPr>
      <t xml:space="preserve">; ṽ ≤ </t>
    </r>
    <r>
      <rPr>
        <b/>
        <sz val="9"/>
        <color theme="1" tint="0.499984740745262"/>
        <rFont val="Calibri"/>
        <family val="2"/>
      </rPr>
      <t>0.25</t>
    </r>
    <r>
      <rPr>
        <sz val="9"/>
        <color theme="1" tint="0.499984740745262"/>
        <rFont val="Calibri"/>
        <family val="2"/>
      </rPr>
      <t xml:space="preserve"> m/s:</t>
    </r>
  </si>
  <si>
    <t>High comfort near-sedentary activity, such as in board rooms, high end offices and libraries.</t>
  </si>
  <si>
    <t>DIN Sizes (DN160; DN200; DN250; DN315; DN355)</t>
  </si>
  <si>
    <r>
      <t xml:space="preserve">ADPI </t>
    </r>
    <r>
      <rPr>
        <sz val="9"/>
        <color theme="1" tint="0.499984740745262"/>
        <rFont val="Calibri"/>
        <family val="2"/>
      </rPr>
      <t xml:space="preserve">≥ </t>
    </r>
    <r>
      <rPr>
        <b/>
        <sz val="9"/>
        <color theme="1" tint="0.499984740745262"/>
        <rFont val="Calibri"/>
        <family val="2"/>
      </rPr>
      <t>80%</t>
    </r>
    <r>
      <rPr>
        <sz val="9"/>
        <color theme="1" tint="0.499984740745262"/>
        <rFont val="Calibri"/>
        <family val="2"/>
      </rPr>
      <t xml:space="preserve">; ṽ ≤ </t>
    </r>
    <r>
      <rPr>
        <b/>
        <sz val="9"/>
        <color theme="1" tint="0.499984740745262"/>
        <rFont val="Calibri"/>
        <family val="2"/>
      </rPr>
      <t>0.29</t>
    </r>
    <r>
      <rPr>
        <sz val="9"/>
        <color theme="1" tint="0.499984740745262"/>
        <rFont val="Calibri"/>
        <family val="2"/>
      </rPr>
      <t xml:space="preserve"> m/s:</t>
    </r>
  </si>
  <si>
    <t>Good comfort near sedentary activity, such as open-plan offices and meeting rooms.</t>
  </si>
  <si>
    <r>
      <t xml:space="preserve">ADPI </t>
    </r>
    <r>
      <rPr>
        <sz val="9"/>
        <color theme="1" tint="0.499984740745262"/>
        <rFont val="Calibri"/>
        <family val="2"/>
      </rPr>
      <t xml:space="preserve">≥ </t>
    </r>
    <r>
      <rPr>
        <b/>
        <sz val="9"/>
        <color theme="1" tint="0.499984740745262"/>
        <rFont val="Calibri"/>
        <family val="2"/>
      </rPr>
      <t>70%</t>
    </r>
    <r>
      <rPr>
        <sz val="9"/>
        <color theme="1" tint="0.499984740745262"/>
        <rFont val="Calibri"/>
        <family val="2"/>
      </rPr>
      <t xml:space="preserve">; ṽ ≤ </t>
    </r>
    <r>
      <rPr>
        <b/>
        <sz val="9"/>
        <color theme="1" tint="0.499984740745262"/>
        <rFont val="Calibri"/>
        <family val="2"/>
      </rPr>
      <t>0.33</t>
    </r>
    <r>
      <rPr>
        <sz val="9"/>
        <color theme="1" tint="0.499984740745262"/>
        <rFont val="Calibri"/>
        <family val="2"/>
      </rPr>
      <t xml:space="preserve"> m/s:</t>
    </r>
  </si>
  <si>
    <t>Standard comfort medium activity, such as in transient spaces, retail and lobbies.</t>
  </si>
  <si>
    <t>Results</t>
  </si>
  <si>
    <t>SMARTEMP LMC-AD</t>
  </si>
  <si>
    <t>1 Slot</t>
  </si>
  <si>
    <t>2 Slots</t>
  </si>
  <si>
    <t>3 Slots</t>
  </si>
  <si>
    <t>4 Slots</t>
  </si>
  <si>
    <t>5 Slots</t>
  </si>
  <si>
    <t>6 Slots</t>
  </si>
  <si>
    <t>7 Slots</t>
  </si>
  <si>
    <t>8 Slots</t>
  </si>
  <si>
    <t xml:space="preserve">Key: </t>
  </si>
  <si>
    <t>Suitable</t>
  </si>
  <si>
    <t>Not Suitable</t>
  </si>
  <si>
    <t>Warning</t>
  </si>
  <si>
    <t>Dimensions *</t>
  </si>
  <si>
    <t>Width Flangeless Face</t>
  </si>
  <si>
    <t>[mm]</t>
  </si>
  <si>
    <t>Width Flanged Face</t>
  </si>
  <si>
    <t>Width of Diffuser Throat</t>
  </si>
  <si>
    <t>Airflow</t>
  </si>
  <si>
    <t>Selected Airflow Rate</t>
  </si>
  <si>
    <t>Airflow @ Max Static Pressure</t>
  </si>
  <si>
    <t>Min Selected Airflow</t>
  </si>
  <si>
    <t>Min % Turndown to</t>
  </si>
  <si>
    <t>Min Permissible % Turndown to</t>
  </si>
  <si>
    <t>Pressure</t>
  </si>
  <si>
    <t>Static Pressure @ 100% Airflow</t>
  </si>
  <si>
    <t>[Pa]</t>
  </si>
  <si>
    <t>Total Pressure @ 100% Airflow</t>
  </si>
  <si>
    <t>Max Selected Total Pressure</t>
  </si>
  <si>
    <t>Acoustic</t>
  </si>
  <si>
    <t>Sound Power Level</t>
  </si>
  <si>
    <t>[dB(A)/m]</t>
  </si>
  <si>
    <t>Sound Pressure Level ^</t>
  </si>
  <si>
    <t>[NC/m]</t>
  </si>
  <si>
    <t>[K]</t>
  </si>
  <si>
    <t>Recommended Distances 
&amp; 
Layout **</t>
  </si>
  <si>
    <r>
      <t>Max Coverage Centre Zones (C</t>
    </r>
    <r>
      <rPr>
        <b/>
        <vertAlign val="subscript"/>
        <sz val="12"/>
        <color theme="1"/>
        <rFont val="Calibri"/>
        <family val="2"/>
        <scheme val="minor"/>
      </rPr>
      <t>max</t>
    </r>
    <r>
      <rPr>
        <b/>
        <sz val="12"/>
        <color theme="1"/>
        <rFont val="Calibri"/>
        <family val="2"/>
        <scheme val="minor"/>
      </rPr>
      <t>)</t>
    </r>
  </si>
  <si>
    <t>[m]</t>
  </si>
  <si>
    <r>
      <t>Max Coverage Perimeter Zones (C</t>
    </r>
    <r>
      <rPr>
        <b/>
        <vertAlign val="subscript"/>
        <sz val="12"/>
        <color theme="1"/>
        <rFont val="Calibri"/>
        <family val="2"/>
        <scheme val="minor"/>
      </rPr>
      <t>max</t>
    </r>
    <r>
      <rPr>
        <b/>
        <sz val="12"/>
        <color theme="1"/>
        <rFont val="Calibri"/>
        <family val="2"/>
        <scheme val="minor"/>
      </rPr>
      <t>)</t>
    </r>
  </si>
  <si>
    <r>
      <t>Min Coverage (C</t>
    </r>
    <r>
      <rPr>
        <b/>
        <vertAlign val="subscript"/>
        <sz val="12"/>
        <color theme="1"/>
        <rFont val="Calibri"/>
        <family val="2"/>
        <scheme val="minor"/>
      </rPr>
      <t>min</t>
    </r>
    <r>
      <rPr>
        <b/>
        <sz val="12"/>
        <color theme="1"/>
        <rFont val="Calibri"/>
        <family val="2"/>
        <scheme val="minor"/>
      </rPr>
      <t>)</t>
    </r>
  </si>
  <si>
    <t>Min Diffuser Height</t>
  </si>
  <si>
    <t>**</t>
  </si>
  <si>
    <t>*</t>
  </si>
  <si>
    <t>Refer to 'Dimensions LMC-AD' worksheet for details</t>
  </si>
  <si>
    <t>Comfort</t>
  </si>
  <si>
    <t>Mean Room Air Velocity [m/s]</t>
  </si>
  <si>
    <t>[m/s]</t>
  </si>
  <si>
    <t>Refer to 'Notes LMC-AD' worksheet for definitions and details</t>
  </si>
  <si>
    <t>Mean Draught Rating (DR)</t>
  </si>
  <si>
    <t>^</t>
  </si>
  <si>
    <t>Based on 10 dB room absorption</t>
  </si>
  <si>
    <t>Mean PPD</t>
  </si>
  <si>
    <t>|PMV|</t>
  </si>
  <si>
    <t>Satisfies PPD Category (ISO7730)</t>
  </si>
  <si>
    <t>Nominal Spigot Size /m</t>
  </si>
  <si>
    <t>Product Selection &amp; Code Generator</t>
  </si>
  <si>
    <t>Select model to create product code</t>
  </si>
  <si>
    <t>1 slot</t>
  </si>
  <si>
    <t>2 slots</t>
  </si>
  <si>
    <t>3 slots</t>
  </si>
  <si>
    <t>4 slots</t>
  </si>
  <si>
    <t>5 slots</t>
  </si>
  <si>
    <t>6 slots</t>
  </si>
  <si>
    <t>7 slots</t>
  </si>
  <si>
    <t>8 slots</t>
  </si>
  <si>
    <t>Nominal Length</t>
  </si>
  <si>
    <t>1195 mm* (face)</t>
  </si>
  <si>
    <t>1200 mm (neck)</t>
  </si>
  <si>
    <t>custom^ (face) ≤ 1500 mm</t>
  </si>
  <si>
    <t>Air Pattern Setting</t>
  </si>
  <si>
    <t xml:space="preserve">- see Cell K8 </t>
  </si>
  <si>
    <t>Air Direction Setting</t>
  </si>
  <si>
    <t>recommended</t>
  </si>
  <si>
    <t>custom</t>
  </si>
  <si>
    <t>Side Profile</t>
  </si>
  <si>
    <t>with side flanges*</t>
  </si>
  <si>
    <t>flangeless</t>
  </si>
  <si>
    <t>Diffuser Ends</t>
  </si>
  <si>
    <t>2 end flanges *</t>
  </si>
  <si>
    <t>1 end flange &amp; 1 pair joining strips</t>
  </si>
  <si>
    <t>1 pair joining strips</t>
  </si>
  <si>
    <t>no end flanges</t>
  </si>
  <si>
    <t>Fixing</t>
  </si>
  <si>
    <t>Profile Colour</t>
  </si>
  <si>
    <t>RAL9003* (signal white)</t>
  </si>
  <si>
    <t>RAL9005 (jet black)</t>
  </si>
  <si>
    <t>other ^</t>
  </si>
  <si>
    <t>^ contact Smartair Diffusion for custom lengths and colours</t>
  </si>
  <si>
    <t>Barrel Colour</t>
  </si>
  <si>
    <t>black*</t>
  </si>
  <si>
    <t>white</t>
  </si>
  <si>
    <t>* indicates standard/default option</t>
  </si>
  <si>
    <t>Connection Box</t>
  </si>
  <si>
    <t>No connection box *</t>
  </si>
  <si>
    <t>uninsulated connection box</t>
  </si>
  <si>
    <t>internally insulated connection box</t>
  </si>
  <si>
    <t>clipped to diffuser throat</t>
  </si>
  <si>
    <t>screwed to diffuser throat</t>
  </si>
  <si>
    <t>options only available with connection box</t>
  </si>
  <si>
    <t>Product Code</t>
  </si>
  <si>
    <t>more detailed options available in the LMC-AD product brochure</t>
  </si>
  <si>
    <t>go to 'LMC-AD Selection Print Summary' for a printable summary of the selection</t>
  </si>
  <si>
    <t>click here to see product on smartair.asia</t>
  </si>
  <si>
    <t>Units</t>
  </si>
  <si>
    <t>Units Multiplier</t>
  </si>
  <si>
    <t>Input Values</t>
  </si>
  <si>
    <t>Airflow Rate</t>
  </si>
  <si>
    <t>VAV</t>
  </si>
  <si>
    <t>Max Total Pressure</t>
  </si>
  <si>
    <t>dT(cooling)</t>
  </si>
  <si>
    <t>Room Height</t>
  </si>
  <si>
    <t>Length Ratio</t>
  </si>
  <si>
    <t>Specific airflow</t>
  </si>
  <si>
    <t>ADPI</t>
  </si>
  <si>
    <t>LRA</t>
  </si>
  <si>
    <t>Ceiling</t>
  </si>
  <si>
    <t>Room Temperature</t>
  </si>
  <si>
    <t>C</t>
  </si>
  <si>
    <t>Manual C distance</t>
  </si>
  <si>
    <t>distance input type</t>
  </si>
  <si>
    <t>Input Validation</t>
  </si>
  <si>
    <t>Airflow Rate (TD)</t>
  </si>
  <si>
    <t>Local Velocity</t>
  </si>
  <si>
    <t>Ceiling Type</t>
  </si>
  <si>
    <t>Ceiling Type Heating</t>
  </si>
  <si>
    <t>Ceiling Type Hmin</t>
  </si>
  <si>
    <t>Draft Rating</t>
  </si>
  <si>
    <t>Global Distance</t>
  </si>
  <si>
    <t>Spigot Selection</t>
  </si>
  <si>
    <t>AU/NZ</t>
  </si>
  <si>
    <t>DIN</t>
  </si>
  <si>
    <t>v</t>
  </si>
  <si>
    <t>Spigot size</t>
  </si>
  <si>
    <t>mm</t>
  </si>
  <si>
    <t>Spigot Area</t>
  </si>
  <si>
    <t>m2</t>
  </si>
  <si>
    <t>Spigot Velocity</t>
  </si>
  <si>
    <t>m/s</t>
  </si>
  <si>
    <t>Cmin Ceiling Factor</t>
  </si>
  <si>
    <t>Cmax Ceiling Factor</t>
  </si>
  <si>
    <t>V_turndown</t>
  </si>
  <si>
    <t>v_td=fr*vav</t>
  </si>
  <si>
    <t>Diffuser Airflow for Neck Length</t>
  </si>
  <si>
    <t>Hmin</t>
  </si>
  <si>
    <t>Hmin 2WAY</t>
  </si>
  <si>
    <t>Hmin 1WAY</t>
  </si>
  <si>
    <t>Hmin Select</t>
  </si>
  <si>
    <t>Cmin</t>
  </si>
  <si>
    <t>2-WAY</t>
  </si>
  <si>
    <t>1-WAY</t>
  </si>
  <si>
    <t>Q' to v'</t>
  </si>
  <si>
    <t>Target Q''</t>
  </si>
  <si>
    <t>Selection</t>
  </si>
  <si>
    <t>H</t>
  </si>
  <si>
    <t>ax</t>
  </si>
  <si>
    <t>^b</t>
  </si>
  <si>
    <t>Q''</t>
  </si>
  <si>
    <t>Ax</t>
  </si>
  <si>
    <t>W/m2</t>
  </si>
  <si>
    <t>Q" allowed</t>
  </si>
  <si>
    <t>v' for Vmax</t>
  </si>
  <si>
    <t>L/s/m2</t>
  </si>
  <si>
    <t>v' for Vmin</t>
  </si>
  <si>
    <t>v'' + correction factor</t>
  </si>
  <si>
    <t>Cmax</t>
  </si>
  <si>
    <t>for Vmax</t>
  </si>
  <si>
    <t>for Vmin</t>
  </si>
  <si>
    <t>Hfactor @ Vmax</t>
  </si>
  <si>
    <t>Hfactor @ Vmin</t>
  </si>
  <si>
    <t>Q</t>
  </si>
  <si>
    <t>SWL</t>
  </si>
  <si>
    <t>P</t>
  </si>
  <si>
    <t>A</t>
  </si>
  <si>
    <t>B</t>
  </si>
  <si>
    <t>at Vmax</t>
  </si>
  <si>
    <t>at adpi</t>
  </si>
  <si>
    <t>at Vmin</t>
  </si>
  <si>
    <t>Cmax-Centre Zone</t>
  </si>
  <si>
    <t>Heating</t>
  </si>
  <si>
    <t>Height</t>
  </si>
  <si>
    <t>Slope</t>
  </si>
  <si>
    <t>1Slot</t>
  </si>
  <si>
    <t>2Slot</t>
  </si>
  <si>
    <t>3Slot</t>
  </si>
  <si>
    <t>4Slot</t>
  </si>
  <si>
    <t>5Slot</t>
  </si>
  <si>
    <t>6Slot</t>
  </si>
  <si>
    <t>7Slot</t>
  </si>
  <si>
    <t>8Slot</t>
  </si>
  <si>
    <t>Slots</t>
  </si>
  <si>
    <t>data.Flowrate</t>
  </si>
  <si>
    <t>L/s/m</t>
  </si>
  <si>
    <t>data.Pressure</t>
  </si>
  <si>
    <t>Pa</t>
  </si>
  <si>
    <t>data.Static Pressure</t>
  </si>
  <si>
    <t>Static Pressure @ Flowrate</t>
  </si>
  <si>
    <t>Total Pressure @Flowrate</t>
  </si>
  <si>
    <t>Flowrate @MaxP</t>
  </si>
  <si>
    <t>V_min</t>
  </si>
  <si>
    <t>Min % TD to</t>
  </si>
  <si>
    <t>SWL - Static Pressure Coefficients</t>
  </si>
  <si>
    <t>SPL</t>
  </si>
  <si>
    <t>SWL-15</t>
  </si>
  <si>
    <t>Hmin Factor</t>
  </si>
  <si>
    <t>Min Diffuser Height (m)</t>
  </si>
  <si>
    <t>Distance Selection</t>
  </si>
  <si>
    <t>Vmax</t>
  </si>
  <si>
    <t>Vmin</t>
  </si>
  <si>
    <t>at V (L/s/m^2)</t>
  </si>
  <si>
    <t>Cmax Perimeter</t>
  </si>
  <si>
    <t>v' @ V</t>
  </si>
  <si>
    <t>h factor @ V</t>
  </si>
  <si>
    <t>Cmax room height</t>
  </si>
  <si>
    <t>ROOM TO INCLUDE FREE CEILING factor??</t>
  </si>
  <si>
    <t>Cmax Min of above</t>
  </si>
  <si>
    <t>final selection</t>
  </si>
  <si>
    <t>Cmax centre zone</t>
  </si>
  <si>
    <t>global avg dist</t>
  </si>
  <si>
    <t>diffuser dist from spec. afr</t>
  </si>
  <si>
    <t>diffuser dist selected</t>
  </si>
  <si>
    <t>Area</t>
  </si>
  <si>
    <t>v"</t>
  </si>
  <si>
    <t>L/s/m3</t>
  </si>
  <si>
    <t>L/s/m4</t>
  </si>
  <si>
    <t>L/s/m5</t>
  </si>
  <si>
    <t>L/s/m6</t>
  </si>
  <si>
    <t>L/s/m7</t>
  </si>
  <si>
    <t>L/s/m8</t>
  </si>
  <si>
    <t>L/s/m9</t>
  </si>
  <si>
    <t>velocity adjustment</t>
  </si>
  <si>
    <t xml:space="preserve">for total area </t>
  </si>
  <si>
    <t>W/m3</t>
  </si>
  <si>
    <t>W/m4</t>
  </si>
  <si>
    <t>W/m5</t>
  </si>
  <si>
    <t>W/m6</t>
  </si>
  <si>
    <t>W/m7</t>
  </si>
  <si>
    <t>W/m8</t>
  </si>
  <si>
    <t>W/m9</t>
  </si>
  <si>
    <t>v'' correction factor</t>
  </si>
  <si>
    <t>v'' (adjusted)</t>
  </si>
  <si>
    <t>Q'' (adjusted)</t>
  </si>
  <si>
    <t>no air density for max to mean velocity</t>
  </si>
  <si>
    <t>For Room Height</t>
  </si>
  <si>
    <t>Velocity</t>
  </si>
  <si>
    <t>Draught Rating</t>
  </si>
  <si>
    <t>PPD</t>
  </si>
  <si>
    <t>PPD Class</t>
  </si>
  <si>
    <t>PMV</t>
  </si>
  <si>
    <t>ADPI ACTUAL</t>
  </si>
  <si>
    <t>ADPI Actual Cmin</t>
  </si>
  <si>
    <t>ADPI Actual</t>
  </si>
  <si>
    <t>Q'' (adjusted) for active length</t>
  </si>
  <si>
    <t>(fix rounding errors)</t>
  </si>
  <si>
    <t>ADPI Cmin</t>
  </si>
  <si>
    <t>v' selected (turndown)</t>
  </si>
  <si>
    <t>Cmax Centre Zone</t>
  </si>
  <si>
    <t>v'</t>
  </si>
  <si>
    <t xml:space="preserve"> v distance</t>
  </si>
  <si>
    <t>Hfactor</t>
  </si>
  <si>
    <t>H distance</t>
  </si>
  <si>
    <t>Compare Cmax</t>
  </si>
  <si>
    <t>Recommended Cmax</t>
  </si>
  <si>
    <t>Resultant ADPI from selected Cmax</t>
  </si>
  <si>
    <t>Selected Dist</t>
  </si>
  <si>
    <t>Selected C Satisfies</t>
  </si>
  <si>
    <t>ADPI Satisfied</t>
  </si>
  <si>
    <t>ADPI Cmax (perimeter)</t>
  </si>
  <si>
    <t>Use turndown flow rate</t>
  </si>
  <si>
    <t>Flowrates</t>
  </si>
  <si>
    <t>COMBINED SELECTED ADPI (Centre)</t>
  </si>
  <si>
    <t>COMBINED SELECTED ADPI (Perim)</t>
  </si>
  <si>
    <t>V'' adjusted for heating</t>
  </si>
  <si>
    <t>heatingX</t>
  </si>
  <si>
    <t>heatingSlope</t>
  </si>
  <si>
    <t>heatingY</t>
  </si>
  <si>
    <t>heating_dT(10K)</t>
  </si>
  <si>
    <t>(old) heating @ dT</t>
  </si>
  <si>
    <t>heating dT (perimeter)</t>
  </si>
  <si>
    <t>heating dT (centre)</t>
  </si>
  <si>
    <t>heating dT 'E'</t>
  </si>
  <si>
    <t>Heating Constant Quadratic Curve</t>
  </si>
  <si>
    <t>Accept</t>
  </si>
  <si>
    <t>Accept cmax</t>
  </si>
  <si>
    <t>accept cmin</t>
  </si>
  <si>
    <t>if all rejected</t>
  </si>
  <si>
    <t>Average</t>
  </si>
  <si>
    <t>Final Distance Selections</t>
  </si>
  <si>
    <t>diffuser dist from spec. afr (td)</t>
  </si>
  <si>
    <t>?? Not sure if needed</t>
  </si>
  <si>
    <t>Area (incl active length)</t>
  </si>
  <si>
    <t>v" (incl active length)</t>
  </si>
  <si>
    <t>v" (incl active length) (for display/units)</t>
  </si>
  <si>
    <t>turndown v"</t>
  </si>
  <si>
    <t>Air Pattern Settings</t>
  </si>
  <si>
    <t>2 WAY</t>
  </si>
  <si>
    <t>1 WAY</t>
  </si>
  <si>
    <t>AB</t>
  </si>
  <si>
    <t>AC</t>
  </si>
  <si>
    <t>BC</t>
  </si>
  <si>
    <t>Pre-Results</t>
  </si>
  <si>
    <t>Max Airflow (L/s/m)</t>
  </si>
  <si>
    <t>Max Recommended Airflow (L/s)</t>
  </si>
  <si>
    <t>Min Airflow (L/s/m)</t>
  </si>
  <si>
    <t>Min Permissible Airflow</t>
  </si>
  <si>
    <t>Max Static Pressure (Pa)</t>
  </si>
  <si>
    <t>Max Total Pressure (Pa)</t>
  </si>
  <si>
    <t>Max Permissible Pressure (Pa)</t>
  </si>
  <si>
    <t>Sound Power Level (dBA)</t>
  </si>
  <si>
    <t>Sound Pressure Level (NC)</t>
  </si>
  <si>
    <r>
      <t xml:space="preserve">Max Permissible </t>
    </r>
    <r>
      <rPr>
        <b/>
        <sz val="11"/>
        <color theme="1"/>
        <rFont val="Calibri"/>
        <family val="2"/>
      </rPr>
      <t>ΔT</t>
    </r>
    <r>
      <rPr>
        <b/>
        <sz val="11"/>
        <color theme="1"/>
        <rFont val="Calibri"/>
        <family val="2"/>
        <scheme val="minor"/>
      </rPr>
      <t xml:space="preserve"> (centre) (K)</t>
    </r>
  </si>
  <si>
    <r>
      <t xml:space="preserve">Max Permissible </t>
    </r>
    <r>
      <rPr>
        <b/>
        <sz val="11"/>
        <color theme="1"/>
        <rFont val="Calibri"/>
        <family val="2"/>
      </rPr>
      <t>ΔT</t>
    </r>
    <r>
      <rPr>
        <b/>
        <sz val="11"/>
        <color theme="1"/>
        <rFont val="Calibri"/>
        <family val="2"/>
        <scheme val="minor"/>
      </rPr>
      <t xml:space="preserve"> (heating) (K)</t>
    </r>
  </si>
  <si>
    <r>
      <t xml:space="preserve">Max Permissible </t>
    </r>
    <r>
      <rPr>
        <b/>
        <sz val="11"/>
        <color theme="1"/>
        <rFont val="Calibri"/>
        <family val="2"/>
      </rPr>
      <t>ΔT</t>
    </r>
    <r>
      <rPr>
        <b/>
        <sz val="11"/>
        <color theme="1"/>
        <rFont val="Calibri"/>
        <family val="2"/>
        <scheme val="minor"/>
      </rPr>
      <t xml:space="preserve"> ('E') (K)</t>
    </r>
  </si>
  <si>
    <t>Max Coverage Dist Centre Zone</t>
  </si>
  <si>
    <t>Max C/L Distance (m) Perimeter</t>
  </si>
  <si>
    <t>Min C/L Distance (m)</t>
  </si>
  <si>
    <t>Mean Room Air V</t>
  </si>
  <si>
    <t>Nominal Spigot Size</t>
  </si>
  <si>
    <t>ADPI actual (centre)</t>
  </si>
  <si>
    <t>ADPI actual (perim)</t>
  </si>
  <si>
    <t xml:space="preserve">Results </t>
  </si>
  <si>
    <t>Centre Zones for Air Direction 'A' [K]</t>
  </si>
  <si>
    <t>Perimeter Zones for Air Direction 'A' [K]</t>
  </si>
  <si>
    <r>
      <t xml:space="preserve">Max Permissible </t>
    </r>
    <r>
      <rPr>
        <b/>
        <sz val="11"/>
        <color theme="1"/>
        <rFont val="Calibri"/>
        <family val="2"/>
      </rPr>
      <t>ΔT</t>
    </r>
    <r>
      <rPr>
        <b/>
        <sz val="11"/>
        <color theme="1"/>
        <rFont val="Calibri"/>
        <family val="2"/>
        <scheme val="minor"/>
      </rPr>
      <t xml:space="preserve"> (heating) E (K)</t>
    </r>
  </si>
  <si>
    <t>Max Permissible ΔT (heating) E (K)</t>
  </si>
  <si>
    <t>Shading</t>
  </si>
  <si>
    <t>max flow</t>
  </si>
  <si>
    <t>True = Shade</t>
  </si>
  <si>
    <t>min flow</t>
  </si>
  <si>
    <t>cmin&gt;cmax centre</t>
  </si>
  <si>
    <t>true = shade</t>
  </si>
  <si>
    <t>cmin&gt;cmax perim</t>
  </si>
  <si>
    <t>selected dist &lt; cmin</t>
  </si>
  <si>
    <t>Shade</t>
  </si>
  <si>
    <t>Max Spec Flowrate</t>
  </si>
  <si>
    <t>Linear Multistream Ceiling Diffuser  [LMC-AD] Notes</t>
  </si>
  <si>
    <t>Notes</t>
  </si>
  <si>
    <t>Pressure is inclusive of side-entry connection box pressure loss.</t>
  </si>
  <si>
    <r>
      <t xml:space="preserve">Centreline distance is the spacing between two 2-way blow diffuser rows. Halve this value for throw to walls or maximum throw of a 1-way diffuser. Refer to </t>
    </r>
    <r>
      <rPr>
        <u/>
        <sz val="12"/>
        <color theme="1"/>
        <rFont val="Calibri"/>
        <family val="2"/>
        <scheme val="minor"/>
      </rPr>
      <t>Diffuser Location</t>
    </r>
    <r>
      <rPr>
        <sz val="12"/>
        <color theme="1"/>
        <rFont val="Calibri"/>
        <family val="2"/>
        <scheme val="minor"/>
      </rPr>
      <t xml:space="preserve"> notes below.</t>
    </r>
  </si>
  <si>
    <t>Select desired comfort level (ADPI setting) to determine minimum and maximum spacing or throw (centreline distances) and minimum discharge height.</t>
  </si>
  <si>
    <t>Sound pressure level [NC] is valid in a standard commercial office with a 2.7 m to 3 m ceiling.</t>
  </si>
  <si>
    <r>
      <t>Active Length Ratio = L</t>
    </r>
    <r>
      <rPr>
        <b/>
        <vertAlign val="subscript"/>
        <sz val="12"/>
        <color theme="1"/>
        <rFont val="Calibri"/>
        <family val="2"/>
        <scheme val="minor"/>
      </rPr>
      <t xml:space="preserve">A </t>
    </r>
    <r>
      <rPr>
        <b/>
        <sz val="12"/>
        <color theme="1"/>
        <rFont val="Calibri"/>
        <family val="2"/>
        <scheme val="minor"/>
      </rPr>
      <t>/ L</t>
    </r>
  </si>
  <si>
    <t>where:</t>
  </si>
  <si>
    <r>
      <t>L</t>
    </r>
    <r>
      <rPr>
        <vertAlign val="sub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= </t>
    </r>
    <r>
      <rPr>
        <sz val="12"/>
        <color theme="1"/>
        <rFont val="Calibri"/>
        <family val="2"/>
      </rPr>
      <t>∑ L</t>
    </r>
    <r>
      <rPr>
        <vertAlign val="subscript"/>
        <sz val="12"/>
        <color theme="1"/>
        <rFont val="Calibri"/>
        <family val="2"/>
      </rPr>
      <t>A,i</t>
    </r>
  </si>
  <si>
    <t xml:space="preserve"> and</t>
  </si>
  <si>
    <t>e.g.</t>
  </si>
  <si>
    <t xml:space="preserve">Active Length Ratio </t>
  </si>
  <si>
    <t>= (1.2+1.2)/4.8</t>
  </si>
  <si>
    <r>
      <t>L</t>
    </r>
    <r>
      <rPr>
        <vertAlign val="sub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</rPr>
      <t>≥</t>
    </r>
    <r>
      <rPr>
        <sz val="12"/>
        <color theme="1"/>
        <rFont val="Calibri"/>
        <family val="2"/>
        <scheme val="minor"/>
      </rPr>
      <t xml:space="preserve"> 0.1 </t>
    </r>
    <r>
      <rPr>
        <sz val="12"/>
        <color theme="1"/>
        <rFont val="Calibri"/>
        <family val="2"/>
      </rPr>
      <t>∙ L</t>
    </r>
  </si>
  <si>
    <t>= 0.5</t>
  </si>
  <si>
    <r>
      <t>Refer to Fig. 1, Fig. 2 for description of lengths 'L' and 'L</t>
    </r>
    <r>
      <rPr>
        <i/>
        <vertAlign val="subscript"/>
        <sz val="12"/>
        <color theme="1"/>
        <rFont val="Calibri"/>
        <family val="2"/>
        <scheme val="minor"/>
      </rPr>
      <t>A</t>
    </r>
    <r>
      <rPr>
        <i/>
        <sz val="12"/>
        <color theme="1"/>
        <rFont val="Calibri"/>
        <family val="2"/>
        <scheme val="minor"/>
      </rPr>
      <t xml:space="preserve">' </t>
    </r>
  </si>
  <si>
    <t>Layout/Coverage Distances</t>
  </si>
  <si>
    <t>For 2-Way Discharge</t>
  </si>
  <si>
    <t>For 1-Way Discharge</t>
  </si>
  <si>
    <t>Air Direction Settings</t>
  </si>
  <si>
    <r>
      <t>0</t>
    </r>
    <r>
      <rPr>
        <sz val="11"/>
        <color theme="1"/>
        <rFont val="Calibri"/>
        <family val="2"/>
      </rPr>
      <t>⁰ to -15⁰ discharge to the horizontal</t>
    </r>
  </si>
  <si>
    <r>
      <t>0</t>
    </r>
    <r>
      <rPr>
        <sz val="11"/>
        <color theme="1"/>
        <rFont val="Calibri"/>
        <family val="2"/>
      </rPr>
      <t>⁰ to -30⁰ discharge to the horizontal</t>
    </r>
  </si>
  <si>
    <t>≈ -45⁰ discharge to the horizontal</t>
  </si>
  <si>
    <t>D</t>
  </si>
  <si>
    <t>≈ -60⁰ discharge to the horizontal</t>
  </si>
  <si>
    <t>E</t>
  </si>
  <si>
    <t>vertical discharge</t>
  </si>
  <si>
    <t>Sound</t>
  </si>
  <si>
    <t>Sound Pressure Level (NC/m) based on 10 dB room absorption</t>
  </si>
  <si>
    <t>Total pressure is inclusive of side-entry connection box pressure loss.</t>
  </si>
  <si>
    <t>Diffuser Distance</t>
  </si>
  <si>
    <t>C/2</t>
  </si>
  <si>
    <t>C/4</t>
  </si>
  <si>
    <t>C/8</t>
  </si>
  <si>
    <t>ALL DIMENSIONS IN m</t>
  </si>
  <si>
    <t>Linear Multistream Ceiling Diffuser  [LMC-AD] Dimensions</t>
  </si>
  <si>
    <t>Dimensions</t>
  </si>
  <si>
    <t>Width Flangeless Face (Wn)</t>
  </si>
  <si>
    <t xml:space="preserve">Width Flanged Face (Wf) </t>
  </si>
  <si>
    <t>Width of Diffuser Throat (Wt)</t>
  </si>
  <si>
    <t>Recommended Plenum Height A *</t>
  </si>
  <si>
    <t>D + 76</t>
  </si>
  <si>
    <t>Recommended Plenum Width B *</t>
  </si>
  <si>
    <t>Recommended Spigot Dimension D * per 1 m length</t>
  </si>
  <si>
    <t>Recommended Spigot Dimension D * per 1.2 m length</t>
  </si>
  <si>
    <t>Recommended Spigot Dimension D * per 1.5 m length</t>
  </si>
  <si>
    <t>-</t>
  </si>
  <si>
    <t>Plenum box dimensions are for internal dimensions (excludes insulation and acoustic lining)</t>
  </si>
  <si>
    <t>Check exact dimensions with local supplier</t>
  </si>
  <si>
    <t>LMC-AD Performance Calculator Summary</t>
  </si>
  <si>
    <t>Project</t>
  </si>
  <si>
    <t>&lt;Name&gt;</t>
  </si>
  <si>
    <t>Consultant</t>
  </si>
  <si>
    <t>Product</t>
  </si>
  <si>
    <t>Linear Multistream Adjustable Diffuser</t>
  </si>
  <si>
    <t>Size</t>
  </si>
  <si>
    <t>Discharge Direction</t>
  </si>
  <si>
    <t>Summary</t>
  </si>
  <si>
    <t xml:space="preserve">Selected Airflow </t>
  </si>
  <si>
    <t>Max Recommended Heating ΔT</t>
  </si>
  <si>
    <t>Selected Air Discharge Setting</t>
  </si>
  <si>
    <t>Acoustic Performance</t>
  </si>
  <si>
    <t>^ based on 10dB room absorption</t>
  </si>
  <si>
    <t>Recommended Plenum Box Spigot Diameter (per 1200 mm length)</t>
  </si>
  <si>
    <t>Comfort Performance</t>
  </si>
  <si>
    <t xml:space="preserve">Mean Room Air Velocity </t>
  </si>
  <si>
    <t xml:space="preserve">Mean Draught Rating </t>
  </si>
  <si>
    <t>Satisfies PPD (ISO7730)</t>
  </si>
  <si>
    <t>Mean PMV *</t>
  </si>
  <si>
    <t>* ISO7730; ASHRAE Std 55</t>
  </si>
  <si>
    <t>Description</t>
  </si>
  <si>
    <t>Order Code</t>
  </si>
  <si>
    <t>N1200</t>
  </si>
  <si>
    <t>Neck</t>
  </si>
  <si>
    <t>F1195</t>
  </si>
  <si>
    <t>Face</t>
  </si>
  <si>
    <t>Length</t>
  </si>
  <si>
    <t>&lt;length&gt;</t>
  </si>
  <si>
    <t>nslots</t>
  </si>
  <si>
    <t>airpatternnum</t>
  </si>
  <si>
    <t>1way text</t>
  </si>
  <si>
    <t>BD</t>
  </si>
  <si>
    <t>EE (vertical)</t>
  </si>
  <si>
    <t>2way text</t>
  </si>
  <si>
    <t>A* (0 to -15°)</t>
  </si>
  <si>
    <t>B (0 to -30°)</t>
  </si>
  <si>
    <t>C (≈ -45°)</t>
  </si>
  <si>
    <t>D (≈ -60°)</t>
  </si>
  <si>
    <t>E (vertical)</t>
  </si>
  <si>
    <t>1way code</t>
  </si>
  <si>
    <t>EE</t>
  </si>
  <si>
    <t>&lt;direction&gt;</t>
  </si>
  <si>
    <t>2way code</t>
  </si>
  <si>
    <t>Result</t>
  </si>
  <si>
    <t>airpatterletter</t>
  </si>
  <si>
    <t>Colour</t>
  </si>
  <si>
    <t>Barrel</t>
  </si>
  <si>
    <t>Code</t>
  </si>
  <si>
    <t>SF</t>
  </si>
  <si>
    <t>with side flanges</t>
  </si>
  <si>
    <t>SN</t>
  </si>
  <si>
    <t>flangeless side profile</t>
  </si>
  <si>
    <t>E2</t>
  </si>
  <si>
    <t>with two end flanges</t>
  </si>
  <si>
    <t>E1</t>
  </si>
  <si>
    <t>with one end flange + one pair of joining strips</t>
  </si>
  <si>
    <t>EJ</t>
  </si>
  <si>
    <t>include one pair of joining strips</t>
  </si>
  <si>
    <t>E0</t>
  </si>
  <si>
    <t>without end flanges</t>
  </si>
  <si>
    <t>F0</t>
  </si>
  <si>
    <t>fixing by others; without accessories</t>
  </si>
  <si>
    <t>EX</t>
  </si>
  <si>
    <t>expansion bracket fixing</t>
  </si>
  <si>
    <t>connection box</t>
  </si>
  <si>
    <t>K0</t>
  </si>
  <si>
    <t>no connection box</t>
  </si>
  <si>
    <t>K</t>
  </si>
  <si>
    <t>KI</t>
  </si>
  <si>
    <t xml:space="preserve"> </t>
  </si>
  <si>
    <t>t</t>
  </si>
  <si>
    <t>n</t>
  </si>
  <si>
    <t>Naming</t>
  </si>
  <si>
    <t>nominal length</t>
  </si>
  <si>
    <t>airpattern num</t>
  </si>
  <si>
    <t>airpattern letter</t>
  </si>
  <si>
    <t>profile type</t>
  </si>
  <si>
    <t>diffuserends</t>
  </si>
  <si>
    <t>fixing</t>
  </si>
  <si>
    <t>profile colour</t>
  </si>
  <si>
    <t>barrelcolour</t>
  </si>
  <si>
    <t>Box</t>
  </si>
  <si>
    <t>Bespoke dimensions</t>
  </si>
  <si>
    <t xml:space="preserve">Size </t>
  </si>
  <si>
    <t>Air pattern</t>
  </si>
  <si>
    <t>Location</t>
  </si>
  <si>
    <t>Format</t>
  </si>
  <si>
    <t>Selected Airflow [L/s/m]</t>
  </si>
  <si>
    <t>Airflow @ Max Static Pressure[L/s/m]</t>
  </si>
  <si>
    <t>Min Selected Airflow [L/s/m]</t>
  </si>
  <si>
    <t>Min Permissible Airflow [L/s/m]</t>
  </si>
  <si>
    <t>Max Centre C/L Distance (m)</t>
  </si>
  <si>
    <t>Max Perim C/L Distance (m)</t>
  </si>
  <si>
    <t>dt</t>
  </si>
  <si>
    <t>room temp</t>
  </si>
  <si>
    <t>dist type selection</t>
  </si>
  <si>
    <t>height</t>
  </si>
  <si>
    <t>Text</t>
  </si>
  <si>
    <t>Min airflow</t>
  </si>
  <si>
    <t>Heating non vertical</t>
  </si>
  <si>
    <t>Heating vertical</t>
  </si>
  <si>
    <t>Max Heating</t>
  </si>
  <si>
    <t>Suggested Air Direction Setting</t>
  </si>
  <si>
    <t>Recommended Plenum Box Spigot Diameter per (1200 mm length)</t>
  </si>
  <si>
    <t>Diagram</t>
  </si>
  <si>
    <t>Selected ADPI</t>
  </si>
  <si>
    <t>Cmax Cenre</t>
  </si>
  <si>
    <t>Cmax Perim</t>
  </si>
  <si>
    <t>C Select</t>
  </si>
  <si>
    <t>box1</t>
  </si>
  <si>
    <t>box2</t>
  </si>
  <si>
    <t>box3</t>
  </si>
  <si>
    <t>room box</t>
  </si>
  <si>
    <t>Active Length Factor</t>
  </si>
  <si>
    <t>Cooling &amp; Heating</t>
  </si>
  <si>
    <r>
      <t xml:space="preserve">Air Direction Setting </t>
    </r>
    <r>
      <rPr>
        <sz val="12"/>
        <color theme="1"/>
        <rFont val="Calibri"/>
        <family val="2"/>
        <scheme val="minor"/>
      </rPr>
      <t>**</t>
    </r>
  </si>
  <si>
    <t>Hmin DT factor</t>
  </si>
  <si>
    <t>Centre Zone: Heating ΔT Max</t>
  </si>
  <si>
    <t>Perimeter Zone: Heating ΔT Max</t>
  </si>
  <si>
    <t>Direction Setting Table</t>
  </si>
  <si>
    <t>Band Delta H</t>
  </si>
  <si>
    <t>Vertical Penetration Eqn</t>
  </si>
  <si>
    <r>
      <t>m</t>
    </r>
    <r>
      <rPr>
        <sz val="11"/>
        <color theme="0" tint="-0.34998626667073579"/>
        <rFont val="Calibri"/>
        <family val="2"/>
        <scheme val="minor"/>
      </rPr>
      <t xml:space="preserve">        2 m to 7 m (heating &amp; cooling)</t>
    </r>
  </si>
  <si>
    <r>
      <t xml:space="preserve">            </t>
    </r>
    <r>
      <rPr>
        <sz val="11"/>
        <color theme="0" tint="-0.34998626667073579"/>
        <rFont val="Calibri"/>
        <family val="2"/>
        <scheme val="minor"/>
      </rPr>
      <t>2 m to 11 m (cooling only)</t>
    </r>
  </si>
  <si>
    <t>k-factor</t>
  </si>
  <si>
    <t>H-n (exit width)</t>
  </si>
  <si>
    <t>dT (Vertical)</t>
  </si>
  <si>
    <t>dT (Vertical) Low level corrected</t>
  </si>
  <si>
    <t>Exit width per row</t>
  </si>
  <si>
    <t>Horizontal &gt; Vertical</t>
  </si>
  <si>
    <t>Heating ΔT valid at 100% airflow rate</t>
  </si>
  <si>
    <t>Smartemp LDB 12:</t>
  </si>
  <si>
    <t>Smartemp LDB 12 Clean:</t>
  </si>
  <si>
    <t>Smartemp LMW-AD:</t>
  </si>
  <si>
    <t>Smartemp LDB 50 Maxx:</t>
  </si>
  <si>
    <t xml:space="preserve">Smartemp LJC-AD: </t>
  </si>
  <si>
    <t>Related Products</t>
  </si>
  <si>
    <t>for a wall-mounted solution</t>
  </si>
  <si>
    <t>ΔT with Vertical Discharge</t>
  </si>
  <si>
    <t xml:space="preserve"> - Direction setting 'E' (90° Discharge)</t>
  </si>
  <si>
    <t xml:space="preserve"> - Direction setting for balanced cooling and heating performance</t>
  </si>
  <si>
    <r>
      <t>Rows 60 - 62 Warning: Threat of draught when C</t>
    </r>
    <r>
      <rPr>
        <vertAlign val="subscript"/>
        <sz val="11"/>
        <color theme="0" tint="-4.9989318521683403E-2"/>
        <rFont val="Calibri"/>
        <family val="2"/>
        <scheme val="minor"/>
      </rPr>
      <t>min</t>
    </r>
    <r>
      <rPr>
        <sz val="11"/>
        <color theme="0" tint="-4.9989318521683403E-2"/>
        <rFont val="Calibri"/>
        <family val="2"/>
        <scheme val="minor"/>
      </rPr>
      <t xml:space="preserve"> &gt; C</t>
    </r>
    <r>
      <rPr>
        <vertAlign val="subscript"/>
        <sz val="11"/>
        <color theme="0" tint="-4.9989318521683403E-2"/>
        <rFont val="Calibri"/>
        <family val="2"/>
        <scheme val="minor"/>
      </rPr>
      <t>max</t>
    </r>
    <r>
      <rPr>
        <sz val="11"/>
        <color theme="0" tint="-4.9989318521683403E-2"/>
        <rFont val="Calibri"/>
        <family val="2"/>
        <scheme val="minor"/>
      </rPr>
      <t>. Consider: increasing 'Active Length Ratio', increasing 'Turndown To', or decreasing 'ADPI'</t>
    </r>
  </si>
  <si>
    <r>
      <rPr>
        <i/>
        <sz val="11"/>
        <color theme="1" tint="0.34998626667073579"/>
        <rFont val="Calibri"/>
        <family val="2"/>
        <scheme val="minor"/>
      </rPr>
      <t>engineered by LTG</t>
    </r>
    <r>
      <rPr>
        <sz val="11"/>
        <color theme="1" tint="0.34998626667073579"/>
        <rFont val="Calibri"/>
        <family val="2"/>
        <scheme val="minor"/>
      </rPr>
      <t xml:space="preserve"> for an ultra-slim look</t>
    </r>
  </si>
  <si>
    <r>
      <rPr>
        <i/>
        <sz val="11"/>
        <color theme="1" tint="0.34998626667073579"/>
        <rFont val="Calibri"/>
        <family val="2"/>
        <scheme val="minor"/>
      </rPr>
      <t>engineered by LTG</t>
    </r>
    <r>
      <rPr>
        <sz val="11"/>
        <color theme="1" tint="0.34998626667073579"/>
        <rFont val="Calibri"/>
        <family val="2"/>
        <scheme val="minor"/>
      </rPr>
      <t xml:space="preserve"> with SystemClean™ for minimal ceiling smudging and diffuser condensation</t>
    </r>
  </si>
  <si>
    <r>
      <rPr>
        <i/>
        <sz val="11"/>
        <color theme="1" tint="0.34998626667073579"/>
        <rFont val="Calibri"/>
        <family val="2"/>
        <scheme val="minor"/>
      </rPr>
      <t>engineered by LTG</t>
    </r>
    <r>
      <rPr>
        <sz val="11"/>
        <color theme="1" tint="0.34998626667073579"/>
        <rFont val="Calibri"/>
        <family val="2"/>
        <scheme val="minor"/>
      </rPr>
      <t xml:space="preserve"> for high flow rates</t>
    </r>
  </si>
  <si>
    <t>for increased flow rates; optionally with thermal/electric adjustment</t>
  </si>
  <si>
    <t>Supply/Return</t>
  </si>
  <si>
    <t>Supply Return</t>
  </si>
  <si>
    <t>Type</t>
  </si>
  <si>
    <t>Supply</t>
  </si>
  <si>
    <t>Return</t>
  </si>
  <si>
    <t>- Diffuser perfomance data not applicable for return grille</t>
  </si>
  <si>
    <t>Radio Input</t>
  </si>
  <si>
    <t>AD</t>
  </si>
  <si>
    <t>RA</t>
  </si>
  <si>
    <t>supply: adjustable direction</t>
  </si>
  <si>
    <t>return air</t>
  </si>
  <si>
    <t>without accessories/by others *</t>
  </si>
  <si>
    <t>Copyright © 2023 SMARTAIR DIFFUSION</t>
  </si>
  <si>
    <t>MFP</t>
  </si>
  <si>
    <t>expansion bracket</t>
  </si>
  <si>
    <t>mounting frame for plasterboard</t>
  </si>
  <si>
    <t>CODE</t>
  </si>
  <si>
    <t>AD:</t>
  </si>
  <si>
    <t>RA:</t>
  </si>
  <si>
    <t>Linear Multistream Return Air Grille</t>
  </si>
  <si>
    <t>Note: Diffuser perfomance data not applicable for return grille</t>
  </si>
  <si>
    <t>v 8.1 [08/2026]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</si>
</sst>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%"/>
    <numFmt numFmtId="166" formatCode="0.0"/>
    <numFmt numFmtId="167" formatCode="0.0000"/>
    <numFmt numFmtId="168" formatCode="\+\ 0.0;\-\ 0.0;0.0"/>
    <numFmt numFmtId="169" formatCode="0.00000"/>
  </numFmts>
  <fonts count="7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color theme="1" tint="0.499984740745262"/>
      <name val="Calibri"/>
      <family val="2"/>
    </font>
    <font>
      <b/>
      <sz val="11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9"/>
      <color theme="1" tint="0.499984740745262"/>
      <name val="Calibri"/>
      <family val="2"/>
    </font>
    <font>
      <b/>
      <sz val="9"/>
      <color theme="1" tint="0.499984740745262"/>
      <name val="Calibri"/>
      <family val="2"/>
    </font>
    <font>
      <sz val="11"/>
      <color theme="1" tint="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b/>
      <sz val="16"/>
      <color rgb="FFFF9900"/>
      <name val="Calibri"/>
      <family val="2"/>
      <scheme val="minor"/>
    </font>
    <font>
      <sz val="14"/>
      <color rgb="FFFF99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99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"/>
      <color theme="1" tint="0.499984740745262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b/>
      <vertAlign val="subscript"/>
      <sz val="12"/>
      <color theme="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</font>
    <font>
      <sz val="8.8000000000000007"/>
      <color theme="1" tint="0.34998626667073579"/>
      <name val="Calibri"/>
      <family val="2"/>
    </font>
    <font>
      <i/>
      <vertAlign val="subscript"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0" tint="-0.499984740745262"/>
      <name val="Calibri"/>
      <family val="2"/>
    </font>
    <font>
      <sz val="11"/>
      <color theme="0" tint="-4.9989318521683403E-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0"/>
      <color theme="1" tint="0.499984740745262"/>
      <name val="Calibri"/>
      <family val="2"/>
      <scheme val="minor"/>
    </font>
    <font>
      <sz val="10"/>
      <color theme="1" tint="0.34998626667073579"/>
      <name val="Calibri"/>
      <family val="2"/>
    </font>
    <font>
      <vertAlign val="superscript"/>
      <sz val="11"/>
      <color theme="1" tint="0.34998626667073579"/>
      <name val="Calibri"/>
      <family val="2"/>
      <scheme val="minor"/>
    </font>
    <font>
      <sz val="16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vertAlign val="subscript"/>
      <sz val="11"/>
      <color theme="0" tint="-4.9989318521683403E-2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8"/>
      <color rgb="FF000000"/>
      <name val="Segoe UI"/>
      <family val="2"/>
    </font>
    <font>
      <i/>
      <sz val="11"/>
      <color theme="1" tint="0.3499862666707357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double">
        <color rgb="FFFF8001"/>
      </bottom>
      <diagonal/>
    </border>
    <border>
      <left style="thin">
        <color theme="1" tint="0.14996795556505021"/>
      </left>
      <right/>
      <top style="thin">
        <color theme="1" tint="0.14996795556505021"/>
      </top>
      <bottom/>
      <diagonal/>
    </border>
    <border>
      <left/>
      <right/>
      <top style="thin">
        <color theme="1" tint="0.14996795556505021"/>
      </top>
      <bottom/>
      <diagonal/>
    </border>
    <border>
      <left style="thin">
        <color theme="1" tint="0.14996795556505021"/>
      </left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1" tint="0.14996795556505021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0" tint="-0.24994659260841701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0" tint="-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 tint="0.34998626667073579"/>
      </right>
      <top style="thin">
        <color theme="0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double">
        <color theme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indexed="64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indexed="64"/>
      </top>
      <bottom style="thin">
        <color theme="1" tint="0.249977111117893"/>
      </bottom>
      <diagonal/>
    </border>
    <border>
      <left style="thin">
        <color theme="1" tint="0.249977111117893"/>
      </left>
      <right/>
      <top/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34998626667073579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 tint="0.249977111117893"/>
      </right>
      <top style="thin">
        <color theme="0" tint="-0.249977111117893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/>
      <top/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1" applyNumberFormat="0" applyFill="0" applyAlignment="0" applyProtection="0"/>
    <xf numFmtId="9" fontId="7" fillId="0" borderId="0" applyFont="0" applyFill="0" applyBorder="0" applyAlignment="0" applyProtection="0"/>
    <xf numFmtId="0" fontId="7" fillId="2" borderId="2" applyNumberFormat="0" applyFont="0" applyAlignment="0" applyProtection="0"/>
    <xf numFmtId="0" fontId="9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0" fillId="0" borderId="35" applyNumberFormat="0" applyFill="0" applyAlignment="0" applyProtection="0"/>
  </cellStyleXfs>
  <cellXfs count="322">
    <xf numFmtId="0" fontId="0" fillId="0" borderId="0" xfId="0"/>
    <xf numFmtId="9" fontId="0" fillId="0" borderId="0" xfId="0" applyNumberFormat="1"/>
    <xf numFmtId="0" fontId="2" fillId="0" borderId="1" xfId="1"/>
    <xf numFmtId="0" fontId="3" fillId="0" borderId="0" xfId="0" applyFont="1"/>
    <xf numFmtId="10" fontId="0" fillId="0" borderId="0" xfId="0" applyNumberFormat="1"/>
    <xf numFmtId="1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9" fontId="0" fillId="0" borderId="0" xfId="2" applyFont="1"/>
    <xf numFmtId="0" fontId="0" fillId="2" borderId="2" xfId="3" applyFont="1"/>
    <xf numFmtId="11" fontId="0" fillId="2" borderId="2" xfId="3" applyNumberFormat="1" applyFont="1"/>
    <xf numFmtId="165" fontId="0" fillId="0" borderId="0" xfId="2" applyNumberFormat="1" applyFont="1"/>
    <xf numFmtId="0" fontId="0" fillId="0" borderId="0" xfId="2" applyNumberFormat="1" applyFont="1"/>
    <xf numFmtId="0" fontId="0" fillId="0" borderId="0" xfId="0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center"/>
    </xf>
    <xf numFmtId="0" fontId="12" fillId="5" borderId="0" xfId="0" applyFont="1" applyFill="1" applyAlignment="1">
      <alignment horizontal="right"/>
    </xf>
    <xf numFmtId="0" fontId="13" fillId="5" borderId="0" xfId="0" applyFont="1" applyFill="1" applyAlignment="1">
      <alignment horizontal="right"/>
    </xf>
    <xf numFmtId="0" fontId="11" fillId="5" borderId="0" xfId="0" applyFont="1" applyFill="1" applyAlignment="1">
      <alignment horizontal="left" vertical="top"/>
    </xf>
    <xf numFmtId="0" fontId="0" fillId="5" borderId="0" xfId="0" applyFill="1" applyAlignment="1">
      <alignment horizontal="center" vertical="center"/>
    </xf>
    <xf numFmtId="0" fontId="19" fillId="5" borderId="0" xfId="0" applyFont="1" applyFill="1" applyAlignment="1">
      <alignment horizontal="left" vertical="center"/>
    </xf>
    <xf numFmtId="0" fontId="14" fillId="4" borderId="4" xfId="4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8" fillId="5" borderId="0" xfId="0" applyFont="1" applyFill="1"/>
    <xf numFmtId="0" fontId="21" fillId="5" borderId="0" xfId="0" applyFont="1" applyFill="1"/>
    <xf numFmtId="0" fontId="0" fillId="3" borderId="5" xfId="0" applyFill="1" applyBorder="1"/>
    <xf numFmtId="0" fontId="0" fillId="3" borderId="6" xfId="0" applyFill="1" applyBorder="1"/>
    <xf numFmtId="0" fontId="0" fillId="3" borderId="0" xfId="0" applyFill="1"/>
    <xf numFmtId="0" fontId="0" fillId="3" borderId="7" xfId="0" applyFill="1" applyBorder="1"/>
    <xf numFmtId="0" fontId="24" fillId="3" borderId="0" xfId="0" applyFont="1" applyFill="1"/>
    <xf numFmtId="0" fontId="26" fillId="3" borderId="0" xfId="0" applyFont="1" applyFill="1" applyAlignment="1">
      <alignment vertical="center"/>
    </xf>
    <xf numFmtId="0" fontId="27" fillId="3" borderId="0" xfId="5" applyFont="1" applyFill="1"/>
    <xf numFmtId="0" fontId="22" fillId="3" borderId="0" xfId="5" applyFill="1"/>
    <xf numFmtId="0" fontId="30" fillId="3" borderId="8" xfId="7" applyFont="1" applyFill="1" applyBorder="1" applyAlignment="1">
      <alignment vertical="center"/>
    </xf>
    <xf numFmtId="0" fontId="31" fillId="5" borderId="0" xfId="0" applyFont="1" applyFill="1" applyAlignment="1">
      <alignment horizontal="right" vertical="center"/>
    </xf>
    <xf numFmtId="0" fontId="31" fillId="4" borderId="9" xfId="0" applyFont="1" applyFill="1" applyBorder="1" applyAlignment="1">
      <alignment horizontal="center" vertical="center"/>
    </xf>
    <xf numFmtId="0" fontId="31" fillId="6" borderId="9" xfId="0" applyFont="1" applyFill="1" applyBorder="1" applyAlignment="1">
      <alignment horizontal="center" vertical="center"/>
    </xf>
    <xf numFmtId="0" fontId="0" fillId="5" borderId="10" xfId="0" applyFill="1" applyBorder="1"/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0" fillId="5" borderId="13" xfId="0" applyFill="1" applyBorder="1"/>
    <xf numFmtId="0" fontId="0" fillId="5" borderId="14" xfId="0" applyFill="1" applyBorder="1" applyAlignment="1">
      <alignment horizontal="right"/>
    </xf>
    <xf numFmtId="0" fontId="0" fillId="5" borderId="14" xfId="0" applyFill="1" applyBorder="1"/>
    <xf numFmtId="0" fontId="31" fillId="5" borderId="0" xfId="0" applyFont="1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41" fillId="4" borderId="9" xfId="0" applyFont="1" applyFill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4" borderId="0" xfId="0" applyFill="1"/>
    <xf numFmtId="0" fontId="0" fillId="3" borderId="16" xfId="0" applyFill="1" applyBorder="1"/>
    <xf numFmtId="0" fontId="0" fillId="3" borderId="17" xfId="0" applyFill="1" applyBorder="1"/>
    <xf numFmtId="0" fontId="0" fillId="3" borderId="8" xfId="0" applyFill="1" applyBorder="1"/>
    <xf numFmtId="0" fontId="0" fillId="3" borderId="18" xfId="0" applyFill="1" applyBorder="1"/>
    <xf numFmtId="0" fontId="0" fillId="3" borderId="19" xfId="0" applyFill="1" applyBorder="1"/>
    <xf numFmtId="0" fontId="26" fillId="3" borderId="20" xfId="0" applyFont="1" applyFill="1" applyBorder="1" applyAlignment="1">
      <alignment vertical="center"/>
    </xf>
    <xf numFmtId="0" fontId="0" fillId="3" borderId="20" xfId="0" applyFill="1" applyBorder="1"/>
    <xf numFmtId="0" fontId="0" fillId="5" borderId="19" xfId="0" applyFill="1" applyBorder="1"/>
    <xf numFmtId="0" fontId="0" fillId="5" borderId="20" xfId="0" applyFill="1" applyBorder="1"/>
    <xf numFmtId="0" fontId="37" fillId="5" borderId="0" xfId="0" applyFont="1" applyFill="1"/>
    <xf numFmtId="0" fontId="35" fillId="5" borderId="0" xfId="0" applyFont="1" applyFill="1"/>
    <xf numFmtId="0" fontId="37" fillId="5" borderId="0" xfId="0" applyFont="1" applyFill="1" applyAlignment="1">
      <alignment horizontal="left"/>
    </xf>
    <xf numFmtId="0" fontId="35" fillId="5" borderId="0" xfId="0" applyFont="1" applyFill="1" applyAlignment="1">
      <alignment horizontal="left"/>
    </xf>
    <xf numFmtId="0" fontId="4" fillId="5" borderId="0" xfId="0" applyFont="1" applyFill="1"/>
    <xf numFmtId="0" fontId="19" fillId="5" borderId="0" xfId="0" applyFont="1" applyFill="1"/>
    <xf numFmtId="0" fontId="31" fillId="5" borderId="0" xfId="0" applyFont="1" applyFill="1"/>
    <xf numFmtId="0" fontId="19" fillId="5" borderId="0" xfId="0" applyFont="1" applyFill="1" applyAlignment="1">
      <alignment horizontal="center"/>
    </xf>
    <xf numFmtId="0" fontId="34" fillId="5" borderId="0" xfId="0" applyFont="1" applyFill="1"/>
    <xf numFmtId="0" fontId="0" fillId="5" borderId="21" xfId="0" applyFill="1" applyBorder="1"/>
    <xf numFmtId="0" fontId="0" fillId="5" borderId="22" xfId="0" applyFill="1" applyBorder="1"/>
    <xf numFmtId="0" fontId="0" fillId="5" borderId="23" xfId="0" applyFill="1" applyBorder="1"/>
    <xf numFmtId="0" fontId="11" fillId="5" borderId="0" xfId="1" applyFont="1" applyFill="1" applyBorder="1" applyAlignment="1">
      <alignment horizontal="left"/>
    </xf>
    <xf numFmtId="0" fontId="35" fillId="5" borderId="0" xfId="1" applyFont="1" applyFill="1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 applyProtection="1">
      <alignment horizontal="right"/>
      <protection locked="0"/>
    </xf>
    <xf numFmtId="0" fontId="43" fillId="5" borderId="0" xfId="0" applyFont="1" applyFill="1" applyAlignment="1">
      <alignment horizontal="right" vertical="center"/>
    </xf>
    <xf numFmtId="2" fontId="0" fillId="0" borderId="0" xfId="2" applyNumberFormat="1" applyFont="1"/>
    <xf numFmtId="0" fontId="19" fillId="5" borderId="28" xfId="0" applyFont="1" applyFill="1" applyBorder="1" applyAlignment="1">
      <alignment horizontal="left" vertical="center"/>
    </xf>
    <xf numFmtId="0" fontId="19" fillId="0" borderId="27" xfId="0" applyFont="1" applyBorder="1" applyAlignment="1">
      <alignment horizontal="center" vertical="center"/>
    </xf>
    <xf numFmtId="0" fontId="21" fillId="5" borderId="0" xfId="0" applyFont="1" applyFill="1" applyAlignment="1">
      <alignment horizontal="left" indent="1"/>
    </xf>
    <xf numFmtId="0" fontId="0" fillId="6" borderId="0" xfId="0" applyFill="1" applyAlignment="1">
      <alignment horizontal="center" vertical="center"/>
    </xf>
    <xf numFmtId="0" fontId="31" fillId="6" borderId="0" xfId="0" applyFont="1" applyFill="1" applyAlignment="1">
      <alignment horizontal="left" vertical="center"/>
    </xf>
    <xf numFmtId="0" fontId="19" fillId="6" borderId="0" xfId="0" applyFont="1" applyFill="1" applyAlignment="1">
      <alignment horizontal="left" vertical="center" wrapText="1"/>
    </xf>
    <xf numFmtId="0" fontId="31" fillId="6" borderId="0" xfId="0" applyFont="1" applyFill="1" applyAlignment="1">
      <alignment horizontal="right" vertical="center"/>
    </xf>
    <xf numFmtId="0" fontId="19" fillId="6" borderId="24" xfId="0" applyFont="1" applyFill="1" applyBorder="1" applyAlignment="1">
      <alignment horizontal="left" vertical="center"/>
    </xf>
    <xf numFmtId="0" fontId="31" fillId="5" borderId="0" xfId="0" applyFont="1" applyFill="1" applyAlignment="1">
      <alignment horizontal="left"/>
    </xf>
    <xf numFmtId="0" fontId="20" fillId="5" borderId="0" xfId="0" applyFont="1" applyFill="1" applyAlignment="1">
      <alignment horizontal="left" vertical="center"/>
    </xf>
    <xf numFmtId="0" fontId="20" fillId="5" borderId="34" xfId="0" applyFont="1" applyFill="1" applyBorder="1" applyAlignment="1">
      <alignment horizontal="left" vertical="center"/>
    </xf>
    <xf numFmtId="0" fontId="0" fillId="5" borderId="34" xfId="0" applyFill="1" applyBorder="1"/>
    <xf numFmtId="0" fontId="0" fillId="5" borderId="30" xfId="0" applyFill="1" applyBorder="1"/>
    <xf numFmtId="0" fontId="19" fillId="5" borderId="27" xfId="0" applyFont="1" applyFill="1" applyBorder="1" applyAlignment="1">
      <alignment horizontal="center" vertical="center"/>
    </xf>
    <xf numFmtId="0" fontId="19" fillId="5" borderId="32" xfId="0" applyFont="1" applyFill="1" applyBorder="1" applyAlignment="1">
      <alignment horizontal="center" vertical="center"/>
    </xf>
    <xf numFmtId="0" fontId="19" fillId="5" borderId="31" xfId="0" applyFont="1" applyFill="1" applyBorder="1" applyAlignment="1">
      <alignment horizontal="center" vertical="center"/>
    </xf>
    <xf numFmtId="0" fontId="19" fillId="5" borderId="33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1" fillId="5" borderId="22" xfId="1" applyFont="1" applyFill="1" applyBorder="1" applyAlignment="1">
      <alignment horizontal="left"/>
    </xf>
    <xf numFmtId="0" fontId="19" fillId="5" borderId="0" xfId="0" applyFont="1" applyFill="1" applyAlignment="1">
      <alignment vertical="center"/>
    </xf>
    <xf numFmtId="0" fontId="19" fillId="5" borderId="29" xfId="0" applyFont="1" applyFill="1" applyBorder="1" applyAlignment="1">
      <alignment vertical="center"/>
    </xf>
    <xf numFmtId="0" fontId="19" fillId="5" borderId="24" xfId="0" applyFont="1" applyFill="1" applyBorder="1" applyAlignment="1">
      <alignment vertical="center"/>
    </xf>
    <xf numFmtId="0" fontId="19" fillId="5" borderId="34" xfId="0" applyFont="1" applyFill="1" applyBorder="1" applyAlignment="1">
      <alignment vertical="center"/>
    </xf>
    <xf numFmtId="0" fontId="19" fillId="5" borderId="30" xfId="0" applyFont="1" applyFill="1" applyBorder="1" applyAlignment="1">
      <alignment vertical="center"/>
    </xf>
    <xf numFmtId="0" fontId="47" fillId="0" borderId="11" xfId="0" applyFont="1" applyBorder="1"/>
    <xf numFmtId="0" fontId="10" fillId="0" borderId="0" xfId="4" applyFont="1" applyBorder="1" applyAlignment="1">
      <alignment horizontal="center" vertical="center"/>
    </xf>
    <xf numFmtId="0" fontId="47" fillId="0" borderId="0" xfId="0" applyFont="1"/>
    <xf numFmtId="0" fontId="50" fillId="0" borderId="35" xfId="8"/>
    <xf numFmtId="167" fontId="0" fillId="0" borderId="0" xfId="0" applyNumberFormat="1"/>
    <xf numFmtId="0" fontId="26" fillId="3" borderId="8" xfId="0" applyFont="1" applyFill="1" applyBorder="1" applyAlignment="1">
      <alignment vertical="center"/>
    </xf>
    <xf numFmtId="9" fontId="14" fillId="5" borderId="4" xfId="4" applyNumberFormat="1" applyFont="1" applyFill="1" applyBorder="1" applyAlignment="1" applyProtection="1">
      <alignment horizontal="center" vertical="center"/>
      <protection locked="0"/>
    </xf>
    <xf numFmtId="0" fontId="14" fillId="5" borderId="4" xfId="4" applyFont="1" applyFill="1" applyBorder="1" applyAlignment="1" applyProtection="1">
      <alignment horizontal="center" vertical="center"/>
      <protection locked="0"/>
    </xf>
    <xf numFmtId="0" fontId="0" fillId="6" borderId="0" xfId="0" applyFill="1"/>
    <xf numFmtId="0" fontId="11" fillId="6" borderId="10" xfId="1" applyFont="1" applyFill="1" applyBorder="1"/>
    <xf numFmtId="0" fontId="32" fillId="6" borderId="10" xfId="1" applyFont="1" applyFill="1" applyBorder="1"/>
    <xf numFmtId="0" fontId="0" fillId="6" borderId="10" xfId="0" applyFill="1" applyBorder="1"/>
    <xf numFmtId="0" fontId="0" fillId="6" borderId="0" xfId="0" applyFill="1" applyAlignment="1">
      <alignment horizontal="right"/>
    </xf>
    <xf numFmtId="0" fontId="18" fillId="6" borderId="0" xfId="0" applyFont="1" applyFill="1"/>
    <xf numFmtId="0" fontId="12" fillId="6" borderId="0" xfId="6" applyFont="1" applyFill="1" applyAlignment="1">
      <alignment horizontal="right"/>
    </xf>
    <xf numFmtId="0" fontId="44" fillId="6" borderId="0" xfId="0" applyFont="1" applyFill="1"/>
    <xf numFmtId="0" fontId="12" fillId="6" borderId="0" xfId="6" applyFont="1" applyFill="1" applyAlignment="1">
      <alignment horizontal="right" vertical="center"/>
    </xf>
    <xf numFmtId="0" fontId="12" fillId="6" borderId="0" xfId="0" applyFont="1" applyFill="1"/>
    <xf numFmtId="0" fontId="0" fillId="6" borderId="0" xfId="0" applyFill="1" applyAlignment="1">
      <alignment vertical="center"/>
    </xf>
    <xf numFmtId="0" fontId="15" fillId="6" borderId="0" xfId="0" applyFont="1" applyFill="1" applyAlignment="1">
      <alignment horizontal="right" vertical="center"/>
    </xf>
    <xf numFmtId="0" fontId="15" fillId="6" borderId="0" xfId="0" applyFont="1" applyFill="1" applyAlignment="1">
      <alignment vertical="center"/>
    </xf>
    <xf numFmtId="0" fontId="0" fillId="6" borderId="14" xfId="0" applyFill="1" applyBorder="1" applyAlignment="1">
      <alignment vertical="center"/>
    </xf>
    <xf numFmtId="0" fontId="15" fillId="6" borderId="14" xfId="0" applyFont="1" applyFill="1" applyBorder="1" applyAlignment="1">
      <alignment horizontal="right" vertical="center"/>
    </xf>
    <xf numFmtId="0" fontId="15" fillId="6" borderId="14" xfId="0" applyFont="1" applyFill="1" applyBorder="1" applyAlignment="1">
      <alignment vertical="center"/>
    </xf>
    <xf numFmtId="0" fontId="0" fillId="6" borderId="14" xfId="0" applyFill="1" applyBorder="1"/>
    <xf numFmtId="0" fontId="0" fillId="6" borderId="15" xfId="0" applyFill="1" applyBorder="1"/>
    <xf numFmtId="0" fontId="5" fillId="6" borderId="0" xfId="0" applyFont="1" applyFill="1"/>
    <xf numFmtId="0" fontId="51" fillId="6" borderId="0" xfId="0" applyFont="1" applyFill="1"/>
    <xf numFmtId="0" fontId="51" fillId="6" borderId="0" xfId="0" applyFont="1" applyFill="1" applyAlignment="1">
      <alignment vertical="top"/>
    </xf>
    <xf numFmtId="0" fontId="0" fillId="0" borderId="0" xfId="0" quotePrefix="1"/>
    <xf numFmtId="0" fontId="49" fillId="5" borderId="0" xfId="0" quotePrefix="1" applyFont="1" applyFill="1" applyAlignment="1">
      <alignment horizontal="left"/>
    </xf>
    <xf numFmtId="0" fontId="49" fillId="5" borderId="0" xfId="0" applyFont="1" applyFill="1" applyAlignment="1">
      <alignment horizontal="left" vertical="top"/>
    </xf>
    <xf numFmtId="0" fontId="0" fillId="5" borderId="0" xfId="0" applyFill="1" applyAlignment="1">
      <alignment horizontal="right" vertical="center"/>
    </xf>
    <xf numFmtId="0" fontId="52" fillId="5" borderId="0" xfId="0" applyFont="1" applyFill="1" applyAlignment="1">
      <alignment horizontal="right" vertical="center"/>
    </xf>
    <xf numFmtId="0" fontId="0" fillId="6" borderId="34" xfId="0" applyFill="1" applyBorder="1"/>
    <xf numFmtId="0" fontId="44" fillId="6" borderId="38" xfId="0" applyFont="1" applyFill="1" applyBorder="1"/>
    <xf numFmtId="0" fontId="0" fillId="6" borderId="0" xfId="0" applyFill="1" applyAlignment="1">
      <alignment horizontal="left"/>
    </xf>
    <xf numFmtId="0" fontId="43" fillId="6" borderId="0" xfId="0" applyFont="1" applyFill="1" applyAlignment="1">
      <alignment vertical="top"/>
    </xf>
    <xf numFmtId="0" fontId="43" fillId="6" borderId="0" xfId="0" applyFont="1" applyFill="1" applyAlignment="1">
      <alignment horizontal="right" vertical="center"/>
    </xf>
    <xf numFmtId="0" fontId="55" fillId="6" borderId="0" xfId="0" applyFont="1" applyFill="1" applyAlignment="1">
      <alignment vertical="top"/>
    </xf>
    <xf numFmtId="0" fontId="43" fillId="6" borderId="0" xfId="0" applyFont="1" applyFill="1" applyAlignment="1">
      <alignment horizontal="right" vertical="top"/>
    </xf>
    <xf numFmtId="0" fontId="51" fillId="6" borderId="0" xfId="0" applyFont="1" applyFill="1" applyAlignment="1">
      <alignment vertical="center"/>
    </xf>
    <xf numFmtId="166" fontId="14" fillId="5" borderId="4" xfId="4" applyNumberFormat="1" applyFont="1" applyFill="1" applyBorder="1" applyAlignment="1" applyProtection="1">
      <alignment horizontal="center" vertical="center"/>
      <protection locked="0"/>
    </xf>
    <xf numFmtId="0" fontId="55" fillId="6" borderId="0" xfId="0" applyFont="1" applyFill="1" applyAlignment="1">
      <alignment vertical="center"/>
    </xf>
    <xf numFmtId="0" fontId="58" fillId="5" borderId="34" xfId="0" applyFont="1" applyFill="1" applyBorder="1" applyAlignment="1">
      <alignment horizontal="right"/>
    </xf>
    <xf numFmtId="0" fontId="11" fillId="6" borderId="0" xfId="0" applyFont="1" applyFill="1" applyAlignment="1">
      <alignment horizontal="left" vertical="center"/>
    </xf>
    <xf numFmtId="0" fontId="31" fillId="6" borderId="0" xfId="0" applyFont="1" applyFill="1" applyAlignment="1">
      <alignment vertical="top"/>
    </xf>
    <xf numFmtId="0" fontId="59" fillId="0" borderId="0" xfId="0" applyFont="1"/>
    <xf numFmtId="0" fontId="60" fillId="0" borderId="0" xfId="0" applyFont="1" applyAlignment="1">
      <alignment vertical="center"/>
    </xf>
    <xf numFmtId="0" fontId="61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63" fillId="0" borderId="0" xfId="0" applyFont="1"/>
    <xf numFmtId="0" fontId="64" fillId="0" borderId="0" xfId="0" applyFont="1" applyAlignment="1">
      <alignment horizontal="right"/>
    </xf>
    <xf numFmtId="0" fontId="0" fillId="5" borderId="0" xfId="0" quotePrefix="1" applyFill="1"/>
    <xf numFmtId="166" fontId="0" fillId="0" borderId="0" xfId="0" applyNumberFormat="1"/>
    <xf numFmtId="0" fontId="0" fillId="0" borderId="41" xfId="0" applyBorder="1"/>
    <xf numFmtId="9" fontId="0" fillId="0" borderId="41" xfId="0" applyNumberFormat="1" applyBorder="1"/>
    <xf numFmtId="0" fontId="3" fillId="0" borderId="41" xfId="0" applyFont="1" applyBorder="1"/>
    <xf numFmtId="0" fontId="10" fillId="3" borderId="0" xfId="0" applyFont="1" applyFill="1" applyAlignment="1">
      <alignment horizontal="center" vertical="center"/>
    </xf>
    <xf numFmtId="167" fontId="0" fillId="0" borderId="0" xfId="0" applyNumberFormat="1" applyAlignment="1">
      <alignment horizontal="left"/>
    </xf>
    <xf numFmtId="0" fontId="49" fillId="5" borderId="0" xfId="0" applyFont="1" applyFill="1" applyAlignment="1">
      <alignment horizontal="right"/>
    </xf>
    <xf numFmtId="0" fontId="31" fillId="5" borderId="0" xfId="0" applyFont="1" applyFill="1" applyAlignment="1">
      <alignment horizontal="right" vertical="top"/>
    </xf>
    <xf numFmtId="1" fontId="0" fillId="0" borderId="0" xfId="0" applyNumberFormat="1"/>
    <xf numFmtId="169" fontId="0" fillId="0" borderId="0" xfId="0" applyNumberFormat="1"/>
    <xf numFmtId="0" fontId="0" fillId="0" borderId="0" xfId="0" applyAlignment="1">
      <alignment horizontal="center"/>
    </xf>
    <xf numFmtId="0" fontId="12" fillId="5" borderId="0" xfId="6" applyFont="1" applyFill="1" applyAlignment="1">
      <alignment horizontal="left" indent="2"/>
    </xf>
    <xf numFmtId="0" fontId="12" fillId="5" borderId="0" xfId="6" applyFont="1" applyFill="1" applyAlignment="1">
      <alignment horizontal="right" indent="2"/>
    </xf>
    <xf numFmtId="169" fontId="0" fillId="0" borderId="41" xfId="0" applyNumberFormat="1" applyBorder="1"/>
    <xf numFmtId="2" fontId="0" fillId="0" borderId="41" xfId="0" applyNumberFormat="1" applyBorder="1"/>
    <xf numFmtId="0" fontId="19" fillId="6" borderId="26" xfId="0" applyFont="1" applyFill="1" applyBorder="1" applyAlignment="1">
      <alignment horizontal="center" vertical="center"/>
    </xf>
    <xf numFmtId="0" fontId="64" fillId="0" borderId="0" xfId="0" applyFont="1"/>
    <xf numFmtId="0" fontId="67" fillId="0" borderId="0" xfId="0" applyFont="1"/>
    <xf numFmtId="0" fontId="67" fillId="0" borderId="0" xfId="0" applyFont="1" applyAlignment="1">
      <alignment horizontal="left"/>
    </xf>
    <xf numFmtId="166" fontId="64" fillId="0" borderId="0" xfId="0" applyNumberFormat="1" applyFont="1"/>
    <xf numFmtId="168" fontId="64" fillId="0" borderId="0" xfId="0" applyNumberFormat="1" applyFont="1"/>
    <xf numFmtId="165" fontId="0" fillId="0" borderId="0" xfId="0" applyNumberFormat="1"/>
    <xf numFmtId="0" fontId="4" fillId="0" borderId="0" xfId="0" applyFont="1"/>
    <xf numFmtId="1" fontId="64" fillId="0" borderId="0" xfId="0" applyNumberFormat="1" applyFont="1" applyAlignment="1">
      <alignment horizontal="left"/>
    </xf>
    <xf numFmtId="0" fontId="0" fillId="4" borderId="0" xfId="0" applyFill="1" applyAlignment="1">
      <alignment horizontal="center"/>
    </xf>
    <xf numFmtId="0" fontId="19" fillId="6" borderId="0" xfId="0" applyFont="1" applyFill="1" applyAlignment="1">
      <alignment horizontal="center" vertical="center"/>
    </xf>
    <xf numFmtId="0" fontId="35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0" fillId="6" borderId="0" xfId="0" applyFill="1" applyAlignment="1">
      <alignment horizontal="right" vertical="center"/>
    </xf>
    <xf numFmtId="0" fontId="68" fillId="6" borderId="0" xfId="0" applyFont="1" applyFill="1" applyAlignment="1">
      <alignment horizontal="left" vertical="center"/>
    </xf>
    <xf numFmtId="0" fontId="19" fillId="6" borderId="45" xfId="0" applyFont="1" applyFill="1" applyBorder="1" applyAlignment="1">
      <alignment horizontal="left" vertical="center"/>
    </xf>
    <xf numFmtId="0" fontId="28" fillId="6" borderId="0" xfId="6" applyFont="1" applyFill="1" applyBorder="1"/>
    <xf numFmtId="0" fontId="0" fillId="6" borderId="46" xfId="0" applyFill="1" applyBorder="1"/>
    <xf numFmtId="0" fontId="0" fillId="6" borderId="48" xfId="0" applyFill="1" applyBorder="1"/>
    <xf numFmtId="0" fontId="0" fillId="6" borderId="0" xfId="0" applyFill="1" applyAlignment="1">
      <alignment horizontal="left" vertical="center" indent="1"/>
    </xf>
    <xf numFmtId="0" fontId="0" fillId="6" borderId="0" xfId="0" applyFill="1" applyAlignment="1">
      <alignment horizontal="right" vertical="center" indent="2"/>
    </xf>
    <xf numFmtId="0" fontId="0" fillId="0" borderId="34" xfId="0" applyBorder="1"/>
    <xf numFmtId="0" fontId="19" fillId="6" borderId="25" xfId="0" applyFont="1" applyFill="1" applyBorder="1" applyAlignment="1">
      <alignment horizontal="left" vertical="center"/>
    </xf>
    <xf numFmtId="0" fontId="19" fillId="4" borderId="31" xfId="0" applyFont="1" applyFill="1" applyBorder="1" applyAlignment="1">
      <alignment horizontal="center" vertical="center"/>
    </xf>
    <xf numFmtId="0" fontId="19" fillId="4" borderId="32" xfId="0" applyFont="1" applyFill="1" applyBorder="1" applyAlignment="1">
      <alignment horizontal="center" vertical="center"/>
    </xf>
    <xf numFmtId="0" fontId="19" fillId="4" borderId="33" xfId="0" applyFont="1" applyFill="1" applyBorder="1" applyAlignment="1">
      <alignment horizontal="center" vertical="center"/>
    </xf>
    <xf numFmtId="1" fontId="19" fillId="4" borderId="31" xfId="0" applyNumberFormat="1" applyFont="1" applyFill="1" applyBorder="1" applyAlignment="1">
      <alignment horizontal="center" vertical="center"/>
    </xf>
    <xf numFmtId="1" fontId="20" fillId="4" borderId="31" xfId="0" applyNumberFormat="1" applyFont="1" applyFill="1" applyBorder="1" applyAlignment="1">
      <alignment horizontal="center" vertical="center"/>
    </xf>
    <xf numFmtId="9" fontId="19" fillId="4" borderId="31" xfId="2" applyFont="1" applyFill="1" applyBorder="1" applyAlignment="1">
      <alignment horizontal="center" vertical="center"/>
    </xf>
    <xf numFmtId="9" fontId="20" fillId="4" borderId="31" xfId="2" applyFont="1" applyFill="1" applyBorder="1" applyAlignment="1">
      <alignment horizontal="center" vertical="center"/>
    </xf>
    <xf numFmtId="166" fontId="19" fillId="4" borderId="32" xfId="0" applyNumberFormat="1" applyFont="1" applyFill="1" applyBorder="1" applyAlignment="1">
      <alignment horizontal="center" vertical="center"/>
    </xf>
    <xf numFmtId="166" fontId="19" fillId="4" borderId="31" xfId="0" applyNumberFormat="1" applyFont="1" applyFill="1" applyBorder="1" applyAlignment="1">
      <alignment horizontal="center" vertical="center"/>
    </xf>
    <xf numFmtId="166" fontId="20" fillId="4" borderId="33" xfId="0" applyNumberFormat="1" applyFont="1" applyFill="1" applyBorder="1" applyAlignment="1">
      <alignment horizontal="center" vertical="center"/>
    </xf>
    <xf numFmtId="165" fontId="19" fillId="4" borderId="31" xfId="0" applyNumberFormat="1" applyFont="1" applyFill="1" applyBorder="1" applyAlignment="1">
      <alignment horizontal="center" vertical="center"/>
    </xf>
    <xf numFmtId="1" fontId="19" fillId="4" borderId="40" xfId="0" applyNumberFormat="1" applyFont="1" applyFill="1" applyBorder="1" applyAlignment="1">
      <alignment horizontal="center" vertical="center"/>
    </xf>
    <xf numFmtId="166" fontId="19" fillId="4" borderId="41" xfId="0" applyNumberFormat="1" applyFont="1" applyFill="1" applyBorder="1" applyAlignment="1">
      <alignment horizontal="center" vertical="center"/>
    </xf>
    <xf numFmtId="166" fontId="19" fillId="4" borderId="40" xfId="0" applyNumberFormat="1" applyFont="1" applyFill="1" applyBorder="1" applyAlignment="1">
      <alignment horizontal="center" vertical="center"/>
    </xf>
    <xf numFmtId="1" fontId="19" fillId="4" borderId="42" xfId="0" applyNumberFormat="1" applyFont="1" applyFill="1" applyBorder="1" applyAlignment="1">
      <alignment horizontal="center" vertical="center"/>
    </xf>
    <xf numFmtId="166" fontId="19" fillId="4" borderId="43" xfId="0" applyNumberFormat="1" applyFont="1" applyFill="1" applyBorder="1" applyAlignment="1">
      <alignment horizontal="center" vertical="center"/>
    </xf>
    <xf numFmtId="166" fontId="19" fillId="4" borderId="42" xfId="0" applyNumberFormat="1" applyFont="1" applyFill="1" applyBorder="1" applyAlignment="1">
      <alignment horizontal="center" vertical="center"/>
    </xf>
    <xf numFmtId="11" fontId="0" fillId="0" borderId="0" xfId="3" applyNumberFormat="1" applyFont="1" applyFill="1" applyBorder="1"/>
    <xf numFmtId="166" fontId="20" fillId="4" borderId="31" xfId="0" applyNumberFormat="1" applyFont="1" applyFill="1" applyBorder="1" applyAlignment="1">
      <alignment horizontal="center" vertical="center"/>
    </xf>
    <xf numFmtId="0" fontId="3" fillId="5" borderId="0" xfId="0" applyFont="1" applyFill="1"/>
    <xf numFmtId="168" fontId="19" fillId="4" borderId="31" xfId="0" applyNumberFormat="1" applyFont="1" applyFill="1" applyBorder="1" applyAlignment="1">
      <alignment horizontal="center" vertical="center"/>
    </xf>
    <xf numFmtId="168" fontId="19" fillId="4" borderId="33" xfId="0" applyNumberFormat="1" applyFont="1" applyFill="1" applyBorder="1" applyAlignment="1">
      <alignment horizontal="center" vertical="center"/>
    </xf>
    <xf numFmtId="166" fontId="19" fillId="4" borderId="33" xfId="0" applyNumberFormat="1" applyFont="1" applyFill="1" applyBorder="1" applyAlignment="1">
      <alignment horizontal="center" vertical="center"/>
    </xf>
    <xf numFmtId="0" fontId="65" fillId="5" borderId="29" xfId="0" applyFont="1" applyFill="1" applyBorder="1" applyAlignment="1">
      <alignment horizontal="left" vertical="center"/>
    </xf>
    <xf numFmtId="0" fontId="69" fillId="0" borderId="0" xfId="0" applyFont="1" applyAlignment="1">
      <alignment horizontal="right"/>
    </xf>
    <xf numFmtId="0" fontId="69" fillId="0" borderId="0" xfId="0" applyFont="1" applyAlignment="1">
      <alignment horizontal="left"/>
    </xf>
    <xf numFmtId="0" fontId="18" fillId="5" borderId="0" xfId="0" applyFont="1" applyFill="1" applyAlignment="1">
      <alignment horizontal="right"/>
    </xf>
    <xf numFmtId="0" fontId="18" fillId="5" borderId="0" xfId="0" applyFont="1" applyFill="1" applyAlignment="1">
      <alignment horizontal="right" vertical="center"/>
    </xf>
    <xf numFmtId="0" fontId="12" fillId="6" borderId="0" xfId="0" applyFont="1" applyFill="1" applyAlignment="1">
      <alignment horizontal="right"/>
    </xf>
    <xf numFmtId="0" fontId="0" fillId="6" borderId="0" xfId="0" applyFill="1" applyAlignment="1">
      <alignment horizontal="center"/>
    </xf>
    <xf numFmtId="167" fontId="0" fillId="2" borderId="2" xfId="3" applyNumberFormat="1" applyFont="1"/>
    <xf numFmtId="0" fontId="3" fillId="5" borderId="39" xfId="0" applyFont="1" applyFill="1" applyBorder="1" applyAlignment="1" applyProtection="1">
      <alignment horizontal="center" vertical="center"/>
      <protection locked="0"/>
    </xf>
    <xf numFmtId="0" fontId="19" fillId="6" borderId="0" xfId="0" applyFont="1" applyFill="1" applyAlignment="1">
      <alignment horizontal="left" vertical="center"/>
    </xf>
    <xf numFmtId="0" fontId="0" fillId="5" borderId="37" xfId="0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5" borderId="30" xfId="0" applyFill="1" applyBorder="1" applyAlignment="1">
      <alignment horizontal="left" vertical="center"/>
    </xf>
    <xf numFmtId="0" fontId="0" fillId="5" borderId="29" xfId="0" applyFill="1" applyBorder="1" applyAlignment="1">
      <alignment horizontal="left" vertical="center"/>
    </xf>
    <xf numFmtId="0" fontId="12" fillId="5" borderId="0" xfId="6" applyFont="1" applyFill="1" applyAlignment="1">
      <alignment horizontal="left"/>
    </xf>
    <xf numFmtId="0" fontId="12" fillId="5" borderId="0" xfId="0" applyFont="1" applyFill="1" applyAlignment="1">
      <alignment horizontal="center"/>
    </xf>
    <xf numFmtId="0" fontId="0" fillId="5" borderId="50" xfId="0" applyFill="1" applyBorder="1" applyAlignment="1">
      <alignment horizontal="left" vertical="center"/>
    </xf>
    <xf numFmtId="166" fontId="20" fillId="4" borderId="29" xfId="0" applyNumberFormat="1" applyFont="1" applyFill="1" applyBorder="1" applyAlignment="1">
      <alignment horizontal="center" vertical="center"/>
    </xf>
    <xf numFmtId="0" fontId="49" fillId="5" borderId="0" xfId="0" quotePrefix="1" applyFont="1" applyFill="1" applyAlignment="1">
      <alignment vertical="center"/>
    </xf>
    <xf numFmtId="0" fontId="0" fillId="5" borderId="51" xfId="0" applyFill="1" applyBorder="1" applyAlignment="1">
      <alignment horizontal="left" vertical="center"/>
    </xf>
    <xf numFmtId="0" fontId="65" fillId="5" borderId="0" xfId="0" applyFont="1" applyFill="1" applyAlignment="1">
      <alignment horizontal="left" vertical="center"/>
    </xf>
    <xf numFmtId="0" fontId="19" fillId="5" borderId="52" xfId="0" applyFont="1" applyFill="1" applyBorder="1" applyAlignment="1">
      <alignment horizontal="left" vertical="center"/>
    </xf>
    <xf numFmtId="0" fontId="19" fillId="5" borderId="24" xfId="0" applyFont="1" applyFill="1" applyBorder="1" applyAlignment="1">
      <alignment horizontal="left" vertical="center"/>
    </xf>
    <xf numFmtId="0" fontId="19" fillId="5" borderId="34" xfId="0" applyFont="1" applyFill="1" applyBorder="1" applyAlignment="1">
      <alignment horizontal="left" vertical="center"/>
    </xf>
    <xf numFmtId="0" fontId="19" fillId="5" borderId="0" xfId="0" applyFont="1" applyFill="1" applyAlignment="1">
      <alignment horizontal="left" vertical="center" indent="2"/>
    </xf>
    <xf numFmtId="0" fontId="19" fillId="5" borderId="34" xfId="0" applyFont="1" applyFill="1" applyBorder="1" applyAlignment="1">
      <alignment horizontal="left" vertical="center" indent="2"/>
    </xf>
    <xf numFmtId="0" fontId="0" fillId="6" borderId="48" xfId="0" applyFill="1" applyBorder="1" applyAlignment="1">
      <alignment horizontal="center" vertical="center"/>
    </xf>
    <xf numFmtId="0" fontId="31" fillId="6" borderId="48" xfId="0" quotePrefix="1" applyFont="1" applyFill="1" applyBorder="1" applyAlignment="1">
      <alignment horizontal="left" vertical="center"/>
    </xf>
    <xf numFmtId="0" fontId="31" fillId="6" borderId="48" xfId="0" applyFont="1" applyFill="1" applyBorder="1" applyAlignment="1">
      <alignment horizontal="left" vertical="center"/>
    </xf>
    <xf numFmtId="0" fontId="31" fillId="6" borderId="25" xfId="0" applyFont="1" applyFill="1" applyBorder="1" applyAlignment="1">
      <alignment horizontal="left" vertical="center"/>
    </xf>
    <xf numFmtId="0" fontId="31" fillId="6" borderId="53" xfId="0" applyFont="1" applyFill="1" applyBorder="1" applyAlignment="1">
      <alignment horizontal="left" vertical="center"/>
    </xf>
    <xf numFmtId="0" fontId="0" fillId="6" borderId="25" xfId="0" applyFill="1" applyBorder="1" applyAlignment="1">
      <alignment horizontal="center" vertical="center"/>
    </xf>
    <xf numFmtId="0" fontId="12" fillId="6" borderId="0" xfId="0" applyFont="1" applyFill="1" applyAlignment="1">
      <alignment vertical="center"/>
    </xf>
    <xf numFmtId="0" fontId="53" fillId="6" borderId="0" xfId="0" applyFont="1" applyFill="1" applyAlignment="1">
      <alignment horizontal="right" vertical="center"/>
    </xf>
    <xf numFmtId="0" fontId="12" fillId="6" borderId="0" xfId="6" applyFont="1" applyFill="1" applyAlignment="1">
      <alignment horizontal="left" vertical="center"/>
    </xf>
    <xf numFmtId="0" fontId="54" fillId="6" borderId="0" xfId="0" applyFont="1" applyFill="1" applyAlignment="1">
      <alignment vertical="center"/>
    </xf>
    <xf numFmtId="0" fontId="12" fillId="6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/>
    </xf>
    <xf numFmtId="0" fontId="31" fillId="6" borderId="54" xfId="0" applyFont="1" applyFill="1" applyBorder="1" applyAlignment="1">
      <alignment horizontal="left" vertical="center"/>
    </xf>
    <xf numFmtId="0" fontId="0" fillId="4" borderId="12" xfId="0" applyFill="1" applyBorder="1"/>
    <xf numFmtId="0" fontId="0" fillId="4" borderId="12" xfId="0" applyFill="1" applyBorder="1" applyAlignment="1">
      <alignment horizontal="center" vertical="center"/>
    </xf>
    <xf numFmtId="0" fontId="0" fillId="4" borderId="47" xfId="0" applyFill="1" applyBorder="1"/>
    <xf numFmtId="0" fontId="0" fillId="5" borderId="24" xfId="0" applyFill="1" applyBorder="1" applyAlignment="1" applyProtection="1">
      <alignment horizontal="center" vertical="center"/>
      <protection locked="0"/>
    </xf>
    <xf numFmtId="0" fontId="65" fillId="5" borderId="34" xfId="0" applyFont="1" applyFill="1" applyBorder="1" applyAlignment="1" applyProtection="1">
      <alignment horizontal="center" vertical="center"/>
      <protection locked="0"/>
    </xf>
    <xf numFmtId="0" fontId="3" fillId="6" borderId="34" xfId="0" applyFont="1" applyFill="1" applyBorder="1" applyAlignment="1">
      <alignment vertical="center"/>
    </xf>
    <xf numFmtId="0" fontId="64" fillId="0" borderId="0" xfId="0" applyFont="1" applyAlignment="1">
      <alignment horizontal="right" vertical="top"/>
    </xf>
    <xf numFmtId="0" fontId="0" fillId="0" borderId="36" xfId="0" applyBorder="1"/>
    <xf numFmtId="0" fontId="0" fillId="5" borderId="22" xfId="0" applyFill="1" applyBorder="1" applyAlignment="1">
      <alignment vertical="top"/>
    </xf>
    <xf numFmtId="0" fontId="0" fillId="5" borderId="22" xfId="0" applyFill="1" applyBorder="1" applyAlignment="1">
      <alignment horizontal="right" vertical="top"/>
    </xf>
    <xf numFmtId="0" fontId="0" fillId="7" borderId="0" xfId="0" applyFill="1"/>
    <xf numFmtId="2" fontId="0" fillId="7" borderId="0" xfId="0" applyNumberFormat="1" applyFill="1"/>
    <xf numFmtId="0" fontId="71" fillId="7" borderId="0" xfId="0" applyFont="1" applyFill="1"/>
    <xf numFmtId="0" fontId="71" fillId="8" borderId="0" xfId="0" applyFont="1" applyFill="1"/>
    <xf numFmtId="0" fontId="0" fillId="8" borderId="0" xfId="0" applyFill="1"/>
    <xf numFmtId="0" fontId="21" fillId="0" borderId="0" xfId="0" applyFont="1"/>
    <xf numFmtId="0" fontId="21" fillId="0" borderId="41" xfId="0" applyFont="1" applyBorder="1"/>
    <xf numFmtId="0" fontId="35" fillId="5" borderId="34" xfId="0" applyFont="1" applyFill="1" applyBorder="1" applyAlignment="1" applyProtection="1">
      <alignment horizontal="center" vertical="center"/>
      <protection locked="0"/>
    </xf>
    <xf numFmtId="0" fontId="0" fillId="0" borderId="55" xfId="0" applyBorder="1"/>
    <xf numFmtId="164" fontId="0" fillId="0" borderId="55" xfId="0" applyNumberFormat="1" applyBorder="1"/>
    <xf numFmtId="0" fontId="10" fillId="7" borderId="0" xfId="0" applyFont="1" applyFill="1"/>
    <xf numFmtId="164" fontId="47" fillId="7" borderId="0" xfId="0" applyNumberFormat="1" applyFont="1" applyFill="1"/>
    <xf numFmtId="0" fontId="47" fillId="7" borderId="0" xfId="0" applyFont="1" applyFill="1"/>
    <xf numFmtId="11" fontId="47" fillId="7" borderId="0" xfId="0" applyNumberFormat="1" applyFont="1" applyFill="1"/>
    <xf numFmtId="0" fontId="18" fillId="5" borderId="0" xfId="0" applyFont="1" applyFill="1" applyAlignment="1">
      <alignment vertical="top"/>
    </xf>
    <xf numFmtId="0" fontId="0" fillId="5" borderId="44" xfId="0" applyFill="1" applyBorder="1" applyAlignment="1">
      <alignment horizontal="left" vertical="center"/>
    </xf>
    <xf numFmtId="0" fontId="0" fillId="5" borderId="0" xfId="0" quotePrefix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/>
    </xf>
    <xf numFmtId="0" fontId="18" fillId="5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0" fillId="0" borderId="56" xfId="0" applyBorder="1"/>
    <xf numFmtId="0" fontId="19" fillId="6" borderId="34" xfId="0" applyFont="1" applyFill="1" applyBorder="1" applyAlignment="1">
      <alignment horizontal="left" vertical="center" wrapText="1"/>
    </xf>
    <xf numFmtId="0" fontId="0" fillId="0" borderId="0" xfId="0" applyAlignment="1" applyProtection="1">
      <alignment horizontal="left"/>
      <protection locked="0"/>
    </xf>
    <xf numFmtId="0" fontId="0" fillId="0" borderId="0" xfId="0" quotePrefix="1" applyProtection="1">
      <protection locked="0"/>
    </xf>
    <xf numFmtId="0" fontId="0" fillId="0" borderId="57" xfId="0" applyBorder="1"/>
    <xf numFmtId="0" fontId="35" fillId="5" borderId="0" xfId="0" applyFont="1" applyFill="1" applyAlignment="1" applyProtection="1">
      <alignment horizontal="center" vertical="center" wrapText="1"/>
      <protection locked="0"/>
    </xf>
    <xf numFmtId="0" fontId="35" fillId="5" borderId="0" xfId="0" applyFont="1" applyFill="1" applyAlignment="1" applyProtection="1">
      <alignment horizontal="center" vertical="center"/>
      <protection locked="0"/>
    </xf>
    <xf numFmtId="0" fontId="35" fillId="5" borderId="24" xfId="0" applyFont="1" applyFill="1" applyBorder="1" applyAlignment="1" applyProtection="1">
      <alignment horizontal="center" vertical="center"/>
      <protection locked="0"/>
    </xf>
    <xf numFmtId="0" fontId="35" fillId="5" borderId="34" xfId="0" applyFont="1" applyFill="1" applyBorder="1" applyAlignment="1" applyProtection="1">
      <alignment horizontal="center" vertical="center"/>
      <protection locked="0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35" fillId="5" borderId="24" xfId="0" applyFont="1" applyFill="1" applyBorder="1" applyAlignment="1" applyProtection="1">
      <alignment horizontal="center" vertical="center" wrapText="1"/>
      <protection locked="0"/>
    </xf>
    <xf numFmtId="0" fontId="35" fillId="5" borderId="34" xfId="0" applyFont="1" applyFill="1" applyBorder="1" applyAlignment="1" applyProtection="1">
      <alignment horizontal="center" vertical="center" wrapText="1"/>
      <protection locked="0"/>
    </xf>
    <xf numFmtId="0" fontId="57" fillId="5" borderId="34" xfId="0" applyFont="1" applyFill="1" applyBorder="1" applyAlignment="1" applyProtection="1">
      <alignment horizontal="left"/>
      <protection locked="0"/>
    </xf>
    <xf numFmtId="0" fontId="26" fillId="3" borderId="8" xfId="0" applyFont="1" applyFill="1" applyBorder="1" applyAlignment="1">
      <alignment horizontal="center" vertical="center"/>
    </xf>
    <xf numFmtId="0" fontId="33" fillId="3" borderId="8" xfId="7" applyFont="1" applyFill="1" applyBorder="1" applyAlignment="1">
      <alignment horizontal="center" vertical="center"/>
    </xf>
    <xf numFmtId="0" fontId="11" fillId="5" borderId="10" xfId="1" applyFont="1" applyFill="1" applyBorder="1" applyAlignment="1">
      <alignment horizontal="left"/>
    </xf>
    <xf numFmtId="0" fontId="19" fillId="6" borderId="26" xfId="0" applyFont="1" applyFill="1" applyBorder="1" applyAlignment="1" applyProtection="1">
      <alignment horizontal="center" vertical="center"/>
      <protection locked="0"/>
    </xf>
    <xf numFmtId="0" fontId="52" fillId="5" borderId="49" xfId="0" quotePrefix="1" applyFont="1" applyFill="1" applyBorder="1" applyAlignment="1">
      <alignment horizontal="left" vertical="top" wrapText="1"/>
    </xf>
    <xf numFmtId="0" fontId="52" fillId="5" borderId="0" xfId="0" quotePrefix="1" applyFont="1" applyFill="1" applyAlignment="1">
      <alignment horizontal="left" vertical="top" wrapText="1"/>
    </xf>
    <xf numFmtId="0" fontId="52" fillId="5" borderId="12" xfId="0" quotePrefix="1" applyFont="1" applyFill="1" applyBorder="1" applyAlignment="1">
      <alignment horizontal="left" vertical="top" wrapText="1"/>
    </xf>
    <xf numFmtId="0" fontId="0" fillId="5" borderId="49" xfId="0" applyFill="1" applyBorder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0" fillId="5" borderId="12" xfId="0" applyFill="1" applyBorder="1" applyAlignment="1">
      <alignment horizontal="left" vertical="top" wrapText="1"/>
    </xf>
    <xf numFmtId="0" fontId="0" fillId="0" borderId="0" xfId="0"/>
    <xf numFmtId="0" fontId="19" fillId="5" borderId="0" xfId="0" applyFont="1" applyFill="1" applyAlignment="1">
      <alignment horizontal="left"/>
    </xf>
    <xf numFmtId="0" fontId="19" fillId="5" borderId="22" xfId="0" applyFont="1" applyFill="1" applyBorder="1" applyAlignment="1">
      <alignment horizontal="left" vertical="center"/>
    </xf>
    <xf numFmtId="0" fontId="19" fillId="5" borderId="49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9" fillId="5" borderId="29" xfId="0" applyFont="1" applyFill="1" applyBorder="1" applyAlignment="1">
      <alignment horizontal="center" vertical="center"/>
    </xf>
    <xf numFmtId="0" fontId="64" fillId="0" borderId="0" xfId="0" applyFont="1" applyAlignment="1" applyProtection="1">
      <alignment horizontal="left"/>
      <protection locked="0"/>
    </xf>
    <xf numFmtId="0" fontId="67" fillId="0" borderId="0" xfId="0" applyFont="1" applyAlignment="1">
      <alignment horizontal="left"/>
    </xf>
    <xf numFmtId="0" fontId="64" fillId="0" borderId="0" xfId="0" applyFont="1" applyAlignment="1">
      <alignment horizontal="left" vertical="top" wrapText="1"/>
    </xf>
  </cellXfs>
  <cellStyles count="9">
    <cellStyle name="Heading 1" xfId="1" builtinId="16"/>
    <cellStyle name="Heading 2" xfId="8" builtinId="17"/>
    <cellStyle name="Heading 4" xfId="6" builtinId="19"/>
    <cellStyle name="Hyperlink" xfId="7" builtinId="8"/>
    <cellStyle name="Linked Cell" xfId="4" builtinId="24"/>
    <cellStyle name="Normal" xfId="0" builtinId="0"/>
    <cellStyle name="Note" xfId="3" builtinId="10"/>
    <cellStyle name="Percent" xfId="2" builtinId="5"/>
    <cellStyle name="Title" xfId="5" builtinId="15"/>
  </cellStyles>
  <dxfs count="26">
    <dxf>
      <font>
        <color rgb="FFC0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1" tint="0.499984740745262"/>
      </font>
    </dxf>
    <dxf>
      <font>
        <color theme="1" tint="0.499984740745262"/>
      </font>
    </dxf>
    <dxf>
      <font>
        <color rgb="FFC00000"/>
      </font>
    </dxf>
    <dxf>
      <font>
        <color theme="0" tint="-0.34998626667073579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1" tint="0.24994659260841701"/>
      </font>
      <fill>
        <patternFill>
          <bgColor theme="1" tint="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24994659260841701"/>
      </font>
      <fill>
        <patternFill>
          <bgColor theme="1" tint="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C00000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theme="0" tint="-0.14996795556505021"/>
        </patternFill>
      </fill>
    </dxf>
    <dxf>
      <font>
        <color rgb="FFC0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'LMC-ADequations'!$BM$94:$BM$104</c:f>
              <c:numCache>
                <c:formatCode>General</c:formatCode>
                <c:ptCount val="11"/>
                <c:pt idx="0">
                  <c:v>5.3438335778734301</c:v>
                </c:pt>
                <c:pt idx="1">
                  <c:v>13.944559809717058</c:v>
                </c:pt>
                <c:pt idx="2">
                  <c:v>24.790328550608102</c:v>
                </c:pt>
                <c:pt idx="10">
                  <c:v>34.434525244403353</c:v>
                </c:pt>
              </c:numCache>
            </c:numRef>
          </c:xVal>
          <c:yVal>
            <c:numRef>
              <c:f>'LMC-ADequations'!$BL$94:$BL$104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1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6C-4C68-8BBF-81E060621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9133360"/>
        <c:axId val="609131184"/>
      </c:scatterChart>
      <c:valAx>
        <c:axId val="609133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131184"/>
        <c:crosses val="autoZero"/>
        <c:crossBetween val="midCat"/>
      </c:valAx>
      <c:valAx>
        <c:axId val="609131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1333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Heating</a:t>
            </a:r>
            <a:r>
              <a:rPr lang="en-AU" baseline="0"/>
              <a:t> Slope</a:t>
            </a:r>
            <a:endParaRPr lang="en-AU"/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forward val="5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'LMC-ADequations'!$A$109:$A$113</c:f>
              <c:numCache>
                <c:formatCode>General</c:formatCode>
                <c:ptCount val="5"/>
                <c:pt idx="0">
                  <c:v>2</c:v>
                </c:pt>
                <c:pt idx="1">
                  <c:v>2.7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'LMC-ADequations'!$B$109:$B$113</c:f>
              <c:numCache>
                <c:formatCode>General</c:formatCode>
                <c:ptCount val="5"/>
                <c:pt idx="0">
                  <c:v>1.01123595505618</c:v>
                </c:pt>
                <c:pt idx="1">
                  <c:v>0.66725663716814154</c:v>
                </c:pt>
                <c:pt idx="2">
                  <c:v>0.54867256637168138</c:v>
                </c:pt>
                <c:pt idx="3">
                  <c:v>0.27433628318584069</c:v>
                </c:pt>
                <c:pt idx="4">
                  <c:v>8.8495575221238937E-2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527-4CCC-AFBC-4EF5166D9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9934016"/>
        <c:axId val="1461240976"/>
      </c:scatterChart>
      <c:valAx>
        <c:axId val="1179934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61240976"/>
        <c:crosses val="autoZero"/>
        <c:crossBetween val="midCat"/>
      </c:valAx>
      <c:valAx>
        <c:axId val="146124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99340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Radio" firstButton="1" fmlaLink="'LMC-ADequations'!$B$14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checked="Checked" firstButton="1" fmlaLink="'LMC-ADequations'!$B$18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Radio" firstButton="1" fmlaLink="data!$C$8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Radio" checked="Checked" firstButton="1" fmlaLink="data!$C$26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Radio" firstButton="1" fmlaLink="data!$C$7" lockText="1" noThreeD="1"/>
</file>

<file path=xl/ctrlProps/ctrlProp18.xml><?xml version="1.0" encoding="utf-8"?>
<formControlPr xmlns="http://schemas.microsoft.com/office/spreadsheetml/2009/9/main" objectType="Radio" checked="Checked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checked="Checked" firstButton="1" fmlaLink="data!$B$34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Radio" checked="Checked" firstButton="1" fmlaLink="data!$C$28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Radio" checked="Checked" firstButton="1" fmlaLink="data!$C$29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Radio" checked="Checked" firstButton="1" fmlaLink="'LMC-ADequations'!$B$21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Radio" checked="Checked" firstButton="1" fmlaLink="'LMC-ADequations'!$B$3" lockText="1" noThreeD="1"/>
</file>

<file path=xl/ctrlProps/ctrlProp37.xml><?xml version="1.0" encoding="utf-8"?>
<formControlPr xmlns="http://schemas.microsoft.com/office/spreadsheetml/2009/9/main" objectType="Radio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Radio" checked="Checked" firstButton="1" fmlaLink="'LMC-ADequations'!$B$44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Radio" lockText="1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Radio" checked="Checked" firstButton="1" fmlaLink="data!$B$43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Radio" lockText="1" noThreeD="1"/>
</file>

<file path=xl/ctrlProps/ctrlProp48.xml><?xml version="1.0" encoding="utf-8"?>
<formControlPr xmlns="http://schemas.microsoft.com/office/spreadsheetml/2009/9/main" objectType="Radio" lockText="1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Radio" checked="Checked" firstButton="1" fmlaLink="data!$B$49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Radio" checked="Checked" firstButton="1" fmlaLink="data!$B$55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Radio" lockText="1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Radio" checked="Checked" firstButton="1" fmlaLink="data!$B$60" lockText="1" noThreeD="1"/>
</file>

<file path=xl/ctrlProps/ctrlProp58.xml><?xml version="1.0" encoding="utf-8"?>
<formControlPr xmlns="http://schemas.microsoft.com/office/spreadsheetml/2009/9/main" objectType="Radio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Radio" lockText="1" noThreeD="1"/>
</file>

<file path=xl/ctrlProps/ctrlProp61.xml><?xml version="1.0" encoding="utf-8"?>
<formControlPr xmlns="http://schemas.microsoft.com/office/spreadsheetml/2009/9/main" objectType="Radio" lockText="1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Radio" checked="Checked" firstButton="1" fmlaLink="data!$B$11" lockText="1" noThreeD="1"/>
</file>

<file path=xl/ctrlProps/ctrlProp64.xml><?xml version="1.0" encoding="utf-8"?>
<formControlPr xmlns="http://schemas.microsoft.com/office/spreadsheetml/2009/9/main" objectType="Radio" lockText="1" noThreeD="1"/>
</file>

<file path=xl/ctrlProps/ctrlProp65.xml><?xml version="1.0" encoding="utf-8"?>
<formControlPr xmlns="http://schemas.microsoft.com/office/spreadsheetml/2009/9/main" objectType="Radio" lockText="1" noThreeD="1"/>
</file>

<file path=xl/ctrlProps/ctrlProp6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5.emf"/><Relationship Id="rId5" Type="http://schemas.openxmlformats.org/officeDocument/2006/relationships/image" Target="../media/image4.emf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emf"/><Relationship Id="rId2" Type="http://schemas.openxmlformats.org/officeDocument/2006/relationships/image" Target="../media/image2.png"/><Relationship Id="rId1" Type="http://schemas.openxmlformats.org/officeDocument/2006/relationships/image" Target="../media/image32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9.emf"/><Relationship Id="rId5" Type="http://schemas.openxmlformats.org/officeDocument/2006/relationships/image" Target="../media/image13.emf"/><Relationship Id="rId4" Type="http://schemas.openxmlformats.org/officeDocument/2006/relationships/image" Target="../media/image12.emf"/></Relationships>
</file>

<file path=xl/drawings/_rels/vmlDrawing3.vml.rels><?xml version="1.0" encoding="UTF-8" standalone="yes"?>
<Relationships xmlns="http://schemas.openxmlformats.org/package/2006/relationships"><Relationship Id="rId8" Type="http://schemas.openxmlformats.org/officeDocument/2006/relationships/image" Target="../media/image24.emf"/><Relationship Id="rId13" Type="http://schemas.openxmlformats.org/officeDocument/2006/relationships/image" Target="../media/image31.emf"/><Relationship Id="rId3" Type="http://schemas.openxmlformats.org/officeDocument/2006/relationships/image" Target="../media/image19.emf"/><Relationship Id="rId7" Type="http://schemas.openxmlformats.org/officeDocument/2006/relationships/image" Target="../media/image23.emf"/><Relationship Id="rId12" Type="http://schemas.openxmlformats.org/officeDocument/2006/relationships/image" Target="../media/image30.emf"/><Relationship Id="rId2" Type="http://schemas.openxmlformats.org/officeDocument/2006/relationships/image" Target="../media/image18.emf"/><Relationship Id="rId1" Type="http://schemas.openxmlformats.org/officeDocument/2006/relationships/image" Target="../media/image17.emf"/><Relationship Id="rId6" Type="http://schemas.openxmlformats.org/officeDocument/2006/relationships/image" Target="../media/image22.emf"/><Relationship Id="rId11" Type="http://schemas.openxmlformats.org/officeDocument/2006/relationships/image" Target="../media/image27.emf"/><Relationship Id="rId5" Type="http://schemas.openxmlformats.org/officeDocument/2006/relationships/image" Target="../media/image21.emf"/><Relationship Id="rId10" Type="http://schemas.openxmlformats.org/officeDocument/2006/relationships/image" Target="../media/image26.emf"/><Relationship Id="rId4" Type="http://schemas.openxmlformats.org/officeDocument/2006/relationships/image" Target="../media/image20.emf"/><Relationship Id="rId9" Type="http://schemas.openxmlformats.org/officeDocument/2006/relationships/image" Target="../media/image25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808264</xdr:colOff>
      <xdr:row>7</xdr:row>
      <xdr:rowOff>55790</xdr:rowOff>
    </xdr:from>
    <xdr:to>
      <xdr:col>18</xdr:col>
      <xdr:colOff>921204</xdr:colOff>
      <xdr:row>28</xdr:row>
      <xdr:rowOff>41737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  <a14:imgEffect>
                    <a14:brightnessContrast contrast="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 l="31905" r="3707"/>
        <a:stretch/>
      </xdr:blipFill>
      <xdr:spPr>
        <a:xfrm>
          <a:off x="14371864" y="1665515"/>
          <a:ext cx="2773136" cy="4801968"/>
        </a:xfrm>
        <a:prstGeom prst="rect">
          <a:avLst/>
        </a:prstGeom>
        <a:effectLst>
          <a:softEdge rad="63500"/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12565</xdr:colOff>
          <xdr:row>7</xdr:row>
          <xdr:rowOff>147116</xdr:rowOff>
        </xdr:from>
        <xdr:to>
          <xdr:col>13</xdr:col>
          <xdr:colOff>534280</xdr:colOff>
          <xdr:row>9</xdr:row>
          <xdr:rowOff>72836</xdr:rowOff>
        </xdr:to>
        <xdr:grpSp>
          <xdr:nvGrpSpPr>
            <xdr:cNvPr id="2" name="Group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9185140" y="1766366"/>
              <a:ext cx="2836290" cy="382920"/>
              <a:chOff x="7896200" y="1285856"/>
              <a:chExt cx="2819396" cy="390534"/>
            </a:xfrm>
          </xdr:grpSpPr>
          <xdr:sp macro="" textlink="">
            <xdr:nvSpPr>
              <xdr:cNvPr id="1033" name="Option Button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9443977" y="1390652"/>
                <a:ext cx="644078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4" name="Option Button 10" hidden="1">
                <a:extLst>
                  <a:ext uri="{63B3BB69-23CF-44E3-9099-C40C66FF867C}">
                    <a14:compatExt spid="_x0000_s1034"/>
                  </a:ext>
                  <a:ext uri="{FF2B5EF4-FFF2-40B4-BE49-F238E27FC236}">
                    <a16:creationId xmlns:a16="http://schemas.microsoft.com/office/drawing/2014/main" id="{00000000-0008-0000-0000-00000A040000}"/>
                  </a:ext>
                </a:extLst>
              </xdr:cNvPr>
              <xdr:cNvSpPr/>
            </xdr:nvSpPr>
            <xdr:spPr bwMode="auto">
              <a:xfrm>
                <a:off x="8673747" y="1389646"/>
                <a:ext cx="578578" cy="21984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0" name="Group Box 16" hidden="1">
                <a:extLst>
                  <a:ext uri="{63B3BB69-23CF-44E3-9099-C40C66FF867C}">
                    <a14:compatExt spid="_x0000_s1040"/>
                  </a:ext>
                  <a:ext uri="{FF2B5EF4-FFF2-40B4-BE49-F238E27FC236}">
                    <a16:creationId xmlns:a16="http://schemas.microsoft.com/office/drawing/2014/main" id="{00000000-0008-0000-0000-000010040000}"/>
                  </a:ext>
                </a:extLst>
              </xdr:cNvPr>
              <xdr:cNvSpPr/>
            </xdr:nvSpPr>
            <xdr:spPr bwMode="auto">
              <a:xfrm>
                <a:off x="7896200" y="1285856"/>
                <a:ext cx="2819396" cy="39053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xdr:twoCellAnchor editAs="oneCell">
    <xdr:from>
      <xdr:col>16</xdr:col>
      <xdr:colOff>257029</xdr:colOff>
      <xdr:row>1</xdr:row>
      <xdr:rowOff>95180</xdr:rowOff>
    </xdr:from>
    <xdr:to>
      <xdr:col>18</xdr:col>
      <xdr:colOff>813406</xdr:colOff>
      <xdr:row>2</xdr:row>
      <xdr:rowOff>269347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21507" y="305006"/>
          <a:ext cx="2408555" cy="44810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181535</xdr:colOff>
          <xdr:row>73</xdr:row>
          <xdr:rowOff>4169</xdr:rowOff>
        </xdr:from>
        <xdr:to>
          <xdr:col>11</xdr:col>
          <xdr:colOff>431612</xdr:colOff>
          <xdr:row>74</xdr:row>
          <xdr:rowOff>3289</xdr:rowOff>
        </xdr:to>
        <xdr:grpSp>
          <xdr:nvGrpSpPr>
            <xdr:cNvPr id="17" name="Length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GrpSpPr/>
          </xdr:nvGrpSpPr>
          <xdr:grpSpPr>
            <a:xfrm>
              <a:off x="4724960" y="17558744"/>
              <a:ext cx="5650752" cy="303920"/>
              <a:chOff x="4145757" y="15662442"/>
              <a:chExt cx="5603861" cy="280194"/>
            </a:xfrm>
          </xdr:grpSpPr>
          <xdr:sp macro="" textlink="">
            <xdr:nvSpPr>
              <xdr:cNvPr id="1052" name="Group Box 28" hidden="1">
                <a:extLst>
                  <a:ext uri="{63B3BB69-23CF-44E3-9099-C40C66FF867C}">
                    <a14:compatExt spid="_x0000_s1052"/>
                  </a:ext>
                  <a:ext uri="{FF2B5EF4-FFF2-40B4-BE49-F238E27FC236}">
                    <a16:creationId xmlns:a16="http://schemas.microsoft.com/office/drawing/2014/main" id="{00000000-0008-0000-0000-00001C040000}"/>
                  </a:ext>
                </a:extLst>
              </xdr:cNvPr>
              <xdr:cNvSpPr/>
            </xdr:nvSpPr>
            <xdr:spPr bwMode="auto">
              <a:xfrm>
                <a:off x="4145757" y="15662442"/>
                <a:ext cx="5603861" cy="28019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28</a:t>
                </a:r>
              </a:p>
            </xdr:txBody>
          </xdr:sp>
          <xdr:sp macro="" textlink="">
            <xdr:nvSpPr>
              <xdr:cNvPr id="1053" name="Option Button 29" hidden="1">
                <a:extLst>
                  <a:ext uri="{63B3BB69-23CF-44E3-9099-C40C66FF867C}">
                    <a14:compatExt spid="_x0000_s1053"/>
                  </a:ext>
                  <a:ext uri="{FF2B5EF4-FFF2-40B4-BE49-F238E27FC236}">
                    <a16:creationId xmlns:a16="http://schemas.microsoft.com/office/drawing/2014/main" id="{00000000-0008-0000-0000-00001D040000}"/>
                  </a:ext>
                </a:extLst>
              </xdr:cNvPr>
              <xdr:cNvSpPr/>
            </xdr:nvSpPr>
            <xdr:spPr bwMode="auto">
              <a:xfrm>
                <a:off x="6864349" y="15694002"/>
                <a:ext cx="786606" cy="19207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4" name="Option Button 30" hidden="1">
                <a:extLst>
                  <a:ext uri="{63B3BB69-23CF-44E3-9099-C40C66FF867C}">
                    <a14:compatExt spid="_x0000_s1054"/>
                  </a:ext>
                  <a:ext uri="{FF2B5EF4-FFF2-40B4-BE49-F238E27FC236}">
                    <a16:creationId xmlns:a16="http://schemas.microsoft.com/office/drawing/2014/main" id="{00000000-0008-0000-0000-00001E040000}"/>
                  </a:ext>
                </a:extLst>
              </xdr:cNvPr>
              <xdr:cNvSpPr/>
            </xdr:nvSpPr>
            <xdr:spPr bwMode="auto">
              <a:xfrm>
                <a:off x="5298591" y="15678822"/>
                <a:ext cx="804054" cy="2159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5" name="Option Button 31" hidden="1">
                <a:extLst>
                  <a:ext uri="{63B3BB69-23CF-44E3-9099-C40C66FF867C}">
                    <a14:compatExt spid="_x0000_s1055"/>
                  </a:ext>
                  <a:ext uri="{FF2B5EF4-FFF2-40B4-BE49-F238E27FC236}">
                    <a16:creationId xmlns:a16="http://schemas.microsoft.com/office/drawing/2014/main" id="{00000000-0008-0000-0000-00001F040000}"/>
                  </a:ext>
                </a:extLst>
              </xdr:cNvPr>
              <xdr:cNvSpPr/>
            </xdr:nvSpPr>
            <xdr:spPr bwMode="auto">
              <a:xfrm>
                <a:off x="8411539" y="15706241"/>
                <a:ext cx="781114" cy="195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30681</xdr:colOff>
          <xdr:row>76</xdr:row>
          <xdr:rowOff>8198</xdr:rowOff>
        </xdr:from>
        <xdr:to>
          <xdr:col>11</xdr:col>
          <xdr:colOff>24773</xdr:colOff>
          <xdr:row>76</xdr:row>
          <xdr:rowOff>292022</xdr:rowOff>
        </xdr:to>
        <xdr:grpSp>
          <xdr:nvGrpSpPr>
            <xdr:cNvPr id="10" name="Side Profile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5345631" y="18477173"/>
              <a:ext cx="4623242" cy="283824"/>
              <a:chOff x="4355306" y="16566700"/>
              <a:chExt cx="5312572" cy="286542"/>
            </a:xfrm>
          </xdr:grpSpPr>
          <xdr:sp macro="" textlink="">
            <xdr:nvSpPr>
              <xdr:cNvPr id="1057" name="Option Button 33" hidden="1">
                <a:extLst>
                  <a:ext uri="{63B3BB69-23CF-44E3-9099-C40C66FF867C}">
                    <a14:compatExt spid="_x0000_s1057"/>
                  </a:ext>
                  <a:ext uri="{FF2B5EF4-FFF2-40B4-BE49-F238E27FC236}">
                    <a16:creationId xmlns:a16="http://schemas.microsoft.com/office/drawing/2014/main" id="{00000000-0008-0000-0000-000021040000}"/>
                  </a:ext>
                </a:extLst>
              </xdr:cNvPr>
              <xdr:cNvSpPr/>
            </xdr:nvSpPr>
            <xdr:spPr bwMode="auto">
              <a:xfrm>
                <a:off x="4995232" y="16617157"/>
                <a:ext cx="1395413" cy="1968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8" name="Option Button 34" hidden="1">
                <a:extLst>
                  <a:ext uri="{63B3BB69-23CF-44E3-9099-C40C66FF867C}">
                    <a14:compatExt spid="_x0000_s1058"/>
                  </a:ext>
                  <a:ext uri="{FF2B5EF4-FFF2-40B4-BE49-F238E27FC236}">
                    <a16:creationId xmlns:a16="http://schemas.microsoft.com/office/drawing/2014/main" id="{00000000-0008-0000-0000-000022040000}"/>
                  </a:ext>
                </a:extLst>
              </xdr:cNvPr>
              <xdr:cNvSpPr/>
            </xdr:nvSpPr>
            <xdr:spPr bwMode="auto">
              <a:xfrm>
                <a:off x="6785239" y="16594504"/>
                <a:ext cx="896632" cy="2222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9" name="Group Box 35" hidden="1">
                <a:extLst>
                  <a:ext uri="{63B3BB69-23CF-44E3-9099-C40C66FF867C}">
                    <a14:compatExt spid="_x0000_s1059"/>
                  </a:ext>
                  <a:ext uri="{FF2B5EF4-FFF2-40B4-BE49-F238E27FC236}">
                    <a16:creationId xmlns:a16="http://schemas.microsoft.com/office/drawing/2014/main" id="{00000000-0008-0000-0000-000023040000}"/>
                  </a:ext>
                </a:extLst>
              </xdr:cNvPr>
              <xdr:cNvSpPr/>
            </xdr:nvSpPr>
            <xdr:spPr bwMode="auto">
              <a:xfrm>
                <a:off x="4355306" y="16566700"/>
                <a:ext cx="5312572" cy="28654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35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299197</xdr:colOff>
          <xdr:row>80</xdr:row>
          <xdr:rowOff>35610</xdr:rowOff>
        </xdr:from>
        <xdr:to>
          <xdr:col>8</xdr:col>
          <xdr:colOff>614082</xdr:colOff>
          <xdr:row>80</xdr:row>
          <xdr:rowOff>272827</xdr:rowOff>
        </xdr:to>
        <xdr:grpSp>
          <xdr:nvGrpSpPr>
            <xdr:cNvPr id="9" name="Barrel Colour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5614147" y="19723785"/>
              <a:ext cx="2629460" cy="237217"/>
              <a:chOff x="4673605" y="17778940"/>
              <a:chExt cx="3009906" cy="241302"/>
            </a:xfrm>
          </xdr:grpSpPr>
          <xdr:sp macro="" textlink="">
            <xdr:nvSpPr>
              <xdr:cNvPr id="1063" name="Option Button 39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5006229" y="17818099"/>
                <a:ext cx="673101" cy="19526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4" name="Option Button 40" hidden="1">
                <a:extLst>
                  <a:ext uri="{63B3BB69-23CF-44E3-9099-C40C66FF867C}">
                    <a14:compatExt spid="_x0000_s1064"/>
                  </a:ext>
                  <a:ext uri="{FF2B5EF4-FFF2-40B4-BE49-F238E27FC236}">
                    <a16:creationId xmlns:a16="http://schemas.microsoft.com/office/drawing/2014/main" id="{00000000-0008-0000-0000-000028040000}"/>
                  </a:ext>
                </a:extLst>
              </xdr:cNvPr>
              <xdr:cNvSpPr/>
            </xdr:nvSpPr>
            <xdr:spPr bwMode="auto">
              <a:xfrm>
                <a:off x="5910351" y="17816942"/>
                <a:ext cx="622299" cy="18041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5" name="Group Box 41" hidden="1">
                <a:extLst>
                  <a:ext uri="{63B3BB69-23CF-44E3-9099-C40C66FF867C}">
                    <a14:compatExt spid="_x0000_s1065"/>
                  </a:ext>
                  <a:ext uri="{FF2B5EF4-FFF2-40B4-BE49-F238E27FC236}">
                    <a16:creationId xmlns:a16="http://schemas.microsoft.com/office/drawing/2014/main" id="{00000000-0008-0000-0000-000029040000}"/>
                  </a:ext>
                </a:extLst>
              </xdr:cNvPr>
              <xdr:cNvSpPr/>
            </xdr:nvSpPr>
            <xdr:spPr bwMode="auto">
              <a:xfrm>
                <a:off x="4673605" y="17778940"/>
                <a:ext cx="3009906" cy="24130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41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21159</xdr:colOff>
          <xdr:row>79</xdr:row>
          <xdr:rowOff>35187</xdr:rowOff>
        </xdr:from>
        <xdr:to>
          <xdr:col>11</xdr:col>
          <xdr:colOff>14795</xdr:colOff>
          <xdr:row>79</xdr:row>
          <xdr:rowOff>275125</xdr:rowOff>
        </xdr:to>
        <xdr:grpSp>
          <xdr:nvGrpSpPr>
            <xdr:cNvPr id="4" name="Profile Colour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5336109" y="19418562"/>
              <a:ext cx="4622786" cy="239938"/>
              <a:chOff x="4356105" y="17476846"/>
              <a:chExt cx="5313360" cy="241302"/>
            </a:xfrm>
          </xdr:grpSpPr>
          <xdr:sp macro="" textlink="">
            <xdr:nvSpPr>
              <xdr:cNvPr id="1060" name="Option Button 36" hidden="1">
                <a:extLst>
                  <a:ext uri="{63B3BB69-23CF-44E3-9099-C40C66FF867C}">
                    <a14:compatExt spid="_x0000_s1060"/>
                  </a:ext>
                  <a:ext uri="{FF2B5EF4-FFF2-40B4-BE49-F238E27FC236}">
                    <a16:creationId xmlns:a16="http://schemas.microsoft.com/office/drawing/2014/main" id="{00000000-0008-0000-0000-000024040000}"/>
                  </a:ext>
                </a:extLst>
              </xdr:cNvPr>
              <xdr:cNvSpPr/>
            </xdr:nvSpPr>
            <xdr:spPr bwMode="auto">
              <a:xfrm>
                <a:off x="5016500" y="17500600"/>
                <a:ext cx="1760539" cy="20796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1" name="Option Button 37" hidden="1">
                <a:extLst>
                  <a:ext uri="{63B3BB69-23CF-44E3-9099-C40C66FF867C}">
                    <a14:compatExt spid="_x0000_s1061"/>
                  </a:ext>
                  <a:ext uri="{FF2B5EF4-FFF2-40B4-BE49-F238E27FC236}">
                    <a16:creationId xmlns:a16="http://schemas.microsoft.com/office/drawing/2014/main" id="{00000000-0008-0000-0000-000025040000}"/>
                  </a:ext>
                </a:extLst>
              </xdr:cNvPr>
              <xdr:cNvSpPr/>
            </xdr:nvSpPr>
            <xdr:spPr bwMode="auto">
              <a:xfrm>
                <a:off x="6819899" y="17500600"/>
                <a:ext cx="1460501" cy="21113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2" name="Group Box 38" hidden="1">
                <a:extLst>
                  <a:ext uri="{63B3BB69-23CF-44E3-9099-C40C66FF867C}">
                    <a14:compatExt spid="_x0000_s1062"/>
                  </a:ext>
                  <a:ext uri="{FF2B5EF4-FFF2-40B4-BE49-F238E27FC236}">
                    <a16:creationId xmlns:a16="http://schemas.microsoft.com/office/drawing/2014/main" id="{00000000-0008-0000-0000-000026040000}"/>
                  </a:ext>
                </a:extLst>
              </xdr:cNvPr>
              <xdr:cNvSpPr/>
            </xdr:nvSpPr>
            <xdr:spPr bwMode="auto">
              <a:xfrm>
                <a:off x="4356105" y="17476846"/>
                <a:ext cx="5313360" cy="24130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38</a:t>
                </a:r>
              </a:p>
            </xdr:txBody>
          </xdr:sp>
          <xdr:sp macro="" textlink="">
            <xdr:nvSpPr>
              <xdr:cNvPr id="1066" name="Option Button 42" hidden="1">
                <a:extLst>
                  <a:ext uri="{63B3BB69-23CF-44E3-9099-C40C66FF867C}">
                    <a14:compatExt spid="_x0000_s1066"/>
                  </a:ext>
                  <a:ext uri="{FF2B5EF4-FFF2-40B4-BE49-F238E27FC236}">
                    <a16:creationId xmlns:a16="http://schemas.microsoft.com/office/drawing/2014/main" id="{00000000-0008-0000-0000-00002A040000}"/>
                  </a:ext>
                </a:extLst>
              </xdr:cNvPr>
              <xdr:cNvSpPr/>
            </xdr:nvSpPr>
            <xdr:spPr bwMode="auto">
              <a:xfrm>
                <a:off x="8590252" y="17500600"/>
                <a:ext cx="634649" cy="21113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185138</xdr:colOff>
          <xdr:row>15</xdr:row>
          <xdr:rowOff>148722</xdr:rowOff>
        </xdr:from>
        <xdr:to>
          <xdr:col>9</xdr:col>
          <xdr:colOff>493620</xdr:colOff>
          <xdr:row>21</xdr:row>
          <xdr:rowOff>115420</xdr:rowOff>
        </xdr:to>
        <xdr:grpSp>
          <xdr:nvGrpSpPr>
            <xdr:cNvPr id="5" name="Diffuser Dist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7814663" y="3596772"/>
              <a:ext cx="1080007" cy="1338298"/>
              <a:chOff x="7517491" y="3297849"/>
              <a:chExt cx="2141438" cy="1330141"/>
            </a:xfrm>
          </xdr:grpSpPr>
          <xdr:sp macro="" textlink="">
            <xdr:nvSpPr>
              <xdr:cNvPr id="1073" name="Group Box 49" hidden="1">
                <a:extLst>
                  <a:ext uri="{63B3BB69-23CF-44E3-9099-C40C66FF867C}">
                    <a14:compatExt spid="_x0000_s1073"/>
                  </a:ext>
                  <a:ext uri="{FF2B5EF4-FFF2-40B4-BE49-F238E27FC236}">
                    <a16:creationId xmlns:a16="http://schemas.microsoft.com/office/drawing/2014/main" id="{00000000-0008-0000-0000-000031040000}"/>
                  </a:ext>
                </a:extLst>
              </xdr:cNvPr>
              <xdr:cNvSpPr/>
            </xdr:nvSpPr>
            <xdr:spPr bwMode="auto">
              <a:xfrm>
                <a:off x="7517491" y="3297849"/>
                <a:ext cx="2141438" cy="133014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49</a:t>
                </a:r>
              </a:p>
            </xdr:txBody>
          </xdr:sp>
          <xdr:sp macro="" textlink="">
            <xdr:nvSpPr>
              <xdr:cNvPr id="1074" name="Option Button 50" hidden="1">
                <a:extLst>
                  <a:ext uri="{63B3BB69-23CF-44E3-9099-C40C66FF867C}">
                    <a14:compatExt spid="_x0000_s1074"/>
                  </a:ext>
                  <a:ext uri="{FF2B5EF4-FFF2-40B4-BE49-F238E27FC236}">
                    <a16:creationId xmlns:a16="http://schemas.microsoft.com/office/drawing/2014/main" id="{00000000-0008-0000-0000-000032040000}"/>
                  </a:ext>
                </a:extLst>
              </xdr:cNvPr>
              <xdr:cNvSpPr/>
            </xdr:nvSpPr>
            <xdr:spPr bwMode="auto">
              <a:xfrm>
                <a:off x="7978031" y="3392657"/>
                <a:ext cx="1147467" cy="2146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5" name="Option Button 51" hidden="1">
                <a:extLst>
                  <a:ext uri="{63B3BB69-23CF-44E3-9099-C40C66FF867C}">
                    <a14:compatExt spid="_x0000_s1075"/>
                  </a:ext>
                  <a:ext uri="{FF2B5EF4-FFF2-40B4-BE49-F238E27FC236}">
                    <a16:creationId xmlns:a16="http://schemas.microsoft.com/office/drawing/2014/main" id="{00000000-0008-0000-0000-000033040000}"/>
                  </a:ext>
                </a:extLst>
              </xdr:cNvPr>
              <xdr:cNvSpPr/>
            </xdr:nvSpPr>
            <xdr:spPr bwMode="auto">
              <a:xfrm>
                <a:off x="7975218" y="3825328"/>
                <a:ext cx="1133603" cy="2146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6" name="Option Button 52" hidden="1">
                <a:extLst>
                  <a:ext uri="{63B3BB69-23CF-44E3-9099-C40C66FF867C}">
                    <a14:compatExt spid="_x0000_s1076"/>
                  </a:ext>
                  <a:ext uri="{FF2B5EF4-FFF2-40B4-BE49-F238E27FC236}">
                    <a16:creationId xmlns:a16="http://schemas.microsoft.com/office/drawing/2014/main" id="{00000000-0008-0000-0000-000034040000}"/>
                  </a:ext>
                </a:extLst>
              </xdr:cNvPr>
              <xdr:cNvSpPr/>
            </xdr:nvSpPr>
            <xdr:spPr bwMode="auto">
              <a:xfrm>
                <a:off x="7975218" y="4273563"/>
                <a:ext cx="1133603" cy="2146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80714</xdr:colOff>
          <xdr:row>7</xdr:row>
          <xdr:rowOff>99554</xdr:rowOff>
        </xdr:from>
        <xdr:to>
          <xdr:col>7</xdr:col>
          <xdr:colOff>612080</xdr:colOff>
          <xdr:row>9</xdr:row>
          <xdr:rowOff>156846</xdr:rowOff>
        </xdr:to>
        <xdr:grpSp>
          <xdr:nvGrpSpPr>
            <xdr:cNvPr id="7" name="Units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5395664" y="1718804"/>
              <a:ext cx="2074416" cy="514492"/>
              <a:chOff x="4624632" y="1455368"/>
              <a:chExt cx="2233376" cy="514494"/>
            </a:xfrm>
          </xdr:grpSpPr>
          <xdr:sp macro="" textlink="">
            <xdr:nvSpPr>
              <xdr:cNvPr id="1077" name="Group Box 53" hidden="1">
                <a:extLst>
                  <a:ext uri="{63B3BB69-23CF-44E3-9099-C40C66FF867C}">
                    <a14:compatExt spid="_x0000_s1077"/>
                  </a:ext>
                  <a:ext uri="{FF2B5EF4-FFF2-40B4-BE49-F238E27FC236}">
                    <a16:creationId xmlns:a16="http://schemas.microsoft.com/office/drawing/2014/main" id="{00000000-0008-0000-0000-000035040000}"/>
                  </a:ext>
                </a:extLst>
              </xdr:cNvPr>
              <xdr:cNvSpPr/>
            </xdr:nvSpPr>
            <xdr:spPr bwMode="auto">
              <a:xfrm>
                <a:off x="4624632" y="1455368"/>
                <a:ext cx="2233376" cy="51449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53</a:t>
                </a:r>
              </a:p>
            </xdr:txBody>
          </xdr:sp>
          <xdr:sp macro="" textlink="">
            <xdr:nvSpPr>
              <xdr:cNvPr id="1078" name="Option Button 54" hidden="1">
                <a:extLst>
                  <a:ext uri="{63B3BB69-23CF-44E3-9099-C40C66FF867C}">
                    <a14:compatExt spid="_x0000_s1078"/>
                  </a:ext>
                  <a:ext uri="{FF2B5EF4-FFF2-40B4-BE49-F238E27FC236}">
                    <a16:creationId xmlns:a16="http://schemas.microsoft.com/office/drawing/2014/main" id="{00000000-0008-0000-0000-000036040000}"/>
                  </a:ext>
                </a:extLst>
              </xdr:cNvPr>
              <xdr:cNvSpPr/>
            </xdr:nvSpPr>
            <xdr:spPr bwMode="auto">
              <a:xfrm>
                <a:off x="4693381" y="1602815"/>
                <a:ext cx="392284" cy="2158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80" name="Option Button 56" hidden="1">
                <a:extLst>
                  <a:ext uri="{63B3BB69-23CF-44E3-9099-C40C66FF867C}">
                    <a14:compatExt spid="_x0000_s1080"/>
                  </a:ext>
                  <a:ext uri="{FF2B5EF4-FFF2-40B4-BE49-F238E27FC236}">
                    <a16:creationId xmlns:a16="http://schemas.microsoft.com/office/drawing/2014/main" id="{00000000-0008-0000-0000-000038040000}"/>
                  </a:ext>
                </a:extLst>
              </xdr:cNvPr>
              <xdr:cNvSpPr/>
            </xdr:nvSpPr>
            <xdr:spPr bwMode="auto">
              <a:xfrm>
                <a:off x="5396033" y="1605912"/>
                <a:ext cx="306481" cy="2152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1543239</xdr:colOff>
          <xdr:row>19</xdr:row>
          <xdr:rowOff>159815</xdr:rowOff>
        </xdr:from>
        <xdr:to>
          <xdr:col>6</xdr:col>
          <xdr:colOff>339180</xdr:colOff>
          <xdr:row>28</xdr:row>
          <xdr:rowOff>187514</xdr:rowOff>
        </xdr:to>
        <xdr:pic>
          <xdr:nvPicPr>
            <xdr:cNvPr id="8" name="Picture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getImage" spid="_x0000_s14525"/>
                </a:ext>
              </a:extLst>
            </xdr:cNvPicPr>
          </xdr:nvPicPr>
          <xdr:blipFill rotWithShape="1">
            <a:blip xmlns:r="http://schemas.openxmlformats.org/officeDocument/2006/relationships" r:embed="rId4"/>
            <a:srcRect t="-2" r="402" b="1431"/>
            <a:stretch>
              <a:fillRect/>
            </a:stretch>
          </xdr:blipFill>
          <xdr:spPr>
            <a:xfrm>
              <a:off x="2914839" y="4512740"/>
              <a:ext cx="3198850" cy="2067138"/>
            </a:xfrm>
            <a:prstGeom prst="rect">
              <a:avLst/>
            </a:prstGeom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2232875</xdr:colOff>
          <xdr:row>28</xdr:row>
          <xdr:rowOff>184984</xdr:rowOff>
        </xdr:from>
        <xdr:to>
          <xdr:col>4</xdr:col>
          <xdr:colOff>64514</xdr:colOff>
          <xdr:row>31</xdr:row>
          <xdr:rowOff>79648</xdr:rowOff>
        </xdr:to>
        <xdr:grpSp>
          <xdr:nvGrpSpPr>
            <xdr:cNvPr id="18" name="spigot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GrpSpPr/>
          </xdr:nvGrpSpPr>
          <xdr:grpSpPr>
            <a:xfrm>
              <a:off x="4147400" y="6604834"/>
              <a:ext cx="460539" cy="580464"/>
              <a:chOff x="4355301" y="6647594"/>
              <a:chExt cx="1776407" cy="590539"/>
            </a:xfrm>
          </xdr:grpSpPr>
          <xdr:sp macro="" textlink="">
            <xdr:nvSpPr>
              <xdr:cNvPr id="1096" name="Group Box 72" hidden="1">
                <a:extLst>
                  <a:ext uri="{63B3BB69-23CF-44E3-9099-C40C66FF867C}">
                    <a14:compatExt spid="_x0000_s1096"/>
                  </a:ext>
                  <a:ext uri="{FF2B5EF4-FFF2-40B4-BE49-F238E27FC236}">
                    <a16:creationId xmlns:a16="http://schemas.microsoft.com/office/drawing/2014/main" id="{00000000-0008-0000-0000-000048040000}"/>
                  </a:ext>
                </a:extLst>
              </xdr:cNvPr>
              <xdr:cNvSpPr/>
            </xdr:nvSpPr>
            <xdr:spPr bwMode="auto">
              <a:xfrm>
                <a:off x="4355301" y="6647594"/>
                <a:ext cx="1776407" cy="590539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72</a:t>
                </a:r>
              </a:p>
            </xdr:txBody>
          </xdr:sp>
          <xdr:sp macro="" textlink="">
            <xdr:nvSpPr>
              <xdr:cNvPr id="1097" name="Option Button 73" hidden="1">
                <a:extLst>
                  <a:ext uri="{63B3BB69-23CF-44E3-9099-C40C66FF867C}">
                    <a14:compatExt spid="_x0000_s1097"/>
                  </a:ext>
                  <a:ext uri="{FF2B5EF4-FFF2-40B4-BE49-F238E27FC236}">
                    <a16:creationId xmlns:a16="http://schemas.microsoft.com/office/drawing/2014/main" id="{00000000-0008-0000-0000-000049040000}"/>
                  </a:ext>
                </a:extLst>
              </xdr:cNvPr>
              <xdr:cNvSpPr/>
            </xdr:nvSpPr>
            <xdr:spPr bwMode="auto">
              <a:xfrm>
                <a:off x="4399756" y="6719095"/>
                <a:ext cx="964405" cy="2317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98" name="Option Button 74" hidden="1">
                <a:extLst>
                  <a:ext uri="{63B3BB69-23CF-44E3-9099-C40C66FF867C}">
                    <a14:compatExt spid="_x0000_s1098"/>
                  </a:ext>
                  <a:ext uri="{FF2B5EF4-FFF2-40B4-BE49-F238E27FC236}">
                    <a16:creationId xmlns:a16="http://schemas.microsoft.com/office/drawing/2014/main" id="{00000000-0008-0000-0000-00004A040000}"/>
                  </a:ext>
                </a:extLst>
              </xdr:cNvPr>
              <xdr:cNvSpPr/>
            </xdr:nvSpPr>
            <xdr:spPr bwMode="auto">
              <a:xfrm>
                <a:off x="4406104" y="6949282"/>
                <a:ext cx="1048525" cy="2317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784</xdr:colOff>
          <xdr:row>77</xdr:row>
          <xdr:rowOff>22835</xdr:rowOff>
        </xdr:from>
        <xdr:to>
          <xdr:col>15</xdr:col>
          <xdr:colOff>101981</xdr:colOff>
          <xdr:row>78</xdr:row>
          <xdr:rowOff>2249</xdr:rowOff>
        </xdr:to>
        <xdr:grpSp>
          <xdr:nvGrpSpPr>
            <xdr:cNvPr id="12" name="diffuser ends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GrpSpPr/>
          </xdr:nvGrpSpPr>
          <xdr:grpSpPr>
            <a:xfrm>
              <a:off x="4544209" y="18796610"/>
              <a:ext cx="8587972" cy="284214"/>
              <a:chOff x="4232855" y="16832292"/>
              <a:chExt cx="8629645" cy="288924"/>
            </a:xfrm>
          </xdr:grpSpPr>
          <xdr:sp macro="" textlink="">
            <xdr:nvSpPr>
              <xdr:cNvPr id="1145" name="Group Box 121" hidden="1">
                <a:extLst>
                  <a:ext uri="{63B3BB69-23CF-44E3-9099-C40C66FF867C}">
                    <a14:compatExt spid="_x0000_s1145"/>
                  </a:ext>
                  <a:ext uri="{FF2B5EF4-FFF2-40B4-BE49-F238E27FC236}">
                    <a16:creationId xmlns:a16="http://schemas.microsoft.com/office/drawing/2014/main" id="{00000000-0008-0000-0000-000079040000}"/>
                  </a:ext>
                </a:extLst>
              </xdr:cNvPr>
              <xdr:cNvSpPr/>
            </xdr:nvSpPr>
            <xdr:spPr bwMode="auto">
              <a:xfrm>
                <a:off x="4232855" y="16832292"/>
                <a:ext cx="8629645" cy="28892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121</a:t>
                </a:r>
              </a:p>
            </xdr:txBody>
          </xdr:sp>
          <xdr:sp macro="" textlink="">
            <xdr:nvSpPr>
              <xdr:cNvPr id="1146" name="Option Button 122" hidden="1">
                <a:extLst>
                  <a:ext uri="{63B3BB69-23CF-44E3-9099-C40C66FF867C}">
                    <a14:compatExt spid="_x0000_s1146"/>
                  </a:ext>
                  <a:ext uri="{FF2B5EF4-FFF2-40B4-BE49-F238E27FC236}">
                    <a16:creationId xmlns:a16="http://schemas.microsoft.com/office/drawing/2014/main" id="{00000000-0008-0000-0000-00007A040000}"/>
                  </a:ext>
                </a:extLst>
              </xdr:cNvPr>
              <xdr:cNvSpPr/>
            </xdr:nvSpPr>
            <xdr:spPr bwMode="auto">
              <a:xfrm>
                <a:off x="4742402" y="16864597"/>
                <a:ext cx="471307" cy="23173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47" name="Option Button 123" hidden="1">
                <a:extLst>
                  <a:ext uri="{63B3BB69-23CF-44E3-9099-C40C66FF867C}">
                    <a14:compatExt spid="_x0000_s1147"/>
                  </a:ext>
                  <a:ext uri="{FF2B5EF4-FFF2-40B4-BE49-F238E27FC236}">
                    <a16:creationId xmlns:a16="http://schemas.microsoft.com/office/drawing/2014/main" id="{00000000-0008-0000-0000-00007B040000}"/>
                  </a:ext>
                </a:extLst>
              </xdr:cNvPr>
              <xdr:cNvSpPr/>
            </xdr:nvSpPr>
            <xdr:spPr bwMode="auto">
              <a:xfrm>
                <a:off x="6354070" y="16864588"/>
                <a:ext cx="553302" cy="2283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48" name="Option Button 124" hidden="1">
                <a:extLst>
                  <a:ext uri="{63B3BB69-23CF-44E3-9099-C40C66FF867C}">
                    <a14:compatExt spid="_x0000_s1148"/>
                  </a:ext>
                  <a:ext uri="{FF2B5EF4-FFF2-40B4-BE49-F238E27FC236}">
                    <a16:creationId xmlns:a16="http://schemas.microsoft.com/office/drawing/2014/main" id="{00000000-0008-0000-0000-00007C040000}"/>
                  </a:ext>
                </a:extLst>
              </xdr:cNvPr>
              <xdr:cNvSpPr/>
            </xdr:nvSpPr>
            <xdr:spPr bwMode="auto">
              <a:xfrm>
                <a:off x="8713655" y="16858777"/>
                <a:ext cx="427197" cy="23267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49" name="Option Button 125" hidden="1">
                <a:extLst>
                  <a:ext uri="{63B3BB69-23CF-44E3-9099-C40C66FF867C}">
                    <a14:compatExt spid="_x0000_s1149"/>
                  </a:ext>
                  <a:ext uri="{FF2B5EF4-FFF2-40B4-BE49-F238E27FC236}">
                    <a16:creationId xmlns:a16="http://schemas.microsoft.com/office/drawing/2014/main" id="{00000000-0008-0000-0000-00007D040000}"/>
                  </a:ext>
                </a:extLst>
              </xdr:cNvPr>
              <xdr:cNvSpPr/>
            </xdr:nvSpPr>
            <xdr:spPr bwMode="auto">
              <a:xfrm>
                <a:off x="10160828" y="16855584"/>
                <a:ext cx="543314" cy="2326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2536084</xdr:colOff>
          <xdr:row>81</xdr:row>
          <xdr:rowOff>12637</xdr:rowOff>
        </xdr:from>
        <xdr:to>
          <xdr:col>12</xdr:col>
          <xdr:colOff>13204</xdr:colOff>
          <xdr:row>81</xdr:row>
          <xdr:rowOff>287797</xdr:rowOff>
        </xdr:to>
        <xdr:grpSp>
          <xdr:nvGrpSpPr>
            <xdr:cNvPr id="14" name="connectionbox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4450609" y="20005612"/>
              <a:ext cx="6278220" cy="275160"/>
              <a:chOff x="4306095" y="18094147"/>
              <a:chExt cx="6444460" cy="285750"/>
            </a:xfrm>
          </xdr:grpSpPr>
          <xdr:sp macro="" textlink="">
            <xdr:nvSpPr>
              <xdr:cNvPr id="1154" name="Group Box 130" hidden="1">
                <a:extLst>
                  <a:ext uri="{63B3BB69-23CF-44E3-9099-C40C66FF867C}">
                    <a14:compatExt spid="_x0000_s1154"/>
                  </a:ext>
                  <a:ext uri="{FF2B5EF4-FFF2-40B4-BE49-F238E27FC236}">
                    <a16:creationId xmlns:a16="http://schemas.microsoft.com/office/drawing/2014/main" id="{00000000-0008-0000-0000-000082040000}"/>
                  </a:ext>
                </a:extLst>
              </xdr:cNvPr>
              <xdr:cNvSpPr/>
            </xdr:nvSpPr>
            <xdr:spPr bwMode="auto">
              <a:xfrm>
                <a:off x="4306095" y="18094147"/>
                <a:ext cx="6444460" cy="2857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130</a:t>
                </a:r>
              </a:p>
            </xdr:txBody>
          </xdr:sp>
          <xdr:sp macro="" textlink="">
            <xdr:nvSpPr>
              <xdr:cNvPr id="1155" name="Option Button 131" hidden="1">
                <a:extLst>
                  <a:ext uri="{63B3BB69-23CF-44E3-9099-C40C66FF867C}">
                    <a14:compatExt spid="_x0000_s1155"/>
                  </a:ext>
                  <a:ext uri="{FF2B5EF4-FFF2-40B4-BE49-F238E27FC236}">
                    <a16:creationId xmlns:a16="http://schemas.microsoft.com/office/drawing/2014/main" id="{00000000-0008-0000-0000-000083040000}"/>
                  </a:ext>
                </a:extLst>
              </xdr:cNvPr>
              <xdr:cNvSpPr/>
            </xdr:nvSpPr>
            <xdr:spPr bwMode="auto">
              <a:xfrm>
                <a:off x="4985515" y="18112052"/>
                <a:ext cx="738866" cy="23728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56" name="Option Button 132" hidden="1">
                <a:extLst>
                  <a:ext uri="{63B3BB69-23CF-44E3-9099-C40C66FF867C}">
                    <a14:compatExt spid="_x0000_s1156"/>
                  </a:ext>
                  <a:ext uri="{FF2B5EF4-FFF2-40B4-BE49-F238E27FC236}">
                    <a16:creationId xmlns:a16="http://schemas.microsoft.com/office/drawing/2014/main" id="{00000000-0008-0000-0000-000084040000}"/>
                  </a:ext>
                </a:extLst>
              </xdr:cNvPr>
              <xdr:cNvSpPr/>
            </xdr:nvSpPr>
            <xdr:spPr bwMode="auto">
              <a:xfrm>
                <a:off x="6596316" y="18111564"/>
                <a:ext cx="429206" cy="24288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57" name="Option Button 133" hidden="1">
                <a:extLst>
                  <a:ext uri="{63B3BB69-23CF-44E3-9099-C40C66FF867C}">
                    <a14:compatExt spid="_x0000_s1157"/>
                  </a:ext>
                  <a:ext uri="{FF2B5EF4-FFF2-40B4-BE49-F238E27FC236}">
                    <a16:creationId xmlns:a16="http://schemas.microsoft.com/office/drawing/2014/main" id="{00000000-0008-0000-0000-000085040000}"/>
                  </a:ext>
                </a:extLst>
              </xdr:cNvPr>
              <xdr:cNvSpPr/>
            </xdr:nvSpPr>
            <xdr:spPr bwMode="auto">
              <a:xfrm>
                <a:off x="8979921" y="18114165"/>
                <a:ext cx="666749" cy="2405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706090</xdr:colOff>
          <xdr:row>82</xdr:row>
          <xdr:rowOff>27544</xdr:rowOff>
        </xdr:from>
        <xdr:to>
          <xdr:col>12</xdr:col>
          <xdr:colOff>92086</xdr:colOff>
          <xdr:row>83</xdr:row>
          <xdr:rowOff>8974</xdr:rowOff>
        </xdr:to>
        <xdr:grpSp>
          <xdr:nvGrpSpPr>
            <xdr:cNvPr id="15" name="accessories-connection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GrpSpPr/>
          </xdr:nvGrpSpPr>
          <xdr:grpSpPr>
            <a:xfrm>
              <a:off x="5249515" y="20325319"/>
              <a:ext cx="5558196" cy="286230"/>
              <a:chOff x="4355306" y="18406886"/>
              <a:chExt cx="6401587" cy="286542"/>
            </a:xfrm>
          </xdr:grpSpPr>
          <xdr:sp macro="" textlink="">
            <xdr:nvSpPr>
              <xdr:cNvPr id="1158" name="Group Box 134" hidden="1">
                <a:extLst>
                  <a:ext uri="{63B3BB69-23CF-44E3-9099-C40C66FF867C}">
                    <a14:compatExt spid="_x0000_s1158"/>
                  </a:ext>
                  <a:ext uri="{FF2B5EF4-FFF2-40B4-BE49-F238E27FC236}">
                    <a16:creationId xmlns:a16="http://schemas.microsoft.com/office/drawing/2014/main" id="{00000000-0008-0000-0000-000086040000}"/>
                  </a:ext>
                </a:extLst>
              </xdr:cNvPr>
              <xdr:cNvSpPr/>
            </xdr:nvSpPr>
            <xdr:spPr bwMode="auto">
              <a:xfrm>
                <a:off x="4355306" y="18406886"/>
                <a:ext cx="6401587" cy="28654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134</a:t>
                </a:r>
              </a:p>
            </xdr:txBody>
          </xdr:sp>
          <xdr:sp macro="" textlink="">
            <xdr:nvSpPr>
              <xdr:cNvPr id="1159" name="Option Button 135" hidden="1">
                <a:extLst>
                  <a:ext uri="{63B3BB69-23CF-44E3-9099-C40C66FF867C}">
                    <a14:compatExt spid="_x0000_s1159"/>
                  </a:ext>
                  <a:ext uri="{FF2B5EF4-FFF2-40B4-BE49-F238E27FC236}">
                    <a16:creationId xmlns:a16="http://schemas.microsoft.com/office/drawing/2014/main" id="{00000000-0008-0000-0000-000087040000}"/>
                  </a:ext>
                </a:extLst>
              </xdr:cNvPr>
              <xdr:cNvSpPr/>
            </xdr:nvSpPr>
            <xdr:spPr bwMode="auto">
              <a:xfrm>
                <a:off x="6499225" y="18430082"/>
                <a:ext cx="706438" cy="2349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60" name="Option Button 136" hidden="1">
                <a:extLst>
                  <a:ext uri="{63B3BB69-23CF-44E3-9099-C40C66FF867C}">
                    <a14:compatExt spid="_x0000_s1160"/>
                  </a:ext>
                  <a:ext uri="{FF2B5EF4-FFF2-40B4-BE49-F238E27FC236}">
                    <a16:creationId xmlns:a16="http://schemas.microsoft.com/office/drawing/2014/main" id="{00000000-0008-0000-0000-000088040000}"/>
                  </a:ext>
                </a:extLst>
              </xdr:cNvPr>
              <xdr:cNvSpPr/>
            </xdr:nvSpPr>
            <xdr:spPr bwMode="auto">
              <a:xfrm>
                <a:off x="8661445" y="18424525"/>
                <a:ext cx="396081" cy="2349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2234444</xdr:colOff>
          <xdr:row>75</xdr:row>
          <xdr:rowOff>25270</xdr:rowOff>
        </xdr:from>
        <xdr:to>
          <xdr:col>14</xdr:col>
          <xdr:colOff>643181</xdr:colOff>
          <xdr:row>75</xdr:row>
          <xdr:rowOff>302436</xdr:rowOff>
        </xdr:to>
        <xdr:grpSp>
          <xdr:nvGrpSpPr>
            <xdr:cNvPr id="19" name="Direction setting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GrpSpPr/>
          </xdr:nvGrpSpPr>
          <xdr:grpSpPr>
            <a:xfrm>
              <a:off x="4148969" y="18189445"/>
              <a:ext cx="8752887" cy="277166"/>
              <a:chOff x="3875718" y="16265070"/>
              <a:chExt cx="9047471" cy="281468"/>
            </a:xfrm>
          </xdr:grpSpPr>
          <xdr:sp macro="" textlink="">
            <xdr:nvSpPr>
              <xdr:cNvPr id="1081" name="Option Button 57" hidden="1">
                <a:extLst>
                  <a:ext uri="{63B3BB69-23CF-44E3-9099-C40C66FF867C}">
                    <a14:compatExt spid="_x0000_s1081"/>
                  </a:ext>
                  <a:ext uri="{FF2B5EF4-FFF2-40B4-BE49-F238E27FC236}">
                    <a16:creationId xmlns:a16="http://schemas.microsoft.com/office/drawing/2014/main" id="{00000000-0008-0000-0000-000039040000}"/>
                  </a:ext>
                </a:extLst>
              </xdr:cNvPr>
              <xdr:cNvSpPr/>
            </xdr:nvSpPr>
            <xdr:spPr bwMode="auto">
              <a:xfrm>
                <a:off x="8172957" y="16297396"/>
                <a:ext cx="377891" cy="21505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82" name="Option Button 58" hidden="1">
                <a:extLst>
                  <a:ext uri="{63B3BB69-23CF-44E3-9099-C40C66FF867C}">
                    <a14:compatExt spid="_x0000_s1082"/>
                  </a:ext>
                  <a:ext uri="{FF2B5EF4-FFF2-40B4-BE49-F238E27FC236}">
                    <a16:creationId xmlns:a16="http://schemas.microsoft.com/office/drawing/2014/main" id="{00000000-0008-0000-0000-00003A040000}"/>
                  </a:ext>
                </a:extLst>
              </xdr:cNvPr>
              <xdr:cNvSpPr/>
            </xdr:nvSpPr>
            <xdr:spPr bwMode="auto">
              <a:xfrm>
                <a:off x="8953085" y="16295899"/>
                <a:ext cx="361266" cy="2127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8" name="Group Box 24" hidden="1">
                <a:extLst>
                  <a:ext uri="{63B3BB69-23CF-44E3-9099-C40C66FF867C}">
                    <a14:compatExt spid="_x0000_s1048"/>
                  </a:ext>
                  <a:ext uri="{FF2B5EF4-FFF2-40B4-BE49-F238E27FC236}">
                    <a16:creationId xmlns:a16="http://schemas.microsoft.com/office/drawing/2014/main" id="{00000000-0008-0000-0000-000018040000}"/>
                  </a:ext>
                </a:extLst>
              </xdr:cNvPr>
              <xdr:cNvSpPr/>
            </xdr:nvSpPr>
            <xdr:spPr bwMode="auto">
              <a:xfrm>
                <a:off x="3875718" y="16265070"/>
                <a:ext cx="9047471" cy="281468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24</a:t>
                </a:r>
              </a:p>
            </xdr:txBody>
          </xdr:sp>
          <xdr:sp macro="" textlink="">
            <xdr:nvSpPr>
              <xdr:cNvPr id="1049" name="Option Button 25" hidden="1">
                <a:extLst>
                  <a:ext uri="{63B3BB69-23CF-44E3-9099-C40C66FF867C}">
                    <a14:compatExt spid="_x0000_s1049"/>
                  </a:ext>
                  <a:ext uri="{FF2B5EF4-FFF2-40B4-BE49-F238E27FC236}">
                    <a16:creationId xmlns:a16="http://schemas.microsoft.com/office/drawing/2014/main" id="{00000000-0008-0000-0000-000019040000}"/>
                  </a:ext>
                </a:extLst>
              </xdr:cNvPr>
              <xdr:cNvSpPr/>
            </xdr:nvSpPr>
            <xdr:spPr bwMode="auto">
              <a:xfrm>
                <a:off x="4695264" y="16311445"/>
                <a:ext cx="608302" cy="20598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0" name="Option Button 26" hidden="1">
                <a:extLst>
                  <a:ext uri="{63B3BB69-23CF-44E3-9099-C40C66FF867C}">
                    <a14:compatExt spid="_x0000_s1050"/>
                  </a:ext>
                  <a:ext uri="{FF2B5EF4-FFF2-40B4-BE49-F238E27FC236}">
                    <a16:creationId xmlns:a16="http://schemas.microsoft.com/office/drawing/2014/main" id="{00000000-0008-0000-0000-00001A040000}"/>
                  </a:ext>
                </a:extLst>
              </xdr:cNvPr>
              <xdr:cNvSpPr/>
            </xdr:nvSpPr>
            <xdr:spPr bwMode="auto">
              <a:xfrm>
                <a:off x="6046647" y="16297057"/>
                <a:ext cx="679895" cy="2132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1" name="Option Button 27" hidden="1">
                <a:extLst>
                  <a:ext uri="{63B3BB69-23CF-44E3-9099-C40C66FF867C}">
                    <a14:compatExt spid="_x0000_s1051"/>
                  </a:ext>
                  <a:ext uri="{FF2B5EF4-FFF2-40B4-BE49-F238E27FC236}">
                    <a16:creationId xmlns:a16="http://schemas.microsoft.com/office/drawing/2014/main" id="{00000000-0008-0000-0000-00001B040000}"/>
                  </a:ext>
                </a:extLst>
              </xdr:cNvPr>
              <xdr:cNvSpPr/>
            </xdr:nvSpPr>
            <xdr:spPr bwMode="auto">
              <a:xfrm>
                <a:off x="7242065" y="16303146"/>
                <a:ext cx="409928" cy="22224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201" name="Option Button 177" hidden="1">
                <a:extLst>
                  <a:ext uri="{63B3BB69-23CF-44E3-9099-C40C66FF867C}">
                    <a14:compatExt spid="_x0000_s1201"/>
                  </a:ext>
                  <a:ext uri="{FF2B5EF4-FFF2-40B4-BE49-F238E27FC236}">
                    <a16:creationId xmlns:a16="http://schemas.microsoft.com/office/drawing/2014/main" id="{00000000-0008-0000-0000-0000B1040000}"/>
                  </a:ext>
                </a:extLst>
              </xdr:cNvPr>
              <xdr:cNvSpPr/>
            </xdr:nvSpPr>
            <xdr:spPr bwMode="auto">
              <a:xfrm>
                <a:off x="9762840" y="16284100"/>
                <a:ext cx="350133" cy="24163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202" name="Option Button 178" hidden="1">
                <a:extLst>
                  <a:ext uri="{63B3BB69-23CF-44E3-9099-C40C66FF867C}">
                    <a14:compatExt spid="_x0000_s1202"/>
                  </a:ext>
                  <a:ext uri="{FF2B5EF4-FFF2-40B4-BE49-F238E27FC236}">
                    <a16:creationId xmlns:a16="http://schemas.microsoft.com/office/drawing/2014/main" id="{00000000-0008-0000-0000-0000B2040000}"/>
                  </a:ext>
                </a:extLst>
              </xdr:cNvPr>
              <xdr:cNvSpPr/>
            </xdr:nvSpPr>
            <xdr:spPr bwMode="auto">
              <a:xfrm>
                <a:off x="10661479" y="16283968"/>
                <a:ext cx="327300" cy="2376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363631</xdr:colOff>
          <xdr:row>11</xdr:row>
          <xdr:rowOff>119666</xdr:rowOff>
        </xdr:from>
        <xdr:to>
          <xdr:col>15</xdr:col>
          <xdr:colOff>537642</xdr:colOff>
          <xdr:row>13</xdr:row>
          <xdr:rowOff>94373</xdr:rowOff>
        </xdr:to>
        <xdr:grpSp>
          <xdr:nvGrpSpPr>
            <xdr:cNvPr id="3" name="diffuser location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9536206" y="2653316"/>
              <a:ext cx="4031636" cy="431907"/>
              <a:chOff x="9485726" y="2628842"/>
              <a:chExt cx="4286084" cy="436104"/>
            </a:xfrm>
          </xdr:grpSpPr>
          <xdr:sp macro="" textlink="">
            <xdr:nvSpPr>
              <xdr:cNvPr id="1036" name="Option Button 12" hidden="1">
                <a:extLst>
                  <a:ext uri="{63B3BB69-23CF-44E3-9099-C40C66FF867C}">
                    <a14:compatExt spid="_x0000_s1036"/>
                  </a:ext>
                  <a:ext uri="{FF2B5EF4-FFF2-40B4-BE49-F238E27FC236}">
                    <a16:creationId xmlns:a16="http://schemas.microsoft.com/office/drawing/2014/main" id="{00000000-0008-0000-0000-00000C040000}"/>
                  </a:ext>
                </a:extLst>
              </xdr:cNvPr>
              <xdr:cNvSpPr/>
            </xdr:nvSpPr>
            <xdr:spPr bwMode="auto">
              <a:xfrm>
                <a:off x="10106364" y="2771773"/>
                <a:ext cx="340859" cy="1881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9" name="Group Box 15" hidden="1">
                <a:extLst>
                  <a:ext uri="{63B3BB69-23CF-44E3-9099-C40C66FF867C}">
                    <a14:compatExt spid="_x0000_s1039"/>
                  </a:ext>
                  <a:ext uri="{FF2B5EF4-FFF2-40B4-BE49-F238E27FC236}">
                    <a16:creationId xmlns:a16="http://schemas.microsoft.com/office/drawing/2014/main" id="{00000000-0008-0000-0000-00000F040000}"/>
                  </a:ext>
                </a:extLst>
              </xdr:cNvPr>
              <xdr:cNvSpPr/>
            </xdr:nvSpPr>
            <xdr:spPr bwMode="auto">
              <a:xfrm>
                <a:off x="9485726" y="2628842"/>
                <a:ext cx="4286084" cy="43610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1320" name="Option Button 296" hidden="1">
                <a:extLst>
                  <a:ext uri="{63B3BB69-23CF-44E3-9099-C40C66FF867C}">
                    <a14:compatExt spid="_x0000_s1320"/>
                  </a:ext>
                  <a:ext uri="{FF2B5EF4-FFF2-40B4-BE49-F238E27FC236}">
                    <a16:creationId xmlns:a16="http://schemas.microsoft.com/office/drawing/2014/main" id="{00000000-0008-0000-0000-000028050000}"/>
                  </a:ext>
                </a:extLst>
              </xdr:cNvPr>
              <xdr:cNvSpPr/>
            </xdr:nvSpPr>
            <xdr:spPr bwMode="auto">
              <a:xfrm>
                <a:off x="11382113" y="2750592"/>
                <a:ext cx="339160" cy="2153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124557</xdr:colOff>
          <xdr:row>71</xdr:row>
          <xdr:rowOff>257175</xdr:rowOff>
        </xdr:from>
        <xdr:to>
          <xdr:col>11</xdr:col>
          <xdr:colOff>485775</xdr:colOff>
          <xdr:row>72</xdr:row>
          <xdr:rowOff>295275</xdr:rowOff>
        </xdr:to>
        <xdr:grpSp>
          <xdr:nvGrpSpPr>
            <xdr:cNvPr id="6" name="Supply/Rtn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4667982" y="17202150"/>
              <a:ext cx="5761893" cy="342900"/>
              <a:chOff x="4645276" y="17065411"/>
              <a:chExt cx="5849083" cy="345830"/>
            </a:xfrm>
          </xdr:grpSpPr>
          <xdr:sp macro="" textlink="">
            <xdr:nvSpPr>
              <xdr:cNvPr id="1948" name="Group Box 924" hidden="1">
                <a:extLst>
                  <a:ext uri="{63B3BB69-23CF-44E3-9099-C40C66FF867C}">
                    <a14:compatExt spid="_x0000_s1948"/>
                  </a:ext>
                  <a:ext uri="{FF2B5EF4-FFF2-40B4-BE49-F238E27FC236}">
                    <a16:creationId xmlns:a16="http://schemas.microsoft.com/office/drawing/2014/main" id="{00000000-0008-0000-0000-00009C070000}"/>
                  </a:ext>
                </a:extLst>
              </xdr:cNvPr>
              <xdr:cNvSpPr/>
            </xdr:nvSpPr>
            <xdr:spPr bwMode="auto">
              <a:xfrm>
                <a:off x="4645276" y="17065411"/>
                <a:ext cx="5849083" cy="34583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924</a:t>
                </a:r>
              </a:p>
            </xdr:txBody>
          </xdr:sp>
          <xdr:sp macro="" textlink="">
            <xdr:nvSpPr>
              <xdr:cNvPr id="1949" name="Option Button 925" hidden="1">
                <a:extLst>
                  <a:ext uri="{63B3BB69-23CF-44E3-9099-C40C66FF867C}">
                    <a14:compatExt spid="_x0000_s1949"/>
                  </a:ext>
                  <a:ext uri="{FF2B5EF4-FFF2-40B4-BE49-F238E27FC236}">
                    <a16:creationId xmlns:a16="http://schemas.microsoft.com/office/drawing/2014/main" id="{00000000-0008-0000-0000-00009D070000}"/>
                  </a:ext>
                </a:extLst>
              </xdr:cNvPr>
              <xdr:cNvSpPr/>
            </xdr:nvSpPr>
            <xdr:spPr bwMode="auto">
              <a:xfrm>
                <a:off x="5457091" y="17161852"/>
                <a:ext cx="411773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50" name="Option Button 926" hidden="1">
                <a:extLst>
                  <a:ext uri="{63B3BB69-23CF-44E3-9099-C40C66FF867C}">
                    <a14:compatExt spid="_x0000_s1950"/>
                  </a:ext>
                  <a:ext uri="{FF2B5EF4-FFF2-40B4-BE49-F238E27FC236}">
                    <a16:creationId xmlns:a16="http://schemas.microsoft.com/office/drawing/2014/main" id="{00000000-0008-0000-0000-00009E070000}"/>
                  </a:ext>
                </a:extLst>
              </xdr:cNvPr>
              <xdr:cNvSpPr/>
            </xdr:nvSpPr>
            <xdr:spPr bwMode="auto">
              <a:xfrm>
                <a:off x="7457341" y="17164050"/>
                <a:ext cx="331177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2528606</xdr:colOff>
          <xdr:row>78</xdr:row>
          <xdr:rowOff>1580</xdr:rowOff>
        </xdr:from>
        <xdr:to>
          <xdr:col>12</xdr:col>
          <xdr:colOff>740018</xdr:colOff>
          <xdr:row>78</xdr:row>
          <xdr:rowOff>287353</xdr:rowOff>
        </xdr:to>
        <xdr:grpSp>
          <xdr:nvGrpSpPr>
            <xdr:cNvPr id="22" name="Group 21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GrpSpPr/>
          </xdr:nvGrpSpPr>
          <xdr:grpSpPr>
            <a:xfrm>
              <a:off x="4443131" y="19080155"/>
              <a:ext cx="7012512" cy="285773"/>
              <a:chOff x="4426279" y="18963657"/>
              <a:chExt cx="7106298" cy="285773"/>
            </a:xfrm>
          </xdr:grpSpPr>
          <xdr:sp macro="" textlink="">
            <xdr:nvSpPr>
              <xdr:cNvPr id="1151" name="Group Box 127" hidden="1">
                <a:extLst>
                  <a:ext uri="{63B3BB69-23CF-44E3-9099-C40C66FF867C}">
                    <a14:compatExt spid="_x0000_s1151"/>
                  </a:ext>
                  <a:ext uri="{FF2B5EF4-FFF2-40B4-BE49-F238E27FC236}">
                    <a16:creationId xmlns:a16="http://schemas.microsoft.com/office/drawing/2014/main" id="{00000000-0008-0000-0000-00007F040000}"/>
                  </a:ext>
                </a:extLst>
              </xdr:cNvPr>
              <xdr:cNvSpPr/>
            </xdr:nvSpPr>
            <xdr:spPr bwMode="auto">
              <a:xfrm>
                <a:off x="4426279" y="18963657"/>
                <a:ext cx="7106298" cy="285773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127</a:t>
                </a:r>
              </a:p>
            </xdr:txBody>
          </xdr:sp>
          <xdr:sp macro="" textlink="">
            <xdr:nvSpPr>
              <xdr:cNvPr id="1152" name="Option Button 128" hidden="1">
                <a:extLst>
                  <a:ext uri="{63B3BB69-23CF-44E3-9099-C40C66FF867C}">
                    <a14:compatExt spid="_x0000_s1152"/>
                  </a:ext>
                  <a:ext uri="{FF2B5EF4-FFF2-40B4-BE49-F238E27FC236}">
                    <a16:creationId xmlns:a16="http://schemas.microsoft.com/office/drawing/2014/main" id="{00000000-0008-0000-0000-000080040000}"/>
                  </a:ext>
                </a:extLst>
              </xdr:cNvPr>
              <xdr:cNvSpPr/>
            </xdr:nvSpPr>
            <xdr:spPr bwMode="auto">
              <a:xfrm>
                <a:off x="5120963" y="18986148"/>
                <a:ext cx="501422" cy="2372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53" name="Option Button 129" hidden="1">
                <a:extLst>
                  <a:ext uri="{63B3BB69-23CF-44E3-9099-C40C66FF867C}">
                    <a14:compatExt spid="_x0000_s1153"/>
                  </a:ext>
                  <a:ext uri="{FF2B5EF4-FFF2-40B4-BE49-F238E27FC236}">
                    <a16:creationId xmlns:a16="http://schemas.microsoft.com/office/drawing/2014/main" id="{00000000-0008-0000-0000-000081040000}"/>
                  </a:ext>
                </a:extLst>
              </xdr:cNvPr>
              <xdr:cNvSpPr/>
            </xdr:nvSpPr>
            <xdr:spPr bwMode="auto">
              <a:xfrm>
                <a:off x="7296129" y="19002223"/>
                <a:ext cx="768659" cy="23051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60" name="Option Button 936" hidden="1">
                <a:extLst>
                  <a:ext uri="{63B3BB69-23CF-44E3-9099-C40C66FF867C}">
                    <a14:compatExt spid="_x0000_s1960"/>
                  </a:ext>
                  <a:ext uri="{FF2B5EF4-FFF2-40B4-BE49-F238E27FC236}">
                    <a16:creationId xmlns:a16="http://schemas.microsoft.com/office/drawing/2014/main" id="{00000000-0008-0000-0000-0000A8070000}"/>
                  </a:ext>
                </a:extLst>
              </xdr:cNvPr>
              <xdr:cNvSpPr/>
            </xdr:nvSpPr>
            <xdr:spPr bwMode="auto">
              <a:xfrm>
                <a:off x="9052413" y="19007504"/>
                <a:ext cx="603006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555812</xdr:colOff>
          <xdr:row>54</xdr:row>
          <xdr:rowOff>0</xdr:rowOff>
        </xdr:from>
        <xdr:to>
          <xdr:col>18</xdr:col>
          <xdr:colOff>1083350</xdr:colOff>
          <xdr:row>57</xdr:row>
          <xdr:rowOff>145073</xdr:rowOff>
        </xdr:to>
        <xdr:pic>
          <xdr:nvPicPr>
            <xdr:cNvPr id="24" name="Graphic 5" descr="Image outline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getDirectionDischarge" spid="_x0000_s14526"/>
                </a:ext>
              </a:extLst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5186212" y="12382500"/>
              <a:ext cx="1480038" cy="945173"/>
            </a:xfrm>
            <a:prstGeom prst="rect">
              <a:avLst/>
            </a:prstGeom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651507</xdr:colOff>
          <xdr:row>41</xdr:row>
          <xdr:rowOff>217804</xdr:rowOff>
        </xdr:from>
        <xdr:to>
          <xdr:col>18</xdr:col>
          <xdr:colOff>419101</xdr:colOff>
          <xdr:row>53</xdr:row>
          <xdr:rowOff>191411</xdr:rowOff>
        </xdr:to>
        <xdr:pic>
          <xdr:nvPicPr>
            <xdr:cNvPr id="26" name="Picture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getCdiagram" spid="_x0000_s14527"/>
                </a:ext>
              </a:extLst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2195807" y="9133204"/>
              <a:ext cx="3806194" cy="3174007"/>
            </a:xfrm>
            <a:prstGeom prst="rect">
              <a:avLst/>
            </a:prstGeom>
            <a:ln>
              <a:solidFill>
                <a:schemeClr val="bg1">
                  <a:lumMod val="75000"/>
                </a:schemeClr>
              </a:solidFill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697198</xdr:colOff>
          <xdr:row>70</xdr:row>
          <xdr:rowOff>320768</xdr:rowOff>
        </xdr:from>
        <xdr:to>
          <xdr:col>13</xdr:col>
          <xdr:colOff>327499</xdr:colOff>
          <xdr:row>71</xdr:row>
          <xdr:rowOff>285750</xdr:rowOff>
        </xdr:to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71781830-41A6-73D1-1C4D-CD4FAEC532A7}"/>
                </a:ext>
              </a:extLst>
            </xdr:cNvPr>
            <xdr:cNvGrpSpPr/>
          </xdr:nvGrpSpPr>
          <xdr:grpSpPr>
            <a:xfrm>
              <a:off x="5240623" y="16903793"/>
              <a:ext cx="6574026" cy="326932"/>
              <a:chOff x="5239432" y="16876409"/>
              <a:chExt cx="6595458" cy="328122"/>
            </a:xfrm>
          </xdr:grpSpPr>
          <xdr:sp macro="" textlink="">
            <xdr:nvSpPr>
              <xdr:cNvPr id="1041" name="Group Box 17" hidden="1">
                <a:extLst>
                  <a:ext uri="{63B3BB69-23CF-44E3-9099-C40C66FF867C}">
                    <a14:compatExt spid="_x0000_s1041"/>
                  </a:ext>
                  <a:ext uri="{FF2B5EF4-FFF2-40B4-BE49-F238E27FC236}">
                    <a16:creationId xmlns:a16="http://schemas.microsoft.com/office/drawing/2014/main" id="{00000000-0008-0000-0000-000011040000}"/>
                  </a:ext>
                </a:extLst>
              </xdr:cNvPr>
              <xdr:cNvSpPr/>
            </xdr:nvSpPr>
            <xdr:spPr bwMode="auto">
              <a:xfrm>
                <a:off x="5239432" y="16876409"/>
                <a:ext cx="6595458" cy="32812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17</a:t>
                </a:r>
              </a:p>
            </xdr:txBody>
          </xdr:sp>
          <xdr:sp macro="" textlink="">
            <xdr:nvSpPr>
              <xdr:cNvPr id="1043" name="Option Button 19" hidden="1">
                <a:extLst>
                  <a:ext uri="{63B3BB69-23CF-44E3-9099-C40C66FF867C}">
                    <a14:compatExt spid="_x0000_s1043"/>
                  </a:ext>
                  <a:ext uri="{FF2B5EF4-FFF2-40B4-BE49-F238E27FC236}">
                    <a16:creationId xmlns:a16="http://schemas.microsoft.com/office/drawing/2014/main" id="{00000000-0008-0000-0000-000013040000}"/>
                  </a:ext>
                </a:extLst>
              </xdr:cNvPr>
              <xdr:cNvSpPr/>
            </xdr:nvSpPr>
            <xdr:spPr bwMode="auto">
              <a:xfrm>
                <a:off x="5347970" y="16964694"/>
                <a:ext cx="403074" cy="21183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4" name="Option Button 20" hidden="1">
                <a:extLst>
                  <a:ext uri="{63B3BB69-23CF-44E3-9099-C40C66FF867C}">
                    <a14:compatExt spid="_x0000_s1044"/>
                  </a:ext>
                  <a:ext uri="{FF2B5EF4-FFF2-40B4-BE49-F238E27FC236}">
                    <a16:creationId xmlns:a16="http://schemas.microsoft.com/office/drawing/2014/main" id="{00000000-0008-0000-0000-000014040000}"/>
                  </a:ext>
                </a:extLst>
              </xdr:cNvPr>
              <xdr:cNvSpPr/>
            </xdr:nvSpPr>
            <xdr:spPr bwMode="auto">
              <a:xfrm>
                <a:off x="6098656" y="16964993"/>
                <a:ext cx="405778" cy="2128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5" name="Option Button 21" hidden="1">
                <a:extLst>
                  <a:ext uri="{63B3BB69-23CF-44E3-9099-C40C66FF867C}">
                    <a14:compatExt spid="_x0000_s1045"/>
                  </a:ext>
                  <a:ext uri="{FF2B5EF4-FFF2-40B4-BE49-F238E27FC236}">
                    <a16:creationId xmlns:a16="http://schemas.microsoft.com/office/drawing/2014/main" id="{00000000-0008-0000-0000-000015040000}"/>
                  </a:ext>
                </a:extLst>
              </xdr:cNvPr>
              <xdr:cNvSpPr/>
            </xdr:nvSpPr>
            <xdr:spPr bwMode="auto">
              <a:xfrm>
                <a:off x="6873547" y="16952060"/>
                <a:ext cx="393312" cy="22326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6" name="Option Button 22" hidden="1">
                <a:extLst>
                  <a:ext uri="{63B3BB69-23CF-44E3-9099-C40C66FF867C}">
                    <a14:compatExt spid="_x0000_s1046"/>
                  </a:ext>
                  <a:ext uri="{FF2B5EF4-FFF2-40B4-BE49-F238E27FC236}">
                    <a16:creationId xmlns:a16="http://schemas.microsoft.com/office/drawing/2014/main" id="{00000000-0008-0000-0000-000016040000}"/>
                  </a:ext>
                </a:extLst>
              </xdr:cNvPr>
              <xdr:cNvSpPr/>
            </xdr:nvSpPr>
            <xdr:spPr bwMode="auto">
              <a:xfrm>
                <a:off x="7646334" y="16962476"/>
                <a:ext cx="405604" cy="2090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7" name="Option Button 23" hidden="1">
                <a:extLst>
                  <a:ext uri="{63B3BB69-23CF-44E3-9099-C40C66FF867C}">
                    <a14:compatExt spid="_x0000_s1047"/>
                  </a:ext>
                  <a:ext uri="{FF2B5EF4-FFF2-40B4-BE49-F238E27FC236}">
                    <a16:creationId xmlns:a16="http://schemas.microsoft.com/office/drawing/2014/main" id="{00000000-0008-0000-0000-000017040000}"/>
                  </a:ext>
                </a:extLst>
              </xdr:cNvPr>
              <xdr:cNvSpPr/>
            </xdr:nvSpPr>
            <xdr:spPr bwMode="auto">
              <a:xfrm>
                <a:off x="8424983" y="16964005"/>
                <a:ext cx="408544" cy="20891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7" name="Option Button 43" hidden="1">
                <a:extLst>
                  <a:ext uri="{63B3BB69-23CF-44E3-9099-C40C66FF867C}">
                    <a14:compatExt spid="_x0000_s1067"/>
                  </a:ext>
                  <a:ext uri="{FF2B5EF4-FFF2-40B4-BE49-F238E27FC236}">
                    <a16:creationId xmlns:a16="http://schemas.microsoft.com/office/drawing/2014/main" id="{00000000-0008-0000-0000-00002B040000}"/>
                  </a:ext>
                </a:extLst>
              </xdr:cNvPr>
              <xdr:cNvSpPr/>
            </xdr:nvSpPr>
            <xdr:spPr bwMode="auto">
              <a:xfrm>
                <a:off x="9209202" y="16964505"/>
                <a:ext cx="405649" cy="21084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16" name="Option Button 92" hidden="1">
                <a:extLst>
                  <a:ext uri="{63B3BB69-23CF-44E3-9099-C40C66FF867C}">
                    <a14:compatExt spid="_x0000_s1116"/>
                  </a:ext>
                  <a:ext uri="{FF2B5EF4-FFF2-40B4-BE49-F238E27FC236}">
                    <a16:creationId xmlns:a16="http://schemas.microsoft.com/office/drawing/2014/main" id="{00000000-0008-0000-0000-00005C040000}"/>
                  </a:ext>
                </a:extLst>
              </xdr:cNvPr>
              <xdr:cNvSpPr/>
            </xdr:nvSpPr>
            <xdr:spPr bwMode="auto">
              <a:xfrm>
                <a:off x="9983998" y="16956535"/>
                <a:ext cx="401556" cy="217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516" name="Option Button 1204" hidden="1">
                <a:extLst>
                  <a:ext uri="{63B3BB69-23CF-44E3-9099-C40C66FF867C}">
                    <a14:compatExt spid="_x0000_s14516"/>
                  </a:ext>
                  <a:ext uri="{FF2B5EF4-FFF2-40B4-BE49-F238E27FC236}">
                    <a16:creationId xmlns:a16="http://schemas.microsoft.com/office/drawing/2014/main" id="{00000000-0008-0000-0000-00005C040000}"/>
                  </a:ext>
                </a:extLst>
              </xdr:cNvPr>
              <xdr:cNvSpPr/>
            </xdr:nvSpPr>
            <xdr:spPr bwMode="auto">
              <a:xfrm>
                <a:off x="10751950" y="16956535"/>
                <a:ext cx="401556" cy="217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103206</xdr:colOff>
      <xdr:row>91</xdr:row>
      <xdr:rowOff>163914</xdr:rowOff>
    </xdr:from>
    <xdr:to>
      <xdr:col>59</xdr:col>
      <xdr:colOff>243882</xdr:colOff>
      <xdr:row>112</xdr:row>
      <xdr:rowOff>37159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125328</xdr:colOff>
      <xdr:row>104</xdr:row>
      <xdr:rowOff>97254</xdr:rowOff>
    </xdr:from>
    <xdr:to>
      <xdr:col>13</xdr:col>
      <xdr:colOff>461210</xdr:colOff>
      <xdr:row>114</xdr:row>
      <xdr:rowOff>40105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27385</xdr:colOff>
      <xdr:row>59</xdr:row>
      <xdr:rowOff>46975</xdr:rowOff>
    </xdr:from>
    <xdr:to>
      <xdr:col>16</xdr:col>
      <xdr:colOff>464344</xdr:colOff>
      <xdr:row>60</xdr:row>
      <xdr:rowOff>112917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/>
      </xdr:nvSpPr>
      <xdr:spPr>
        <a:xfrm>
          <a:off x="8272463" y="10226819"/>
          <a:ext cx="1044178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Air Direction D</a:t>
          </a:r>
        </a:p>
      </xdr:txBody>
    </xdr:sp>
    <xdr:clientData/>
  </xdr:twoCellAnchor>
  <xdr:twoCellAnchor>
    <xdr:from>
      <xdr:col>7</xdr:col>
      <xdr:colOff>375044</xdr:colOff>
      <xdr:row>59</xdr:row>
      <xdr:rowOff>70880</xdr:rowOff>
    </xdr:from>
    <xdr:to>
      <xdr:col>9</xdr:col>
      <xdr:colOff>247954</xdr:colOff>
      <xdr:row>60</xdr:row>
      <xdr:rowOff>136822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4244575" y="10250724"/>
          <a:ext cx="1087348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Air Direction A</a:t>
          </a:r>
        </a:p>
      </xdr:txBody>
    </xdr:sp>
    <xdr:clientData/>
  </xdr:twoCellAnchor>
  <xdr:twoCellAnchor>
    <xdr:from>
      <xdr:col>9</xdr:col>
      <xdr:colOff>516729</xdr:colOff>
      <xdr:row>59</xdr:row>
      <xdr:rowOff>65656</xdr:rowOff>
    </xdr:from>
    <xdr:to>
      <xdr:col>11</xdr:col>
      <xdr:colOff>362664</xdr:colOff>
      <xdr:row>60</xdr:row>
      <xdr:rowOff>131598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5600698" y="10245500"/>
          <a:ext cx="1060372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Air Direction B</a:t>
          </a:r>
        </a:p>
      </xdr:txBody>
    </xdr:sp>
    <xdr:clientData/>
  </xdr:twoCellAnchor>
  <xdr:twoCellAnchor>
    <xdr:from>
      <xdr:col>12</xdr:col>
      <xdr:colOff>126206</xdr:colOff>
      <xdr:row>59</xdr:row>
      <xdr:rowOff>55309</xdr:rowOff>
    </xdr:from>
    <xdr:to>
      <xdr:col>14</xdr:col>
      <xdr:colOff>438150</xdr:colOff>
      <xdr:row>60</xdr:row>
      <xdr:rowOff>121251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7031831" y="10235153"/>
          <a:ext cx="1044178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Air Direction C</a:t>
          </a:r>
        </a:p>
      </xdr:txBody>
    </xdr:sp>
    <xdr:clientData/>
  </xdr:twoCellAnchor>
  <xdr:twoCellAnchor>
    <xdr:from>
      <xdr:col>6</xdr:col>
      <xdr:colOff>583508</xdr:colOff>
      <xdr:row>57</xdr:row>
      <xdr:rowOff>5674</xdr:rowOff>
    </xdr:from>
    <xdr:to>
      <xdr:col>7</xdr:col>
      <xdr:colOff>570408</xdr:colOff>
      <xdr:row>58</xdr:row>
      <xdr:rowOff>34249</xdr:rowOff>
    </xdr:to>
    <xdr:sp macro="" textlink="">
      <xdr:nvSpPr>
        <xdr:cNvPr id="7169" name="Text Box 2">
          <a:extLst>
            <a:ext uri="{FF2B5EF4-FFF2-40B4-BE49-F238E27FC236}">
              <a16:creationId xmlns:a16="http://schemas.microsoft.com/office/drawing/2014/main" id="{00000000-0008-0000-0200-0000011C0000}"/>
            </a:ext>
          </a:extLst>
        </xdr:cNvPr>
        <xdr:cNvSpPr txBox="1">
          <a:spLocks noChangeArrowheads="1"/>
        </xdr:cNvSpPr>
      </xdr:nvSpPr>
      <xdr:spPr bwMode="auto">
        <a:xfrm>
          <a:off x="3860108" y="9778324"/>
          <a:ext cx="5965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Calibri"/>
            </a:rPr>
            <a:t>0 to -15° </a:t>
          </a:r>
        </a:p>
        <a:p>
          <a:pPr algn="l" rtl="0">
            <a:defRPr sz="1000"/>
          </a:pPr>
          <a:endParaRPr lang="en-AU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9</xdr:col>
      <xdr:colOff>158354</xdr:colOff>
      <xdr:row>57</xdr:row>
      <xdr:rowOff>19050</xdr:rowOff>
    </xdr:from>
    <xdr:to>
      <xdr:col>10</xdr:col>
      <xdr:colOff>133351</xdr:colOff>
      <xdr:row>58</xdr:row>
      <xdr:rowOff>47625</xdr:rowOff>
    </xdr:to>
    <xdr:sp macro="" textlink="">
      <xdr:nvSpPr>
        <xdr:cNvPr id="7180" name="Text Box 2">
          <a:extLst>
            <a:ext uri="{FF2B5EF4-FFF2-40B4-BE49-F238E27FC236}">
              <a16:creationId xmlns:a16="http://schemas.microsoft.com/office/drawing/2014/main" id="{00000000-0008-0000-0200-00000C1C0000}"/>
            </a:ext>
          </a:extLst>
        </xdr:cNvPr>
        <xdr:cNvSpPr txBox="1">
          <a:spLocks noChangeArrowheads="1"/>
        </xdr:cNvSpPr>
      </xdr:nvSpPr>
      <xdr:spPr bwMode="auto">
        <a:xfrm>
          <a:off x="5263754" y="9791700"/>
          <a:ext cx="584597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Calibri"/>
            </a:rPr>
            <a:t>0 to -30° </a:t>
          </a:r>
        </a:p>
        <a:p>
          <a:pPr algn="l" rtl="0">
            <a:defRPr sz="1000"/>
          </a:pPr>
          <a:endParaRPr lang="en-AU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10</xdr:col>
      <xdr:colOff>0</xdr:colOff>
      <xdr:row>56</xdr:row>
      <xdr:rowOff>28574</xdr:rowOff>
    </xdr:from>
    <xdr:to>
      <xdr:col>11</xdr:col>
      <xdr:colOff>476250</xdr:colOff>
      <xdr:row>58</xdr:row>
      <xdr:rowOff>4762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GrpSpPr>
          <a:grpSpLocks noChangeAspect="1"/>
        </xdr:cNvGrpSpPr>
      </xdr:nvGrpSpPr>
      <xdr:grpSpPr>
        <a:xfrm>
          <a:off x="5695950" y="12201524"/>
          <a:ext cx="1085850" cy="357188"/>
          <a:chOff x="5905500" y="9852660"/>
          <a:chExt cx="723900" cy="238125"/>
        </a:xfrm>
      </xdr:grpSpPr>
      <xdr:cxnSp macro="">
        <xdr:nvCxnSpPr>
          <xdr:cNvPr id="7182" name="AutoShape 14">
            <a:extLst>
              <a:ext uri="{FF2B5EF4-FFF2-40B4-BE49-F238E27FC236}">
                <a16:creationId xmlns:a16="http://schemas.microsoft.com/office/drawing/2014/main" id="{00000000-0008-0000-0200-00000E1C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6339840" y="9852660"/>
            <a:ext cx="0" cy="138785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183" name="AutoShape 15">
            <a:extLst>
              <a:ext uri="{FF2B5EF4-FFF2-40B4-BE49-F238E27FC236}">
                <a16:creationId xmlns:a16="http://schemas.microsoft.com/office/drawing/2014/main" id="{00000000-0008-0000-0200-00000F1C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6195060" y="9852660"/>
            <a:ext cx="0" cy="138785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184" name="AutoShape 16">
            <a:extLst>
              <a:ext uri="{FF2B5EF4-FFF2-40B4-BE49-F238E27FC236}">
                <a16:creationId xmlns:a16="http://schemas.microsoft.com/office/drawing/2014/main" id="{00000000-0008-0000-0200-000010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5905500" y="9973914"/>
            <a:ext cx="231648" cy="0"/>
          </a:xfrm>
          <a:prstGeom prst="straightConnector1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7185" name="Oval 17">
            <a:extLst>
              <a:ext uri="{FF2B5EF4-FFF2-40B4-BE49-F238E27FC236}">
                <a16:creationId xmlns:a16="http://schemas.microsoft.com/office/drawing/2014/main" id="{00000000-0008-0000-0200-0000111C0000}"/>
              </a:ext>
            </a:extLst>
          </xdr:cNvPr>
          <xdr:cNvSpPr>
            <a:spLocks noChangeArrowheads="1"/>
          </xdr:cNvSpPr>
        </xdr:nvSpPr>
        <xdr:spPr bwMode="auto">
          <a:xfrm>
            <a:off x="6195060" y="9880417"/>
            <a:ext cx="144780" cy="138785"/>
          </a:xfrm>
          <a:prstGeom prst="ellipse">
            <a:avLst/>
          </a:prstGeom>
          <a:solidFill>
            <a:srgbClr val="FFFFFF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7186" name="AutoShape 18">
            <a:extLst>
              <a:ext uri="{FF2B5EF4-FFF2-40B4-BE49-F238E27FC236}">
                <a16:creationId xmlns:a16="http://schemas.microsoft.com/office/drawing/2014/main" id="{00000000-0008-0000-0200-000012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6108192" y="9991445"/>
            <a:ext cx="86868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187" name="AutoShape 19">
            <a:extLst>
              <a:ext uri="{FF2B5EF4-FFF2-40B4-BE49-F238E27FC236}">
                <a16:creationId xmlns:a16="http://schemas.microsoft.com/office/drawing/2014/main" id="{00000000-0008-0000-0200-000013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6339840" y="9991445"/>
            <a:ext cx="86868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188" name="AutoShape 20">
            <a:extLst>
              <a:ext uri="{FF2B5EF4-FFF2-40B4-BE49-F238E27FC236}">
                <a16:creationId xmlns:a16="http://schemas.microsoft.com/office/drawing/2014/main" id="{00000000-0008-0000-0200-000014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6397752" y="9973914"/>
            <a:ext cx="231648" cy="0"/>
          </a:xfrm>
          <a:prstGeom prst="straightConnector1">
            <a:avLst/>
          </a:prstGeom>
          <a:noFill/>
          <a:ln w="25400">
            <a:solidFill>
              <a:srgbClr val="FFFF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7189" name="Freeform 21">
            <a:extLst>
              <a:ext uri="{FF2B5EF4-FFF2-40B4-BE49-F238E27FC236}">
                <a16:creationId xmlns:a16="http://schemas.microsoft.com/office/drawing/2014/main" id="{00000000-0008-0000-0200-0000151C0000}"/>
              </a:ext>
            </a:extLst>
          </xdr:cNvPr>
          <xdr:cNvSpPr>
            <a:spLocks/>
          </xdr:cNvSpPr>
        </xdr:nvSpPr>
        <xdr:spPr bwMode="auto">
          <a:xfrm rot="279633">
            <a:off x="6059932" y="9934470"/>
            <a:ext cx="193548" cy="151933"/>
          </a:xfrm>
          <a:custGeom>
            <a:avLst/>
            <a:gdLst>
              <a:gd name="T0" fmla="*/ 323 w 342"/>
              <a:gd name="T1" fmla="*/ 0 h 368"/>
              <a:gd name="T2" fmla="*/ 323 w 342"/>
              <a:gd name="T3" fmla="*/ 171 h 368"/>
              <a:gd name="T4" fmla="*/ 209 w 342"/>
              <a:gd name="T5" fmla="*/ 311 h 368"/>
              <a:gd name="T6" fmla="*/ 0 w 342"/>
              <a:gd name="T7" fmla="*/ 368 h 3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42" h="368">
                <a:moveTo>
                  <a:pt x="323" y="0"/>
                </a:moveTo>
                <a:cubicBezTo>
                  <a:pt x="332" y="59"/>
                  <a:pt x="342" y="119"/>
                  <a:pt x="323" y="171"/>
                </a:cubicBezTo>
                <a:cubicBezTo>
                  <a:pt x="304" y="223"/>
                  <a:pt x="263" y="278"/>
                  <a:pt x="209" y="311"/>
                </a:cubicBezTo>
                <a:cubicBezTo>
                  <a:pt x="155" y="344"/>
                  <a:pt x="77" y="356"/>
                  <a:pt x="0" y="368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7190" name="AutoShape 22">
            <a:extLst>
              <a:ext uri="{FF2B5EF4-FFF2-40B4-BE49-F238E27FC236}">
                <a16:creationId xmlns:a16="http://schemas.microsoft.com/office/drawing/2014/main" id="{00000000-0008-0000-0200-0000161C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5905500" y="10081046"/>
            <a:ext cx="144780" cy="9739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7191" name="Freeform 23">
            <a:extLst>
              <a:ext uri="{FF2B5EF4-FFF2-40B4-BE49-F238E27FC236}">
                <a16:creationId xmlns:a16="http://schemas.microsoft.com/office/drawing/2014/main" id="{00000000-0008-0000-0200-0000171C0000}"/>
              </a:ext>
            </a:extLst>
          </xdr:cNvPr>
          <xdr:cNvSpPr>
            <a:spLocks/>
          </xdr:cNvSpPr>
        </xdr:nvSpPr>
        <xdr:spPr bwMode="auto">
          <a:xfrm rot="21320367" flipH="1">
            <a:off x="6281928" y="9935444"/>
            <a:ext cx="193548" cy="151933"/>
          </a:xfrm>
          <a:custGeom>
            <a:avLst/>
            <a:gdLst>
              <a:gd name="T0" fmla="*/ 323 w 342"/>
              <a:gd name="T1" fmla="*/ 0 h 368"/>
              <a:gd name="T2" fmla="*/ 323 w 342"/>
              <a:gd name="T3" fmla="*/ 171 h 368"/>
              <a:gd name="T4" fmla="*/ 209 w 342"/>
              <a:gd name="T5" fmla="*/ 311 h 368"/>
              <a:gd name="T6" fmla="*/ 0 w 342"/>
              <a:gd name="T7" fmla="*/ 368 h 3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42" h="368">
                <a:moveTo>
                  <a:pt x="323" y="0"/>
                </a:moveTo>
                <a:cubicBezTo>
                  <a:pt x="332" y="59"/>
                  <a:pt x="342" y="119"/>
                  <a:pt x="323" y="171"/>
                </a:cubicBezTo>
                <a:cubicBezTo>
                  <a:pt x="304" y="223"/>
                  <a:pt x="263" y="278"/>
                  <a:pt x="209" y="311"/>
                </a:cubicBezTo>
                <a:cubicBezTo>
                  <a:pt x="155" y="344"/>
                  <a:pt x="77" y="356"/>
                  <a:pt x="0" y="368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12</xdr:col>
      <xdr:colOff>23368</xdr:colOff>
      <xdr:row>57</xdr:row>
      <xdr:rowOff>131671</xdr:rowOff>
    </xdr:from>
    <xdr:to>
      <xdr:col>12</xdr:col>
      <xdr:colOff>504813</xdr:colOff>
      <xdr:row>58</xdr:row>
      <xdr:rowOff>160866</xdr:rowOff>
    </xdr:to>
    <xdr:sp macro="" textlink="">
      <xdr:nvSpPr>
        <xdr:cNvPr id="7195" name="Text Box 2">
          <a:extLst>
            <a:ext uri="{FF2B5EF4-FFF2-40B4-BE49-F238E27FC236}">
              <a16:creationId xmlns:a16="http://schemas.microsoft.com/office/drawing/2014/main" id="{00000000-0008-0000-0200-00001B1C0000}"/>
            </a:ext>
          </a:extLst>
        </xdr:cNvPr>
        <xdr:cNvSpPr txBox="1">
          <a:spLocks noChangeArrowheads="1"/>
        </xdr:cNvSpPr>
      </xdr:nvSpPr>
      <xdr:spPr bwMode="auto">
        <a:xfrm>
          <a:off x="6957568" y="9904321"/>
          <a:ext cx="481445" cy="219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Calibri"/>
            </a:rPr>
            <a:t>≈ </a:t>
          </a:r>
          <a:r>
            <a:rPr lang="en-AU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</a:t>
          </a:r>
          <a:r>
            <a:rPr lang="en-AU" sz="900" b="0" i="0" u="none" strike="noStrike" baseline="0">
              <a:solidFill>
                <a:srgbClr val="000000"/>
              </a:solidFill>
              <a:latin typeface="Calibri"/>
              <a:cs typeface="Times New Roman"/>
            </a:rPr>
            <a:t>45° </a:t>
          </a:r>
        </a:p>
        <a:p>
          <a:pPr algn="l" rtl="0">
            <a:defRPr sz="1000"/>
          </a:pPr>
          <a:endParaRPr lang="en-AU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15</xdr:col>
      <xdr:colOff>120253</xdr:colOff>
      <xdr:row>57</xdr:row>
      <xdr:rowOff>170260</xdr:rowOff>
    </xdr:from>
    <xdr:to>
      <xdr:col>15</xdr:col>
      <xdr:colOff>598884</xdr:colOff>
      <xdr:row>59</xdr:row>
      <xdr:rowOff>8335</xdr:rowOff>
    </xdr:to>
    <xdr:sp macro="" textlink="">
      <xdr:nvSpPr>
        <xdr:cNvPr id="7204" name="Text Box 2">
          <a:extLst>
            <a:ext uri="{FF2B5EF4-FFF2-40B4-BE49-F238E27FC236}">
              <a16:creationId xmlns:a16="http://schemas.microsoft.com/office/drawing/2014/main" id="{00000000-0008-0000-0200-0000241C0000}"/>
            </a:ext>
          </a:extLst>
        </xdr:cNvPr>
        <xdr:cNvSpPr txBox="1">
          <a:spLocks noChangeArrowheads="1"/>
        </xdr:cNvSpPr>
      </xdr:nvSpPr>
      <xdr:spPr bwMode="auto">
        <a:xfrm>
          <a:off x="8397478" y="9942910"/>
          <a:ext cx="478631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Calibri"/>
            </a:rPr>
            <a:t>≈ </a:t>
          </a:r>
          <a:r>
            <a:rPr lang="en-AU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</a:t>
          </a:r>
          <a:r>
            <a:rPr lang="en-AU" sz="900" b="0" i="0" u="none" strike="noStrike" baseline="0">
              <a:solidFill>
                <a:srgbClr val="000000"/>
              </a:solidFill>
              <a:latin typeface="Calibri"/>
              <a:cs typeface="Times New Roman"/>
            </a:rPr>
            <a:t>60° </a:t>
          </a:r>
        </a:p>
        <a:p>
          <a:pPr algn="l" rtl="0">
            <a:defRPr sz="1000"/>
          </a:pPr>
          <a:endParaRPr lang="en-AU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15</xdr:col>
      <xdr:colOff>190500</xdr:colOff>
      <xdr:row>56</xdr:row>
      <xdr:rowOff>17859</xdr:rowOff>
    </xdr:from>
    <xdr:to>
      <xdr:col>16</xdr:col>
      <xdr:colOff>366713</xdr:colOff>
      <xdr:row>59</xdr:row>
      <xdr:rowOff>73224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GrpSpPr>
          <a:grpSpLocks noChangeAspect="1"/>
        </xdr:cNvGrpSpPr>
      </xdr:nvGrpSpPr>
      <xdr:grpSpPr>
        <a:xfrm>
          <a:off x="8448675" y="12190809"/>
          <a:ext cx="785813" cy="626865"/>
          <a:chOff x="8488680" y="9851469"/>
          <a:chExt cx="523875" cy="417910"/>
        </a:xfrm>
      </xdr:grpSpPr>
      <xdr:cxnSp macro="">
        <xdr:nvCxnSpPr>
          <xdr:cNvPr id="7206" name="AutoShape 38">
            <a:extLst>
              <a:ext uri="{FF2B5EF4-FFF2-40B4-BE49-F238E27FC236}">
                <a16:creationId xmlns:a16="http://schemas.microsoft.com/office/drawing/2014/main" id="{00000000-0008-0000-0200-0000261C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8925136" y="9851469"/>
            <a:ext cx="0" cy="142875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207" name="AutoShape 39">
            <a:extLst>
              <a:ext uri="{FF2B5EF4-FFF2-40B4-BE49-F238E27FC236}">
                <a16:creationId xmlns:a16="http://schemas.microsoft.com/office/drawing/2014/main" id="{00000000-0008-0000-0200-0000271C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8779651" y="9851469"/>
            <a:ext cx="0" cy="142875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208" name="AutoShape 40">
            <a:extLst>
              <a:ext uri="{FF2B5EF4-FFF2-40B4-BE49-F238E27FC236}">
                <a16:creationId xmlns:a16="http://schemas.microsoft.com/office/drawing/2014/main" id="{00000000-0008-0000-0200-000028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488680" y="9976564"/>
            <a:ext cx="232904" cy="0"/>
          </a:xfrm>
          <a:prstGeom prst="straightConnector1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7209" name="Oval 41">
            <a:extLst>
              <a:ext uri="{FF2B5EF4-FFF2-40B4-BE49-F238E27FC236}">
                <a16:creationId xmlns:a16="http://schemas.microsoft.com/office/drawing/2014/main" id="{00000000-0008-0000-0200-0000291C0000}"/>
              </a:ext>
            </a:extLst>
          </xdr:cNvPr>
          <xdr:cNvSpPr>
            <a:spLocks noChangeArrowheads="1"/>
          </xdr:cNvSpPr>
        </xdr:nvSpPr>
        <xdr:spPr bwMode="auto">
          <a:xfrm>
            <a:off x="8779651" y="9880044"/>
            <a:ext cx="145485" cy="142875"/>
          </a:xfrm>
          <a:prstGeom prst="ellipse">
            <a:avLst/>
          </a:prstGeom>
          <a:solidFill>
            <a:srgbClr val="FFFFFF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7210" name="AutoShape 42">
            <a:extLst>
              <a:ext uri="{FF2B5EF4-FFF2-40B4-BE49-F238E27FC236}">
                <a16:creationId xmlns:a16="http://schemas.microsoft.com/office/drawing/2014/main" id="{00000000-0008-0000-0200-00002A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692232" y="9994344"/>
            <a:ext cx="87419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211" name="AutoShape 43">
            <a:extLst>
              <a:ext uri="{FF2B5EF4-FFF2-40B4-BE49-F238E27FC236}">
                <a16:creationId xmlns:a16="http://schemas.microsoft.com/office/drawing/2014/main" id="{00000000-0008-0000-0200-00002B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925136" y="9994344"/>
            <a:ext cx="87419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7212" name="Freeform 44">
            <a:extLst>
              <a:ext uri="{FF2B5EF4-FFF2-40B4-BE49-F238E27FC236}">
                <a16:creationId xmlns:a16="http://schemas.microsoft.com/office/drawing/2014/main" id="{00000000-0008-0000-0200-00002C1C0000}"/>
              </a:ext>
            </a:extLst>
          </xdr:cNvPr>
          <xdr:cNvSpPr>
            <a:spLocks/>
          </xdr:cNvSpPr>
        </xdr:nvSpPr>
        <xdr:spPr bwMode="auto">
          <a:xfrm>
            <a:off x="8721584" y="9937829"/>
            <a:ext cx="116133" cy="227965"/>
          </a:xfrm>
          <a:custGeom>
            <a:avLst/>
            <a:gdLst>
              <a:gd name="T0" fmla="*/ 381 w 390"/>
              <a:gd name="T1" fmla="*/ 0 h 683"/>
              <a:gd name="T2" fmla="*/ 380 w 390"/>
              <a:gd name="T3" fmla="*/ 170 h 683"/>
              <a:gd name="T4" fmla="*/ 323 w 390"/>
              <a:gd name="T5" fmla="*/ 284 h 683"/>
              <a:gd name="T6" fmla="*/ 0 w 390"/>
              <a:gd name="T7" fmla="*/ 683 h 6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90" h="683">
                <a:moveTo>
                  <a:pt x="381" y="0"/>
                </a:moveTo>
                <a:cubicBezTo>
                  <a:pt x="385" y="61"/>
                  <a:pt x="390" y="123"/>
                  <a:pt x="380" y="170"/>
                </a:cubicBezTo>
                <a:cubicBezTo>
                  <a:pt x="370" y="217"/>
                  <a:pt x="386" y="199"/>
                  <a:pt x="323" y="284"/>
                </a:cubicBezTo>
                <a:cubicBezTo>
                  <a:pt x="260" y="369"/>
                  <a:pt x="130" y="526"/>
                  <a:pt x="0" y="683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213" name="Freeform 45">
            <a:extLst>
              <a:ext uri="{FF2B5EF4-FFF2-40B4-BE49-F238E27FC236}">
                <a16:creationId xmlns:a16="http://schemas.microsoft.com/office/drawing/2014/main" id="{00000000-0008-0000-0200-00002D1C0000}"/>
              </a:ext>
            </a:extLst>
          </xdr:cNvPr>
          <xdr:cNvSpPr>
            <a:spLocks/>
          </xdr:cNvSpPr>
        </xdr:nvSpPr>
        <xdr:spPr bwMode="auto">
          <a:xfrm flipH="1">
            <a:off x="8867070" y="9937194"/>
            <a:ext cx="135914" cy="227965"/>
          </a:xfrm>
          <a:custGeom>
            <a:avLst/>
            <a:gdLst>
              <a:gd name="T0" fmla="*/ 381 w 390"/>
              <a:gd name="T1" fmla="*/ 0 h 683"/>
              <a:gd name="T2" fmla="*/ 380 w 390"/>
              <a:gd name="T3" fmla="*/ 170 h 683"/>
              <a:gd name="T4" fmla="*/ 323 w 390"/>
              <a:gd name="T5" fmla="*/ 284 h 683"/>
              <a:gd name="T6" fmla="*/ 0 w 390"/>
              <a:gd name="T7" fmla="*/ 683 h 6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90" h="683">
                <a:moveTo>
                  <a:pt x="381" y="0"/>
                </a:moveTo>
                <a:cubicBezTo>
                  <a:pt x="385" y="61"/>
                  <a:pt x="390" y="123"/>
                  <a:pt x="380" y="170"/>
                </a:cubicBezTo>
                <a:cubicBezTo>
                  <a:pt x="370" y="217"/>
                  <a:pt x="386" y="199"/>
                  <a:pt x="323" y="284"/>
                </a:cubicBezTo>
                <a:cubicBezTo>
                  <a:pt x="260" y="369"/>
                  <a:pt x="130" y="526"/>
                  <a:pt x="0" y="683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7214" name="AutoShape 46">
            <a:extLst>
              <a:ext uri="{FF2B5EF4-FFF2-40B4-BE49-F238E27FC236}">
                <a16:creationId xmlns:a16="http://schemas.microsoft.com/office/drawing/2014/main" id="{00000000-0008-0000-0200-00002E1C0000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8643462" y="10164604"/>
            <a:ext cx="76200" cy="104775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12</xdr:col>
      <xdr:colOff>205461</xdr:colOff>
      <xdr:row>56</xdr:row>
      <xdr:rowOff>22629</xdr:rowOff>
    </xdr:from>
    <xdr:to>
      <xdr:col>14</xdr:col>
      <xdr:colOff>338132</xdr:colOff>
      <xdr:row>59</xdr:row>
      <xdr:rowOff>44529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GrpSpPr>
          <a:grpSpLocks noChangeAspect="1"/>
        </xdr:cNvGrpSpPr>
      </xdr:nvGrpSpPr>
      <xdr:grpSpPr>
        <a:xfrm>
          <a:off x="7120611" y="12195579"/>
          <a:ext cx="866096" cy="593400"/>
          <a:chOff x="7139661" y="9789564"/>
          <a:chExt cx="578667" cy="395600"/>
        </a:xfrm>
      </xdr:grpSpPr>
      <xdr:cxnSp macro="">
        <xdr:nvCxnSpPr>
          <xdr:cNvPr id="7200" name="AutoShape 32">
            <a:extLst>
              <a:ext uri="{FF2B5EF4-FFF2-40B4-BE49-F238E27FC236}">
                <a16:creationId xmlns:a16="http://schemas.microsoft.com/office/drawing/2014/main" id="{00000000-0008-0000-0200-000020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342542" y="9932067"/>
            <a:ext cx="87131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201" name="AutoShape 33">
            <a:extLst>
              <a:ext uri="{FF2B5EF4-FFF2-40B4-BE49-F238E27FC236}">
                <a16:creationId xmlns:a16="http://schemas.microsoft.com/office/drawing/2014/main" id="{00000000-0008-0000-0200-000021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577059" y="9932067"/>
            <a:ext cx="87131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196" name="AutoShape 28">
            <a:extLst>
              <a:ext uri="{FF2B5EF4-FFF2-40B4-BE49-F238E27FC236}">
                <a16:creationId xmlns:a16="http://schemas.microsoft.com/office/drawing/2014/main" id="{00000000-0008-0000-0200-00001C1C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577059" y="9789564"/>
            <a:ext cx="0" cy="142503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197" name="AutoShape 29">
            <a:extLst>
              <a:ext uri="{FF2B5EF4-FFF2-40B4-BE49-F238E27FC236}">
                <a16:creationId xmlns:a16="http://schemas.microsoft.com/office/drawing/2014/main" id="{00000000-0008-0000-0200-00001D1C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429672" y="9789564"/>
            <a:ext cx="0" cy="142503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198" name="AutoShape 30">
            <a:extLst>
              <a:ext uri="{FF2B5EF4-FFF2-40B4-BE49-F238E27FC236}">
                <a16:creationId xmlns:a16="http://schemas.microsoft.com/office/drawing/2014/main" id="{00000000-0008-0000-0200-00001E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139661" y="9914333"/>
            <a:ext cx="232136" cy="0"/>
          </a:xfrm>
          <a:prstGeom prst="straightConnector1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7199" name="Oval 31">
            <a:extLst>
              <a:ext uri="{FF2B5EF4-FFF2-40B4-BE49-F238E27FC236}">
                <a16:creationId xmlns:a16="http://schemas.microsoft.com/office/drawing/2014/main" id="{00000000-0008-0000-0200-00001F1C0000}"/>
              </a:ext>
            </a:extLst>
          </xdr:cNvPr>
          <xdr:cNvSpPr>
            <a:spLocks noChangeArrowheads="1"/>
          </xdr:cNvSpPr>
        </xdr:nvSpPr>
        <xdr:spPr bwMode="auto">
          <a:xfrm>
            <a:off x="7429672" y="9818065"/>
            <a:ext cx="147387" cy="142503"/>
          </a:xfrm>
          <a:prstGeom prst="ellipse">
            <a:avLst/>
          </a:prstGeom>
          <a:solidFill>
            <a:srgbClr val="FFFFFF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02" name="Freeform 34">
            <a:extLst>
              <a:ext uri="{FF2B5EF4-FFF2-40B4-BE49-F238E27FC236}">
                <a16:creationId xmlns:a16="http://schemas.microsoft.com/office/drawing/2014/main" id="{00000000-0008-0000-0200-0000221C0000}"/>
              </a:ext>
            </a:extLst>
          </xdr:cNvPr>
          <xdr:cNvSpPr>
            <a:spLocks/>
          </xdr:cNvSpPr>
        </xdr:nvSpPr>
        <xdr:spPr bwMode="auto">
          <a:xfrm>
            <a:off x="7289119" y="9875699"/>
            <a:ext cx="198429" cy="227371"/>
          </a:xfrm>
          <a:custGeom>
            <a:avLst/>
            <a:gdLst>
              <a:gd name="T0" fmla="*/ 381 w 390"/>
              <a:gd name="T1" fmla="*/ 0 h 683"/>
              <a:gd name="T2" fmla="*/ 380 w 390"/>
              <a:gd name="T3" fmla="*/ 170 h 683"/>
              <a:gd name="T4" fmla="*/ 323 w 390"/>
              <a:gd name="T5" fmla="*/ 284 h 683"/>
              <a:gd name="T6" fmla="*/ 0 w 390"/>
              <a:gd name="T7" fmla="*/ 683 h 6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90" h="683">
                <a:moveTo>
                  <a:pt x="381" y="0"/>
                </a:moveTo>
                <a:cubicBezTo>
                  <a:pt x="385" y="61"/>
                  <a:pt x="390" y="123"/>
                  <a:pt x="380" y="170"/>
                </a:cubicBezTo>
                <a:cubicBezTo>
                  <a:pt x="370" y="217"/>
                  <a:pt x="386" y="199"/>
                  <a:pt x="323" y="284"/>
                </a:cubicBezTo>
                <a:cubicBezTo>
                  <a:pt x="260" y="369"/>
                  <a:pt x="130" y="526"/>
                  <a:pt x="0" y="683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203" name="Freeform 35">
            <a:extLst>
              <a:ext uri="{FF2B5EF4-FFF2-40B4-BE49-F238E27FC236}">
                <a16:creationId xmlns:a16="http://schemas.microsoft.com/office/drawing/2014/main" id="{00000000-0008-0000-0200-0000231C0000}"/>
              </a:ext>
            </a:extLst>
          </xdr:cNvPr>
          <xdr:cNvSpPr>
            <a:spLocks/>
          </xdr:cNvSpPr>
        </xdr:nvSpPr>
        <xdr:spPr bwMode="auto">
          <a:xfrm flipH="1">
            <a:off x="7516803" y="9875066"/>
            <a:ext cx="201525" cy="227371"/>
          </a:xfrm>
          <a:custGeom>
            <a:avLst/>
            <a:gdLst>
              <a:gd name="T0" fmla="*/ 381 w 390"/>
              <a:gd name="T1" fmla="*/ 0 h 683"/>
              <a:gd name="T2" fmla="*/ 380 w 390"/>
              <a:gd name="T3" fmla="*/ 170 h 683"/>
              <a:gd name="T4" fmla="*/ 323 w 390"/>
              <a:gd name="T5" fmla="*/ 284 h 683"/>
              <a:gd name="T6" fmla="*/ 0 w 390"/>
              <a:gd name="T7" fmla="*/ 683 h 6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90" h="683">
                <a:moveTo>
                  <a:pt x="381" y="0"/>
                </a:moveTo>
                <a:cubicBezTo>
                  <a:pt x="385" y="61"/>
                  <a:pt x="390" y="123"/>
                  <a:pt x="380" y="170"/>
                </a:cubicBezTo>
                <a:cubicBezTo>
                  <a:pt x="370" y="217"/>
                  <a:pt x="386" y="199"/>
                  <a:pt x="323" y="284"/>
                </a:cubicBezTo>
                <a:cubicBezTo>
                  <a:pt x="260" y="369"/>
                  <a:pt x="130" y="526"/>
                  <a:pt x="0" y="683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7215" name="AutoShape 47">
            <a:extLst>
              <a:ext uri="{FF2B5EF4-FFF2-40B4-BE49-F238E27FC236}">
                <a16:creationId xmlns:a16="http://schemas.microsoft.com/office/drawing/2014/main" id="{00000000-0008-0000-0200-00002F1C0000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7184754" y="10108964"/>
            <a:ext cx="95250" cy="76200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7</xdr:col>
      <xdr:colOff>416901</xdr:colOff>
      <xdr:row>56</xdr:row>
      <xdr:rowOff>15241</xdr:rowOff>
    </xdr:from>
    <xdr:to>
      <xdr:col>9</xdr:col>
      <xdr:colOff>298280</xdr:colOff>
      <xdr:row>57</xdr:row>
      <xdr:rowOff>153354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GrpSpPr>
          <a:grpSpLocks noChangeAspect="1"/>
        </xdr:cNvGrpSpPr>
      </xdr:nvGrpSpPr>
      <xdr:grpSpPr>
        <a:xfrm>
          <a:off x="4293576" y="12188191"/>
          <a:ext cx="1091054" cy="328613"/>
          <a:chOff x="4485981" y="9852661"/>
          <a:chExt cx="733719" cy="219075"/>
        </a:xfrm>
      </xdr:grpSpPr>
      <xdr:cxnSp macro="">
        <xdr:nvCxnSpPr>
          <xdr:cNvPr id="7171" name="AutoShape 3">
            <a:extLst>
              <a:ext uri="{FF2B5EF4-FFF2-40B4-BE49-F238E27FC236}">
                <a16:creationId xmlns:a16="http://schemas.microsoft.com/office/drawing/2014/main" id="{00000000-0008-0000-0200-0000031C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4929207" y="9852661"/>
            <a:ext cx="0" cy="146909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172" name="AutoShape 4">
            <a:extLst>
              <a:ext uri="{FF2B5EF4-FFF2-40B4-BE49-F238E27FC236}">
                <a16:creationId xmlns:a16="http://schemas.microsoft.com/office/drawing/2014/main" id="{00000000-0008-0000-0200-0000041C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4783961" y="9852661"/>
            <a:ext cx="0" cy="146909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173" name="AutoShape 5">
            <a:extLst>
              <a:ext uri="{FF2B5EF4-FFF2-40B4-BE49-F238E27FC236}">
                <a16:creationId xmlns:a16="http://schemas.microsoft.com/office/drawing/2014/main" id="{00000000-0008-0000-0200-000005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493468" y="9981013"/>
            <a:ext cx="232394" cy="0"/>
          </a:xfrm>
          <a:prstGeom prst="straightConnector1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7174" name="Oval 6">
            <a:extLst>
              <a:ext uri="{FF2B5EF4-FFF2-40B4-BE49-F238E27FC236}">
                <a16:creationId xmlns:a16="http://schemas.microsoft.com/office/drawing/2014/main" id="{00000000-0008-0000-0200-0000061C0000}"/>
              </a:ext>
            </a:extLst>
          </xdr:cNvPr>
          <xdr:cNvSpPr>
            <a:spLocks noChangeArrowheads="1"/>
          </xdr:cNvSpPr>
        </xdr:nvSpPr>
        <xdr:spPr bwMode="auto">
          <a:xfrm>
            <a:off x="4783961" y="9882043"/>
            <a:ext cx="145246" cy="146909"/>
          </a:xfrm>
          <a:prstGeom prst="ellipse">
            <a:avLst/>
          </a:prstGeom>
          <a:solidFill>
            <a:srgbClr val="FFFFFF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7175" name="AutoShape 7">
            <a:extLst>
              <a:ext uri="{FF2B5EF4-FFF2-40B4-BE49-F238E27FC236}">
                <a16:creationId xmlns:a16="http://schemas.microsoft.com/office/drawing/2014/main" id="{00000000-0008-0000-0200-000007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696813" y="9999570"/>
            <a:ext cx="87148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176" name="AutoShape 8">
            <a:extLst>
              <a:ext uri="{FF2B5EF4-FFF2-40B4-BE49-F238E27FC236}">
                <a16:creationId xmlns:a16="http://schemas.microsoft.com/office/drawing/2014/main" id="{00000000-0008-0000-0200-000008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9207" y="9999570"/>
            <a:ext cx="87148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7177" name="Freeform 9">
            <a:extLst>
              <a:ext uri="{FF2B5EF4-FFF2-40B4-BE49-F238E27FC236}">
                <a16:creationId xmlns:a16="http://schemas.microsoft.com/office/drawing/2014/main" id="{00000000-0008-0000-0200-0000091C0000}"/>
              </a:ext>
            </a:extLst>
          </xdr:cNvPr>
          <xdr:cNvSpPr>
            <a:spLocks/>
          </xdr:cNvSpPr>
        </xdr:nvSpPr>
        <xdr:spPr bwMode="auto">
          <a:xfrm rot="274344">
            <a:off x="4648397" y="9940806"/>
            <a:ext cx="193662" cy="130930"/>
          </a:xfrm>
          <a:custGeom>
            <a:avLst/>
            <a:gdLst>
              <a:gd name="T0" fmla="*/ 570 w 588"/>
              <a:gd name="T1" fmla="*/ 0 h 399"/>
              <a:gd name="T2" fmla="*/ 570 w 588"/>
              <a:gd name="T3" fmla="*/ 171 h 399"/>
              <a:gd name="T4" fmla="*/ 460 w 588"/>
              <a:gd name="T5" fmla="*/ 342 h 399"/>
              <a:gd name="T6" fmla="*/ 0 w 588"/>
              <a:gd name="T7" fmla="*/ 399 h 3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588" h="399">
                <a:moveTo>
                  <a:pt x="570" y="0"/>
                </a:moveTo>
                <a:cubicBezTo>
                  <a:pt x="579" y="57"/>
                  <a:pt x="588" y="114"/>
                  <a:pt x="570" y="171"/>
                </a:cubicBezTo>
                <a:cubicBezTo>
                  <a:pt x="552" y="228"/>
                  <a:pt x="555" y="304"/>
                  <a:pt x="460" y="342"/>
                </a:cubicBezTo>
                <a:cubicBezTo>
                  <a:pt x="365" y="380"/>
                  <a:pt x="182" y="389"/>
                  <a:pt x="0" y="399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178" name="Freeform 10">
            <a:extLst>
              <a:ext uri="{FF2B5EF4-FFF2-40B4-BE49-F238E27FC236}">
                <a16:creationId xmlns:a16="http://schemas.microsoft.com/office/drawing/2014/main" id="{00000000-0008-0000-0200-00000A1C0000}"/>
              </a:ext>
            </a:extLst>
          </xdr:cNvPr>
          <xdr:cNvSpPr>
            <a:spLocks/>
          </xdr:cNvSpPr>
        </xdr:nvSpPr>
        <xdr:spPr bwMode="auto">
          <a:xfrm rot="21325656" flipH="1">
            <a:off x="4871109" y="9940806"/>
            <a:ext cx="193662" cy="130930"/>
          </a:xfrm>
          <a:custGeom>
            <a:avLst/>
            <a:gdLst>
              <a:gd name="T0" fmla="*/ 570 w 588"/>
              <a:gd name="T1" fmla="*/ 0 h 399"/>
              <a:gd name="T2" fmla="*/ 570 w 588"/>
              <a:gd name="T3" fmla="*/ 171 h 399"/>
              <a:gd name="T4" fmla="*/ 460 w 588"/>
              <a:gd name="T5" fmla="*/ 342 h 399"/>
              <a:gd name="T6" fmla="*/ 0 w 588"/>
              <a:gd name="T7" fmla="*/ 399 h 3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588" h="399">
                <a:moveTo>
                  <a:pt x="570" y="0"/>
                </a:moveTo>
                <a:cubicBezTo>
                  <a:pt x="579" y="57"/>
                  <a:pt x="588" y="114"/>
                  <a:pt x="570" y="171"/>
                </a:cubicBezTo>
                <a:cubicBezTo>
                  <a:pt x="552" y="228"/>
                  <a:pt x="555" y="304"/>
                  <a:pt x="460" y="342"/>
                </a:cubicBezTo>
                <a:cubicBezTo>
                  <a:pt x="365" y="380"/>
                  <a:pt x="182" y="389"/>
                  <a:pt x="0" y="399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7179" name="AutoShape 11">
            <a:extLst>
              <a:ext uri="{FF2B5EF4-FFF2-40B4-BE49-F238E27FC236}">
                <a16:creationId xmlns:a16="http://schemas.microsoft.com/office/drawing/2014/main" id="{00000000-0008-0000-0200-00000B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87306" y="9981013"/>
            <a:ext cx="232394" cy="0"/>
          </a:xfrm>
          <a:prstGeom prst="straightConnector1">
            <a:avLst/>
          </a:prstGeom>
          <a:noFill/>
          <a:ln w="25400">
            <a:solidFill>
              <a:srgbClr val="FFFF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216" name="AutoShape 48">
            <a:extLst>
              <a:ext uri="{FF2B5EF4-FFF2-40B4-BE49-F238E27FC236}">
                <a16:creationId xmlns:a16="http://schemas.microsoft.com/office/drawing/2014/main" id="{00000000-0008-0000-0200-0000301C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485981" y="10063676"/>
            <a:ext cx="152631" cy="0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25</xdr:row>
          <xdr:rowOff>142875</xdr:rowOff>
        </xdr:from>
        <xdr:to>
          <xdr:col>11</xdr:col>
          <xdr:colOff>38100</xdr:colOff>
          <xdr:row>39</xdr:row>
          <xdr:rowOff>142875</xdr:rowOff>
        </xdr:to>
        <xdr:sp macro="" textlink="">
          <xdr:nvSpPr>
            <xdr:cNvPr id="2" name="Object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40</xdr:row>
          <xdr:rowOff>123825</xdr:rowOff>
        </xdr:from>
        <xdr:to>
          <xdr:col>11</xdr:col>
          <xdr:colOff>66675</xdr:colOff>
          <xdr:row>53</xdr:row>
          <xdr:rowOff>161925</xdr:rowOff>
        </xdr:to>
        <xdr:sp macro="" textlink="">
          <xdr:nvSpPr>
            <xdr:cNvPr id="3" name="Object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638175</xdr:colOff>
          <xdr:row>40</xdr:row>
          <xdr:rowOff>104775</xdr:rowOff>
        </xdr:from>
        <xdr:to>
          <xdr:col>21</xdr:col>
          <xdr:colOff>304800</xdr:colOff>
          <xdr:row>53</xdr:row>
          <xdr:rowOff>123825</xdr:rowOff>
        </xdr:to>
        <xdr:sp macro="" textlink="">
          <xdr:nvSpPr>
            <xdr:cNvPr id="4" name="Object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619125</xdr:colOff>
          <xdr:row>25</xdr:row>
          <xdr:rowOff>76200</xdr:rowOff>
        </xdr:from>
        <xdr:to>
          <xdr:col>21</xdr:col>
          <xdr:colOff>371475</xdr:colOff>
          <xdr:row>39</xdr:row>
          <xdr:rowOff>114300</xdr:rowOff>
        </xdr:to>
        <xdr:sp macro="" textlink="">
          <xdr:nvSpPr>
            <xdr:cNvPr id="5" name="Object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314325</xdr:colOff>
          <xdr:row>13</xdr:row>
          <xdr:rowOff>142875</xdr:rowOff>
        </xdr:from>
        <xdr:to>
          <xdr:col>22</xdr:col>
          <xdr:colOff>142875</xdr:colOff>
          <xdr:row>23</xdr:row>
          <xdr:rowOff>85725</xdr:rowOff>
        </xdr:to>
        <xdr:sp macro="" textlink="">
          <xdr:nvSpPr>
            <xdr:cNvPr id="6" name="Object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27385</xdr:colOff>
      <xdr:row>47</xdr:row>
      <xdr:rowOff>46975</xdr:rowOff>
    </xdr:from>
    <xdr:to>
      <xdr:col>16</xdr:col>
      <xdr:colOff>464344</xdr:colOff>
      <xdr:row>48</xdr:row>
      <xdr:rowOff>112917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823723" y="9938688"/>
          <a:ext cx="1084659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Air Direction D</a:t>
          </a:r>
        </a:p>
      </xdr:txBody>
    </xdr:sp>
    <xdr:clientData/>
  </xdr:twoCellAnchor>
  <xdr:twoCellAnchor editAs="oneCell">
    <xdr:from>
      <xdr:col>2</xdr:col>
      <xdr:colOff>161925</xdr:colOff>
      <xdr:row>25</xdr:row>
      <xdr:rowOff>76200</xdr:rowOff>
    </xdr:from>
    <xdr:to>
      <xdr:col>12</xdr:col>
      <xdr:colOff>227829</xdr:colOff>
      <xdr:row>40</xdr:row>
      <xdr:rowOff>85367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275" y="5886450"/>
          <a:ext cx="6542904" cy="2723792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190500</xdr:colOff>
      <xdr:row>25</xdr:row>
      <xdr:rowOff>57150</xdr:rowOff>
    </xdr:from>
    <xdr:to>
      <xdr:col>24</xdr:col>
      <xdr:colOff>265928</xdr:colOff>
      <xdr:row>40</xdr:row>
      <xdr:rowOff>171079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39138" y="5867400"/>
          <a:ext cx="6552428" cy="2828554"/>
        </a:xfrm>
        <a:prstGeom prst="rect">
          <a:avLst/>
        </a:prstGeom>
      </xdr:spPr>
    </xdr:pic>
    <xdr:clientData/>
  </xdr:twoCellAnchor>
  <xdr:twoCellAnchor>
    <xdr:from>
      <xdr:col>6</xdr:col>
      <xdr:colOff>171450</xdr:colOff>
      <xdr:row>24</xdr:row>
      <xdr:rowOff>180975</xdr:rowOff>
    </xdr:from>
    <xdr:to>
      <xdr:col>10</xdr:col>
      <xdr:colOff>38100</xdr:colOff>
      <xdr:row>26</xdr:row>
      <xdr:rowOff>28575</xdr:rowOff>
    </xdr:to>
    <xdr:sp macro="" textlink="$E$30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3657600" y="5810250"/>
          <a:ext cx="2457450" cy="2095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6A2F7585-3581-45FF-86A1-49B2A3D64015}" type="TxLink">
            <a:rPr lang="en-US" sz="1400" b="1" i="0" u="none" strike="noStrike">
              <a:solidFill>
                <a:srgbClr val="000000"/>
              </a:solidFill>
              <a:latin typeface="+mn-lt"/>
              <a:cs typeface="Calibri Light" panose="020F0302020204030204" pitchFamily="34" charset="0"/>
            </a:rPr>
            <a:pPr algn="ctr"/>
            <a:t>#VALUE!</a:t>
          </a:fld>
          <a:endParaRPr lang="en-AU" sz="1400" b="1">
            <a:latin typeface="+mn-lt"/>
            <a:cs typeface="Calibri Light" panose="020F0302020204030204" pitchFamily="34" charset="0"/>
          </a:endParaRPr>
        </a:p>
      </xdr:txBody>
    </xdr:sp>
    <xdr:clientData/>
  </xdr:twoCellAnchor>
  <xdr:twoCellAnchor>
    <xdr:from>
      <xdr:col>16</xdr:col>
      <xdr:colOff>276225</xdr:colOff>
      <xdr:row>25</xdr:row>
      <xdr:rowOff>0</xdr:rowOff>
    </xdr:from>
    <xdr:to>
      <xdr:col>23</xdr:col>
      <xdr:colOff>571500</xdr:colOff>
      <xdr:row>26</xdr:row>
      <xdr:rowOff>76200</xdr:rowOff>
    </xdr:to>
    <xdr:sp macro="" textlink="$E$30">
      <xdr:nvSpPr>
        <xdr:cNvPr id="6" name="Text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9720263" y="5810250"/>
          <a:ext cx="4829175" cy="2571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6A2F7585-3581-45FF-86A1-49B2A3D64015}" type="TxLink">
            <a:rPr lang="en-US" sz="1400" b="1" i="0" u="none" strike="noStrike">
              <a:solidFill>
                <a:srgbClr val="000000"/>
              </a:solidFill>
              <a:latin typeface="+mn-lt"/>
              <a:cs typeface="Calibri Light" panose="020F0302020204030204" pitchFamily="34" charset="0"/>
            </a:rPr>
            <a:pPr algn="ctr"/>
            <a:t>#VALUE!</a:t>
          </a:fld>
          <a:endParaRPr lang="en-AU" sz="1400" b="1">
            <a:latin typeface="+mn-lt"/>
            <a:cs typeface="Calibri Light" panose="020F0302020204030204" pitchFamily="34" charset="0"/>
          </a:endParaRPr>
        </a:p>
      </xdr:txBody>
    </xdr:sp>
    <xdr:clientData/>
  </xdr:twoCellAnchor>
  <xdr:twoCellAnchor>
    <xdr:from>
      <xdr:col>4</xdr:col>
      <xdr:colOff>228600</xdr:colOff>
      <xdr:row>40</xdr:row>
      <xdr:rowOff>57150</xdr:rowOff>
    </xdr:from>
    <xdr:to>
      <xdr:col>5</xdr:col>
      <xdr:colOff>276225</xdr:colOff>
      <xdr:row>41</xdr:row>
      <xdr:rowOff>142875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2419350" y="8582025"/>
          <a:ext cx="695325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Figure 1</a:t>
          </a:r>
        </a:p>
      </xdr:txBody>
    </xdr:sp>
    <xdr:clientData/>
  </xdr:twoCellAnchor>
  <xdr:twoCellAnchor>
    <xdr:from>
      <xdr:col>16</xdr:col>
      <xdr:colOff>190500</xdr:colOff>
      <xdr:row>40</xdr:row>
      <xdr:rowOff>76200</xdr:rowOff>
    </xdr:from>
    <xdr:to>
      <xdr:col>17</xdr:col>
      <xdr:colOff>238125</xdr:colOff>
      <xdr:row>41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9634538" y="8601075"/>
          <a:ext cx="695325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Figure 2</a:t>
          </a:r>
        </a:p>
      </xdr:txBody>
    </xdr:sp>
    <xdr:clientData/>
  </xdr:twoCellAnchor>
  <xdr:twoCellAnchor>
    <xdr:from>
      <xdr:col>7</xdr:col>
      <xdr:colOff>375044</xdr:colOff>
      <xdr:row>47</xdr:row>
      <xdr:rowOff>70880</xdr:rowOff>
    </xdr:from>
    <xdr:to>
      <xdr:col>9</xdr:col>
      <xdr:colOff>247954</xdr:colOff>
      <xdr:row>48</xdr:row>
      <xdr:rowOff>136822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4508894" y="9962593"/>
          <a:ext cx="1168310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Air Direction A</a:t>
          </a:r>
        </a:p>
      </xdr:txBody>
    </xdr:sp>
    <xdr:clientData/>
  </xdr:twoCellAnchor>
  <xdr:twoCellAnchor>
    <xdr:from>
      <xdr:col>9</xdr:col>
      <xdr:colOff>516729</xdr:colOff>
      <xdr:row>47</xdr:row>
      <xdr:rowOff>65656</xdr:rowOff>
    </xdr:from>
    <xdr:to>
      <xdr:col>11</xdr:col>
      <xdr:colOff>362664</xdr:colOff>
      <xdr:row>48</xdr:row>
      <xdr:rowOff>131598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5945979" y="9957369"/>
          <a:ext cx="1141335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Air Direction B</a:t>
          </a:r>
        </a:p>
      </xdr:txBody>
    </xdr:sp>
    <xdr:clientData/>
  </xdr:twoCellAnchor>
  <xdr:twoCellAnchor>
    <xdr:from>
      <xdr:col>12</xdr:col>
      <xdr:colOff>126206</xdr:colOff>
      <xdr:row>47</xdr:row>
      <xdr:rowOff>55309</xdr:rowOff>
    </xdr:from>
    <xdr:to>
      <xdr:col>14</xdr:col>
      <xdr:colOff>438150</xdr:colOff>
      <xdr:row>48</xdr:row>
      <xdr:rowOff>121251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7498556" y="9947022"/>
          <a:ext cx="1088232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Air Direction C</a:t>
          </a:r>
        </a:p>
      </xdr:txBody>
    </xdr:sp>
    <xdr:clientData/>
  </xdr:twoCellAnchor>
  <xdr:twoCellAnchor editAs="oneCell">
    <xdr:from>
      <xdr:col>20</xdr:col>
      <xdr:colOff>166687</xdr:colOff>
      <xdr:row>16</xdr:row>
      <xdr:rowOff>28575</xdr:rowOff>
    </xdr:from>
    <xdr:to>
      <xdr:col>23</xdr:col>
      <xdr:colOff>427853</xdr:colOff>
      <xdr:row>20</xdr:row>
      <xdr:rowOff>170031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193" t="9026"/>
        <a:stretch/>
      </xdr:blipFill>
      <xdr:spPr>
        <a:xfrm>
          <a:off x="12201525" y="3948113"/>
          <a:ext cx="2204266" cy="1012993"/>
        </a:xfrm>
        <a:prstGeom prst="rect">
          <a:avLst/>
        </a:prstGeom>
      </xdr:spPr>
    </xdr:pic>
    <xdr:clientData/>
  </xdr:twoCellAnchor>
  <xdr:twoCellAnchor>
    <xdr:from>
      <xdr:col>19</xdr:col>
      <xdr:colOff>553641</xdr:colOff>
      <xdr:row>19</xdr:row>
      <xdr:rowOff>11907</xdr:rowOff>
    </xdr:from>
    <xdr:to>
      <xdr:col>20</xdr:col>
      <xdr:colOff>458390</xdr:colOff>
      <xdr:row>20</xdr:row>
      <xdr:rowOff>23813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11940779" y="4574382"/>
          <a:ext cx="552449" cy="2405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100"/>
            <a:t>1.2</a:t>
          </a:r>
          <a:r>
            <a:rPr lang="en-AU" sz="1100" baseline="0"/>
            <a:t> m</a:t>
          </a:r>
        </a:p>
        <a:p>
          <a:pPr algn="ctr"/>
          <a:endParaRPr lang="en-AU" sz="1100"/>
        </a:p>
      </xdr:txBody>
    </xdr:sp>
    <xdr:clientData/>
  </xdr:twoCellAnchor>
  <xdr:twoCellAnchor>
    <xdr:from>
      <xdr:col>19</xdr:col>
      <xdr:colOff>553640</xdr:colOff>
      <xdr:row>16</xdr:row>
      <xdr:rowOff>197644</xdr:rowOff>
    </xdr:from>
    <xdr:to>
      <xdr:col>20</xdr:col>
      <xdr:colOff>460772</xdr:colOff>
      <xdr:row>18</xdr:row>
      <xdr:rowOff>16669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11940778" y="4102895"/>
          <a:ext cx="554832" cy="2476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100"/>
            <a:t>1.2</a:t>
          </a:r>
          <a:r>
            <a:rPr lang="en-AU" sz="1100" baseline="0"/>
            <a:t> m</a:t>
          </a:r>
        </a:p>
        <a:p>
          <a:pPr algn="ctr"/>
          <a:endParaRPr lang="en-AU" sz="1100"/>
        </a:p>
      </xdr:txBody>
    </xdr:sp>
    <xdr:clientData/>
  </xdr:twoCellAnchor>
  <xdr:twoCellAnchor>
    <xdr:from>
      <xdr:col>18</xdr:col>
      <xdr:colOff>517922</xdr:colOff>
      <xdr:row>17</xdr:row>
      <xdr:rowOff>235743</xdr:rowOff>
    </xdr:from>
    <xdr:to>
      <xdr:col>19</xdr:col>
      <xdr:colOff>441722</xdr:colOff>
      <xdr:row>19</xdr:row>
      <xdr:rowOff>35718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11257360" y="4336255"/>
          <a:ext cx="571500" cy="2619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100"/>
            <a:t>4.8 m</a:t>
          </a:r>
          <a:endParaRPr lang="en-AU" sz="1100" baseline="0"/>
        </a:p>
        <a:p>
          <a:endParaRPr lang="en-AU" sz="1100"/>
        </a:p>
      </xdr:txBody>
    </xdr:sp>
    <xdr:clientData/>
  </xdr:twoCellAnchor>
  <xdr:twoCellAnchor>
    <xdr:from>
      <xdr:col>20</xdr:col>
      <xdr:colOff>529828</xdr:colOff>
      <xdr:row>16</xdr:row>
      <xdr:rowOff>171450</xdr:rowOff>
    </xdr:from>
    <xdr:to>
      <xdr:col>20</xdr:col>
      <xdr:colOff>533400</xdr:colOff>
      <xdr:row>18</xdr:row>
      <xdr:rowOff>29766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/>
      </xdr:nvCxnSpPr>
      <xdr:spPr>
        <a:xfrm flipH="1">
          <a:off x="12564666" y="4090988"/>
          <a:ext cx="3572" cy="272653"/>
        </a:xfrm>
        <a:prstGeom prst="straightConnector1">
          <a:avLst/>
        </a:prstGeom>
        <a:ln>
          <a:solidFill>
            <a:schemeClr val="tx2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523875</xdr:colOff>
      <xdr:row>18</xdr:row>
      <xdr:rowOff>219075</xdr:rowOff>
    </xdr:from>
    <xdr:to>
      <xdr:col>20</xdr:col>
      <xdr:colOff>526256</xdr:colOff>
      <xdr:row>20</xdr:row>
      <xdr:rowOff>35719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/>
      </xdr:nvCxnSpPr>
      <xdr:spPr>
        <a:xfrm flipH="1">
          <a:off x="12558713" y="4552950"/>
          <a:ext cx="2381" cy="273844"/>
        </a:xfrm>
        <a:prstGeom prst="straightConnector1">
          <a:avLst/>
        </a:prstGeom>
        <a:ln>
          <a:solidFill>
            <a:schemeClr val="tx2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488156</xdr:colOff>
      <xdr:row>16</xdr:row>
      <xdr:rowOff>85725</xdr:rowOff>
    </xdr:from>
    <xdr:to>
      <xdr:col>19</xdr:col>
      <xdr:colOff>495300</xdr:colOff>
      <xdr:row>20</xdr:row>
      <xdr:rowOff>148828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11875294" y="4005263"/>
          <a:ext cx="7144" cy="934640"/>
        </a:xfrm>
        <a:prstGeom prst="straightConnector1">
          <a:avLst/>
        </a:prstGeom>
        <a:ln>
          <a:solidFill>
            <a:schemeClr val="tx2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583508</xdr:colOff>
      <xdr:row>45</xdr:row>
      <xdr:rowOff>5674</xdr:rowOff>
    </xdr:from>
    <xdr:to>
      <xdr:col>7</xdr:col>
      <xdr:colOff>570408</xdr:colOff>
      <xdr:row>46</xdr:row>
      <xdr:rowOff>34249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4069658" y="9516387"/>
          <a:ext cx="634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Calibri"/>
            </a:rPr>
            <a:t>0 to -15° </a:t>
          </a:r>
        </a:p>
        <a:p>
          <a:pPr algn="l" rtl="0">
            <a:defRPr sz="1000"/>
          </a:pPr>
          <a:endParaRPr lang="en-AU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9</xdr:col>
      <xdr:colOff>158354</xdr:colOff>
      <xdr:row>45</xdr:row>
      <xdr:rowOff>19050</xdr:rowOff>
    </xdr:from>
    <xdr:to>
      <xdr:col>10</xdr:col>
      <xdr:colOff>133351</xdr:colOff>
      <xdr:row>46</xdr:row>
      <xdr:rowOff>47625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5587604" y="9529763"/>
          <a:ext cx="622697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Calibri"/>
            </a:rPr>
            <a:t>0 to -30° </a:t>
          </a:r>
        </a:p>
        <a:p>
          <a:pPr algn="l" rtl="0">
            <a:defRPr sz="1000"/>
          </a:pPr>
          <a:endParaRPr lang="en-AU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10</xdr:col>
      <xdr:colOff>0</xdr:colOff>
      <xdr:row>44</xdr:row>
      <xdr:rowOff>28574</xdr:rowOff>
    </xdr:from>
    <xdr:to>
      <xdr:col>11</xdr:col>
      <xdr:colOff>476250</xdr:colOff>
      <xdr:row>46</xdr:row>
      <xdr:rowOff>4762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GrpSpPr>
          <a:grpSpLocks noChangeAspect="1"/>
        </xdr:cNvGrpSpPr>
      </xdr:nvGrpSpPr>
      <xdr:grpSpPr>
        <a:xfrm>
          <a:off x="5629275" y="9610724"/>
          <a:ext cx="1076325" cy="357188"/>
          <a:chOff x="5905500" y="9852660"/>
          <a:chExt cx="723900" cy="238125"/>
        </a:xfrm>
      </xdr:grpSpPr>
      <xdr:cxnSp macro="">
        <xdr:nvCxnSpPr>
          <xdr:cNvPr id="22" name="AutoShape 14">
            <a:extLst>
              <a:ext uri="{FF2B5EF4-FFF2-40B4-BE49-F238E27FC236}">
                <a16:creationId xmlns:a16="http://schemas.microsoft.com/office/drawing/2014/main" id="{00000000-0008-0000-0300-000016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6339840" y="9852660"/>
            <a:ext cx="0" cy="138785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3" name="AutoShape 15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6195060" y="9852660"/>
            <a:ext cx="0" cy="138785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4" name="AutoShape 16">
            <a:extLst>
              <a:ext uri="{FF2B5EF4-FFF2-40B4-BE49-F238E27FC236}">
                <a16:creationId xmlns:a16="http://schemas.microsoft.com/office/drawing/2014/main" id="{00000000-0008-0000-0300-000018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5905500" y="9973914"/>
            <a:ext cx="231648" cy="0"/>
          </a:xfrm>
          <a:prstGeom prst="straightConnector1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25" name="Oval 17">
            <a:extLst>
              <a:ext uri="{FF2B5EF4-FFF2-40B4-BE49-F238E27FC236}">
                <a16:creationId xmlns:a16="http://schemas.microsoft.com/office/drawing/2014/main" id="{00000000-0008-0000-03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6195060" y="9880417"/>
            <a:ext cx="144780" cy="138785"/>
          </a:xfrm>
          <a:prstGeom prst="ellipse">
            <a:avLst/>
          </a:prstGeom>
          <a:solidFill>
            <a:srgbClr val="FFFFFF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26" name="AutoShape 18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6108192" y="9991445"/>
            <a:ext cx="86868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7" name="AutoShape 19">
            <a:extLst>
              <a:ext uri="{FF2B5EF4-FFF2-40B4-BE49-F238E27FC236}">
                <a16:creationId xmlns:a16="http://schemas.microsoft.com/office/drawing/2014/main" id="{00000000-0008-0000-0300-00001B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6339840" y="9991445"/>
            <a:ext cx="86868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8" name="AutoShape 20">
            <a:extLst>
              <a:ext uri="{FF2B5EF4-FFF2-40B4-BE49-F238E27FC236}">
                <a16:creationId xmlns:a16="http://schemas.microsoft.com/office/drawing/2014/main" id="{00000000-0008-0000-0300-00001C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6397752" y="9973914"/>
            <a:ext cx="231648" cy="0"/>
          </a:xfrm>
          <a:prstGeom prst="straightConnector1">
            <a:avLst/>
          </a:prstGeom>
          <a:noFill/>
          <a:ln w="25400">
            <a:solidFill>
              <a:srgbClr val="FFFF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29" name="Freeform 21">
            <a:extLst>
              <a:ext uri="{FF2B5EF4-FFF2-40B4-BE49-F238E27FC236}">
                <a16:creationId xmlns:a16="http://schemas.microsoft.com/office/drawing/2014/main" id="{00000000-0008-0000-0300-00001D000000}"/>
              </a:ext>
            </a:extLst>
          </xdr:cNvPr>
          <xdr:cNvSpPr>
            <a:spLocks/>
          </xdr:cNvSpPr>
        </xdr:nvSpPr>
        <xdr:spPr bwMode="auto">
          <a:xfrm rot="279633">
            <a:off x="6059932" y="9934470"/>
            <a:ext cx="193548" cy="151933"/>
          </a:xfrm>
          <a:custGeom>
            <a:avLst/>
            <a:gdLst>
              <a:gd name="T0" fmla="*/ 323 w 342"/>
              <a:gd name="T1" fmla="*/ 0 h 368"/>
              <a:gd name="T2" fmla="*/ 323 w 342"/>
              <a:gd name="T3" fmla="*/ 171 h 368"/>
              <a:gd name="T4" fmla="*/ 209 w 342"/>
              <a:gd name="T5" fmla="*/ 311 h 368"/>
              <a:gd name="T6" fmla="*/ 0 w 342"/>
              <a:gd name="T7" fmla="*/ 368 h 3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42" h="368">
                <a:moveTo>
                  <a:pt x="323" y="0"/>
                </a:moveTo>
                <a:cubicBezTo>
                  <a:pt x="332" y="59"/>
                  <a:pt x="342" y="119"/>
                  <a:pt x="323" y="171"/>
                </a:cubicBezTo>
                <a:cubicBezTo>
                  <a:pt x="304" y="223"/>
                  <a:pt x="263" y="278"/>
                  <a:pt x="209" y="311"/>
                </a:cubicBezTo>
                <a:cubicBezTo>
                  <a:pt x="155" y="344"/>
                  <a:pt x="77" y="356"/>
                  <a:pt x="0" y="368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30" name="AutoShape 22">
            <a:extLst>
              <a:ext uri="{FF2B5EF4-FFF2-40B4-BE49-F238E27FC236}">
                <a16:creationId xmlns:a16="http://schemas.microsoft.com/office/drawing/2014/main" id="{00000000-0008-0000-0300-00001E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5905500" y="10081046"/>
            <a:ext cx="144780" cy="9739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31" name="Freeform 23">
            <a:extLst>
              <a:ext uri="{FF2B5EF4-FFF2-40B4-BE49-F238E27FC236}">
                <a16:creationId xmlns:a16="http://schemas.microsoft.com/office/drawing/2014/main" id="{00000000-0008-0000-0300-00001F000000}"/>
              </a:ext>
            </a:extLst>
          </xdr:cNvPr>
          <xdr:cNvSpPr>
            <a:spLocks/>
          </xdr:cNvSpPr>
        </xdr:nvSpPr>
        <xdr:spPr bwMode="auto">
          <a:xfrm rot="21320367" flipH="1">
            <a:off x="6281928" y="9935444"/>
            <a:ext cx="193548" cy="151933"/>
          </a:xfrm>
          <a:custGeom>
            <a:avLst/>
            <a:gdLst>
              <a:gd name="T0" fmla="*/ 323 w 342"/>
              <a:gd name="T1" fmla="*/ 0 h 368"/>
              <a:gd name="T2" fmla="*/ 323 w 342"/>
              <a:gd name="T3" fmla="*/ 171 h 368"/>
              <a:gd name="T4" fmla="*/ 209 w 342"/>
              <a:gd name="T5" fmla="*/ 311 h 368"/>
              <a:gd name="T6" fmla="*/ 0 w 342"/>
              <a:gd name="T7" fmla="*/ 368 h 3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42" h="368">
                <a:moveTo>
                  <a:pt x="323" y="0"/>
                </a:moveTo>
                <a:cubicBezTo>
                  <a:pt x="332" y="59"/>
                  <a:pt x="342" y="119"/>
                  <a:pt x="323" y="171"/>
                </a:cubicBezTo>
                <a:cubicBezTo>
                  <a:pt x="304" y="223"/>
                  <a:pt x="263" y="278"/>
                  <a:pt x="209" y="311"/>
                </a:cubicBezTo>
                <a:cubicBezTo>
                  <a:pt x="155" y="344"/>
                  <a:pt x="77" y="356"/>
                  <a:pt x="0" y="368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12</xdr:col>
      <xdr:colOff>23368</xdr:colOff>
      <xdr:row>45</xdr:row>
      <xdr:rowOff>131671</xdr:rowOff>
    </xdr:from>
    <xdr:to>
      <xdr:col>12</xdr:col>
      <xdr:colOff>504813</xdr:colOff>
      <xdr:row>46</xdr:row>
      <xdr:rowOff>160866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7395718" y="9642384"/>
          <a:ext cx="481445" cy="219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Calibri"/>
            </a:rPr>
            <a:t>≈ </a:t>
          </a:r>
          <a:r>
            <a:rPr lang="en-AU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</a:t>
          </a:r>
          <a:r>
            <a:rPr lang="en-AU" sz="900" b="0" i="0" u="none" strike="noStrike" baseline="0">
              <a:solidFill>
                <a:srgbClr val="000000"/>
              </a:solidFill>
              <a:latin typeface="Calibri"/>
              <a:cs typeface="Times New Roman"/>
            </a:rPr>
            <a:t>45° </a:t>
          </a:r>
        </a:p>
        <a:p>
          <a:pPr algn="l" rtl="0">
            <a:defRPr sz="1000"/>
          </a:pPr>
          <a:endParaRPr lang="en-AU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15</xdr:col>
      <xdr:colOff>120253</xdr:colOff>
      <xdr:row>45</xdr:row>
      <xdr:rowOff>170260</xdr:rowOff>
    </xdr:from>
    <xdr:to>
      <xdr:col>15</xdr:col>
      <xdr:colOff>598884</xdr:colOff>
      <xdr:row>47</xdr:row>
      <xdr:rowOff>8335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8916591" y="9680973"/>
          <a:ext cx="478631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Calibri"/>
            </a:rPr>
            <a:t>≈ </a:t>
          </a:r>
          <a:r>
            <a:rPr lang="en-AU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</a:t>
          </a:r>
          <a:r>
            <a:rPr lang="en-AU" sz="900" b="0" i="0" u="none" strike="noStrike" baseline="0">
              <a:solidFill>
                <a:srgbClr val="000000"/>
              </a:solidFill>
              <a:latin typeface="Calibri"/>
              <a:cs typeface="Times New Roman"/>
            </a:rPr>
            <a:t>60° </a:t>
          </a:r>
        </a:p>
        <a:p>
          <a:pPr algn="l" rtl="0">
            <a:defRPr sz="1000"/>
          </a:pPr>
          <a:endParaRPr lang="en-AU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15</xdr:col>
      <xdr:colOff>190500</xdr:colOff>
      <xdr:row>44</xdr:row>
      <xdr:rowOff>17859</xdr:rowOff>
    </xdr:from>
    <xdr:to>
      <xdr:col>16</xdr:col>
      <xdr:colOff>366713</xdr:colOff>
      <xdr:row>47</xdr:row>
      <xdr:rowOff>73224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GrpSpPr>
          <a:grpSpLocks noChangeAspect="1"/>
        </xdr:cNvGrpSpPr>
      </xdr:nvGrpSpPr>
      <xdr:grpSpPr>
        <a:xfrm>
          <a:off x="8343900" y="9600009"/>
          <a:ext cx="776288" cy="626865"/>
          <a:chOff x="8488680" y="9851469"/>
          <a:chExt cx="523875" cy="417910"/>
        </a:xfrm>
      </xdr:grpSpPr>
      <xdr:cxnSp macro="">
        <xdr:nvCxnSpPr>
          <xdr:cNvPr id="35" name="AutoShape 38">
            <a:extLst>
              <a:ext uri="{FF2B5EF4-FFF2-40B4-BE49-F238E27FC236}">
                <a16:creationId xmlns:a16="http://schemas.microsoft.com/office/drawing/2014/main" id="{00000000-0008-0000-0300-000023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8925136" y="9851469"/>
            <a:ext cx="0" cy="142875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6" name="AutoShape 39">
            <a:extLst>
              <a:ext uri="{FF2B5EF4-FFF2-40B4-BE49-F238E27FC236}">
                <a16:creationId xmlns:a16="http://schemas.microsoft.com/office/drawing/2014/main" id="{00000000-0008-0000-0300-000024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8779651" y="9851469"/>
            <a:ext cx="0" cy="142875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7" name="AutoShape 40">
            <a:extLst>
              <a:ext uri="{FF2B5EF4-FFF2-40B4-BE49-F238E27FC236}">
                <a16:creationId xmlns:a16="http://schemas.microsoft.com/office/drawing/2014/main" id="{00000000-0008-0000-0300-000025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488680" y="9976564"/>
            <a:ext cx="232904" cy="0"/>
          </a:xfrm>
          <a:prstGeom prst="straightConnector1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38" name="Oval 41">
            <a:extLst>
              <a:ext uri="{FF2B5EF4-FFF2-40B4-BE49-F238E27FC236}">
                <a16:creationId xmlns:a16="http://schemas.microsoft.com/office/drawing/2014/main" id="{00000000-0008-0000-03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8779651" y="9880044"/>
            <a:ext cx="145485" cy="142875"/>
          </a:xfrm>
          <a:prstGeom prst="ellipse">
            <a:avLst/>
          </a:prstGeom>
          <a:solidFill>
            <a:srgbClr val="FFFFFF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39" name="AutoShape 42">
            <a:extLst>
              <a:ext uri="{FF2B5EF4-FFF2-40B4-BE49-F238E27FC236}">
                <a16:creationId xmlns:a16="http://schemas.microsoft.com/office/drawing/2014/main" id="{00000000-0008-0000-0300-000027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692232" y="9994344"/>
            <a:ext cx="87419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0" name="AutoShape 43">
            <a:extLst>
              <a:ext uri="{FF2B5EF4-FFF2-40B4-BE49-F238E27FC236}">
                <a16:creationId xmlns:a16="http://schemas.microsoft.com/office/drawing/2014/main" id="{00000000-0008-0000-0300-000028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925136" y="9994344"/>
            <a:ext cx="87419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41" name="Freeform 44">
            <a:extLst>
              <a:ext uri="{FF2B5EF4-FFF2-40B4-BE49-F238E27FC236}">
                <a16:creationId xmlns:a16="http://schemas.microsoft.com/office/drawing/2014/main" id="{00000000-0008-0000-0300-000029000000}"/>
              </a:ext>
            </a:extLst>
          </xdr:cNvPr>
          <xdr:cNvSpPr>
            <a:spLocks/>
          </xdr:cNvSpPr>
        </xdr:nvSpPr>
        <xdr:spPr bwMode="auto">
          <a:xfrm>
            <a:off x="8721584" y="9937829"/>
            <a:ext cx="116133" cy="227965"/>
          </a:xfrm>
          <a:custGeom>
            <a:avLst/>
            <a:gdLst>
              <a:gd name="T0" fmla="*/ 381 w 390"/>
              <a:gd name="T1" fmla="*/ 0 h 683"/>
              <a:gd name="T2" fmla="*/ 380 w 390"/>
              <a:gd name="T3" fmla="*/ 170 h 683"/>
              <a:gd name="T4" fmla="*/ 323 w 390"/>
              <a:gd name="T5" fmla="*/ 284 h 683"/>
              <a:gd name="T6" fmla="*/ 0 w 390"/>
              <a:gd name="T7" fmla="*/ 683 h 6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90" h="683">
                <a:moveTo>
                  <a:pt x="381" y="0"/>
                </a:moveTo>
                <a:cubicBezTo>
                  <a:pt x="385" y="61"/>
                  <a:pt x="390" y="123"/>
                  <a:pt x="380" y="170"/>
                </a:cubicBezTo>
                <a:cubicBezTo>
                  <a:pt x="370" y="217"/>
                  <a:pt x="386" y="199"/>
                  <a:pt x="323" y="284"/>
                </a:cubicBezTo>
                <a:cubicBezTo>
                  <a:pt x="260" y="369"/>
                  <a:pt x="130" y="526"/>
                  <a:pt x="0" y="683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2" name="Freeform 45">
            <a:extLst>
              <a:ext uri="{FF2B5EF4-FFF2-40B4-BE49-F238E27FC236}">
                <a16:creationId xmlns:a16="http://schemas.microsoft.com/office/drawing/2014/main" id="{00000000-0008-0000-0300-00002A000000}"/>
              </a:ext>
            </a:extLst>
          </xdr:cNvPr>
          <xdr:cNvSpPr>
            <a:spLocks/>
          </xdr:cNvSpPr>
        </xdr:nvSpPr>
        <xdr:spPr bwMode="auto">
          <a:xfrm flipH="1">
            <a:off x="8867070" y="9937194"/>
            <a:ext cx="135914" cy="227965"/>
          </a:xfrm>
          <a:custGeom>
            <a:avLst/>
            <a:gdLst>
              <a:gd name="T0" fmla="*/ 381 w 390"/>
              <a:gd name="T1" fmla="*/ 0 h 683"/>
              <a:gd name="T2" fmla="*/ 380 w 390"/>
              <a:gd name="T3" fmla="*/ 170 h 683"/>
              <a:gd name="T4" fmla="*/ 323 w 390"/>
              <a:gd name="T5" fmla="*/ 284 h 683"/>
              <a:gd name="T6" fmla="*/ 0 w 390"/>
              <a:gd name="T7" fmla="*/ 683 h 6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90" h="683">
                <a:moveTo>
                  <a:pt x="381" y="0"/>
                </a:moveTo>
                <a:cubicBezTo>
                  <a:pt x="385" y="61"/>
                  <a:pt x="390" y="123"/>
                  <a:pt x="380" y="170"/>
                </a:cubicBezTo>
                <a:cubicBezTo>
                  <a:pt x="370" y="217"/>
                  <a:pt x="386" y="199"/>
                  <a:pt x="323" y="284"/>
                </a:cubicBezTo>
                <a:cubicBezTo>
                  <a:pt x="260" y="369"/>
                  <a:pt x="130" y="526"/>
                  <a:pt x="0" y="683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43" name="AutoShape 46">
            <a:extLst>
              <a:ext uri="{FF2B5EF4-FFF2-40B4-BE49-F238E27FC236}">
                <a16:creationId xmlns:a16="http://schemas.microsoft.com/office/drawing/2014/main" id="{00000000-0008-0000-0300-00002B000000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8643462" y="10164604"/>
            <a:ext cx="76200" cy="104775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12</xdr:col>
      <xdr:colOff>205461</xdr:colOff>
      <xdr:row>44</xdr:row>
      <xdr:rowOff>22629</xdr:rowOff>
    </xdr:from>
    <xdr:to>
      <xdr:col>14</xdr:col>
      <xdr:colOff>338132</xdr:colOff>
      <xdr:row>47</xdr:row>
      <xdr:rowOff>44529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GrpSpPr>
          <a:grpSpLocks noChangeAspect="1"/>
        </xdr:cNvGrpSpPr>
      </xdr:nvGrpSpPr>
      <xdr:grpSpPr>
        <a:xfrm>
          <a:off x="7034886" y="9604779"/>
          <a:ext cx="856571" cy="593400"/>
          <a:chOff x="7139661" y="9789564"/>
          <a:chExt cx="578667" cy="395600"/>
        </a:xfrm>
      </xdr:grpSpPr>
      <xdr:cxnSp macro="">
        <xdr:nvCxnSpPr>
          <xdr:cNvPr id="45" name="AutoShape 32">
            <a:extLst>
              <a:ext uri="{FF2B5EF4-FFF2-40B4-BE49-F238E27FC236}">
                <a16:creationId xmlns:a16="http://schemas.microsoft.com/office/drawing/2014/main" id="{00000000-0008-0000-0300-00002D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342542" y="9932067"/>
            <a:ext cx="87131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6" name="AutoShape 33"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577059" y="9932067"/>
            <a:ext cx="87131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7" name="AutoShape 28">
            <a:extLst>
              <a:ext uri="{FF2B5EF4-FFF2-40B4-BE49-F238E27FC236}">
                <a16:creationId xmlns:a16="http://schemas.microsoft.com/office/drawing/2014/main" id="{00000000-0008-0000-0300-00002F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577059" y="9789564"/>
            <a:ext cx="0" cy="142503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8" name="AutoShape 29">
            <a:extLst>
              <a:ext uri="{FF2B5EF4-FFF2-40B4-BE49-F238E27FC236}">
                <a16:creationId xmlns:a16="http://schemas.microsoft.com/office/drawing/2014/main" id="{00000000-0008-0000-0300-000030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429672" y="9789564"/>
            <a:ext cx="0" cy="142503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9" name="AutoShape 30">
            <a:extLst>
              <a:ext uri="{FF2B5EF4-FFF2-40B4-BE49-F238E27FC236}">
                <a16:creationId xmlns:a16="http://schemas.microsoft.com/office/drawing/2014/main" id="{00000000-0008-0000-0300-000031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139661" y="9914333"/>
            <a:ext cx="232136" cy="0"/>
          </a:xfrm>
          <a:prstGeom prst="straightConnector1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50" name="Oval 31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7429672" y="9818065"/>
            <a:ext cx="147387" cy="142503"/>
          </a:xfrm>
          <a:prstGeom prst="ellipse">
            <a:avLst/>
          </a:prstGeom>
          <a:solidFill>
            <a:srgbClr val="FFFFFF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" name="Freeform 34">
            <a:extLst>
              <a:ext uri="{FF2B5EF4-FFF2-40B4-BE49-F238E27FC236}">
                <a16:creationId xmlns:a16="http://schemas.microsoft.com/office/drawing/2014/main" id="{00000000-0008-0000-0300-000033000000}"/>
              </a:ext>
            </a:extLst>
          </xdr:cNvPr>
          <xdr:cNvSpPr>
            <a:spLocks/>
          </xdr:cNvSpPr>
        </xdr:nvSpPr>
        <xdr:spPr bwMode="auto">
          <a:xfrm>
            <a:off x="7289119" y="9875699"/>
            <a:ext cx="198429" cy="227371"/>
          </a:xfrm>
          <a:custGeom>
            <a:avLst/>
            <a:gdLst>
              <a:gd name="T0" fmla="*/ 381 w 390"/>
              <a:gd name="T1" fmla="*/ 0 h 683"/>
              <a:gd name="T2" fmla="*/ 380 w 390"/>
              <a:gd name="T3" fmla="*/ 170 h 683"/>
              <a:gd name="T4" fmla="*/ 323 w 390"/>
              <a:gd name="T5" fmla="*/ 284 h 683"/>
              <a:gd name="T6" fmla="*/ 0 w 390"/>
              <a:gd name="T7" fmla="*/ 683 h 6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90" h="683">
                <a:moveTo>
                  <a:pt x="381" y="0"/>
                </a:moveTo>
                <a:cubicBezTo>
                  <a:pt x="385" y="61"/>
                  <a:pt x="390" y="123"/>
                  <a:pt x="380" y="170"/>
                </a:cubicBezTo>
                <a:cubicBezTo>
                  <a:pt x="370" y="217"/>
                  <a:pt x="386" y="199"/>
                  <a:pt x="323" y="284"/>
                </a:cubicBezTo>
                <a:cubicBezTo>
                  <a:pt x="260" y="369"/>
                  <a:pt x="130" y="526"/>
                  <a:pt x="0" y="683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2" name="Freeform 35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SpPr>
            <a:spLocks/>
          </xdr:cNvSpPr>
        </xdr:nvSpPr>
        <xdr:spPr bwMode="auto">
          <a:xfrm flipH="1">
            <a:off x="7516803" y="9875066"/>
            <a:ext cx="201525" cy="227371"/>
          </a:xfrm>
          <a:custGeom>
            <a:avLst/>
            <a:gdLst>
              <a:gd name="T0" fmla="*/ 381 w 390"/>
              <a:gd name="T1" fmla="*/ 0 h 683"/>
              <a:gd name="T2" fmla="*/ 380 w 390"/>
              <a:gd name="T3" fmla="*/ 170 h 683"/>
              <a:gd name="T4" fmla="*/ 323 w 390"/>
              <a:gd name="T5" fmla="*/ 284 h 683"/>
              <a:gd name="T6" fmla="*/ 0 w 390"/>
              <a:gd name="T7" fmla="*/ 683 h 6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90" h="683">
                <a:moveTo>
                  <a:pt x="381" y="0"/>
                </a:moveTo>
                <a:cubicBezTo>
                  <a:pt x="385" y="61"/>
                  <a:pt x="390" y="123"/>
                  <a:pt x="380" y="170"/>
                </a:cubicBezTo>
                <a:cubicBezTo>
                  <a:pt x="370" y="217"/>
                  <a:pt x="386" y="199"/>
                  <a:pt x="323" y="284"/>
                </a:cubicBezTo>
                <a:cubicBezTo>
                  <a:pt x="260" y="369"/>
                  <a:pt x="130" y="526"/>
                  <a:pt x="0" y="683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53" name="AutoShape 47">
            <a:extLst>
              <a:ext uri="{FF2B5EF4-FFF2-40B4-BE49-F238E27FC236}">
                <a16:creationId xmlns:a16="http://schemas.microsoft.com/office/drawing/2014/main" id="{00000000-0008-0000-0300-000035000000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7184754" y="10108964"/>
            <a:ext cx="95250" cy="76200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7</xdr:col>
      <xdr:colOff>416901</xdr:colOff>
      <xdr:row>44</xdr:row>
      <xdr:rowOff>15241</xdr:rowOff>
    </xdr:from>
    <xdr:to>
      <xdr:col>9</xdr:col>
      <xdr:colOff>298280</xdr:colOff>
      <xdr:row>45</xdr:row>
      <xdr:rowOff>153354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GrpSpPr>
          <a:grpSpLocks noChangeAspect="1"/>
        </xdr:cNvGrpSpPr>
      </xdr:nvGrpSpPr>
      <xdr:grpSpPr>
        <a:xfrm>
          <a:off x="4245951" y="9597391"/>
          <a:ext cx="1081529" cy="328613"/>
          <a:chOff x="4485981" y="9852661"/>
          <a:chExt cx="733719" cy="219075"/>
        </a:xfrm>
      </xdr:grpSpPr>
      <xdr:cxnSp macro="">
        <xdr:nvCxnSpPr>
          <xdr:cNvPr id="55" name="AutoShape 3">
            <a:extLst>
              <a:ext uri="{FF2B5EF4-FFF2-40B4-BE49-F238E27FC236}">
                <a16:creationId xmlns:a16="http://schemas.microsoft.com/office/drawing/2014/main" id="{00000000-0008-0000-0300-000037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4929207" y="9852661"/>
            <a:ext cx="0" cy="146909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6" name="AutoShape 4">
            <a:extLst>
              <a:ext uri="{FF2B5EF4-FFF2-40B4-BE49-F238E27FC236}">
                <a16:creationId xmlns:a16="http://schemas.microsoft.com/office/drawing/2014/main" id="{00000000-0008-0000-0300-000038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4783961" y="9852661"/>
            <a:ext cx="0" cy="146909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7" name="AutoShape 5">
            <a:extLst>
              <a:ext uri="{FF2B5EF4-FFF2-40B4-BE49-F238E27FC236}">
                <a16:creationId xmlns:a16="http://schemas.microsoft.com/office/drawing/2014/main" id="{00000000-0008-0000-0300-000039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493468" y="9981013"/>
            <a:ext cx="232394" cy="0"/>
          </a:xfrm>
          <a:prstGeom prst="straightConnector1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58" name="Oval 6">
            <a:extLst>
              <a:ext uri="{FF2B5EF4-FFF2-40B4-BE49-F238E27FC236}">
                <a16:creationId xmlns:a16="http://schemas.microsoft.com/office/drawing/2014/main" id="{00000000-0008-0000-0300-00003A000000}"/>
              </a:ext>
            </a:extLst>
          </xdr:cNvPr>
          <xdr:cNvSpPr>
            <a:spLocks noChangeArrowheads="1"/>
          </xdr:cNvSpPr>
        </xdr:nvSpPr>
        <xdr:spPr bwMode="auto">
          <a:xfrm>
            <a:off x="4783961" y="9882043"/>
            <a:ext cx="145246" cy="146909"/>
          </a:xfrm>
          <a:prstGeom prst="ellipse">
            <a:avLst/>
          </a:prstGeom>
          <a:solidFill>
            <a:srgbClr val="FFFFFF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59" name="AutoShape 7">
            <a:extLst>
              <a:ext uri="{FF2B5EF4-FFF2-40B4-BE49-F238E27FC236}">
                <a16:creationId xmlns:a16="http://schemas.microsoft.com/office/drawing/2014/main" id="{00000000-0008-0000-0300-00003B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696813" y="9999570"/>
            <a:ext cx="87148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0" name="AutoShape 8">
            <a:extLst>
              <a:ext uri="{FF2B5EF4-FFF2-40B4-BE49-F238E27FC236}">
                <a16:creationId xmlns:a16="http://schemas.microsoft.com/office/drawing/2014/main" id="{00000000-0008-0000-0300-00003C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9207" y="9999570"/>
            <a:ext cx="87148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61" name="Freeform 9">
            <a:extLst>
              <a:ext uri="{FF2B5EF4-FFF2-40B4-BE49-F238E27FC236}">
                <a16:creationId xmlns:a16="http://schemas.microsoft.com/office/drawing/2014/main" id="{00000000-0008-0000-0300-00003D000000}"/>
              </a:ext>
            </a:extLst>
          </xdr:cNvPr>
          <xdr:cNvSpPr>
            <a:spLocks/>
          </xdr:cNvSpPr>
        </xdr:nvSpPr>
        <xdr:spPr bwMode="auto">
          <a:xfrm rot="274344">
            <a:off x="4648397" y="9940806"/>
            <a:ext cx="193662" cy="130930"/>
          </a:xfrm>
          <a:custGeom>
            <a:avLst/>
            <a:gdLst>
              <a:gd name="T0" fmla="*/ 570 w 588"/>
              <a:gd name="T1" fmla="*/ 0 h 399"/>
              <a:gd name="T2" fmla="*/ 570 w 588"/>
              <a:gd name="T3" fmla="*/ 171 h 399"/>
              <a:gd name="T4" fmla="*/ 460 w 588"/>
              <a:gd name="T5" fmla="*/ 342 h 399"/>
              <a:gd name="T6" fmla="*/ 0 w 588"/>
              <a:gd name="T7" fmla="*/ 399 h 3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588" h="399">
                <a:moveTo>
                  <a:pt x="570" y="0"/>
                </a:moveTo>
                <a:cubicBezTo>
                  <a:pt x="579" y="57"/>
                  <a:pt x="588" y="114"/>
                  <a:pt x="570" y="171"/>
                </a:cubicBezTo>
                <a:cubicBezTo>
                  <a:pt x="552" y="228"/>
                  <a:pt x="555" y="304"/>
                  <a:pt x="460" y="342"/>
                </a:cubicBezTo>
                <a:cubicBezTo>
                  <a:pt x="365" y="380"/>
                  <a:pt x="182" y="389"/>
                  <a:pt x="0" y="399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2" name="Freeform 10">
            <a:extLst>
              <a:ext uri="{FF2B5EF4-FFF2-40B4-BE49-F238E27FC236}">
                <a16:creationId xmlns:a16="http://schemas.microsoft.com/office/drawing/2014/main" id="{00000000-0008-0000-0300-00003E000000}"/>
              </a:ext>
            </a:extLst>
          </xdr:cNvPr>
          <xdr:cNvSpPr>
            <a:spLocks/>
          </xdr:cNvSpPr>
        </xdr:nvSpPr>
        <xdr:spPr bwMode="auto">
          <a:xfrm rot="21325656" flipH="1">
            <a:off x="4871109" y="9940806"/>
            <a:ext cx="193662" cy="130930"/>
          </a:xfrm>
          <a:custGeom>
            <a:avLst/>
            <a:gdLst>
              <a:gd name="T0" fmla="*/ 570 w 588"/>
              <a:gd name="T1" fmla="*/ 0 h 399"/>
              <a:gd name="T2" fmla="*/ 570 w 588"/>
              <a:gd name="T3" fmla="*/ 171 h 399"/>
              <a:gd name="T4" fmla="*/ 460 w 588"/>
              <a:gd name="T5" fmla="*/ 342 h 399"/>
              <a:gd name="T6" fmla="*/ 0 w 588"/>
              <a:gd name="T7" fmla="*/ 399 h 3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588" h="399">
                <a:moveTo>
                  <a:pt x="570" y="0"/>
                </a:moveTo>
                <a:cubicBezTo>
                  <a:pt x="579" y="57"/>
                  <a:pt x="588" y="114"/>
                  <a:pt x="570" y="171"/>
                </a:cubicBezTo>
                <a:cubicBezTo>
                  <a:pt x="552" y="228"/>
                  <a:pt x="555" y="304"/>
                  <a:pt x="460" y="342"/>
                </a:cubicBezTo>
                <a:cubicBezTo>
                  <a:pt x="365" y="380"/>
                  <a:pt x="182" y="389"/>
                  <a:pt x="0" y="399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63" name="AutoShape 11">
            <a:extLst>
              <a:ext uri="{FF2B5EF4-FFF2-40B4-BE49-F238E27FC236}">
                <a16:creationId xmlns:a16="http://schemas.microsoft.com/office/drawing/2014/main" id="{00000000-0008-0000-0300-00003F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87306" y="9981013"/>
            <a:ext cx="232394" cy="0"/>
          </a:xfrm>
          <a:prstGeom prst="straightConnector1">
            <a:avLst/>
          </a:prstGeom>
          <a:noFill/>
          <a:ln w="25400">
            <a:solidFill>
              <a:srgbClr val="FFFF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4" name="AutoShape 48">
            <a:extLst>
              <a:ext uri="{FF2B5EF4-FFF2-40B4-BE49-F238E27FC236}">
                <a16:creationId xmlns:a16="http://schemas.microsoft.com/office/drawing/2014/main" id="{00000000-0008-0000-0300-000040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485981" y="10063676"/>
            <a:ext cx="152631" cy="0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468727</xdr:colOff>
      <xdr:row>6</xdr:row>
      <xdr:rowOff>222755</xdr:rowOff>
    </xdr:from>
    <xdr:to>
      <xdr:col>12</xdr:col>
      <xdr:colOff>65783</xdr:colOff>
      <xdr:row>21</xdr:row>
      <xdr:rowOff>202506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0266"/>
        <a:stretch/>
      </xdr:blipFill>
      <xdr:spPr>
        <a:xfrm>
          <a:off x="1081048" y="1746755"/>
          <a:ext cx="7299324" cy="3668887"/>
        </a:xfrm>
        <a:prstGeom prst="rect">
          <a:avLst/>
        </a:prstGeom>
      </xdr:spPr>
    </xdr:pic>
    <xdr:clientData/>
  </xdr:twoCellAnchor>
  <xdr:twoCellAnchor editAs="oneCell">
    <xdr:from>
      <xdr:col>11</xdr:col>
      <xdr:colOff>416120</xdr:colOff>
      <xdr:row>6</xdr:row>
      <xdr:rowOff>218414</xdr:rowOff>
    </xdr:from>
    <xdr:to>
      <xdr:col>23</xdr:col>
      <xdr:colOff>373940</xdr:colOff>
      <xdr:row>21</xdr:row>
      <xdr:rowOff>211019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49954" b="273"/>
        <a:stretch/>
      </xdr:blipFill>
      <xdr:spPr>
        <a:xfrm>
          <a:off x="8024914" y="1742414"/>
          <a:ext cx="7212878" cy="36931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1</xdr:col>
          <xdr:colOff>0</xdr:colOff>
          <xdr:row>2</xdr:row>
          <xdr:rowOff>2085975</xdr:rowOff>
        </xdr:to>
        <xdr:sp macro="" textlink="">
          <xdr:nvSpPr>
            <xdr:cNvPr id="9226" name="Object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5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0</xdr:colOff>
          <xdr:row>3</xdr:row>
          <xdr:rowOff>2085975</xdr:rowOff>
        </xdr:to>
        <xdr:sp macro="" textlink="">
          <xdr:nvSpPr>
            <xdr:cNvPr id="9228" name="Object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5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1</xdr:col>
          <xdr:colOff>0</xdr:colOff>
          <xdr:row>1</xdr:row>
          <xdr:rowOff>2085975</xdr:rowOff>
        </xdr:to>
        <xdr:sp macro="" textlink="">
          <xdr:nvSpPr>
            <xdr:cNvPr id="9230" name="Object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5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0</xdr:row>
          <xdr:rowOff>2085975</xdr:rowOff>
        </xdr:to>
        <xdr:sp macro="" textlink="">
          <xdr:nvSpPr>
            <xdr:cNvPr id="9231" name="Object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5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1</xdr:col>
          <xdr:colOff>0</xdr:colOff>
          <xdr:row>5</xdr:row>
          <xdr:rowOff>1800225</xdr:rowOff>
        </xdr:to>
        <xdr:sp macro="" textlink="">
          <xdr:nvSpPr>
            <xdr:cNvPr id="9238" name="Object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5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1</xdr:col>
          <xdr:colOff>0</xdr:colOff>
          <xdr:row>6</xdr:row>
          <xdr:rowOff>1800225</xdr:rowOff>
        </xdr:to>
        <xdr:sp macro="" textlink="">
          <xdr:nvSpPr>
            <xdr:cNvPr id="9239" name="Object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5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2</xdr:col>
          <xdr:colOff>0</xdr:colOff>
          <xdr:row>10</xdr:row>
          <xdr:rowOff>28575</xdr:rowOff>
        </xdr:to>
        <xdr:sp macro="" textlink="">
          <xdr:nvSpPr>
            <xdr:cNvPr id="9246" name="Object 30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00000000-0008-0000-0500-00001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2</xdr:col>
          <xdr:colOff>9525</xdr:colOff>
          <xdr:row>11</xdr:row>
          <xdr:rowOff>28575</xdr:rowOff>
        </xdr:to>
        <xdr:sp macro="" textlink="">
          <xdr:nvSpPr>
            <xdr:cNvPr id="9247" name="Object 31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00000000-0008-0000-0500-00001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11</xdr:row>
          <xdr:rowOff>904875</xdr:rowOff>
        </xdr:from>
        <xdr:to>
          <xdr:col>6</xdr:col>
          <xdr:colOff>285750</xdr:colOff>
          <xdr:row>12</xdr:row>
          <xdr:rowOff>885825</xdr:rowOff>
        </xdr:to>
        <xdr:pic>
          <xdr:nvPicPr>
            <xdr:cNvPr id="9262" name="Graphic" descr="Images outline" hidden="1">
              <a:extLst>
                <a:ext uri="{FF2B5EF4-FFF2-40B4-BE49-F238E27FC236}">
                  <a16:creationId xmlns:a16="http://schemas.microsoft.com/office/drawing/2014/main" id="{00000000-0008-0000-0500-00002E24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C$12" spid="_x0000_s947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525000" y="19135725"/>
              <a:ext cx="1438275" cy="9239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10</xdr:row>
          <xdr:rowOff>1190625</xdr:rowOff>
        </xdr:from>
        <xdr:to>
          <xdr:col>6</xdr:col>
          <xdr:colOff>514350</xdr:colOff>
          <xdr:row>10</xdr:row>
          <xdr:rowOff>2114550</xdr:rowOff>
        </xdr:to>
        <xdr:pic>
          <xdr:nvPicPr>
            <xdr:cNvPr id="9263" name="Graphic 5" descr="Image outline" hidden="1">
              <a:extLst>
                <a:ext uri="{FF2B5EF4-FFF2-40B4-BE49-F238E27FC236}">
                  <a16:creationId xmlns:a16="http://schemas.microsoft.com/office/drawing/2014/main" id="{00000000-0008-0000-0500-00002F24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getDirectionDischarge" spid="_x0000_s947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9715500" y="16630650"/>
              <a:ext cx="1476375" cy="9239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0</xdr:rowOff>
        </xdr:from>
        <xdr:to>
          <xdr:col>3</xdr:col>
          <xdr:colOff>1457325</xdr:colOff>
          <xdr:row>11</xdr:row>
          <xdr:rowOff>942975</xdr:rowOff>
        </xdr:to>
        <xdr:sp macro="" textlink="">
          <xdr:nvSpPr>
            <xdr:cNvPr id="9264" name="Object 48" hidden="1">
              <a:extLst>
                <a:ext uri="{63B3BB69-23CF-44E3-9099-C40C66FF867C}">
                  <a14:compatExt spid="_x0000_s9264"/>
                </a:ext>
                <a:ext uri="{FF2B5EF4-FFF2-40B4-BE49-F238E27FC236}">
                  <a16:creationId xmlns:a16="http://schemas.microsoft.com/office/drawing/2014/main" id="{00000000-0008-0000-0500-00003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1447800</xdr:colOff>
          <xdr:row>13</xdr:row>
          <xdr:rowOff>28575</xdr:rowOff>
        </xdr:to>
        <xdr:sp macro="" textlink="">
          <xdr:nvSpPr>
            <xdr:cNvPr id="9265" name="Object 49" hidden="1">
              <a:extLst>
                <a:ext uri="{63B3BB69-23CF-44E3-9099-C40C66FF867C}">
                  <a14:compatExt spid="_x0000_s9265"/>
                </a:ext>
                <a:ext uri="{FF2B5EF4-FFF2-40B4-BE49-F238E27FC236}">
                  <a16:creationId xmlns:a16="http://schemas.microsoft.com/office/drawing/2014/main" id="{00000000-0008-0000-0500-00003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0</xdr:rowOff>
        </xdr:from>
        <xdr:to>
          <xdr:col>3</xdr:col>
          <xdr:colOff>1447800</xdr:colOff>
          <xdr:row>13</xdr:row>
          <xdr:rowOff>942975</xdr:rowOff>
        </xdr:to>
        <xdr:sp macro="" textlink="">
          <xdr:nvSpPr>
            <xdr:cNvPr id="9266" name="Object 50" hidden="1">
              <a:extLst>
                <a:ext uri="{63B3BB69-23CF-44E3-9099-C40C66FF867C}">
                  <a14:compatExt spid="_x0000_s9266"/>
                </a:ext>
                <a:ext uri="{FF2B5EF4-FFF2-40B4-BE49-F238E27FC236}">
                  <a16:creationId xmlns:a16="http://schemas.microsoft.com/office/drawing/2014/main" id="{00000000-0008-0000-0500-00003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1269296</xdr:colOff>
      <xdr:row>5</xdr:row>
      <xdr:rowOff>62280</xdr:rowOff>
    </xdr:from>
    <xdr:to>
      <xdr:col>5</xdr:col>
      <xdr:colOff>402612</xdr:colOff>
      <xdr:row>14</xdr:row>
      <xdr:rowOff>113676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990589" flipH="1">
          <a:off x="4383557" y="1081041"/>
          <a:ext cx="1700925" cy="1616809"/>
        </a:xfrm>
        <a:prstGeom prst="rect">
          <a:avLst/>
        </a:prstGeom>
      </xdr:spPr>
    </xdr:pic>
    <xdr:clientData/>
  </xdr:twoCellAnchor>
  <xdr:twoCellAnchor editAs="oneCell">
    <xdr:from>
      <xdr:col>0</xdr:col>
      <xdr:colOff>12929</xdr:colOff>
      <xdr:row>0</xdr:row>
      <xdr:rowOff>18532</xdr:rowOff>
    </xdr:from>
    <xdr:to>
      <xdr:col>0</xdr:col>
      <xdr:colOff>1668944</xdr:colOff>
      <xdr:row>1</xdr:row>
      <xdr:rowOff>10519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9" y="18532"/>
          <a:ext cx="1652840" cy="318546"/>
        </a:xfrm>
        <a:prstGeom prst="rect">
          <a:avLst/>
        </a:prstGeom>
      </xdr:spPr>
    </xdr:pic>
    <xdr:clientData/>
  </xdr:twoCellAnchor>
  <xdr:twoCellAnchor>
    <xdr:from>
      <xdr:col>0</xdr:col>
      <xdr:colOff>789026</xdr:colOff>
      <xdr:row>30</xdr:row>
      <xdr:rowOff>421</xdr:rowOff>
    </xdr:from>
    <xdr:to>
      <xdr:col>5</xdr:col>
      <xdr:colOff>400941</xdr:colOff>
      <xdr:row>41</xdr:row>
      <xdr:rowOff>83750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pSpPr/>
      </xdr:nvGrpSpPr>
      <xdr:grpSpPr>
        <a:xfrm>
          <a:off x="789026" y="5367551"/>
          <a:ext cx="5144698" cy="1996612"/>
          <a:chOff x="791727" y="5512489"/>
          <a:chExt cx="5146852" cy="1990628"/>
        </a:xfrm>
      </xdr:grpSpPr>
      <mc:AlternateContent xmlns:mc="http://schemas.openxmlformats.org/markup-compatibility/2006" xmlns:a14="http://schemas.microsoft.com/office/drawing/2010/main">
        <mc:Choice Requires="a14">
          <xdr:pic>
            <xdr:nvPicPr>
              <xdr:cNvPr id="15" name="Picture 14">
                <a:extLst>
                  <a:ext uri="{FF2B5EF4-FFF2-40B4-BE49-F238E27FC236}">
                    <a16:creationId xmlns:a16="http://schemas.microsoft.com/office/drawing/2014/main" id="{00000000-0008-0000-0700-00000F000000}"/>
                  </a:ext>
                </a:extLst>
              </xdr:cNvPr>
              <xdr:cNvPicPr>
                <a:picLocks noChangeAspect="1"/>
                <a:extLst>
                  <a:ext uri="{84589F7E-364E-4C9E-8A38-B11213B215E9}">
                    <a14:cameraTool cellRange="getLayout" spid="_x0000_s4932"/>
                  </a:ext>
                </a:extLst>
              </xdr:cNvPicPr>
            </xdr:nvPicPr>
            <xdr:blipFill rotWithShape="1">
              <a:blip xmlns:r="http://schemas.openxmlformats.org/officeDocument/2006/relationships" r:embed="rId3"/>
              <a:srcRect l="1" t="1" r="2408" b="2094"/>
              <a:stretch>
                <a:fillRect/>
              </a:stretch>
            </xdr:blipFill>
            <xdr:spPr>
              <a:xfrm>
                <a:off x="3388406" y="5932703"/>
                <a:ext cx="2510496" cy="1401218"/>
              </a:xfrm>
              <a:prstGeom prst="rect">
                <a:avLst/>
              </a:prstGeom>
            </xdr:spPr>
          </xdr:pic>
        </mc:Choice>
        <mc:Fallback xmlns=""/>
      </mc:AlternateContent>
      <xdr:sp macro="" textlink="data!B169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3515187" y="5512489"/>
            <a:ext cx="2417059" cy="15398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1634D166-96A6-4D47-8EB7-47CC175A07EB}" type="TxLink">
              <a:rPr lang="en-US" sz="1000" b="0" i="0" u="none" strike="noStrike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pPr algn="ctr"/>
              <a:t>C Max (centre/perimeter) = Max Coverage Dist Centre Zone m/Max C/L Distance (m) Perimeter m</a:t>
            </a:fld>
            <a:endParaRPr lang="en-AU" sz="10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data!B171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 txBox="1"/>
        </xdr:nvSpPr>
        <xdr:spPr>
          <a:xfrm>
            <a:off x="4663738" y="5808459"/>
            <a:ext cx="1264945" cy="1427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A94E2BDA-884C-42FE-87E4-C17DB21E57ED}" type="TxLink">
              <a:rPr lang="en-US" sz="1000" b="0" i="0" u="none" strike="noStrike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pPr algn="ctr"/>
              <a:t>Average C = 14.6 m</a:t>
            </a:fld>
            <a:endParaRPr lang="en-AU" sz="10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data!B170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 txBox="1"/>
        </xdr:nvSpPr>
        <xdr:spPr>
          <a:xfrm>
            <a:off x="4730931" y="5666141"/>
            <a:ext cx="1157377" cy="1425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8BFA3744-B69E-4B17-BD7E-8807699B7E30}" type="TxLink">
              <a:rPr lang="en-US" sz="1000" b="0" i="0" u="none" strike="noStrike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pPr algn="ctr"/>
              <a:t>C Min = Min C/L Distance (m) m</a:t>
            </a:fld>
            <a:endParaRPr lang="en-AU" sz="10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data!B175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 txBox="1"/>
        </xdr:nvSpPr>
        <xdr:spPr>
          <a:xfrm>
            <a:off x="791727" y="6684235"/>
            <a:ext cx="2749615" cy="2249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fld id="{C5910FEC-24D3-450C-BE68-D08905897E78}" type="TxLink">
              <a:rPr lang="en-US" sz="1000" b="0" i="0" u="none" strike="noStrike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pPr algn="r"/>
              <a:t>Min Recommended Diffuser Height = Min Diffuser Height (m) m</a:t>
            </a:fld>
            <a:endParaRPr lang="en-AU" sz="10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data!B172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 txBox="1"/>
        </xdr:nvSpPr>
        <xdr:spPr>
          <a:xfrm>
            <a:off x="3874480" y="6764216"/>
            <a:ext cx="1647236" cy="589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AD07E4B6-66E8-4534-9E53-61BFB7711339}" type="TxLink">
              <a:rPr lang="en-US" sz="1000" b="0" i="0" u="none" strike="noStrike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pPr algn="ctr"/>
              <a:t>Specific Airflow Rate @ Average C of 14.6 m: 8.5 L/s/m²</a:t>
            </a:fld>
            <a:endParaRPr lang="en-AU" sz="10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data!B174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SpPr txBox="1"/>
        </xdr:nvSpPr>
        <xdr:spPr>
          <a:xfrm>
            <a:off x="1293704" y="6469796"/>
            <a:ext cx="2245045" cy="24218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fld id="{2D5AF254-0F1B-4629-97EF-6E8034350C7E}" type="TxLink">
              <a:rPr lang="en-US" sz="1000" b="0" i="0" u="none" strike="noStrike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pPr algn="r"/>
              <a:t>Selected Diffuser Height = 2.7 m</a:t>
            </a:fld>
            <a:endParaRPr lang="en-AU" sz="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data!B156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SpPr txBox="1"/>
        </xdr:nvSpPr>
        <xdr:spPr>
          <a:xfrm>
            <a:off x="2958090" y="7341066"/>
            <a:ext cx="2980489" cy="1620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fld id="{1C4D6655-820B-454C-B02E-C772E0EC34A4}" type="TxLink">
              <a:rPr lang="en-US" sz="1000" b="0" i="0" u="none" strike="noStrike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pPr algn="r"/>
              <a:t>Recommended distances for ≥ 90% ADPI (Selected)</a:t>
            </a:fld>
            <a:endParaRPr lang="en-AU" sz="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66" Type="http://schemas.openxmlformats.org/officeDocument/2006/relationships/ctrlProp" Target="../ctrlProps/ctrlProp62.xml"/><Relationship Id="rId5" Type="http://schemas.openxmlformats.org/officeDocument/2006/relationships/ctrlProp" Target="../ctrlProps/ctrlProp1.xml"/><Relationship Id="rId61" Type="http://schemas.openxmlformats.org/officeDocument/2006/relationships/ctrlProp" Target="../ctrlProps/ctrlProp57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70" Type="http://schemas.openxmlformats.org/officeDocument/2006/relationships/ctrlProp" Target="../ctrlProps/ctrlProp66.xml"/><Relationship Id="rId1" Type="http://schemas.openxmlformats.org/officeDocument/2006/relationships/hyperlink" Target="http://www.smartair.asia/product/88" TargetMode="External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Visio_Drawing2.vsdx"/><Relationship Id="rId13" Type="http://schemas.openxmlformats.org/officeDocument/2006/relationships/image" Target="../media/image13.e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10.emf"/><Relationship Id="rId12" Type="http://schemas.openxmlformats.org/officeDocument/2006/relationships/package" Target="../embeddings/Microsoft_Visio_Drawing4.vsdx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Visio_Drawing1.vsdx"/><Relationship Id="rId11" Type="http://schemas.openxmlformats.org/officeDocument/2006/relationships/image" Target="../media/image12.emf"/><Relationship Id="rId5" Type="http://schemas.openxmlformats.org/officeDocument/2006/relationships/image" Target="../media/image9.emf"/><Relationship Id="rId10" Type="http://schemas.openxmlformats.org/officeDocument/2006/relationships/package" Target="../embeddings/Microsoft_Visio_Drawing3.vsdx"/><Relationship Id="rId4" Type="http://schemas.openxmlformats.org/officeDocument/2006/relationships/package" Target="../embeddings/Microsoft_Visio_Drawing.vsdx"/><Relationship Id="rId9" Type="http://schemas.openxmlformats.org/officeDocument/2006/relationships/image" Target="../media/image11.emf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emf"/><Relationship Id="rId13" Type="http://schemas.openxmlformats.org/officeDocument/2006/relationships/package" Target="../embeddings/Microsoft_Visio_Drawing10.vsdx"/><Relationship Id="rId18" Type="http://schemas.openxmlformats.org/officeDocument/2006/relationships/image" Target="../media/image24.emf"/><Relationship Id="rId3" Type="http://schemas.openxmlformats.org/officeDocument/2006/relationships/package" Target="../embeddings/Microsoft_Visio_Drawing5.vsdx"/><Relationship Id="rId21" Type="http://schemas.openxmlformats.org/officeDocument/2006/relationships/package" Target="../embeddings/Microsoft_Visio_Drawing14.vsdx"/><Relationship Id="rId7" Type="http://schemas.openxmlformats.org/officeDocument/2006/relationships/package" Target="../embeddings/Microsoft_Visio_Drawing7.vsdx"/><Relationship Id="rId12" Type="http://schemas.openxmlformats.org/officeDocument/2006/relationships/image" Target="../media/image21.emf"/><Relationship Id="rId17" Type="http://schemas.openxmlformats.org/officeDocument/2006/relationships/package" Target="../embeddings/Microsoft_Visio_Drawing12.vsdx"/><Relationship Id="rId2" Type="http://schemas.openxmlformats.org/officeDocument/2006/relationships/vmlDrawing" Target="../drawings/vmlDrawing3.vml"/><Relationship Id="rId16" Type="http://schemas.openxmlformats.org/officeDocument/2006/relationships/image" Target="../media/image23.emf"/><Relationship Id="rId20" Type="http://schemas.openxmlformats.org/officeDocument/2006/relationships/image" Target="../media/image25.emf"/><Relationship Id="rId1" Type="http://schemas.openxmlformats.org/officeDocument/2006/relationships/drawing" Target="../drawings/drawing6.xml"/><Relationship Id="rId6" Type="http://schemas.openxmlformats.org/officeDocument/2006/relationships/image" Target="../media/image18.emf"/><Relationship Id="rId11" Type="http://schemas.openxmlformats.org/officeDocument/2006/relationships/package" Target="../embeddings/Microsoft_Visio_Drawing9.vsdx"/><Relationship Id="rId24" Type="http://schemas.openxmlformats.org/officeDocument/2006/relationships/image" Target="../media/image27.emf"/><Relationship Id="rId5" Type="http://schemas.openxmlformats.org/officeDocument/2006/relationships/package" Target="../embeddings/Microsoft_Visio_Drawing6.vsdx"/><Relationship Id="rId15" Type="http://schemas.openxmlformats.org/officeDocument/2006/relationships/package" Target="../embeddings/Microsoft_Visio_Drawing11.vsdx"/><Relationship Id="rId23" Type="http://schemas.openxmlformats.org/officeDocument/2006/relationships/package" Target="../embeddings/Microsoft_Visio_Drawing15.vsdx"/><Relationship Id="rId10" Type="http://schemas.openxmlformats.org/officeDocument/2006/relationships/image" Target="../media/image20.emf"/><Relationship Id="rId19" Type="http://schemas.openxmlformats.org/officeDocument/2006/relationships/package" Target="../embeddings/Microsoft_Visio_Drawing13.vsdx"/><Relationship Id="rId4" Type="http://schemas.openxmlformats.org/officeDocument/2006/relationships/image" Target="../media/image17.emf"/><Relationship Id="rId9" Type="http://schemas.openxmlformats.org/officeDocument/2006/relationships/package" Target="../embeddings/Microsoft_Visio_Drawing8.vsdx"/><Relationship Id="rId14" Type="http://schemas.openxmlformats.org/officeDocument/2006/relationships/image" Target="../media/image22.emf"/><Relationship Id="rId22" Type="http://schemas.openxmlformats.org/officeDocument/2006/relationships/image" Target="../media/image26.emf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Y88"/>
  <sheetViews>
    <sheetView tabSelected="1" zoomScaleNormal="100" workbookViewId="0">
      <selection activeCell="E9" sqref="E9"/>
    </sheetView>
  </sheetViews>
  <sheetFormatPr defaultRowHeight="15" x14ac:dyDescent="0.25"/>
  <cols>
    <col min="1" max="1" width="2.85546875" customWidth="1"/>
    <col min="2" max="2" width="2.42578125" customWidth="1"/>
    <col min="3" max="3" width="23.42578125" customWidth="1"/>
    <col min="4" max="4" width="39.42578125" customWidth="1"/>
    <col min="5" max="17" width="11.5703125" customWidth="1"/>
    <col min="18" max="18" width="14.42578125" customWidth="1"/>
    <col min="19" max="19" width="16.5703125" customWidth="1"/>
  </cols>
  <sheetData>
    <row r="1" spans="1:25" ht="16.5" customHeight="1" x14ac:dyDescent="0.25">
      <c r="A1" s="51"/>
      <c r="B1" s="29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  <c r="O1" s="30"/>
      <c r="P1" s="30"/>
      <c r="Q1" s="30"/>
      <c r="R1" s="30"/>
      <c r="S1" s="30"/>
    </row>
    <row r="2" spans="1:25" ht="21" x14ac:dyDescent="0.35">
      <c r="A2" s="51"/>
      <c r="B2" s="32"/>
      <c r="C2" s="31"/>
      <c r="D2" s="33" t="s">
        <v>0</v>
      </c>
      <c r="E2" s="33"/>
      <c r="F2" s="31"/>
      <c r="G2" s="31"/>
      <c r="H2" s="31"/>
      <c r="I2" s="31"/>
      <c r="J2" s="34"/>
      <c r="K2" s="34"/>
      <c r="L2" s="34"/>
      <c r="M2" s="34"/>
      <c r="N2" s="31"/>
      <c r="O2" s="34"/>
      <c r="P2" s="34"/>
      <c r="Q2" s="34"/>
      <c r="R2" s="34"/>
      <c r="S2" s="34"/>
    </row>
    <row r="3" spans="1:25" ht="25.5" customHeight="1" x14ac:dyDescent="0.35">
      <c r="A3" s="51"/>
      <c r="B3" s="32"/>
      <c r="C3" s="31"/>
      <c r="D3" s="35" t="s">
        <v>1</v>
      </c>
      <c r="E3" s="35"/>
      <c r="F3" s="31"/>
      <c r="G3" s="31"/>
      <c r="H3" s="31"/>
      <c r="I3" s="31"/>
      <c r="J3" s="34"/>
      <c r="K3" s="34"/>
      <c r="L3" s="34"/>
      <c r="M3" s="34"/>
      <c r="N3" s="31"/>
      <c r="O3" s="34"/>
      <c r="P3" s="34"/>
      <c r="Q3" s="34"/>
      <c r="R3" s="34"/>
      <c r="S3" s="34"/>
    </row>
    <row r="4" spans="1:25" ht="13.5" customHeight="1" x14ac:dyDescent="0.3">
      <c r="A4" s="51"/>
      <c r="B4" s="32"/>
      <c r="C4" s="31"/>
      <c r="D4" s="36"/>
      <c r="E4" s="36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5" spans="1:25" ht="25.5" customHeight="1" x14ac:dyDescent="0.3">
      <c r="A5" s="258"/>
      <c r="B5" s="17"/>
      <c r="C5" s="147" t="s">
        <v>2</v>
      </c>
      <c r="D5" s="302" t="s">
        <v>3</v>
      </c>
      <c r="E5" s="302"/>
      <c r="F5" s="302"/>
      <c r="G5" s="302"/>
      <c r="H5" s="302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42"/>
    </row>
    <row r="6" spans="1:25" ht="7.5" customHeight="1" x14ac:dyDescent="0.25">
      <c r="A6" s="258"/>
      <c r="B6" s="17"/>
      <c r="C6" s="17"/>
      <c r="D6" s="17"/>
      <c r="E6" s="17"/>
      <c r="F6" s="17"/>
      <c r="G6" s="17"/>
      <c r="H6" s="17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42"/>
    </row>
    <row r="7" spans="1:25" ht="18" customHeight="1" thickBot="1" x14ac:dyDescent="0.35">
      <c r="A7" s="258"/>
      <c r="B7" s="17"/>
      <c r="C7" s="17"/>
      <c r="D7" s="305" t="s">
        <v>4</v>
      </c>
      <c r="E7" s="305"/>
      <c r="F7" s="305"/>
      <c r="G7" s="41"/>
      <c r="H7" s="17"/>
      <c r="I7" s="111"/>
      <c r="J7" s="112" t="s">
        <v>5</v>
      </c>
      <c r="K7" s="113"/>
      <c r="L7" s="114"/>
      <c r="M7" s="114"/>
      <c r="N7" s="111"/>
      <c r="O7" s="111"/>
      <c r="P7" s="111"/>
      <c r="Q7" s="111"/>
      <c r="R7" s="111"/>
      <c r="S7" s="161" t="s">
        <v>607</v>
      </c>
      <c r="T7" s="42"/>
    </row>
    <row r="8" spans="1:25" ht="18" customHeight="1" thickTop="1" x14ac:dyDescent="0.25">
      <c r="A8" s="258"/>
      <c r="B8" s="17"/>
      <c r="C8" s="17"/>
      <c r="D8" s="18"/>
      <c r="E8" s="18"/>
      <c r="F8" s="17"/>
      <c r="G8" s="17"/>
      <c r="H8" s="17"/>
      <c r="I8" s="111"/>
      <c r="J8" s="115"/>
      <c r="K8" s="111"/>
      <c r="L8" s="111"/>
      <c r="M8" s="111"/>
      <c r="N8" s="111"/>
      <c r="O8" s="111"/>
      <c r="P8" s="111"/>
      <c r="Q8" s="111"/>
      <c r="R8" s="111"/>
      <c r="S8" s="111"/>
      <c r="T8" s="42"/>
    </row>
    <row r="9" spans="1:25" ht="18" customHeight="1" thickBot="1" x14ac:dyDescent="0.3">
      <c r="A9" s="258"/>
      <c r="B9" s="17"/>
      <c r="C9" s="17"/>
      <c r="D9" s="20" t="s">
        <v>6</v>
      </c>
      <c r="E9" s="25">
        <v>250</v>
      </c>
      <c r="F9" s="222" t="s">
        <v>7</v>
      </c>
      <c r="G9" s="223" t="s">
        <v>8</v>
      </c>
      <c r="H9" s="17"/>
      <c r="I9" s="111"/>
      <c r="J9" s="111"/>
      <c r="K9" s="224" t="s">
        <v>9</v>
      </c>
      <c r="L9" s="225" t="s">
        <v>10</v>
      </c>
      <c r="M9" s="225" t="s">
        <v>11</v>
      </c>
      <c r="N9" s="111"/>
      <c r="O9" s="111"/>
      <c r="P9" s="111"/>
      <c r="Q9" s="111"/>
      <c r="R9" s="111"/>
      <c r="S9" s="111"/>
      <c r="T9" s="42"/>
    </row>
    <row r="10" spans="1:25" ht="18" customHeight="1" thickTop="1" x14ac:dyDescent="0.25">
      <c r="A10" s="258"/>
      <c r="B10" s="17"/>
      <c r="C10" s="17"/>
      <c r="D10" s="20"/>
      <c r="E10" s="19"/>
      <c r="F10" s="27"/>
      <c r="G10" s="17"/>
      <c r="H10" s="17"/>
      <c r="I10" s="111"/>
      <c r="J10" s="115"/>
      <c r="K10" s="111"/>
      <c r="L10" s="111"/>
      <c r="M10" s="111"/>
      <c r="N10" s="111"/>
      <c r="O10" s="111"/>
      <c r="P10" s="111"/>
      <c r="Q10" s="111"/>
      <c r="R10" s="111"/>
      <c r="S10" s="111"/>
      <c r="T10" s="42"/>
    </row>
    <row r="11" spans="1:25" ht="18" customHeight="1" thickBot="1" x14ac:dyDescent="0.3">
      <c r="A11" s="258"/>
      <c r="B11" s="17"/>
      <c r="C11" s="17"/>
      <c r="D11" s="20" t="s">
        <v>12</v>
      </c>
      <c r="E11" s="25">
        <v>100</v>
      </c>
      <c r="F11" s="27" t="s">
        <v>13</v>
      </c>
      <c r="G11" s="81"/>
      <c r="H11" s="81"/>
      <c r="I11" s="111"/>
      <c r="J11" s="111"/>
      <c r="K11" s="224" t="s">
        <v>14</v>
      </c>
      <c r="L11" s="109">
        <v>0.9</v>
      </c>
      <c r="M11" s="116"/>
      <c r="N11" s="129" t="s">
        <v>15</v>
      </c>
      <c r="O11" s="111"/>
      <c r="P11" s="111"/>
      <c r="Q11" s="111"/>
      <c r="R11" s="111"/>
      <c r="S11" s="111"/>
      <c r="T11" s="103" t="s">
        <v>16</v>
      </c>
      <c r="U11" s="104">
        <v>5</v>
      </c>
      <c r="V11" s="105" t="s">
        <v>17</v>
      </c>
      <c r="W11" s="105" t="s">
        <v>18</v>
      </c>
      <c r="X11" s="105"/>
      <c r="Y11" s="105"/>
    </row>
    <row r="12" spans="1:25" ht="18" customHeight="1" thickTop="1" x14ac:dyDescent="0.25">
      <c r="A12" s="258"/>
      <c r="B12" s="17"/>
      <c r="C12" s="17"/>
      <c r="D12" s="20"/>
      <c r="E12" s="19"/>
      <c r="F12" s="27"/>
      <c r="G12" s="17"/>
      <c r="H12" s="17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42"/>
    </row>
    <row r="13" spans="1:25" ht="18" customHeight="1" thickBot="1" x14ac:dyDescent="0.3">
      <c r="A13" s="258"/>
      <c r="B13" s="17"/>
      <c r="C13" s="17"/>
      <c r="D13" s="20" t="s">
        <v>19</v>
      </c>
      <c r="E13" s="25">
        <v>30</v>
      </c>
      <c r="F13" s="27" t="s">
        <v>20</v>
      </c>
      <c r="G13" s="28"/>
      <c r="H13" s="28"/>
      <c r="I13" s="111"/>
      <c r="J13" s="111"/>
      <c r="K13" s="224" t="s">
        <v>21</v>
      </c>
      <c r="L13" s="298" t="s">
        <v>22</v>
      </c>
      <c r="M13" s="298"/>
      <c r="N13" s="139" t="s">
        <v>23</v>
      </c>
      <c r="O13" s="111"/>
      <c r="P13" s="111"/>
      <c r="Q13" s="111"/>
      <c r="R13" s="111"/>
      <c r="S13" s="111"/>
      <c r="T13" s="42"/>
    </row>
    <row r="14" spans="1:25" ht="18" customHeight="1" thickTop="1" x14ac:dyDescent="0.25">
      <c r="A14" s="258"/>
      <c r="B14" s="17"/>
      <c r="C14" s="17"/>
      <c r="D14" s="20"/>
      <c r="E14" s="19"/>
      <c r="F14" s="27"/>
      <c r="G14" s="17"/>
      <c r="H14" s="17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42"/>
    </row>
    <row r="15" spans="1:25" ht="18" customHeight="1" thickBot="1" x14ac:dyDescent="0.3">
      <c r="A15" s="258"/>
      <c r="B15" s="17"/>
      <c r="C15" s="17"/>
      <c r="D15" s="21" t="s">
        <v>24</v>
      </c>
      <c r="E15" s="25">
        <v>-12</v>
      </c>
      <c r="F15" s="27" t="s">
        <v>25</v>
      </c>
      <c r="G15" s="28"/>
      <c r="H15" s="28"/>
      <c r="I15" s="111"/>
      <c r="J15" s="263" t="s">
        <v>26</v>
      </c>
      <c r="K15" s="137"/>
      <c r="L15" s="111"/>
      <c r="M15" s="111"/>
      <c r="N15" s="111"/>
      <c r="O15" s="111"/>
      <c r="P15" s="111"/>
      <c r="Q15" s="111"/>
      <c r="R15" s="111"/>
      <c r="S15" s="111"/>
      <c r="T15" s="42"/>
    </row>
    <row r="16" spans="1:25" ht="18" customHeight="1" thickTop="1" x14ac:dyDescent="0.25">
      <c r="A16" s="258"/>
      <c r="B16" s="17"/>
      <c r="C16" s="17"/>
      <c r="D16" s="20"/>
      <c r="E16" s="19"/>
      <c r="F16" s="27"/>
      <c r="G16" s="17"/>
      <c r="H16" s="17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42"/>
    </row>
    <row r="17" spans="1:20" ht="18" customHeight="1" thickBot="1" x14ac:dyDescent="0.3">
      <c r="A17" s="258"/>
      <c r="B17" s="17"/>
      <c r="C17" s="17"/>
      <c r="D17" s="20" t="s">
        <v>27</v>
      </c>
      <c r="E17" s="25">
        <v>2.7</v>
      </c>
      <c r="F17" s="27" t="s">
        <v>562</v>
      </c>
      <c r="G17" s="28"/>
      <c r="H17" s="28"/>
      <c r="I17" s="111"/>
      <c r="J17" s="251" t="s">
        <v>28</v>
      </c>
      <c r="K17" s="184"/>
      <c r="L17" s="120"/>
      <c r="M17" s="111"/>
      <c r="N17" s="256" t="s">
        <v>29</v>
      </c>
      <c r="O17" s="111"/>
      <c r="P17" s="111"/>
      <c r="Q17" s="111"/>
      <c r="R17" s="111"/>
      <c r="S17" s="111"/>
      <c r="T17" s="42"/>
    </row>
    <row r="18" spans="1:20" ht="18" customHeight="1" thickTop="1" x14ac:dyDescent="0.25">
      <c r="A18" s="258"/>
      <c r="B18" s="17"/>
      <c r="C18" s="17"/>
      <c r="D18" s="20"/>
      <c r="E18" s="19"/>
      <c r="F18" s="282" t="s">
        <v>563</v>
      </c>
      <c r="G18" s="17"/>
      <c r="H18" s="17"/>
      <c r="I18" s="111"/>
      <c r="J18" s="252" t="s">
        <v>30</v>
      </c>
      <c r="K18" s="121"/>
      <c r="L18" s="143" t="str">
        <f>"average distance = "&amp;ROUND('LMC-ADequations'!B297,1)</f>
        <v>average distance = 14.6</v>
      </c>
      <c r="M18" s="140" t="s">
        <v>31</v>
      </c>
      <c r="N18" s="111"/>
      <c r="O18" s="111"/>
      <c r="P18" s="111"/>
      <c r="Q18" s="111"/>
      <c r="R18" s="111"/>
      <c r="S18" s="111"/>
      <c r="T18" s="42"/>
    </row>
    <row r="19" spans="1:20" ht="18" customHeight="1" thickBot="1" x14ac:dyDescent="0.3">
      <c r="A19" s="258"/>
      <c r="B19" s="17"/>
      <c r="C19" s="17"/>
      <c r="D19" s="20" t="s">
        <v>32</v>
      </c>
      <c r="E19" s="25">
        <v>0.5</v>
      </c>
      <c r="F19" s="27" t="s">
        <v>33</v>
      </c>
      <c r="G19" s="28"/>
      <c r="H19" s="28"/>
      <c r="I19" s="111"/>
      <c r="J19" s="121"/>
      <c r="K19" s="119" t="s">
        <v>34</v>
      </c>
      <c r="L19" s="110">
        <v>3.4</v>
      </c>
      <c r="M19" s="118" t="s">
        <v>31</v>
      </c>
      <c r="N19" s="256" t="s">
        <v>35</v>
      </c>
      <c r="O19" s="111"/>
      <c r="P19" s="111"/>
      <c r="Q19" s="111"/>
      <c r="R19" s="111"/>
      <c r="S19" s="111"/>
      <c r="T19" s="42"/>
    </row>
    <row r="20" spans="1:20" ht="18" customHeight="1" thickTop="1" x14ac:dyDescent="0.25">
      <c r="A20" s="258"/>
      <c r="B20" s="17"/>
      <c r="C20" s="17"/>
      <c r="D20" s="20"/>
      <c r="E20" s="20"/>
      <c r="F20" s="17"/>
      <c r="G20" s="17"/>
      <c r="H20" s="28"/>
      <c r="I20" s="120"/>
      <c r="J20" s="252" t="s">
        <v>30</v>
      </c>
      <c r="K20" s="121"/>
      <c r="L20" s="141" t="str">
        <f>"Average Specific Airflow: "&amp; ROUND('LMC-ADequations'!B309,1)</f>
        <v>Average Specific Airflow: 8.5</v>
      </c>
      <c r="M20" s="146" t="str">
        <f>'LMC-ADequations'!C4</f>
        <v>L/s/m²</v>
      </c>
      <c r="N20" s="111"/>
      <c r="O20" s="111"/>
      <c r="P20" s="111"/>
      <c r="Q20" s="111"/>
      <c r="R20" s="111"/>
      <c r="S20" s="111"/>
      <c r="T20" s="42"/>
    </row>
    <row r="21" spans="1:20" ht="18" customHeight="1" thickBot="1" x14ac:dyDescent="0.3">
      <c r="A21" s="258"/>
      <c r="B21" s="17"/>
      <c r="C21" s="17"/>
      <c r="D21" s="20"/>
      <c r="E21" s="20"/>
      <c r="F21" s="17"/>
      <c r="G21" s="17"/>
      <c r="H21" s="77"/>
      <c r="I21" s="120"/>
      <c r="J21" s="253"/>
      <c r="K21" s="119" t="s">
        <v>36</v>
      </c>
      <c r="L21" s="145">
        <v>5</v>
      </c>
      <c r="M21" s="118" t="str">
        <f>'LMC-ADequations'!C4</f>
        <v>L/s/m²</v>
      </c>
      <c r="N21" s="144" t="str">
        <f>"≤ "&amp;'LMC-ADequations'!B392&amp;" "&amp;'LMC-ADequations'!C4</f>
        <v>≤ 30 L/s/m²</v>
      </c>
      <c r="O21" s="111"/>
      <c r="P21" s="111"/>
      <c r="Q21" s="111"/>
      <c r="R21" s="111"/>
      <c r="S21" s="111"/>
      <c r="T21" s="42"/>
    </row>
    <row r="22" spans="1:20" ht="18" customHeight="1" thickTop="1" x14ac:dyDescent="0.25">
      <c r="A22" s="258"/>
      <c r="B22" s="17"/>
      <c r="C22" s="17"/>
      <c r="D22" s="20"/>
      <c r="E22" s="20"/>
      <c r="F22" s="17"/>
      <c r="G22" s="17"/>
      <c r="H22" s="28"/>
      <c r="I22" s="120"/>
      <c r="J22" s="251"/>
      <c r="K22" s="254"/>
      <c r="L22" s="143" t="str">
        <f>"average diffuser coverage: "&amp; ROUND('LMC-ADequations'!B303,1)</f>
        <v>average diffuser coverage: 25</v>
      </c>
      <c r="M22" s="142" t="s">
        <v>31</v>
      </c>
      <c r="N22" s="120"/>
      <c r="O22" s="120"/>
      <c r="P22" s="120"/>
      <c r="Q22" s="120"/>
      <c r="R22" s="120"/>
      <c r="S22" s="111"/>
      <c r="T22" s="42"/>
    </row>
    <row r="23" spans="1:20" ht="18" customHeight="1" thickBot="1" x14ac:dyDescent="0.3">
      <c r="A23" s="258"/>
      <c r="B23" s="17"/>
      <c r="C23" s="17"/>
      <c r="D23" s="20"/>
      <c r="E23" s="20"/>
      <c r="F23" s="17"/>
      <c r="G23" s="17"/>
      <c r="H23" s="28"/>
      <c r="I23" s="120"/>
      <c r="J23" s="121"/>
      <c r="K23" s="119" t="s">
        <v>37</v>
      </c>
      <c r="L23" s="227">
        <v>23</v>
      </c>
      <c r="M23" s="138" t="s">
        <v>38</v>
      </c>
      <c r="N23" s="130" t="s">
        <v>39</v>
      </c>
      <c r="O23" s="111"/>
      <c r="P23" s="111"/>
      <c r="Q23" s="111"/>
      <c r="R23" s="111"/>
      <c r="S23" s="111"/>
      <c r="T23" s="42"/>
    </row>
    <row r="24" spans="1:20" ht="18" customHeight="1" thickTop="1" x14ac:dyDescent="0.25">
      <c r="A24" s="258"/>
      <c r="B24" s="17"/>
      <c r="C24" s="17"/>
      <c r="D24" s="20"/>
      <c r="E24" s="20"/>
      <c r="F24" s="17"/>
      <c r="G24" s="17"/>
      <c r="H24" s="28"/>
      <c r="I24" s="120"/>
      <c r="J24" s="121"/>
      <c r="K24" s="121"/>
      <c r="L24" s="111"/>
      <c r="M24" s="111"/>
      <c r="N24" s="111"/>
      <c r="O24" s="111"/>
      <c r="P24" s="111"/>
      <c r="Q24" s="111"/>
      <c r="R24" s="111"/>
      <c r="S24" s="111"/>
      <c r="T24" s="42"/>
    </row>
    <row r="25" spans="1:20" ht="18" customHeight="1" thickBot="1" x14ac:dyDescent="0.3">
      <c r="A25" s="258"/>
      <c r="B25" s="17"/>
      <c r="C25" s="17"/>
      <c r="D25" s="20"/>
      <c r="E25" s="20"/>
      <c r="F25" s="17"/>
      <c r="G25" s="17"/>
      <c r="H25" s="28"/>
      <c r="I25" s="120"/>
      <c r="J25" s="121"/>
      <c r="K25" s="255" t="s">
        <v>40</v>
      </c>
      <c r="L25" s="110">
        <v>0</v>
      </c>
      <c r="M25" s="116" t="s">
        <v>41</v>
      </c>
      <c r="N25" s="129" t="s">
        <v>42</v>
      </c>
      <c r="O25" s="111"/>
      <c r="P25" s="111"/>
      <c r="Q25" s="111"/>
      <c r="R25" s="111"/>
      <c r="S25" s="111"/>
      <c r="T25" s="42"/>
    </row>
    <row r="26" spans="1:20" ht="18" customHeight="1" thickTop="1" x14ac:dyDescent="0.25">
      <c r="A26" s="258"/>
      <c r="B26" s="17"/>
      <c r="C26" s="17"/>
      <c r="D26" s="20"/>
      <c r="E26" s="20"/>
      <c r="F26" s="17"/>
      <c r="G26" s="17"/>
      <c r="H26" s="28"/>
      <c r="I26" s="120"/>
      <c r="J26" s="111"/>
      <c r="K26" s="117"/>
      <c r="L26" s="111"/>
      <c r="M26" s="118"/>
      <c r="N26" s="131"/>
      <c r="O26" s="111"/>
      <c r="P26" s="111"/>
      <c r="Q26" s="111"/>
      <c r="R26" s="111"/>
      <c r="S26" s="111"/>
      <c r="T26" s="42"/>
    </row>
    <row r="27" spans="1:20" ht="18" customHeight="1" x14ac:dyDescent="0.25">
      <c r="A27" s="258"/>
      <c r="B27" s="17"/>
      <c r="C27" s="17"/>
      <c r="D27" s="20"/>
      <c r="E27" s="20"/>
      <c r="F27" s="17"/>
      <c r="G27" s="17"/>
      <c r="H27" s="28"/>
      <c r="I27" s="120"/>
      <c r="J27" s="111"/>
      <c r="K27" s="117"/>
      <c r="L27" s="111"/>
      <c r="M27" s="118"/>
      <c r="N27" s="131"/>
      <c r="O27" s="111"/>
      <c r="P27" s="111"/>
      <c r="Q27" s="111"/>
      <c r="R27" s="111"/>
      <c r="S27" s="111"/>
      <c r="T27" s="42"/>
    </row>
    <row r="28" spans="1:20" ht="18" customHeight="1" x14ac:dyDescent="0.25">
      <c r="A28" s="258"/>
      <c r="B28" s="17"/>
      <c r="C28" s="17"/>
      <c r="D28" s="27"/>
      <c r="E28" s="27"/>
      <c r="F28" s="27"/>
      <c r="G28" s="27"/>
      <c r="H28" s="27"/>
      <c r="I28" s="111"/>
      <c r="J28" s="111"/>
      <c r="K28" s="224" t="s">
        <v>43</v>
      </c>
      <c r="L28" s="120"/>
      <c r="M28" s="111"/>
      <c r="N28" s="111"/>
      <c r="O28" s="111"/>
      <c r="P28" s="111"/>
      <c r="Q28" s="111"/>
      <c r="R28" s="111"/>
      <c r="S28" s="111"/>
      <c r="T28" s="42"/>
    </row>
    <row r="29" spans="1:20" ht="18" customHeight="1" x14ac:dyDescent="0.25">
      <c r="A29" s="258"/>
      <c r="B29" s="17"/>
      <c r="C29" s="17"/>
      <c r="D29" s="20"/>
      <c r="E29" s="20"/>
      <c r="F29" s="168"/>
      <c r="G29" s="27"/>
      <c r="H29" s="27"/>
      <c r="I29" s="121"/>
      <c r="J29" s="120"/>
      <c r="K29" s="122" t="s">
        <v>44</v>
      </c>
      <c r="L29" s="123" t="s">
        <v>45</v>
      </c>
      <c r="M29" s="123"/>
      <c r="N29" s="111"/>
      <c r="O29" s="111"/>
      <c r="P29" s="111"/>
      <c r="Q29" s="111"/>
      <c r="R29" s="111"/>
      <c r="S29" s="111"/>
      <c r="T29" s="42"/>
    </row>
    <row r="30" spans="1:20" ht="18" customHeight="1" x14ac:dyDescent="0.25">
      <c r="A30" s="258"/>
      <c r="B30" s="17"/>
      <c r="C30" s="17"/>
      <c r="D30" s="234" t="s">
        <v>46</v>
      </c>
      <c r="E30" s="233" t="s">
        <v>47</v>
      </c>
      <c r="F30" s="17"/>
      <c r="G30" s="27"/>
      <c r="H30" s="169"/>
      <c r="I30" s="121"/>
      <c r="J30" s="120"/>
      <c r="K30" s="122" t="s">
        <v>48</v>
      </c>
      <c r="L30" s="123" t="s">
        <v>49</v>
      </c>
      <c r="M30" s="123"/>
      <c r="N30" s="111"/>
      <c r="O30" s="111"/>
      <c r="P30" s="111"/>
      <c r="Q30" s="111"/>
      <c r="R30" s="111"/>
      <c r="S30" s="111"/>
      <c r="T30" s="42"/>
    </row>
    <row r="31" spans="1:20" ht="18" customHeight="1" x14ac:dyDescent="0.25">
      <c r="A31" s="258"/>
      <c r="B31" s="17"/>
      <c r="C31" s="17"/>
      <c r="D31" s="18"/>
      <c r="E31" s="233" t="s">
        <v>50</v>
      </c>
      <c r="F31" s="17"/>
      <c r="G31" s="17"/>
      <c r="H31" s="169"/>
      <c r="I31" s="121"/>
      <c r="J31" s="122"/>
      <c r="K31" s="122" t="s">
        <v>51</v>
      </c>
      <c r="L31" s="123" t="s">
        <v>52</v>
      </c>
      <c r="M31" s="123"/>
      <c r="N31" s="121"/>
      <c r="O31" s="111"/>
      <c r="P31" s="111"/>
      <c r="Q31" s="111"/>
      <c r="R31" s="111"/>
      <c r="S31" s="111"/>
      <c r="T31" s="42"/>
    </row>
    <row r="32" spans="1:20" x14ac:dyDescent="0.25">
      <c r="A32" s="258"/>
      <c r="B32" s="17"/>
      <c r="C32" s="17"/>
      <c r="D32" s="286"/>
      <c r="E32" s="18"/>
      <c r="F32" s="17"/>
      <c r="G32" s="17"/>
      <c r="H32" s="168"/>
      <c r="I32" s="111"/>
      <c r="J32" s="122"/>
      <c r="K32" s="122" t="s">
        <v>53</v>
      </c>
      <c r="L32" s="123" t="s">
        <v>54</v>
      </c>
      <c r="M32" s="123"/>
      <c r="N32" s="121"/>
      <c r="O32" s="111"/>
      <c r="P32" s="111"/>
      <c r="Q32" s="111"/>
      <c r="R32" s="111"/>
      <c r="S32" s="111"/>
      <c r="T32" s="42"/>
    </row>
    <row r="33" spans="1:23" x14ac:dyDescent="0.25">
      <c r="A33" s="258"/>
      <c r="B33" s="17"/>
      <c r="C33" s="288" t="s">
        <v>576</v>
      </c>
      <c r="D33" s="286"/>
      <c r="E33" s="18"/>
      <c r="F33" s="17"/>
      <c r="G33" s="17"/>
      <c r="H33" s="168"/>
      <c r="I33" s="111"/>
      <c r="J33" s="122"/>
      <c r="K33" s="122"/>
      <c r="L33" s="123"/>
      <c r="M33" s="123"/>
      <c r="N33" s="121"/>
      <c r="O33" s="111"/>
      <c r="P33" s="111"/>
      <c r="Q33" s="111"/>
      <c r="R33" s="111"/>
      <c r="S33" s="111"/>
      <c r="T33" s="42"/>
    </row>
    <row r="34" spans="1:23" x14ac:dyDescent="0.25">
      <c r="A34" s="258"/>
      <c r="B34" s="17"/>
      <c r="C34" s="285" t="s">
        <v>575</v>
      </c>
      <c r="D34" s="285" t="s">
        <v>585</v>
      </c>
      <c r="E34" s="18"/>
      <c r="F34" s="17"/>
      <c r="G34" s="17"/>
      <c r="H34" s="168"/>
      <c r="I34" s="111"/>
      <c r="J34" s="122"/>
      <c r="K34" s="122"/>
      <c r="L34" s="123"/>
      <c r="M34" s="123"/>
      <c r="N34" s="121"/>
      <c r="O34" s="111"/>
      <c r="P34" s="111"/>
      <c r="Q34" s="111"/>
      <c r="R34" s="111"/>
      <c r="S34" s="111"/>
      <c r="T34" s="42"/>
    </row>
    <row r="35" spans="1:23" x14ac:dyDescent="0.25">
      <c r="A35" s="258"/>
      <c r="B35" s="17"/>
      <c r="C35" s="285" t="s">
        <v>571</v>
      </c>
      <c r="D35" s="285" t="s">
        <v>582</v>
      </c>
      <c r="E35" s="18"/>
      <c r="F35" s="17"/>
      <c r="G35" s="17"/>
      <c r="H35" s="168"/>
      <c r="I35" s="111"/>
      <c r="J35" s="122"/>
      <c r="K35" s="122"/>
      <c r="L35" s="123"/>
      <c r="M35" s="123"/>
      <c r="N35" s="121"/>
      <c r="O35" s="111"/>
      <c r="P35" s="111"/>
      <c r="Q35" s="111"/>
      <c r="R35" s="111"/>
      <c r="S35" s="111"/>
      <c r="T35" s="42"/>
    </row>
    <row r="36" spans="1:23" x14ac:dyDescent="0.25">
      <c r="A36" s="258"/>
      <c r="B36" s="17"/>
      <c r="C36" s="285" t="s">
        <v>572</v>
      </c>
      <c r="D36" s="285" t="s">
        <v>583</v>
      </c>
      <c r="E36" s="18"/>
      <c r="F36" s="17"/>
      <c r="G36" s="17"/>
      <c r="H36" s="168"/>
      <c r="I36" s="111"/>
      <c r="J36" s="122"/>
      <c r="K36" s="122"/>
      <c r="L36" s="123"/>
      <c r="M36" s="123"/>
      <c r="N36" s="121"/>
      <c r="O36" s="111"/>
      <c r="P36" s="111"/>
      <c r="Q36" s="111"/>
      <c r="R36" s="111"/>
      <c r="S36" s="111"/>
      <c r="T36" s="42"/>
    </row>
    <row r="37" spans="1:23" x14ac:dyDescent="0.25">
      <c r="A37" s="258"/>
      <c r="B37" s="17"/>
      <c r="C37" s="285" t="s">
        <v>574</v>
      </c>
      <c r="D37" s="285" t="s">
        <v>584</v>
      </c>
      <c r="E37" s="18"/>
      <c r="F37" s="17"/>
      <c r="G37" s="17"/>
      <c r="H37" s="168"/>
      <c r="I37" s="111"/>
      <c r="J37" s="122"/>
      <c r="K37" s="122"/>
      <c r="L37" s="123"/>
      <c r="M37" s="123"/>
      <c r="N37" s="121"/>
      <c r="O37" s="111"/>
      <c r="P37" s="111"/>
      <c r="Q37" s="111"/>
      <c r="R37" s="111"/>
      <c r="S37" s="111"/>
      <c r="T37" s="42"/>
    </row>
    <row r="38" spans="1:23" x14ac:dyDescent="0.25">
      <c r="A38" s="258"/>
      <c r="B38" s="17"/>
      <c r="C38" s="285" t="s">
        <v>573</v>
      </c>
      <c r="D38" s="287" t="s">
        <v>577</v>
      </c>
      <c r="E38" s="18"/>
      <c r="F38" s="17"/>
      <c r="G38" s="17"/>
      <c r="H38" s="168"/>
      <c r="I38" s="111"/>
      <c r="J38" s="122"/>
      <c r="K38" s="122"/>
      <c r="L38" s="122"/>
      <c r="M38" s="123"/>
      <c r="N38" s="121"/>
      <c r="O38" s="111"/>
      <c r="P38" s="111"/>
      <c r="Q38" s="111"/>
      <c r="R38" s="111"/>
      <c r="S38" s="111"/>
      <c r="T38" s="42"/>
    </row>
    <row r="39" spans="1:23" ht="6" customHeight="1" x14ac:dyDescent="0.25">
      <c r="A39" s="258"/>
      <c r="B39" s="44"/>
      <c r="C39" s="46"/>
      <c r="D39" s="45"/>
      <c r="E39" s="45"/>
      <c r="F39" s="46"/>
      <c r="G39" s="46"/>
      <c r="H39" s="46"/>
      <c r="I39" s="124"/>
      <c r="J39" s="125"/>
      <c r="K39" s="126"/>
      <c r="L39" s="126"/>
      <c r="M39" s="124"/>
      <c r="N39" s="124"/>
      <c r="O39" s="127"/>
      <c r="P39" s="127"/>
      <c r="Q39" s="127"/>
      <c r="R39" s="127"/>
      <c r="S39" s="128"/>
      <c r="T39" s="42"/>
    </row>
    <row r="40" spans="1:23" ht="10.7" customHeight="1" x14ac:dyDescent="0.25">
      <c r="A40" s="258"/>
      <c r="B40" s="17"/>
      <c r="C40" s="17"/>
      <c r="D40" s="17"/>
      <c r="E40" s="22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42"/>
    </row>
    <row r="41" spans="1:23" s="16" customFormat="1" ht="21" customHeight="1" x14ac:dyDescent="0.25">
      <c r="A41" s="259"/>
      <c r="B41" s="23"/>
      <c r="C41" s="262" t="s">
        <v>55</v>
      </c>
      <c r="D41" s="239" t="s">
        <v>56</v>
      </c>
      <c r="E41" s="219"/>
      <c r="F41" s="80" t="s">
        <v>57</v>
      </c>
      <c r="G41" s="80" t="s">
        <v>58</v>
      </c>
      <c r="H41" s="80" t="s">
        <v>59</v>
      </c>
      <c r="I41" s="80" t="s">
        <v>60</v>
      </c>
      <c r="J41" s="80" t="s">
        <v>61</v>
      </c>
      <c r="K41" s="80" t="s">
        <v>62</v>
      </c>
      <c r="L41" s="80" t="s">
        <v>63</v>
      </c>
      <c r="M41" s="80" t="s">
        <v>64</v>
      </c>
      <c r="N41" s="38" t="s">
        <v>65</v>
      </c>
      <c r="O41" s="39" t="s">
        <v>66</v>
      </c>
      <c r="P41" s="40" t="s">
        <v>67</v>
      </c>
      <c r="Q41" s="49" t="s">
        <v>68</v>
      </c>
      <c r="R41" s="23"/>
      <c r="S41" s="23"/>
      <c r="T41" s="43"/>
    </row>
    <row r="42" spans="1:23" s="16" customFormat="1" ht="21" customHeight="1" x14ac:dyDescent="0.25">
      <c r="A42" s="259"/>
      <c r="B42" s="135"/>
      <c r="C42" s="295" t="s">
        <v>69</v>
      </c>
      <c r="D42" s="240" t="s">
        <v>70</v>
      </c>
      <c r="E42" s="229" t="s">
        <v>71</v>
      </c>
      <c r="F42" s="196">
        <v>31</v>
      </c>
      <c r="G42" s="196">
        <v>59</v>
      </c>
      <c r="H42" s="196">
        <v>87</v>
      </c>
      <c r="I42" s="197">
        <v>115</v>
      </c>
      <c r="J42" s="197">
        <v>143</v>
      </c>
      <c r="K42" s="197">
        <v>171</v>
      </c>
      <c r="L42" s="197">
        <v>199</v>
      </c>
      <c r="M42" s="197">
        <v>227</v>
      </c>
      <c r="N42" s="23"/>
      <c r="O42" s="23"/>
      <c r="P42" s="23"/>
      <c r="Q42" s="23"/>
      <c r="R42" s="23"/>
      <c r="S42" s="23"/>
      <c r="T42" s="43"/>
    </row>
    <row r="43" spans="1:23" s="16" customFormat="1" ht="21" customHeight="1" x14ac:dyDescent="0.25">
      <c r="A43" s="259"/>
      <c r="B43" s="135"/>
      <c r="C43" s="295"/>
      <c r="D43" s="24" t="s">
        <v>72</v>
      </c>
      <c r="E43" s="230" t="s">
        <v>71</v>
      </c>
      <c r="F43" s="196">
        <v>48</v>
      </c>
      <c r="G43" s="196">
        <v>76</v>
      </c>
      <c r="H43" s="196">
        <v>104</v>
      </c>
      <c r="I43" s="196">
        <v>132</v>
      </c>
      <c r="J43" s="196">
        <v>160</v>
      </c>
      <c r="K43" s="196">
        <v>188</v>
      </c>
      <c r="L43" s="196">
        <v>216</v>
      </c>
      <c r="M43" s="196">
        <v>244</v>
      </c>
      <c r="N43" s="23"/>
      <c r="O43" s="23"/>
      <c r="P43" s="23"/>
      <c r="Q43" s="23"/>
      <c r="R43" s="23"/>
      <c r="S43" s="23"/>
      <c r="T43" s="43"/>
    </row>
    <row r="44" spans="1:23" s="16" customFormat="1" ht="21" customHeight="1" x14ac:dyDescent="0.25">
      <c r="A44" s="259"/>
      <c r="B44" s="135"/>
      <c r="C44" s="295"/>
      <c r="D44" s="24" t="s">
        <v>73</v>
      </c>
      <c r="E44" s="230" t="s">
        <v>71</v>
      </c>
      <c r="F44" s="198">
        <v>27</v>
      </c>
      <c r="G44" s="198">
        <v>55</v>
      </c>
      <c r="H44" s="198">
        <v>83</v>
      </c>
      <c r="I44" s="198">
        <v>111</v>
      </c>
      <c r="J44" s="198">
        <v>139</v>
      </c>
      <c r="K44" s="198">
        <v>167</v>
      </c>
      <c r="L44" s="198">
        <v>195</v>
      </c>
      <c r="M44" s="198">
        <v>223</v>
      </c>
      <c r="N44" s="23"/>
      <c r="O44" s="23"/>
      <c r="P44" s="23"/>
      <c r="Q44" s="23"/>
      <c r="R44" s="23"/>
      <c r="S44" s="23"/>
      <c r="T44" s="43"/>
    </row>
    <row r="45" spans="1:23" s="16" customFormat="1" ht="21" customHeight="1" x14ac:dyDescent="0.25">
      <c r="A45" s="259"/>
      <c r="B45" s="135"/>
      <c r="C45" s="296" t="s">
        <v>74</v>
      </c>
      <c r="D45" s="241" t="s">
        <v>75</v>
      </c>
      <c r="E45" s="229" t="str">
        <f>'LMC-ADequations'!$C$3</f>
        <v>[L/s/m]</v>
      </c>
      <c r="F45" s="199">
        <f>'LMC-ADequations'!B351</f>
        <v>250</v>
      </c>
      <c r="G45" s="199">
        <f>'LMC-ADequations'!C351</f>
        <v>250</v>
      </c>
      <c r="H45" s="199">
        <f>'LMC-ADequations'!D351</f>
        <v>250</v>
      </c>
      <c r="I45" s="199">
        <f>'LMC-ADequations'!E351</f>
        <v>250</v>
      </c>
      <c r="J45" s="199">
        <f>'LMC-ADequations'!F351</f>
        <v>250</v>
      </c>
      <c r="K45" s="199">
        <f>'LMC-ADequations'!G351</f>
        <v>250</v>
      </c>
      <c r="L45" s="199">
        <f>'LMC-ADequations'!H351</f>
        <v>250</v>
      </c>
      <c r="M45" s="199">
        <f>'LMC-ADequations'!I351</f>
        <v>250</v>
      </c>
      <c r="N45" s="23"/>
      <c r="O45" s="23"/>
      <c r="P45" s="23"/>
      <c r="Q45" s="23"/>
      <c r="R45" s="23"/>
      <c r="S45" s="23"/>
      <c r="T45" s="43"/>
    </row>
    <row r="46" spans="1:23" s="16" customFormat="1" ht="21" customHeight="1" x14ac:dyDescent="0.25">
      <c r="A46" s="259"/>
      <c r="B46" s="135"/>
      <c r="C46" s="295"/>
      <c r="D46" s="88" t="s">
        <v>76</v>
      </c>
      <c r="E46" s="232" t="str">
        <f>'LMC-ADequations'!$C$3</f>
        <v>[L/s/m]</v>
      </c>
      <c r="F46" s="200">
        <f>'LMC-ADequations'!B352</f>
        <v>34</v>
      </c>
      <c r="G46" s="200">
        <f>'LMC-ADequations'!C352</f>
        <v>71</v>
      </c>
      <c r="H46" s="200">
        <f>'LMC-ADequations'!D352</f>
        <v>109</v>
      </c>
      <c r="I46" s="200">
        <f>'LMC-ADequations'!E352</f>
        <v>144</v>
      </c>
      <c r="J46" s="200">
        <f>'LMC-ADequations'!F352</f>
        <v>186</v>
      </c>
      <c r="K46" s="200">
        <f>'LMC-ADequations'!G352</f>
        <v>229</v>
      </c>
      <c r="L46" s="200">
        <f>'LMC-ADequations'!H352</f>
        <v>262</v>
      </c>
      <c r="M46" s="200">
        <f>'LMC-ADequations'!I352</f>
        <v>308</v>
      </c>
      <c r="N46" s="23"/>
      <c r="O46" s="23"/>
      <c r="P46" s="23"/>
      <c r="Q46" s="23"/>
      <c r="R46" s="23"/>
      <c r="S46" s="23"/>
      <c r="T46" s="43"/>
      <c r="W46" s="50"/>
    </row>
    <row r="47" spans="1:23" s="16" customFormat="1" ht="21" customHeight="1" x14ac:dyDescent="0.25">
      <c r="A47" s="259"/>
      <c r="B47" s="135"/>
      <c r="C47" s="295"/>
      <c r="D47" s="24" t="s">
        <v>77</v>
      </c>
      <c r="E47" s="232" t="str">
        <f>'LMC-ADequations'!$C$3</f>
        <v>[L/s/m]</v>
      </c>
      <c r="F47" s="199">
        <f>'LMC-ADequations'!B353</f>
        <v>250</v>
      </c>
      <c r="G47" s="199">
        <f>'LMC-ADequations'!C353</f>
        <v>250</v>
      </c>
      <c r="H47" s="199">
        <f>'LMC-ADequations'!D353</f>
        <v>250</v>
      </c>
      <c r="I47" s="199">
        <f>'LMC-ADequations'!E353</f>
        <v>250</v>
      </c>
      <c r="J47" s="199">
        <f>'LMC-ADequations'!F353</f>
        <v>250</v>
      </c>
      <c r="K47" s="199">
        <f>'LMC-ADequations'!G353</f>
        <v>250</v>
      </c>
      <c r="L47" s="199">
        <f>'LMC-ADequations'!H353</f>
        <v>250</v>
      </c>
      <c r="M47" s="199">
        <f>'LMC-ADequations'!I353</f>
        <v>250</v>
      </c>
      <c r="N47" s="23"/>
      <c r="O47" s="23"/>
      <c r="P47" s="23"/>
      <c r="Q47" s="23"/>
      <c r="R47" s="23"/>
      <c r="S47" s="23"/>
      <c r="T47" s="43"/>
    </row>
    <row r="48" spans="1:23" s="16" customFormat="1" ht="21" customHeight="1" x14ac:dyDescent="0.25">
      <c r="A48" s="259"/>
      <c r="B48" s="135"/>
      <c r="C48" s="295"/>
      <c r="D48" s="88" t="str">
        <f>'LMC-ADequations'!A354</f>
        <v>Min Permissible Airflow @ -12 K</v>
      </c>
      <c r="E48" s="232" t="str">
        <f>'LMC-ADequations'!$C$3</f>
        <v>[L/s/m]</v>
      </c>
      <c r="F48" s="236">
        <f>'LMC-ADequations'!B354</f>
        <v>7.6</v>
      </c>
      <c r="G48" s="214">
        <f>'LMC-ADequations'!C354</f>
        <v>16</v>
      </c>
      <c r="H48" s="214">
        <f>'LMC-ADequations'!D354</f>
        <v>24.2</v>
      </c>
      <c r="I48" s="214">
        <f>'LMC-ADequations'!E354</f>
        <v>32.299999999999997</v>
      </c>
      <c r="J48" s="214">
        <f>'LMC-ADequations'!F354</f>
        <v>40.700000000000003</v>
      </c>
      <c r="K48" s="214">
        <f>'LMC-ADequations'!G354</f>
        <v>49.4</v>
      </c>
      <c r="L48" s="214">
        <f>'LMC-ADequations'!H354</f>
        <v>57.4</v>
      </c>
      <c r="M48" s="214">
        <f>'LMC-ADequations'!I354</f>
        <v>65.8</v>
      </c>
      <c r="N48" s="23"/>
      <c r="O48" s="23"/>
      <c r="P48" s="23"/>
      <c r="Q48" s="23"/>
      <c r="R48" s="23"/>
      <c r="S48" s="23"/>
      <c r="T48" s="43"/>
    </row>
    <row r="49" spans="1:23" s="16" customFormat="1" ht="21" customHeight="1" x14ac:dyDescent="0.25">
      <c r="A49" s="259"/>
      <c r="B49" s="135"/>
      <c r="C49" s="295"/>
      <c r="D49" s="24" t="s">
        <v>78</v>
      </c>
      <c r="E49" s="232"/>
      <c r="F49" s="201">
        <f>'LMC-ADequations'!B355</f>
        <v>1</v>
      </c>
      <c r="G49" s="201">
        <f>'LMC-ADequations'!C355</f>
        <v>1</v>
      </c>
      <c r="H49" s="201">
        <f>'LMC-ADequations'!D355</f>
        <v>1</v>
      </c>
      <c r="I49" s="201">
        <f>'LMC-ADequations'!E355</f>
        <v>1</v>
      </c>
      <c r="J49" s="201">
        <f>'LMC-ADequations'!F355</f>
        <v>1</v>
      </c>
      <c r="K49" s="201">
        <f>'LMC-ADequations'!G355</f>
        <v>1</v>
      </c>
      <c r="L49" s="201">
        <f>'LMC-ADequations'!H355</f>
        <v>1</v>
      </c>
      <c r="M49" s="201">
        <f>'LMC-ADequations'!I355</f>
        <v>1</v>
      </c>
      <c r="N49" s="23"/>
      <c r="O49" s="23"/>
      <c r="P49" s="23"/>
      <c r="Q49" s="23"/>
      <c r="R49" s="23"/>
      <c r="S49" s="23"/>
      <c r="T49" s="43"/>
    </row>
    <row r="50" spans="1:23" s="16" customFormat="1" ht="21" customHeight="1" x14ac:dyDescent="0.25">
      <c r="A50" s="259"/>
      <c r="B50" s="135"/>
      <c r="C50" s="297"/>
      <c r="D50" s="88" t="s">
        <v>79</v>
      </c>
      <c r="E50" s="231"/>
      <c r="F50" s="202">
        <f>'LMC-ADequations'!B356</f>
        <v>0.03</v>
      </c>
      <c r="G50" s="202">
        <f>'LMC-ADequations'!C356</f>
        <v>0.06</v>
      </c>
      <c r="H50" s="202">
        <f>'LMC-ADequations'!D356</f>
        <v>0.1</v>
      </c>
      <c r="I50" s="202">
        <f>'LMC-ADequations'!E356</f>
        <v>0.13</v>
      </c>
      <c r="J50" s="202">
        <f>'LMC-ADequations'!F356</f>
        <v>0.16</v>
      </c>
      <c r="K50" s="202">
        <f>'LMC-ADequations'!G356</f>
        <v>0.2</v>
      </c>
      <c r="L50" s="202">
        <f>'LMC-ADequations'!H356</f>
        <v>0.23</v>
      </c>
      <c r="M50" s="202">
        <f>'LMC-ADequations'!I356</f>
        <v>0.26</v>
      </c>
      <c r="N50" s="23"/>
      <c r="O50" s="23"/>
      <c r="P50" s="23"/>
      <c r="Q50" s="23"/>
      <c r="R50" s="23"/>
      <c r="S50" s="23"/>
      <c r="T50" s="43"/>
    </row>
    <row r="51" spans="1:23" s="16" customFormat="1" ht="21" customHeight="1" x14ac:dyDescent="0.25">
      <c r="A51" s="259"/>
      <c r="B51" s="135"/>
      <c r="C51" s="295" t="s">
        <v>80</v>
      </c>
      <c r="D51" s="240" t="s">
        <v>81</v>
      </c>
      <c r="E51" s="230" t="s">
        <v>82</v>
      </c>
      <c r="F51" s="203">
        <f>'LMC-ADequations'!B357</f>
        <v>1663.1</v>
      </c>
      <c r="G51" s="203">
        <f>'LMC-ADequations'!C357</f>
        <v>375.3</v>
      </c>
      <c r="H51" s="203">
        <f>'LMC-ADequations'!D357</f>
        <v>158.5</v>
      </c>
      <c r="I51" s="203">
        <f>'LMC-ADequations'!E357</f>
        <v>90.9</v>
      </c>
      <c r="J51" s="203">
        <f>'LMC-ADequations'!F357</f>
        <v>54.2</v>
      </c>
      <c r="K51" s="203">
        <f>'LMC-ADequations'!G357</f>
        <v>35.799999999999997</v>
      </c>
      <c r="L51" s="203">
        <f>'LMC-ADequations'!H357</f>
        <v>27.2</v>
      </c>
      <c r="M51" s="203">
        <f>'LMC-ADequations'!I357</f>
        <v>19.8</v>
      </c>
      <c r="N51" s="23"/>
      <c r="O51" s="23"/>
      <c r="P51" s="23"/>
      <c r="Q51" s="23"/>
      <c r="R51" s="23"/>
      <c r="S51" s="23"/>
      <c r="T51" s="43"/>
    </row>
    <row r="52" spans="1:23" s="16" customFormat="1" ht="21" customHeight="1" x14ac:dyDescent="0.25">
      <c r="A52" s="259"/>
      <c r="B52" s="135"/>
      <c r="C52" s="295"/>
      <c r="D52" s="24" t="s">
        <v>83</v>
      </c>
      <c r="E52" s="230" t="s">
        <v>82</v>
      </c>
      <c r="F52" s="204">
        <f>'LMC-ADequations'!B358</f>
        <v>1670.8</v>
      </c>
      <c r="G52" s="204">
        <f>'LMC-ADequations'!C358</f>
        <v>382.9</v>
      </c>
      <c r="H52" s="204">
        <f>'LMC-ADequations'!D358</f>
        <v>166.2</v>
      </c>
      <c r="I52" s="204">
        <f>'LMC-ADequations'!E358</f>
        <v>98.5</v>
      </c>
      <c r="J52" s="204">
        <f>'LMC-ADequations'!F358</f>
        <v>61.9</v>
      </c>
      <c r="K52" s="204">
        <f>'LMC-ADequations'!G358</f>
        <v>43.4</v>
      </c>
      <c r="L52" s="204">
        <f>'LMC-ADequations'!H358</f>
        <v>34.9</v>
      </c>
      <c r="M52" s="204">
        <f>'LMC-ADequations'!I358</f>
        <v>27.4</v>
      </c>
      <c r="N52" s="23"/>
      <c r="O52" s="23"/>
      <c r="P52" s="23"/>
      <c r="Q52" s="23"/>
      <c r="R52" s="23"/>
      <c r="S52" s="23"/>
      <c r="T52" s="43"/>
    </row>
    <row r="53" spans="1:23" s="16" customFormat="1" ht="21" customHeight="1" x14ac:dyDescent="0.25">
      <c r="A53" s="259"/>
      <c r="B53" s="135"/>
      <c r="C53" s="295"/>
      <c r="D53" s="89" t="s">
        <v>84</v>
      </c>
      <c r="E53" s="232" t="s">
        <v>82</v>
      </c>
      <c r="F53" s="205">
        <f>'LMC-ADequations'!B359</f>
        <v>30</v>
      </c>
      <c r="G53" s="205">
        <f>'LMC-ADequations'!C359</f>
        <v>30</v>
      </c>
      <c r="H53" s="205">
        <f>'LMC-ADequations'!D359</f>
        <v>30</v>
      </c>
      <c r="I53" s="205">
        <f>'LMC-ADequations'!E359</f>
        <v>30</v>
      </c>
      <c r="J53" s="205">
        <f>'LMC-ADequations'!F359</f>
        <v>30</v>
      </c>
      <c r="K53" s="205">
        <f>'LMC-ADequations'!G359</f>
        <v>30</v>
      </c>
      <c r="L53" s="205">
        <f>'LMC-ADequations'!H359</f>
        <v>30</v>
      </c>
      <c r="M53" s="205">
        <f>'LMC-ADequations'!I359</f>
        <v>30</v>
      </c>
      <c r="N53" s="23"/>
      <c r="O53" s="23"/>
      <c r="P53" s="23"/>
      <c r="Q53" s="23"/>
      <c r="R53" s="23"/>
      <c r="S53" s="23"/>
      <c r="T53" s="43"/>
    </row>
    <row r="54" spans="1:23" s="16" customFormat="1" ht="21" customHeight="1" x14ac:dyDescent="0.25">
      <c r="A54" s="259"/>
      <c r="B54" s="135"/>
      <c r="C54" s="296" t="s">
        <v>85</v>
      </c>
      <c r="D54" s="24" t="s">
        <v>86</v>
      </c>
      <c r="E54" s="229" t="s">
        <v>87</v>
      </c>
      <c r="F54" s="204">
        <f>'LMC-ADequations'!B360</f>
        <v>65.099999999999994</v>
      </c>
      <c r="G54" s="204">
        <f>'LMC-ADequations'!C360</f>
        <v>61.3</v>
      </c>
      <c r="H54" s="204">
        <f>'LMC-ADequations'!D360</f>
        <v>56.8</v>
      </c>
      <c r="I54" s="204">
        <f>'LMC-ADequations'!E360</f>
        <v>51</v>
      </c>
      <c r="J54" s="204">
        <f>'LMC-ADequations'!F360</f>
        <v>45.9</v>
      </c>
      <c r="K54" s="204">
        <f>'LMC-ADequations'!G360</f>
        <v>42.6</v>
      </c>
      <c r="L54" s="204">
        <f>'LMC-ADequations'!H360</f>
        <v>39.4</v>
      </c>
      <c r="M54" s="204">
        <f>'LMC-ADequations'!I360</f>
        <v>35.299999999999997</v>
      </c>
      <c r="N54" s="23"/>
      <c r="O54" s="23"/>
      <c r="P54" s="23"/>
      <c r="Q54" s="23"/>
      <c r="R54" s="23"/>
      <c r="S54" s="23"/>
      <c r="T54" s="43"/>
    </row>
    <row r="55" spans="1:23" s="16" customFormat="1" ht="21" customHeight="1" x14ac:dyDescent="0.25">
      <c r="A55" s="259"/>
      <c r="B55" s="135"/>
      <c r="C55" s="295"/>
      <c r="D55" s="242" t="s">
        <v>88</v>
      </c>
      <c r="E55" s="231" t="s">
        <v>89</v>
      </c>
      <c r="F55" s="218">
        <f>'LMC-ADequations'!B361</f>
        <v>50.1</v>
      </c>
      <c r="G55" s="218">
        <f>'LMC-ADequations'!C361</f>
        <v>46.3</v>
      </c>
      <c r="H55" s="218">
        <f>'LMC-ADequations'!D361</f>
        <v>41.8</v>
      </c>
      <c r="I55" s="218">
        <f>'LMC-ADequations'!E361</f>
        <v>36</v>
      </c>
      <c r="J55" s="218">
        <f>'LMC-ADequations'!F361</f>
        <v>30.9</v>
      </c>
      <c r="K55" s="218">
        <f>'LMC-ADequations'!G361</f>
        <v>27.6</v>
      </c>
      <c r="L55" s="218">
        <f>'LMC-ADequations'!H361</f>
        <v>24.4</v>
      </c>
      <c r="M55" s="218">
        <f>'LMC-ADequations'!I361</f>
        <v>20.3</v>
      </c>
      <c r="N55" s="23"/>
      <c r="O55" s="23"/>
      <c r="P55" s="23"/>
      <c r="Q55" s="23"/>
      <c r="R55" s="23"/>
      <c r="S55" s="23"/>
      <c r="T55" s="43"/>
    </row>
    <row r="56" spans="1:23" s="16" customFormat="1" ht="21" customHeight="1" x14ac:dyDescent="0.2">
      <c r="A56" s="259"/>
      <c r="B56" s="135"/>
      <c r="C56" s="300" t="s">
        <v>554</v>
      </c>
      <c r="D56" s="24" t="s">
        <v>555</v>
      </c>
      <c r="E56" s="230"/>
      <c r="F56" s="204" t="str">
        <f>'LMC-ADequations'!B369</f>
        <v>A</v>
      </c>
      <c r="G56" s="204" t="str">
        <f>'LMC-ADequations'!C369</f>
        <v>A</v>
      </c>
      <c r="H56" s="204" t="str">
        <f>'LMC-ADequations'!D369</f>
        <v>A</v>
      </c>
      <c r="I56" s="204" t="str">
        <f>'LMC-ADequations'!E369</f>
        <v>A</v>
      </c>
      <c r="J56" s="204" t="str">
        <f>'LMC-ADequations'!F369</f>
        <v>A</v>
      </c>
      <c r="K56" s="204" t="str">
        <f>'LMC-ADequations'!G369</f>
        <v>A</v>
      </c>
      <c r="L56" s="204" t="str">
        <f>'LMC-ADequations'!H369</f>
        <v>A</v>
      </c>
      <c r="M56" s="204" t="str">
        <f>'LMC-ADequations'!I369</f>
        <v>A</v>
      </c>
      <c r="N56" s="230" t="s">
        <v>580</v>
      </c>
      <c r="O56" s="87"/>
      <c r="P56" s="23"/>
      <c r="Q56" s="23"/>
      <c r="R56" s="23"/>
      <c r="S56" s="23"/>
      <c r="T56" s="43"/>
    </row>
    <row r="57" spans="1:23" s="16" customFormat="1" ht="21" customHeight="1" x14ac:dyDescent="0.2">
      <c r="A57" s="259"/>
      <c r="B57" s="136"/>
      <c r="C57" s="294"/>
      <c r="D57" s="243" t="s">
        <v>557</v>
      </c>
      <c r="E57" s="232" t="s">
        <v>90</v>
      </c>
      <c r="F57" s="216">
        <f>'LMC-ADequations'!B362</f>
        <v>10</v>
      </c>
      <c r="G57" s="216">
        <f>'LMC-ADequations'!C362</f>
        <v>10</v>
      </c>
      <c r="H57" s="216">
        <f>'LMC-ADequations'!D362</f>
        <v>10</v>
      </c>
      <c r="I57" s="216">
        <f>'LMC-ADequations'!E362</f>
        <v>10</v>
      </c>
      <c r="J57" s="216">
        <f>'LMC-ADequations'!F362</f>
        <v>10</v>
      </c>
      <c r="K57" s="216">
        <f>'LMC-ADequations'!G362</f>
        <v>10</v>
      </c>
      <c r="L57" s="216">
        <f>'LMC-ADequations'!H362</f>
        <v>10</v>
      </c>
      <c r="M57" s="216">
        <f>'LMC-ADequations'!I362</f>
        <v>10</v>
      </c>
      <c r="N57" s="23"/>
      <c r="O57" s="133"/>
      <c r="P57" s="23"/>
      <c r="Q57" s="23"/>
      <c r="R57" s="23"/>
      <c r="S57" s="23"/>
      <c r="T57" s="43"/>
    </row>
    <row r="58" spans="1:23" s="16" customFormat="1" ht="21" customHeight="1" x14ac:dyDescent="0.2">
      <c r="A58" s="259"/>
      <c r="B58" s="136"/>
      <c r="C58" s="301"/>
      <c r="D58" s="244" t="s">
        <v>558</v>
      </c>
      <c r="E58" s="231" t="s">
        <v>90</v>
      </c>
      <c r="F58" s="217">
        <f>'LMC-ADequations'!B363</f>
        <v>10</v>
      </c>
      <c r="G58" s="217">
        <f>'LMC-ADequations'!C363</f>
        <v>10</v>
      </c>
      <c r="H58" s="217">
        <f>'LMC-ADequations'!D363</f>
        <v>10</v>
      </c>
      <c r="I58" s="217">
        <f>'LMC-ADequations'!E363</f>
        <v>10</v>
      </c>
      <c r="J58" s="217">
        <f>'LMC-ADequations'!F363</f>
        <v>10</v>
      </c>
      <c r="K58" s="217">
        <f>'LMC-ADequations'!G363</f>
        <v>10</v>
      </c>
      <c r="L58" s="217">
        <f>'LMC-ADequations'!H363</f>
        <v>10</v>
      </c>
      <c r="M58" s="217">
        <f>'LMC-ADequations'!I363</f>
        <v>10</v>
      </c>
      <c r="N58" s="284" t="s">
        <v>570</v>
      </c>
      <c r="O58" s="133"/>
      <c r="P58" s="23"/>
      <c r="Q58" s="23"/>
      <c r="R58" s="23"/>
      <c r="S58" s="23"/>
      <c r="T58" s="43"/>
    </row>
    <row r="59" spans="1:23" s="16" customFormat="1" ht="21" customHeight="1" x14ac:dyDescent="0.2">
      <c r="A59" s="259"/>
      <c r="B59" s="136"/>
      <c r="C59" s="275" t="s">
        <v>541</v>
      </c>
      <c r="D59" s="242" t="s">
        <v>578</v>
      </c>
      <c r="E59" s="231" t="s">
        <v>90</v>
      </c>
      <c r="F59" s="217">
        <f>'LMC-ADequations'!B364</f>
        <v>15</v>
      </c>
      <c r="G59" s="217">
        <f>'LMC-ADequations'!C364</f>
        <v>15</v>
      </c>
      <c r="H59" s="217">
        <f>'LMC-ADequations'!D364</f>
        <v>15</v>
      </c>
      <c r="I59" s="217">
        <f>'LMC-ADequations'!E364</f>
        <v>15</v>
      </c>
      <c r="J59" s="217">
        <f>'LMC-ADequations'!F364</f>
        <v>15</v>
      </c>
      <c r="K59" s="217">
        <f>'LMC-ADequations'!G364</f>
        <v>15</v>
      </c>
      <c r="L59" s="217">
        <f>'LMC-ADequations'!H364</f>
        <v>15</v>
      </c>
      <c r="M59" s="217">
        <f>'LMC-ADequations'!I364</f>
        <v>15</v>
      </c>
      <c r="N59" s="230" t="s">
        <v>579</v>
      </c>
      <c r="O59" s="133"/>
      <c r="P59" s="23"/>
      <c r="Q59" s="284"/>
      <c r="R59" s="23"/>
      <c r="S59" s="23"/>
      <c r="T59" s="43"/>
    </row>
    <row r="60" spans="1:23" s="16" customFormat="1" ht="21" customHeight="1" x14ac:dyDescent="0.2">
      <c r="A60" s="259"/>
      <c r="B60" s="135"/>
      <c r="C60" s="294" t="s">
        <v>91</v>
      </c>
      <c r="D60" s="24" t="s">
        <v>92</v>
      </c>
      <c r="E60" s="230" t="s">
        <v>93</v>
      </c>
      <c r="F60" s="204" t="str">
        <f>'LMC-ADequations'!B365</f>
        <v/>
      </c>
      <c r="G60" s="204" t="str">
        <f>'LMC-ADequations'!C365</f>
        <v/>
      </c>
      <c r="H60" s="204">
        <f>'LMC-ADequations'!D365</f>
        <v>21</v>
      </c>
      <c r="I60" s="204">
        <f>'LMC-ADequations'!E365</f>
        <v>18.8</v>
      </c>
      <c r="J60" s="204">
        <f>'LMC-ADequations'!F365</f>
        <v>17.5</v>
      </c>
      <c r="K60" s="204">
        <f>'LMC-ADequations'!G365</f>
        <v>16.600000000000001</v>
      </c>
      <c r="L60" s="204">
        <f>'LMC-ADequations'!H365</f>
        <v>16</v>
      </c>
      <c r="M60" s="204">
        <f>'LMC-ADequations'!I365</f>
        <v>15.5</v>
      </c>
      <c r="N60" s="163"/>
      <c r="O60" s="237"/>
      <c r="P60" s="237"/>
      <c r="Q60" s="237"/>
      <c r="R60" s="23"/>
      <c r="S60" s="23"/>
      <c r="T60" s="43"/>
    </row>
    <row r="61" spans="1:23" s="16" customFormat="1" ht="21" customHeight="1" x14ac:dyDescent="0.25">
      <c r="A61" s="259"/>
      <c r="B61" s="135"/>
      <c r="C61" s="295"/>
      <c r="D61" s="24" t="s">
        <v>94</v>
      </c>
      <c r="E61" s="230" t="s">
        <v>93</v>
      </c>
      <c r="F61" s="204" t="str">
        <f>'LMC-ADequations'!B366</f>
        <v/>
      </c>
      <c r="G61" s="204" t="str">
        <f>'LMC-ADequations'!C366</f>
        <v/>
      </c>
      <c r="H61" s="204">
        <f>'LMC-ADequations'!D366</f>
        <v>21</v>
      </c>
      <c r="I61" s="204">
        <f>'LMC-ADequations'!E366</f>
        <v>18.8</v>
      </c>
      <c r="J61" s="204">
        <f>'LMC-ADequations'!F366</f>
        <v>17.5</v>
      </c>
      <c r="K61" s="204">
        <f>'LMC-ADequations'!G366</f>
        <v>16.600000000000001</v>
      </c>
      <c r="L61" s="204">
        <f>'LMC-ADequations'!H366</f>
        <v>16</v>
      </c>
      <c r="M61" s="204">
        <f>'LMC-ADequations'!I366</f>
        <v>15.5</v>
      </c>
      <c r="N61" s="307" t="s">
        <v>581</v>
      </c>
      <c r="O61" s="308"/>
      <c r="P61" s="308"/>
      <c r="Q61" s="308"/>
      <c r="R61" s="308"/>
      <c r="S61" s="309"/>
      <c r="T61" s="43"/>
    </row>
    <row r="62" spans="1:23" s="16" customFormat="1" ht="21" customHeight="1" x14ac:dyDescent="0.25">
      <c r="A62" s="259"/>
      <c r="B62" s="135"/>
      <c r="C62" s="295"/>
      <c r="D62" s="24" t="s">
        <v>95</v>
      </c>
      <c r="E62" s="230" t="s">
        <v>93</v>
      </c>
      <c r="F62" s="204" t="str">
        <f>'LMC-ADequations'!B367</f>
        <v/>
      </c>
      <c r="G62" s="204">
        <f>'LMC-ADequations'!C367</f>
        <v>94.6</v>
      </c>
      <c r="H62" s="204">
        <f>'LMC-ADequations'!D367</f>
        <v>25.2</v>
      </c>
      <c r="I62" s="204">
        <f>'LMC-ADequations'!E367</f>
        <v>18.600000000000001</v>
      </c>
      <c r="J62" s="204">
        <f>'LMC-ADequations'!F367</f>
        <v>16</v>
      </c>
      <c r="K62" s="204">
        <f>'LMC-ADequations'!G367</f>
        <v>14.6</v>
      </c>
      <c r="L62" s="204">
        <f>'LMC-ADequations'!H367</f>
        <v>13.8</v>
      </c>
      <c r="M62" s="204">
        <f>'LMC-ADequations'!I367</f>
        <v>13.3</v>
      </c>
      <c r="N62" s="307"/>
      <c r="O62" s="308"/>
      <c r="P62" s="308"/>
      <c r="Q62" s="308"/>
      <c r="R62" s="308"/>
      <c r="S62" s="309"/>
      <c r="T62" s="43"/>
      <c r="W62" s="48"/>
    </row>
    <row r="63" spans="1:23" s="16" customFormat="1" ht="21" customHeight="1" x14ac:dyDescent="0.25">
      <c r="A63" s="259"/>
      <c r="B63" s="135"/>
      <c r="C63" s="295"/>
      <c r="D63" s="24" t="s">
        <v>96</v>
      </c>
      <c r="E63" s="231" t="s">
        <v>93</v>
      </c>
      <c r="F63" s="204">
        <f>'LMC-ADequations'!B368</f>
        <v>2.7</v>
      </c>
      <c r="G63" s="204">
        <f>'LMC-ADequations'!C368</f>
        <v>2.8</v>
      </c>
      <c r="H63" s="204">
        <f>'LMC-ADequations'!D368</f>
        <v>2.8</v>
      </c>
      <c r="I63" s="204">
        <f>'LMC-ADequations'!E368</f>
        <v>2.9</v>
      </c>
      <c r="J63" s="204">
        <f>'LMC-ADequations'!F368</f>
        <v>2.9</v>
      </c>
      <c r="K63" s="204">
        <f>'LMC-ADequations'!G368</f>
        <v>3</v>
      </c>
      <c r="L63" s="204">
        <f>'LMC-ADequations'!H368</f>
        <v>3.1</v>
      </c>
      <c r="M63" s="204">
        <f>'LMC-ADequations'!I368</f>
        <v>3.1</v>
      </c>
      <c r="N63" s="164"/>
      <c r="O63" s="134"/>
      <c r="P63" s="23"/>
      <c r="Q63" s="23"/>
      <c r="R63" s="23"/>
      <c r="S63" s="23"/>
      <c r="T63" s="43"/>
    </row>
    <row r="64" spans="1:23" s="16" customFormat="1" ht="21" customHeight="1" x14ac:dyDescent="0.25">
      <c r="A64" s="259"/>
      <c r="B64" s="135"/>
      <c r="C64" s="296" t="s">
        <v>100</v>
      </c>
      <c r="D64" s="241" t="s">
        <v>101</v>
      </c>
      <c r="E64" s="229" t="s">
        <v>102</v>
      </c>
      <c r="F64" s="197">
        <f>'LMC-ADequations'!B370</f>
        <v>0.32</v>
      </c>
      <c r="G64" s="197">
        <f>'LMC-ADequations'!C370</f>
        <v>0.25</v>
      </c>
      <c r="H64" s="197">
        <f>'LMC-ADequations'!D370</f>
        <v>0.22</v>
      </c>
      <c r="I64" s="197">
        <f>'LMC-ADequations'!E370</f>
        <v>0.21</v>
      </c>
      <c r="J64" s="197">
        <f>'LMC-ADequations'!F370</f>
        <v>0.2</v>
      </c>
      <c r="K64" s="197">
        <f>'LMC-ADequations'!G370</f>
        <v>0.19</v>
      </c>
      <c r="L64" s="197">
        <f>'LMC-ADequations'!H370</f>
        <v>0.19</v>
      </c>
      <c r="M64" s="197">
        <f>'LMC-ADequations'!I370</f>
        <v>0.18</v>
      </c>
      <c r="N64" s="310" t="str">
        <f>"Note: Comfort criteria valid for diffuser spacing of "&amp;ROUND('LMC-ADequations'!B300,1) &amp; " m "&amp; "&amp; room temperature of "&amp; L23&amp;" °C (see cells L18:L21 &amp; L23)"</f>
        <v>Note: Comfort criteria valid for diffuser spacing of 14.6 m &amp; room temperature of 23 °C (see cells L18:L21 &amp; L23)</v>
      </c>
      <c r="O64" s="311"/>
      <c r="P64" s="311"/>
      <c r="Q64" s="311"/>
      <c r="R64" s="311"/>
      <c r="S64" s="312"/>
      <c r="T64" s="43"/>
    </row>
    <row r="65" spans="1:20" s="16" customFormat="1" ht="21" customHeight="1" x14ac:dyDescent="0.25">
      <c r="A65" s="259"/>
      <c r="B65" s="23"/>
      <c r="C65" s="295"/>
      <c r="D65" s="24" t="s">
        <v>104</v>
      </c>
      <c r="E65" s="230"/>
      <c r="F65" s="206">
        <f>'LMC-ADequations'!B371</f>
        <v>0.38</v>
      </c>
      <c r="G65" s="206">
        <f>'LMC-ADequations'!C371</f>
        <v>0.27600000000000002</v>
      </c>
      <c r="H65" s="206">
        <f>'LMC-ADequations'!D371</f>
        <v>0.23799999999999999</v>
      </c>
      <c r="I65" s="206">
        <f>'LMC-ADequations'!E371</f>
        <v>0.219</v>
      </c>
      <c r="J65" s="206">
        <f>'LMC-ADequations'!F371</f>
        <v>0.20599999999999999</v>
      </c>
      <c r="K65" s="206">
        <f>'LMC-ADequations'!G371</f>
        <v>0.19700000000000001</v>
      </c>
      <c r="L65" s="206">
        <f>'LMC-ADequations'!H371</f>
        <v>0.19</v>
      </c>
      <c r="M65" s="206">
        <f>'LMC-ADequations'!I371</f>
        <v>0.186</v>
      </c>
      <c r="N65" s="310"/>
      <c r="O65" s="311"/>
      <c r="P65" s="311"/>
      <c r="Q65" s="311"/>
      <c r="R65" s="311"/>
      <c r="S65" s="312"/>
      <c r="T65" s="43"/>
    </row>
    <row r="66" spans="1:20" s="16" customFormat="1" ht="21" customHeight="1" x14ac:dyDescent="0.25">
      <c r="A66" s="259"/>
      <c r="B66" s="23"/>
      <c r="C66" s="295"/>
      <c r="D66" s="24" t="s">
        <v>107</v>
      </c>
      <c r="E66" s="230"/>
      <c r="F66" s="206">
        <f>'LMC-ADequations'!B372</f>
        <v>0.19700000000000001</v>
      </c>
      <c r="G66" s="206">
        <f>'LMC-ADequations'!C372</f>
        <v>0.13700000000000001</v>
      </c>
      <c r="H66" s="206">
        <f>'LMC-ADequations'!D372</f>
        <v>0.11799999999999999</v>
      </c>
      <c r="I66" s="206">
        <f>'LMC-ADequations'!E372</f>
        <v>0.109</v>
      </c>
      <c r="J66" s="206">
        <f>'LMC-ADequations'!F372</f>
        <v>0.10299999999999999</v>
      </c>
      <c r="K66" s="206">
        <f>'LMC-ADequations'!G372</f>
        <v>9.8000000000000004E-2</v>
      </c>
      <c r="L66" s="206">
        <f>'LMC-ADequations'!H372</f>
        <v>9.6000000000000002E-2</v>
      </c>
      <c r="M66" s="206">
        <f>'LMC-ADequations'!I372</f>
        <v>9.4E-2</v>
      </c>
      <c r="N66" s="38" t="s">
        <v>98</v>
      </c>
      <c r="O66" s="47" t="s">
        <v>99</v>
      </c>
      <c r="P66" s="23"/>
      <c r="Q66" s="23"/>
      <c r="R66" s="23"/>
      <c r="S66" s="23"/>
      <c r="T66" s="43"/>
    </row>
    <row r="67" spans="1:20" s="16" customFormat="1" ht="21" customHeight="1" x14ac:dyDescent="0.25">
      <c r="A67" s="259"/>
      <c r="B67" s="23"/>
      <c r="C67" s="295"/>
      <c r="D67" s="24" t="s">
        <v>108</v>
      </c>
      <c r="E67" s="230"/>
      <c r="F67" s="199" t="str">
        <f>"&lt; "&amp;'LMC-ADequations'!B373</f>
        <v>&lt; 0.8</v>
      </c>
      <c r="G67" s="204" t="str">
        <f>"&lt; "&amp;'LMC-ADequations'!C373</f>
        <v>&lt; 0.7</v>
      </c>
      <c r="H67" s="204" t="str">
        <f>"&lt; "&amp;'LMC-ADequations'!D373</f>
        <v>&lt; 0.6</v>
      </c>
      <c r="I67" s="204" t="str">
        <f>"&lt; "&amp;'LMC-ADequations'!E373</f>
        <v>&lt; 0.6</v>
      </c>
      <c r="J67" s="204" t="str">
        <f>"&lt; "&amp;'LMC-ADequations'!F373</f>
        <v>&lt; 0.5</v>
      </c>
      <c r="K67" s="204" t="str">
        <f>"&lt; "&amp;'LMC-ADequations'!G373</f>
        <v>&lt; 0.5</v>
      </c>
      <c r="L67" s="204" t="str">
        <f>"&lt; "&amp;'LMC-ADequations'!H373</f>
        <v>&lt; 0.5</v>
      </c>
      <c r="M67" s="204" t="str">
        <f>"&lt; "&amp;'LMC-ADequations'!I373</f>
        <v>&lt; 0.5</v>
      </c>
      <c r="N67" s="38" t="s">
        <v>97</v>
      </c>
      <c r="O67" s="47" t="s">
        <v>103</v>
      </c>
      <c r="P67" s="23"/>
      <c r="Q67" s="23"/>
      <c r="R67" s="23"/>
      <c r="S67" s="23"/>
      <c r="T67" s="43"/>
    </row>
    <row r="68" spans="1:20" s="16" customFormat="1" ht="21" customHeight="1" x14ac:dyDescent="0.25">
      <c r="A68" s="259"/>
      <c r="B68" s="23"/>
      <c r="C68" s="297"/>
      <c r="D68" s="242" t="s">
        <v>109</v>
      </c>
      <c r="E68" s="235"/>
      <c r="F68" s="207" t="str">
        <f>'LMC-ADequations'!B374</f>
        <v xml:space="preserve"> -</v>
      </c>
      <c r="G68" s="208" t="str">
        <f>'LMC-ADequations'!C374</f>
        <v>C</v>
      </c>
      <c r="H68" s="209" t="str">
        <f>'LMC-ADequations'!D374</f>
        <v>C</v>
      </c>
      <c r="I68" s="208" t="str">
        <f>'LMC-ADequations'!E374</f>
        <v>C</v>
      </c>
      <c r="J68" s="209" t="str">
        <f>'LMC-ADequations'!F374</f>
        <v>C</v>
      </c>
      <c r="K68" s="209" t="str">
        <f>'LMC-ADequations'!G374</f>
        <v>B</v>
      </c>
      <c r="L68" s="209" t="str">
        <f>'LMC-ADequations'!H374</f>
        <v>B</v>
      </c>
      <c r="M68" s="209" t="str">
        <f>'LMC-ADequations'!I374</f>
        <v>B</v>
      </c>
      <c r="N68" s="38" t="s">
        <v>105</v>
      </c>
      <c r="O68" s="47" t="s">
        <v>106</v>
      </c>
      <c r="P68" s="23"/>
      <c r="Q68" s="23"/>
      <c r="R68" s="23"/>
      <c r="S68" s="23"/>
      <c r="T68" s="43"/>
    </row>
    <row r="69" spans="1:20" s="16" customFormat="1" ht="21" customHeight="1" x14ac:dyDescent="0.25">
      <c r="A69" s="259"/>
      <c r="B69" s="23"/>
      <c r="C69" s="261"/>
      <c r="D69" s="24" t="s">
        <v>110</v>
      </c>
      <c r="E69" s="238"/>
      <c r="F69" s="210" t="str">
        <f>'LMC-ADequations'!B375</f>
        <v>DN300</v>
      </c>
      <c r="G69" s="211" t="str">
        <f>'LMC-ADequations'!C375</f>
        <v>DN300</v>
      </c>
      <c r="H69" s="211" t="str">
        <f>'LMC-ADequations'!D375</f>
        <v>DN300</v>
      </c>
      <c r="I69" s="211" t="str">
        <f>'LMC-ADequations'!E375</f>
        <v>DN300</v>
      </c>
      <c r="J69" s="211" t="str">
        <f>'LMC-ADequations'!F375</f>
        <v>DN300</v>
      </c>
      <c r="K69" s="211" t="str">
        <f>'LMC-ADequations'!G375</f>
        <v>DN300</v>
      </c>
      <c r="L69" s="211" t="str">
        <f>'LMC-ADequations'!H375</f>
        <v>DN300</v>
      </c>
      <c r="M69" s="212" t="str">
        <f>'LMC-ADequations'!I375</f>
        <v>DN300</v>
      </c>
      <c r="N69" s="283"/>
      <c r="O69" s="23"/>
      <c r="P69" s="23"/>
      <c r="Q69" s="23"/>
      <c r="R69" s="23"/>
      <c r="S69" s="23"/>
      <c r="T69" s="43"/>
    </row>
    <row r="70" spans="1:20" s="16" customFormat="1" ht="15.75" customHeight="1" x14ac:dyDescent="0.25">
      <c r="A70" s="259"/>
      <c r="B70" s="23"/>
      <c r="C70" s="23"/>
      <c r="D70" s="24"/>
      <c r="E70" s="24"/>
      <c r="F70" s="47"/>
      <c r="G70" s="47"/>
      <c r="H70" s="47"/>
      <c r="I70" s="47"/>
      <c r="J70" s="47"/>
      <c r="K70" s="47"/>
      <c r="L70" s="23"/>
      <c r="M70" s="23"/>
      <c r="N70" s="23"/>
      <c r="O70" s="23"/>
      <c r="P70" s="23"/>
      <c r="Q70" s="23"/>
      <c r="R70" s="23"/>
      <c r="S70" s="23"/>
      <c r="T70" s="43"/>
    </row>
    <row r="71" spans="1:20" s="16" customFormat="1" ht="28.5" customHeight="1" x14ac:dyDescent="0.25">
      <c r="A71" s="259"/>
      <c r="B71" s="82"/>
      <c r="C71" s="82"/>
      <c r="D71" s="148" t="s">
        <v>111</v>
      </c>
      <c r="E71" s="148"/>
      <c r="F71" s="83"/>
      <c r="G71" s="83"/>
      <c r="H71" s="83"/>
      <c r="I71" s="83"/>
      <c r="J71" s="83"/>
      <c r="K71" s="83"/>
      <c r="L71" s="83"/>
      <c r="M71" s="83"/>
      <c r="N71" s="82"/>
      <c r="O71" s="82"/>
      <c r="P71" s="82"/>
      <c r="Q71" s="82"/>
      <c r="R71" s="82"/>
      <c r="S71" s="82"/>
      <c r="T71" s="43"/>
    </row>
    <row r="72" spans="1:20" s="16" customFormat="1" ht="24" customHeight="1" x14ac:dyDescent="0.25">
      <c r="A72" s="259"/>
      <c r="B72" s="82"/>
      <c r="C72" s="82"/>
      <c r="D72" s="290" t="s">
        <v>112</v>
      </c>
      <c r="E72" s="84"/>
      <c r="F72" s="82" t="s">
        <v>113</v>
      </c>
      <c r="G72" s="82" t="s">
        <v>114</v>
      </c>
      <c r="H72" s="82" t="s">
        <v>115</v>
      </c>
      <c r="I72" s="82" t="s">
        <v>116</v>
      </c>
      <c r="J72" s="82" t="s">
        <v>117</v>
      </c>
      <c r="K72" s="82" t="s">
        <v>118</v>
      </c>
      <c r="L72" s="82" t="s">
        <v>119</v>
      </c>
      <c r="M72" s="82" t="s">
        <v>120</v>
      </c>
      <c r="N72" s="245"/>
      <c r="O72" s="184"/>
      <c r="P72" s="83"/>
      <c r="Q72" s="83"/>
      <c r="R72" s="83"/>
      <c r="S72" s="82"/>
      <c r="T72" s="43"/>
    </row>
    <row r="73" spans="1:20" s="16" customFormat="1" ht="24" customHeight="1" x14ac:dyDescent="0.25">
      <c r="A73" s="259"/>
      <c r="B73" s="82"/>
      <c r="C73" s="82"/>
      <c r="D73" s="84" t="s">
        <v>586</v>
      </c>
      <c r="E73" s="84"/>
      <c r="F73" s="82"/>
      <c r="G73" s="82" t="s">
        <v>595</v>
      </c>
      <c r="H73" s="82"/>
      <c r="I73" s="184" t="s">
        <v>596</v>
      </c>
      <c r="J73" s="82"/>
      <c r="K73" s="82"/>
      <c r="L73" s="82"/>
      <c r="M73" s="82"/>
      <c r="N73" s="246" t="str">
        <f>data!D14</f>
        <v/>
      </c>
      <c r="O73" s="184"/>
      <c r="P73" s="83"/>
      <c r="Q73" s="83"/>
      <c r="R73" s="83"/>
      <c r="S73" s="82"/>
      <c r="T73" s="43"/>
    </row>
    <row r="74" spans="1:20" s="16" customFormat="1" ht="24" customHeight="1" x14ac:dyDescent="0.25">
      <c r="A74" s="259"/>
      <c r="B74" s="82"/>
      <c r="C74" s="82"/>
      <c r="D74" s="86" t="s">
        <v>121</v>
      </c>
      <c r="E74" s="228"/>
      <c r="F74" s="185"/>
      <c r="G74" s="184" t="s">
        <v>122</v>
      </c>
      <c r="H74" s="184"/>
      <c r="I74" s="184" t="s">
        <v>123</v>
      </c>
      <c r="J74" s="184"/>
      <c r="K74" s="184" t="s">
        <v>124</v>
      </c>
      <c r="L74" s="85"/>
      <c r="M74" s="83"/>
      <c r="N74" s="245"/>
      <c r="O74" s="82"/>
      <c r="P74" s="82"/>
      <c r="Q74" s="82"/>
      <c r="R74" s="82"/>
      <c r="S74" s="82"/>
      <c r="T74" s="43"/>
    </row>
    <row r="75" spans="1:20" s="16" customFormat="1" ht="24" customHeight="1" x14ac:dyDescent="0.25">
      <c r="A75" s="259"/>
      <c r="B75" s="82"/>
      <c r="C75" s="82"/>
      <c r="D75" s="86" t="s">
        <v>125</v>
      </c>
      <c r="E75" s="228"/>
      <c r="F75" s="185"/>
      <c r="G75" s="187" t="str">
        <f>IF('LMC-ADequations'!B14=2,"2-way blow selected","1-way blow selected")</f>
        <v>2-way blow selected</v>
      </c>
      <c r="H75" s="184"/>
      <c r="I75" s="185"/>
      <c r="J75" s="184"/>
      <c r="K75" s="184"/>
      <c r="L75" s="83"/>
      <c r="M75" s="83"/>
      <c r="N75" s="246" t="s">
        <v>126</v>
      </c>
      <c r="O75" s="82"/>
      <c r="P75" s="82"/>
      <c r="Q75" s="82"/>
      <c r="R75" s="82"/>
      <c r="S75" s="82"/>
      <c r="T75" s="43"/>
    </row>
    <row r="76" spans="1:20" s="16" customFormat="1" ht="24" customHeight="1" x14ac:dyDescent="0.25">
      <c r="A76" s="259"/>
      <c r="B76" s="82"/>
      <c r="C76" s="82"/>
      <c r="D76" s="86" t="s">
        <v>127</v>
      </c>
      <c r="E76" s="182"/>
      <c r="F76" s="186" t="s">
        <v>128</v>
      </c>
      <c r="G76" s="299" t="str">
        <f>data!C21</f>
        <v>A* (0 to -15°)</v>
      </c>
      <c r="H76" s="299"/>
      <c r="I76" s="184" t="str">
        <f>data!D21</f>
        <v>B (0 to -30°)</v>
      </c>
      <c r="J76" s="82" t="str">
        <f>data!E21</f>
        <v>C (≈ -45°)</v>
      </c>
      <c r="K76" s="82" t="str">
        <f>data!F21</f>
        <v>D (≈ -60°)</v>
      </c>
      <c r="L76" s="82" t="str">
        <f>data!G21</f>
        <v>E (vertical)</v>
      </c>
      <c r="M76" s="82" t="s">
        <v>129</v>
      </c>
      <c r="N76" s="245"/>
      <c r="O76" s="82"/>
      <c r="P76" s="82"/>
      <c r="Q76" s="82"/>
      <c r="R76" s="82"/>
      <c r="S76" s="82"/>
      <c r="T76" s="43"/>
    </row>
    <row r="77" spans="1:20" s="16" customFormat="1" ht="24" customHeight="1" x14ac:dyDescent="0.25">
      <c r="A77" s="259"/>
      <c r="B77" s="82"/>
      <c r="C77" s="82"/>
      <c r="D77" s="86" t="s">
        <v>130</v>
      </c>
      <c r="E77" s="228"/>
      <c r="F77" s="184"/>
      <c r="G77" s="184" t="s">
        <v>131</v>
      </c>
      <c r="H77" s="82"/>
      <c r="I77" s="184" t="s">
        <v>132</v>
      </c>
      <c r="J77" s="185"/>
      <c r="K77" s="185"/>
      <c r="L77" s="85"/>
      <c r="M77" s="83"/>
      <c r="N77" s="245"/>
      <c r="O77" s="82"/>
      <c r="P77" s="82"/>
      <c r="Q77" s="82"/>
      <c r="R77" s="82"/>
      <c r="S77" s="82"/>
      <c r="T77" s="43"/>
    </row>
    <row r="78" spans="1:20" s="16" customFormat="1" ht="24" customHeight="1" x14ac:dyDescent="0.25">
      <c r="A78" s="259"/>
      <c r="B78" s="82"/>
      <c r="C78" s="82"/>
      <c r="D78" s="86" t="s">
        <v>133</v>
      </c>
      <c r="E78" s="228"/>
      <c r="F78" s="121" t="s">
        <v>134</v>
      </c>
      <c r="G78" s="193"/>
      <c r="H78" s="184" t="s">
        <v>135</v>
      </c>
      <c r="I78" s="184"/>
      <c r="J78" s="185"/>
      <c r="K78" s="121" t="s">
        <v>136</v>
      </c>
      <c r="L78" s="192"/>
      <c r="M78" s="186" t="s">
        <v>137</v>
      </c>
      <c r="N78" s="245"/>
      <c r="O78" s="82"/>
      <c r="P78" s="82"/>
      <c r="Q78" s="82"/>
      <c r="R78" s="82"/>
      <c r="S78" s="82"/>
      <c r="T78" s="43"/>
    </row>
    <row r="79" spans="1:20" s="16" customFormat="1" ht="24" customHeight="1" x14ac:dyDescent="0.25">
      <c r="A79" s="259"/>
      <c r="B79" s="82"/>
      <c r="C79" s="82"/>
      <c r="D79" s="86" t="s">
        <v>138</v>
      </c>
      <c r="E79" s="228"/>
      <c r="F79" s="184" t="s">
        <v>597</v>
      </c>
      <c r="G79" s="184"/>
      <c r="H79" s="82"/>
      <c r="I79" s="82" t="s">
        <v>600</v>
      </c>
      <c r="J79" s="186"/>
      <c r="K79" s="184" t="s">
        <v>601</v>
      </c>
      <c r="L79" s="85"/>
      <c r="M79" s="83"/>
      <c r="N79" s="245"/>
      <c r="O79" s="82"/>
      <c r="P79" s="82"/>
      <c r="Q79" s="82"/>
      <c r="R79" s="82"/>
      <c r="S79" s="82"/>
      <c r="T79" s="43"/>
    </row>
    <row r="80" spans="1:20" s="16" customFormat="1" ht="24" customHeight="1" x14ac:dyDescent="0.25">
      <c r="A80" s="259"/>
      <c r="B80" s="82"/>
      <c r="C80" s="82"/>
      <c r="D80" s="86" t="s">
        <v>139</v>
      </c>
      <c r="E80" s="228"/>
      <c r="F80" s="184"/>
      <c r="G80" s="184" t="s">
        <v>140</v>
      </c>
      <c r="H80" s="82"/>
      <c r="I80" s="184" t="s">
        <v>141</v>
      </c>
      <c r="J80" s="187"/>
      <c r="K80" s="184" t="s">
        <v>142</v>
      </c>
      <c r="L80" s="85"/>
      <c r="M80" s="83"/>
      <c r="N80" s="247" t="s">
        <v>143</v>
      </c>
      <c r="O80" s="82"/>
      <c r="P80" s="82"/>
      <c r="Q80" s="82"/>
      <c r="R80" s="82"/>
      <c r="S80" s="82"/>
      <c r="T80" s="43"/>
    </row>
    <row r="81" spans="1:20" s="16" customFormat="1" ht="24" customHeight="1" x14ac:dyDescent="0.25">
      <c r="A81" s="259"/>
      <c r="B81" s="82"/>
      <c r="C81" s="82"/>
      <c r="D81" s="188" t="s">
        <v>144</v>
      </c>
      <c r="E81" s="228"/>
      <c r="F81" s="185"/>
      <c r="G81" s="184" t="s">
        <v>145</v>
      </c>
      <c r="H81" s="184" t="s">
        <v>146</v>
      </c>
      <c r="I81" s="185"/>
      <c r="J81" s="185"/>
      <c r="K81" s="184"/>
      <c r="L81" s="85"/>
      <c r="M81" s="83"/>
      <c r="N81" s="247" t="s">
        <v>147</v>
      </c>
      <c r="O81" s="82"/>
      <c r="P81" s="82"/>
      <c r="Q81" s="82"/>
      <c r="R81" s="82"/>
      <c r="S81" s="82"/>
      <c r="T81" s="43"/>
    </row>
    <row r="82" spans="1:20" s="16" customFormat="1" ht="24" customHeight="1" x14ac:dyDescent="0.25">
      <c r="A82" s="259"/>
      <c r="B82" s="82"/>
      <c r="C82" s="82"/>
      <c r="D82" s="86" t="s">
        <v>148</v>
      </c>
      <c r="E82" s="228"/>
      <c r="F82" s="184" t="s">
        <v>149</v>
      </c>
      <c r="G82" s="184"/>
      <c r="H82" s="184" t="s">
        <v>150</v>
      </c>
      <c r="I82" s="82"/>
      <c r="J82" s="182"/>
      <c r="K82" s="184" t="s">
        <v>151</v>
      </c>
      <c r="L82" s="83"/>
      <c r="M82" s="83"/>
      <c r="N82" s="245"/>
      <c r="O82" s="82"/>
      <c r="P82" s="82"/>
      <c r="Q82" s="82"/>
      <c r="R82" s="82"/>
      <c r="S82" s="82"/>
      <c r="T82" s="43"/>
    </row>
    <row r="83" spans="1:20" s="16" customFormat="1" ht="24" customHeight="1" thickBot="1" x14ac:dyDescent="0.3">
      <c r="A83" s="259"/>
      <c r="B83" s="82"/>
      <c r="C83" s="82"/>
      <c r="D83" s="195"/>
      <c r="E83" s="228"/>
      <c r="F83" s="182"/>
      <c r="G83" s="183"/>
      <c r="H83" s="183"/>
      <c r="I83" s="82" t="s">
        <v>152</v>
      </c>
      <c r="J83" s="182"/>
      <c r="K83" s="184" t="s">
        <v>153</v>
      </c>
      <c r="L83" s="248"/>
      <c r="M83" s="249"/>
      <c r="N83" s="257" t="s">
        <v>154</v>
      </c>
      <c r="O83" s="250"/>
      <c r="P83" s="82"/>
      <c r="Q83" s="82"/>
      <c r="R83" s="82"/>
      <c r="S83" s="82"/>
      <c r="T83" s="43"/>
    </row>
    <row r="84" spans="1:20" s="16" customFormat="1" ht="24" customHeight="1" x14ac:dyDescent="0.25">
      <c r="A84" s="259"/>
      <c r="B84" s="82"/>
      <c r="C84" s="82"/>
      <c r="D84" s="172" t="s">
        <v>155</v>
      </c>
      <c r="E84" s="172"/>
      <c r="F84" s="306" t="str">
        <f>_product_code</f>
        <v>Please select length and number of slots</v>
      </c>
      <c r="G84" s="306"/>
      <c r="H84" s="306"/>
      <c r="I84" s="306"/>
      <c r="J84" s="306"/>
      <c r="K84" s="306"/>
      <c r="L84" s="83" t="s">
        <v>156</v>
      </c>
      <c r="M84" s="83"/>
      <c r="N84" s="82"/>
      <c r="O84" s="82"/>
      <c r="P84" s="82"/>
      <c r="Q84" s="82"/>
      <c r="R84" s="82"/>
      <c r="S84" s="82"/>
      <c r="T84" s="43"/>
    </row>
    <row r="85" spans="1:20" ht="15.75" x14ac:dyDescent="0.25">
      <c r="A85" s="258"/>
      <c r="B85" s="111"/>
      <c r="C85" s="111"/>
      <c r="D85" s="189"/>
      <c r="E85" s="189"/>
      <c r="F85" s="111"/>
      <c r="G85" s="111"/>
      <c r="H85" s="111"/>
      <c r="I85" s="111"/>
      <c r="J85" s="111"/>
      <c r="K85" s="111"/>
      <c r="L85" s="149" t="s">
        <v>157</v>
      </c>
      <c r="M85" s="111"/>
      <c r="N85" s="111"/>
      <c r="O85" s="111"/>
      <c r="P85" s="111"/>
      <c r="Q85" s="111"/>
      <c r="R85" s="111"/>
      <c r="S85" s="111"/>
      <c r="T85" s="42"/>
    </row>
    <row r="86" spans="1:20" ht="15.75" x14ac:dyDescent="0.25">
      <c r="A86" s="51"/>
      <c r="B86" s="191"/>
      <c r="C86" s="111"/>
      <c r="D86" s="189"/>
      <c r="E86" s="189"/>
      <c r="F86" s="111"/>
      <c r="G86" s="111"/>
      <c r="H86" s="111"/>
      <c r="I86" s="111"/>
      <c r="J86" s="111"/>
      <c r="K86" s="111"/>
      <c r="L86" s="149"/>
      <c r="M86" s="111"/>
      <c r="N86" s="111"/>
      <c r="O86" s="111"/>
      <c r="P86" s="111"/>
      <c r="Q86" s="111"/>
      <c r="R86" s="111"/>
      <c r="S86" s="111"/>
    </row>
    <row r="87" spans="1:20" ht="15.75" x14ac:dyDescent="0.25">
      <c r="A87" s="51"/>
      <c r="B87" s="190"/>
      <c r="C87" s="111"/>
      <c r="D87" s="189"/>
      <c r="E87" s="189"/>
      <c r="F87" s="111"/>
      <c r="G87" s="111"/>
      <c r="H87" s="111"/>
      <c r="I87" s="111"/>
      <c r="J87" s="111"/>
      <c r="K87" s="111"/>
      <c r="L87" s="149"/>
      <c r="M87" s="111"/>
      <c r="N87" s="111"/>
      <c r="O87" s="111"/>
      <c r="P87" s="111"/>
      <c r="Q87" s="111"/>
      <c r="R87" s="111"/>
      <c r="S87" s="111"/>
    </row>
    <row r="88" spans="1:20" ht="15.75" x14ac:dyDescent="0.25">
      <c r="A88" s="260"/>
      <c r="B88" s="37"/>
      <c r="C88" s="37"/>
      <c r="D88" s="37"/>
      <c r="E88" s="37"/>
      <c r="F88" s="37"/>
      <c r="G88" s="37"/>
      <c r="H88" s="304" t="s">
        <v>158</v>
      </c>
      <c r="I88" s="304"/>
      <c r="J88" s="304"/>
      <c r="K88" s="304"/>
      <c r="L88" s="304"/>
      <c r="M88" s="37"/>
      <c r="N88" s="108"/>
      <c r="O88" s="108"/>
      <c r="P88" s="303" t="s">
        <v>598</v>
      </c>
      <c r="Q88" s="303"/>
      <c r="R88" s="303"/>
      <c r="S88" s="303"/>
    </row>
  </sheetData>
  <sheetProtection algorithmName="SHA-512" hashValue="37ezqvSb4Ri7udWWEX5H1KW8WcJSBthAqmMoiLB0iN0oYVSFauie4Vp8Ipd1DYMvqvy+wipKLUWjotsnJ5SOUg==" saltValue="j+7vX0fux191hcC7UOfQOw==" spinCount="100000" sheet="1" selectLockedCells="1"/>
  <protectedRanges>
    <protectedRange sqref="L23" name="inputs"/>
  </protectedRanges>
  <mergeCells count="16">
    <mergeCell ref="D5:H5"/>
    <mergeCell ref="P88:S88"/>
    <mergeCell ref="H88:L88"/>
    <mergeCell ref="D7:F7"/>
    <mergeCell ref="F84:K84"/>
    <mergeCell ref="N61:S62"/>
    <mergeCell ref="N64:S65"/>
    <mergeCell ref="C60:C63"/>
    <mergeCell ref="C64:C68"/>
    <mergeCell ref="L13:M13"/>
    <mergeCell ref="G76:H76"/>
    <mergeCell ref="C42:C44"/>
    <mergeCell ref="C45:C50"/>
    <mergeCell ref="C51:C53"/>
    <mergeCell ref="C54:C55"/>
    <mergeCell ref="C56:C58"/>
  </mergeCells>
  <phoneticPr fontId="66" type="noConversion"/>
  <conditionalFormatting sqref="E17">
    <cfRule type="expression" dxfId="25" priority="1">
      <formula>$E$17&gt;11</formula>
    </cfRule>
  </conditionalFormatting>
  <conditionalFormatting sqref="F51:M52">
    <cfRule type="expression" dxfId="21" priority="76">
      <formula>ISTEXT(F51)</formula>
    </cfRule>
  </conditionalFormatting>
  <conditionalFormatting sqref="F63:M63">
    <cfRule type="expression" dxfId="18" priority="168">
      <formula>ROUND(F$63,1)&gt;$E$17</formula>
    </cfRule>
  </conditionalFormatting>
  <dataValidations count="8">
    <dataValidation type="list" allowBlank="1" showInputMessage="1" showErrorMessage="1" sqref="L11" xr:uid="{00000000-0002-0000-0000-000000000000}">
      <formula1>adpi.</formula1>
    </dataValidation>
    <dataValidation type="decimal" allowBlank="1" showInputMessage="1" showErrorMessage="1" errorTitle="VAV turndown" error="Please enter a valure between 20 and 100" sqref="E11" xr:uid="{00000000-0002-0000-0000-000001000000}">
      <formula1>10</formula1>
      <formula2>100</formula2>
    </dataValidation>
    <dataValidation type="decimal" allowBlank="1" showInputMessage="1" showErrorMessage="1" errorTitle="Cooling" error="Please enter a value between -16 and -8" sqref="E15" xr:uid="{00000000-0002-0000-0000-000002000000}">
      <formula1>-16</formula1>
      <formula2>0</formula2>
    </dataValidation>
    <dataValidation type="decimal" allowBlank="1" showInputMessage="1" showErrorMessage="1" errorTitle="Active Length Ratio" error="Please enter a value between 0.1 and 1.0" sqref="E19" xr:uid="{00000000-0002-0000-0000-000004000000}">
      <formula1>0.1</formula1>
      <formula2>1</formula2>
    </dataValidation>
    <dataValidation type="decimal" allowBlank="1" showInputMessage="1" showErrorMessage="1" errorTitle="Specific Airflow Rate" error="Please enter a value between 2.0 and 10.0" sqref="U11" xr:uid="{00000000-0002-0000-0000-000005000000}">
      <formula1>2</formula1>
      <formula2>10</formula2>
    </dataValidation>
    <dataValidation type="decimal" allowBlank="1" showInputMessage="1" showErrorMessage="1" errorTitle="Low Level Return" error="Please enter a value between 0 and 100" sqref="L25" xr:uid="{00000000-0002-0000-0000-000006000000}">
      <formula1>0</formula1>
      <formula2>100</formula2>
    </dataValidation>
    <dataValidation type="decimal" allowBlank="1" showErrorMessage="1" promptTitle="Specific Airflow Rate" prompt="Default 5 L/s/m2" sqref="L23" xr:uid="{00000000-0002-0000-0000-000007000000}">
      <formula1>20</formula1>
      <formula2>26</formula2>
    </dataValidation>
    <dataValidation type="decimal" operator="notEqual" allowBlank="1" showInputMessage="1" showErrorMessage="1" sqref="L19" xr:uid="{00000000-0002-0000-0000-000008000000}">
      <formula1>0</formula1>
    </dataValidation>
  </dataValidations>
  <hyperlinks>
    <hyperlink ref="H88:L88" r:id="rId1" display="click to see product on  smartair.asia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12</xdr:col>
                    <xdr:colOff>28575</xdr:colOff>
                    <xdr:row>8</xdr:row>
                    <xdr:rowOff>19050</xdr:rowOff>
                  </from>
                  <to>
                    <xdr:col>12</xdr:col>
                    <xdr:colOff>676275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Option Button 10">
              <controlPr defaultSize="0" autoFill="0" autoLine="0" autoPict="0">
                <anchor moveWithCells="1">
                  <from>
                    <xdr:col>11</xdr:col>
                    <xdr:colOff>19050</xdr:colOff>
                    <xdr:row>8</xdr:row>
                    <xdr:rowOff>19050</xdr:rowOff>
                  </from>
                  <to>
                    <xdr:col>11</xdr:col>
                    <xdr:colOff>609600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Option Button 12">
              <controlPr defaultSize="0" autoFill="0" autoLine="0" autoPict="0">
                <anchor moveWithCells="1">
                  <from>
                    <xdr:col>11</xdr:col>
                    <xdr:colOff>171450</xdr:colOff>
                    <xdr:row>12</xdr:row>
                    <xdr:rowOff>28575</xdr:rowOff>
                  </from>
                  <to>
                    <xdr:col>11</xdr:col>
                    <xdr:colOff>495300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Group Box 15">
              <controlPr defaultSize="0" autoFill="0" autoPict="0">
                <anchor moveWithCells="1">
                  <from>
                    <xdr:col>10</xdr:col>
                    <xdr:colOff>361950</xdr:colOff>
                    <xdr:row>11</xdr:row>
                    <xdr:rowOff>123825</xdr:rowOff>
                  </from>
                  <to>
                    <xdr:col>15</xdr:col>
                    <xdr:colOff>533400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Group Box 16">
              <controlPr defaultSize="0" autoFill="0" autoPict="0">
                <anchor moveWithCells="1">
                  <from>
                    <xdr:col>10</xdr:col>
                    <xdr:colOff>9525</xdr:colOff>
                    <xdr:row>7</xdr:row>
                    <xdr:rowOff>142875</xdr:rowOff>
                  </from>
                  <to>
                    <xdr:col>13</xdr:col>
                    <xdr:colOff>533400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Group Box 17">
              <controlPr defaultSize="0" autoFill="0" autoPict="0">
                <anchor moveWithCells="1">
                  <from>
                    <xdr:col>4</xdr:col>
                    <xdr:colOff>695325</xdr:colOff>
                    <xdr:row>70</xdr:row>
                    <xdr:rowOff>323850</xdr:rowOff>
                  </from>
                  <to>
                    <xdr:col>13</xdr:col>
                    <xdr:colOff>323850</xdr:colOff>
                    <xdr:row>71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1" name="Option Button 19">
              <controlPr defaultSize="0" autoFill="0" autoLine="0" autoPict="0">
                <anchor moveWithCells="1">
                  <from>
                    <xdr:col>5</xdr:col>
                    <xdr:colOff>38100</xdr:colOff>
                    <xdr:row>71</xdr:row>
                    <xdr:rowOff>47625</xdr:rowOff>
                  </from>
                  <to>
                    <xdr:col>5</xdr:col>
                    <xdr:colOff>438150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2" name="Option Button 20">
              <controlPr defaultSize="0" autoFill="0" autoLine="0" autoPict="0">
                <anchor moveWithCells="1">
                  <from>
                    <xdr:col>6</xdr:col>
                    <xdr:colOff>9525</xdr:colOff>
                    <xdr:row>71</xdr:row>
                    <xdr:rowOff>47625</xdr:rowOff>
                  </from>
                  <to>
                    <xdr:col>6</xdr:col>
                    <xdr:colOff>419100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Option Button 21">
              <controlPr defaultSize="0" autoFill="0" autoLine="0" autoPict="0">
                <anchor moveWithCells="1">
                  <from>
                    <xdr:col>7</xdr:col>
                    <xdr:colOff>9525</xdr:colOff>
                    <xdr:row>71</xdr:row>
                    <xdr:rowOff>38100</xdr:rowOff>
                  </from>
                  <to>
                    <xdr:col>7</xdr:col>
                    <xdr:colOff>400050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Option Button 22">
              <controlPr defaultSize="0" autoFill="0" autoLine="0" autoPict="0">
                <anchor moveWithCells="1">
                  <from>
                    <xdr:col>8</xdr:col>
                    <xdr:colOff>9525</xdr:colOff>
                    <xdr:row>71</xdr:row>
                    <xdr:rowOff>47625</xdr:rowOff>
                  </from>
                  <to>
                    <xdr:col>8</xdr:col>
                    <xdr:colOff>419100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Option Button 23">
              <controlPr defaultSize="0" autoFill="0" autoLine="0" autoPict="0">
                <anchor moveWithCells="1">
                  <from>
                    <xdr:col>9</xdr:col>
                    <xdr:colOff>19050</xdr:colOff>
                    <xdr:row>71</xdr:row>
                    <xdr:rowOff>47625</xdr:rowOff>
                  </from>
                  <to>
                    <xdr:col>9</xdr:col>
                    <xdr:colOff>419100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Group Box 24">
              <controlPr defaultSize="0" autoFill="0" autoPict="0">
                <anchor moveWithCells="1">
                  <from>
                    <xdr:col>3</xdr:col>
                    <xdr:colOff>2238375</xdr:colOff>
                    <xdr:row>75</xdr:row>
                    <xdr:rowOff>28575</xdr:rowOff>
                  </from>
                  <to>
                    <xdr:col>14</xdr:col>
                    <xdr:colOff>647700</xdr:colOff>
                    <xdr:row>75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7" name="Option Button 25">
              <controlPr defaultSize="0" autoFill="0" autoLine="0" autoPict="0">
                <anchor moveWithCells="1">
                  <from>
                    <xdr:col>4</xdr:col>
                    <xdr:colOff>400050</xdr:colOff>
                    <xdr:row>75</xdr:row>
                    <xdr:rowOff>66675</xdr:rowOff>
                  </from>
                  <to>
                    <xdr:col>5</xdr:col>
                    <xdr:colOff>219075</xdr:colOff>
                    <xdr:row>75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Option Button 26">
              <controlPr defaultSize="0" autoFill="0" autoLine="0" autoPict="0">
                <anchor moveWithCells="1">
                  <from>
                    <xdr:col>6</xdr:col>
                    <xdr:colOff>161925</xdr:colOff>
                    <xdr:row>75</xdr:row>
                    <xdr:rowOff>57150</xdr:rowOff>
                  </from>
                  <to>
                    <xdr:col>7</xdr:col>
                    <xdr:colOff>47625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Option Button 27">
              <controlPr defaultSize="0" autoFill="0" autoLine="0" autoPict="0">
                <anchor moveWithCells="1">
                  <from>
                    <xdr:col>7</xdr:col>
                    <xdr:colOff>552450</xdr:colOff>
                    <xdr:row>75</xdr:row>
                    <xdr:rowOff>66675</xdr:rowOff>
                  </from>
                  <to>
                    <xdr:col>8</xdr:col>
                    <xdr:colOff>171450</xdr:colOff>
                    <xdr:row>75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0" name="Group Box 28">
              <controlPr defaultSize="0" autoFill="0" autoPict="0">
                <anchor moveWithCells="1">
                  <from>
                    <xdr:col>4</xdr:col>
                    <xdr:colOff>180975</xdr:colOff>
                    <xdr:row>73</xdr:row>
                    <xdr:rowOff>0</xdr:rowOff>
                  </from>
                  <to>
                    <xdr:col>11</xdr:col>
                    <xdr:colOff>428625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1" name="Option Button 29">
              <controlPr defaultSize="0" autoFill="0" autoLine="0" autoPict="0">
                <anchor moveWithCells="1">
                  <from>
                    <xdr:col>7</xdr:col>
                    <xdr:colOff>609600</xdr:colOff>
                    <xdr:row>73</xdr:row>
                    <xdr:rowOff>38100</xdr:rowOff>
                  </from>
                  <to>
                    <xdr:col>8</xdr:col>
                    <xdr:colOff>628650</xdr:colOff>
                    <xdr:row>73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2" name="Option Button 30">
              <controlPr defaultSize="0" autoFill="0" autoLine="0" autoPict="0">
                <anchor moveWithCells="1">
                  <from>
                    <xdr:col>5</xdr:col>
                    <xdr:colOff>571500</xdr:colOff>
                    <xdr:row>73</xdr:row>
                    <xdr:rowOff>19050</xdr:rowOff>
                  </from>
                  <to>
                    <xdr:col>6</xdr:col>
                    <xdr:colOff>609600</xdr:colOff>
                    <xdr:row>73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3" name="Option Button 31">
              <controlPr defaultSize="0" autoFill="0" autoLine="0" autoPict="0">
                <anchor moveWithCells="1">
                  <from>
                    <xdr:col>9</xdr:col>
                    <xdr:colOff>628650</xdr:colOff>
                    <xdr:row>73</xdr:row>
                    <xdr:rowOff>47625</xdr:rowOff>
                  </from>
                  <to>
                    <xdr:col>10</xdr:col>
                    <xdr:colOff>638175</xdr:colOff>
                    <xdr:row>73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4" name="Option Button 33">
              <controlPr defaultSize="0" autoFill="0" autoLine="0" autoPict="0">
                <anchor moveWithCells="1">
                  <from>
                    <xdr:col>5</xdr:col>
                    <xdr:colOff>590550</xdr:colOff>
                    <xdr:row>76</xdr:row>
                    <xdr:rowOff>57150</xdr:rowOff>
                  </from>
                  <to>
                    <xdr:col>7</xdr:col>
                    <xdr:colOff>257175</xdr:colOff>
                    <xdr:row>76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5" name="Option Button 34">
              <controlPr defaultSize="0" autoFill="0" autoLine="0" autoPict="0">
                <anchor moveWithCells="1">
                  <from>
                    <xdr:col>7</xdr:col>
                    <xdr:colOff>600075</xdr:colOff>
                    <xdr:row>76</xdr:row>
                    <xdr:rowOff>38100</xdr:rowOff>
                  </from>
                  <to>
                    <xdr:col>8</xdr:col>
                    <xdr:colOff>609600</xdr:colOff>
                    <xdr:row>76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6" name="Group Box 35">
              <controlPr defaultSize="0" autoFill="0" autoPict="0">
                <anchor moveWithCells="1">
                  <from>
                    <xdr:col>5</xdr:col>
                    <xdr:colOff>28575</xdr:colOff>
                    <xdr:row>76</xdr:row>
                    <xdr:rowOff>9525</xdr:rowOff>
                  </from>
                  <to>
                    <xdr:col>11</xdr:col>
                    <xdr:colOff>28575</xdr:colOff>
                    <xdr:row>76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7" name="Option Button 36">
              <controlPr defaultSize="0" autoFill="0" autoLine="0" autoPict="0">
                <anchor moveWithCells="1">
                  <from>
                    <xdr:col>5</xdr:col>
                    <xdr:colOff>600075</xdr:colOff>
                    <xdr:row>79</xdr:row>
                    <xdr:rowOff>57150</xdr:rowOff>
                  </from>
                  <to>
                    <xdr:col>7</xdr:col>
                    <xdr:colOff>581025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8" name="Option Button 37">
              <controlPr defaultSize="0" autoFill="0" autoLine="0" autoPict="0">
                <anchor moveWithCells="1">
                  <from>
                    <xdr:col>7</xdr:col>
                    <xdr:colOff>619125</xdr:colOff>
                    <xdr:row>79</xdr:row>
                    <xdr:rowOff>57150</xdr:rowOff>
                  </from>
                  <to>
                    <xdr:col>9</xdr:col>
                    <xdr:colOff>352425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9" name="Group Box 38">
              <controlPr defaultSize="0" autoFill="0" autoPict="0">
                <anchor moveWithCells="1">
                  <from>
                    <xdr:col>5</xdr:col>
                    <xdr:colOff>19050</xdr:colOff>
                    <xdr:row>79</xdr:row>
                    <xdr:rowOff>38100</xdr:rowOff>
                  </from>
                  <to>
                    <xdr:col>11</xdr:col>
                    <xdr:colOff>19050</xdr:colOff>
                    <xdr:row>79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0" name="Option Button 39">
              <controlPr defaultSize="0" autoFill="0" autoLine="0" autoPict="0">
                <anchor moveWithCells="1">
                  <from>
                    <xdr:col>5</xdr:col>
                    <xdr:colOff>590550</xdr:colOff>
                    <xdr:row>80</xdr:row>
                    <xdr:rowOff>76200</xdr:rowOff>
                  </from>
                  <to>
                    <xdr:col>6</xdr:col>
                    <xdr:colOff>409575</xdr:colOff>
                    <xdr:row>80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1" name="Option Button 40">
              <controlPr defaultSize="0" autoFill="0" autoLine="0" autoPict="0">
                <anchor moveWithCells="1">
                  <from>
                    <xdr:col>6</xdr:col>
                    <xdr:colOff>609600</xdr:colOff>
                    <xdr:row>80</xdr:row>
                    <xdr:rowOff>76200</xdr:rowOff>
                  </from>
                  <to>
                    <xdr:col>7</xdr:col>
                    <xdr:colOff>381000</xdr:colOff>
                    <xdr:row>80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2" name="Group Box 41">
              <controlPr defaultSize="0" autoFill="0" autoPict="0">
                <anchor moveWithCells="1">
                  <from>
                    <xdr:col>5</xdr:col>
                    <xdr:colOff>295275</xdr:colOff>
                    <xdr:row>80</xdr:row>
                    <xdr:rowOff>38100</xdr:rowOff>
                  </from>
                  <to>
                    <xdr:col>8</xdr:col>
                    <xdr:colOff>609600</xdr:colOff>
                    <xdr:row>80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3" name="Option Button 42">
              <controlPr defaultSize="0" autoFill="0" autoLine="0" autoPict="0">
                <anchor moveWithCells="1">
                  <from>
                    <xdr:col>9</xdr:col>
                    <xdr:colOff>619125</xdr:colOff>
                    <xdr:row>79</xdr:row>
                    <xdr:rowOff>57150</xdr:rowOff>
                  </from>
                  <to>
                    <xdr:col>10</xdr:col>
                    <xdr:colOff>400050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4" name="Option Button 43">
              <controlPr defaultSize="0" autoFill="0" autoLine="0" autoPict="0">
                <anchor moveWithCells="1">
                  <from>
                    <xdr:col>10</xdr:col>
                    <xdr:colOff>28575</xdr:colOff>
                    <xdr:row>71</xdr:row>
                    <xdr:rowOff>47625</xdr:rowOff>
                  </from>
                  <to>
                    <xdr:col>10</xdr:col>
                    <xdr:colOff>428625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5" name="Group Box 49">
              <controlPr defaultSize="0" autoFill="0" autoPict="0">
                <anchor moveWithCells="1">
                  <from>
                    <xdr:col>8</xdr:col>
                    <xdr:colOff>180975</xdr:colOff>
                    <xdr:row>15</xdr:row>
                    <xdr:rowOff>152400</xdr:rowOff>
                  </from>
                  <to>
                    <xdr:col>9</xdr:col>
                    <xdr:colOff>495300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6" name="Option Button 50">
              <controlPr defaultSize="0" autoFill="0" autoLine="0" autoPict="0">
                <anchor moveWithCells="1">
                  <from>
                    <xdr:col>8</xdr:col>
                    <xdr:colOff>419100</xdr:colOff>
                    <xdr:row>16</xdr:row>
                    <xdr:rowOff>19050</xdr:rowOff>
                  </from>
                  <to>
                    <xdr:col>9</xdr:col>
                    <xdr:colOff>228600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7" name="Option Button 51">
              <controlPr defaultSize="0" autoFill="0" autoLine="0" autoPict="0">
                <anchor moveWithCells="1">
                  <from>
                    <xdr:col>8</xdr:col>
                    <xdr:colOff>419100</xdr:colOff>
                    <xdr:row>17</xdr:row>
                    <xdr:rowOff>219075</xdr:rowOff>
                  </from>
                  <to>
                    <xdr:col>9</xdr:col>
                    <xdr:colOff>219075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8" name="Option Button 52">
              <controlPr defaultSize="0" autoFill="0" autoLine="0" autoPict="0">
                <anchor moveWithCells="1">
                  <from>
                    <xdr:col>8</xdr:col>
                    <xdr:colOff>419100</xdr:colOff>
                    <xdr:row>19</xdr:row>
                    <xdr:rowOff>219075</xdr:rowOff>
                  </from>
                  <to>
                    <xdr:col>9</xdr:col>
                    <xdr:colOff>219075</xdr:colOff>
                    <xdr:row>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9" name="Group Box 53">
              <controlPr defaultSize="0" autoFill="0" autoPict="0">
                <anchor moveWithCells="1">
                  <from>
                    <xdr:col>5</xdr:col>
                    <xdr:colOff>76200</xdr:colOff>
                    <xdr:row>7</xdr:row>
                    <xdr:rowOff>95250</xdr:rowOff>
                  </from>
                  <to>
                    <xdr:col>7</xdr:col>
                    <xdr:colOff>609600</xdr:colOff>
                    <xdr:row>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0" name="Option Button 54">
              <controlPr defaultSize="0" autoFill="0" autoLine="0" autoPict="0">
                <anchor moveWithCells="1">
                  <from>
                    <xdr:col>5</xdr:col>
                    <xdr:colOff>142875</xdr:colOff>
                    <xdr:row>8</xdr:row>
                    <xdr:rowOff>19050</xdr:rowOff>
                  </from>
                  <to>
                    <xdr:col>5</xdr:col>
                    <xdr:colOff>504825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1" name="Option Button 56">
              <controlPr defaultSize="0" autoFill="0" autoLine="0" autoPict="0">
                <anchor moveWithCells="1">
                  <from>
                    <xdr:col>6</xdr:col>
                    <xdr:colOff>28575</xdr:colOff>
                    <xdr:row>8</xdr:row>
                    <xdr:rowOff>19050</xdr:rowOff>
                  </from>
                  <to>
                    <xdr:col>6</xdr:col>
                    <xdr:colOff>314325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2" name="Option Button 57">
              <controlPr defaultSize="0" autoFill="0" autoLine="0" autoPict="0">
                <anchor moveWithCells="1">
                  <from>
                    <xdr:col>8</xdr:col>
                    <xdr:colOff>676275</xdr:colOff>
                    <xdr:row>75</xdr:row>
                    <xdr:rowOff>57150</xdr:rowOff>
                  </from>
                  <to>
                    <xdr:col>9</xdr:col>
                    <xdr:colOff>266700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3" name="Option Button 58">
              <controlPr defaultSize="0" autoFill="0" autoLine="0" autoPict="0">
                <anchor moveWithCells="1">
                  <from>
                    <xdr:col>9</xdr:col>
                    <xdr:colOff>657225</xdr:colOff>
                    <xdr:row>75</xdr:row>
                    <xdr:rowOff>57150</xdr:rowOff>
                  </from>
                  <to>
                    <xdr:col>10</xdr:col>
                    <xdr:colOff>238125</xdr:colOff>
                    <xdr:row>75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4" name="Group Box 72">
              <controlPr defaultSize="0" autoFill="0" autoPict="0">
                <anchor moveWithCells="1">
                  <from>
                    <xdr:col>3</xdr:col>
                    <xdr:colOff>2228850</xdr:colOff>
                    <xdr:row>28</xdr:row>
                    <xdr:rowOff>180975</xdr:rowOff>
                  </from>
                  <to>
                    <xdr:col>4</xdr:col>
                    <xdr:colOff>66675</xdr:colOff>
                    <xdr:row>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5" name="Option Button 73">
              <controlPr defaultSize="0" autoFill="0" autoLine="0" autoPict="0">
                <anchor moveWithCells="1">
                  <from>
                    <xdr:col>3</xdr:col>
                    <xdr:colOff>2247900</xdr:colOff>
                    <xdr:row>29</xdr:row>
                    <xdr:rowOff>28575</xdr:rowOff>
                  </from>
                  <to>
                    <xdr:col>3</xdr:col>
                    <xdr:colOff>2495550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6" name="Option Button 74">
              <controlPr defaultSize="0" autoFill="0" autoLine="0" autoPict="0">
                <anchor moveWithCells="1">
                  <from>
                    <xdr:col>3</xdr:col>
                    <xdr:colOff>2247900</xdr:colOff>
                    <xdr:row>30</xdr:row>
                    <xdr:rowOff>28575</xdr:rowOff>
                  </from>
                  <to>
                    <xdr:col>3</xdr:col>
                    <xdr:colOff>2514600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47" name="Option Button 92">
              <controlPr defaultSize="0" autoFill="0" autoLine="0" autoPict="0">
                <anchor moveWithCells="1">
                  <from>
                    <xdr:col>11</xdr:col>
                    <xdr:colOff>28575</xdr:colOff>
                    <xdr:row>71</xdr:row>
                    <xdr:rowOff>38100</xdr:rowOff>
                  </from>
                  <to>
                    <xdr:col>11</xdr:col>
                    <xdr:colOff>428625</xdr:colOff>
                    <xdr:row>71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48" name="Group Box 121">
              <controlPr defaultSize="0" autoFill="0" autoPict="0">
                <anchor moveWithCells="1">
                  <from>
                    <xdr:col>4</xdr:col>
                    <xdr:colOff>0</xdr:colOff>
                    <xdr:row>77</xdr:row>
                    <xdr:rowOff>19050</xdr:rowOff>
                  </from>
                  <to>
                    <xdr:col>15</xdr:col>
                    <xdr:colOff>104775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9" name="Option Button 122">
              <controlPr defaultSize="0" autoFill="0" autoLine="0" autoPict="0">
                <anchor moveWithCells="1">
                  <from>
                    <xdr:col>4</xdr:col>
                    <xdr:colOff>504825</xdr:colOff>
                    <xdr:row>77</xdr:row>
                    <xdr:rowOff>57150</xdr:rowOff>
                  </from>
                  <to>
                    <xdr:col>5</xdr:col>
                    <xdr:colOff>209550</xdr:colOff>
                    <xdr:row>77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50" name="Option Button 123">
              <controlPr defaultSize="0" autoFill="0" autoLine="0" autoPict="0">
                <anchor moveWithCells="1">
                  <from>
                    <xdr:col>6</xdr:col>
                    <xdr:colOff>571500</xdr:colOff>
                    <xdr:row>77</xdr:row>
                    <xdr:rowOff>57150</xdr:rowOff>
                  </from>
                  <to>
                    <xdr:col>7</xdr:col>
                    <xdr:colOff>352425</xdr:colOff>
                    <xdr:row>77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51" name="Option Button 124">
              <controlPr defaultSize="0" autoFill="0" autoLine="0" autoPict="0">
                <anchor moveWithCells="1">
                  <from>
                    <xdr:col>9</xdr:col>
                    <xdr:colOff>600075</xdr:colOff>
                    <xdr:row>77</xdr:row>
                    <xdr:rowOff>47625</xdr:rowOff>
                  </from>
                  <to>
                    <xdr:col>10</xdr:col>
                    <xdr:colOff>257175</xdr:colOff>
                    <xdr:row>77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52" name="Option Button 125">
              <controlPr defaultSize="0" autoFill="0" autoLine="0" autoPict="0">
                <anchor moveWithCells="1">
                  <from>
                    <xdr:col>11</xdr:col>
                    <xdr:colOff>495300</xdr:colOff>
                    <xdr:row>77</xdr:row>
                    <xdr:rowOff>47625</xdr:rowOff>
                  </from>
                  <to>
                    <xdr:col>12</xdr:col>
                    <xdr:colOff>266700</xdr:colOff>
                    <xdr:row>77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53" name="Group Box 127">
              <controlPr defaultSize="0" autoFill="0" autoPict="0">
                <anchor moveWithCells="1">
                  <from>
                    <xdr:col>3</xdr:col>
                    <xdr:colOff>2524125</xdr:colOff>
                    <xdr:row>78</xdr:row>
                    <xdr:rowOff>0</xdr:rowOff>
                  </from>
                  <to>
                    <xdr:col>12</xdr:col>
                    <xdr:colOff>742950</xdr:colOff>
                    <xdr:row>78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54" name="Option Button 128">
              <controlPr defaultSize="0" autoFill="0" autoLine="0" autoPict="0">
                <anchor moveWithCells="1">
                  <from>
                    <xdr:col>4</xdr:col>
                    <xdr:colOff>581025</xdr:colOff>
                    <xdr:row>78</xdr:row>
                    <xdr:rowOff>28575</xdr:rowOff>
                  </from>
                  <to>
                    <xdr:col>5</xdr:col>
                    <xdr:colOff>304800</xdr:colOff>
                    <xdr:row>78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55" name="Option Button 129">
              <controlPr defaultSize="0" autoFill="0" autoLine="0" autoPict="0">
                <anchor moveWithCells="1">
                  <from>
                    <xdr:col>7</xdr:col>
                    <xdr:colOff>419100</xdr:colOff>
                    <xdr:row>78</xdr:row>
                    <xdr:rowOff>38100</xdr:rowOff>
                  </from>
                  <to>
                    <xdr:col>8</xdr:col>
                    <xdr:colOff>400050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56" name="Group Box 130">
              <controlPr defaultSize="0" autoFill="0" autoPict="0">
                <anchor moveWithCells="1">
                  <from>
                    <xdr:col>3</xdr:col>
                    <xdr:colOff>2533650</xdr:colOff>
                    <xdr:row>81</xdr:row>
                    <xdr:rowOff>9525</xdr:rowOff>
                  </from>
                  <to>
                    <xdr:col>12</xdr:col>
                    <xdr:colOff>9525</xdr:colOff>
                    <xdr:row>81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57" name="Option Button 131">
              <controlPr defaultSize="0" autoFill="0" autoLine="0" autoPict="0">
                <anchor moveWithCells="1">
                  <from>
                    <xdr:col>4</xdr:col>
                    <xdr:colOff>571500</xdr:colOff>
                    <xdr:row>81</xdr:row>
                    <xdr:rowOff>28575</xdr:rowOff>
                  </from>
                  <to>
                    <xdr:col>5</xdr:col>
                    <xdr:colOff>514350</xdr:colOff>
                    <xdr:row>81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8" name="Option Button 132">
              <controlPr defaultSize="0" autoFill="0" autoLine="0" autoPict="0">
                <anchor moveWithCells="1">
                  <from>
                    <xdr:col>6</xdr:col>
                    <xdr:colOff>590550</xdr:colOff>
                    <xdr:row>81</xdr:row>
                    <xdr:rowOff>28575</xdr:rowOff>
                  </from>
                  <to>
                    <xdr:col>7</xdr:col>
                    <xdr:colOff>238125</xdr:colOff>
                    <xdr:row>81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9" name="Option Button 133">
              <controlPr defaultSize="0" autoFill="0" autoLine="0" autoPict="0">
                <anchor moveWithCells="1">
                  <from>
                    <xdr:col>9</xdr:col>
                    <xdr:colOff>600075</xdr:colOff>
                    <xdr:row>81</xdr:row>
                    <xdr:rowOff>28575</xdr:rowOff>
                  </from>
                  <to>
                    <xdr:col>10</xdr:col>
                    <xdr:colOff>476250</xdr:colOff>
                    <xdr:row>81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60" name="Group Box 134">
              <controlPr defaultSize="0" autoFill="0" autoPict="0">
                <anchor moveWithCells="1">
                  <from>
                    <xdr:col>4</xdr:col>
                    <xdr:colOff>704850</xdr:colOff>
                    <xdr:row>82</xdr:row>
                    <xdr:rowOff>28575</xdr:rowOff>
                  </from>
                  <to>
                    <xdr:col>12</xdr:col>
                    <xdr:colOff>95250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61" name="Option Button 135">
              <controlPr defaultSize="0" autoFill="0" autoLine="0" autoPict="0">
                <anchor moveWithCells="1">
                  <from>
                    <xdr:col>7</xdr:col>
                    <xdr:colOff>257175</xdr:colOff>
                    <xdr:row>82</xdr:row>
                    <xdr:rowOff>47625</xdr:rowOff>
                  </from>
                  <to>
                    <xdr:col>8</xdr:col>
                    <xdr:colOff>95250</xdr:colOff>
                    <xdr:row>82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62" name="Option Button 136">
              <controlPr defaultSize="0" autoFill="0" autoLine="0" autoPict="0">
                <anchor moveWithCells="1">
                  <from>
                    <xdr:col>9</xdr:col>
                    <xdr:colOff>590550</xdr:colOff>
                    <xdr:row>82</xdr:row>
                    <xdr:rowOff>47625</xdr:rowOff>
                  </from>
                  <to>
                    <xdr:col>10</xdr:col>
                    <xdr:colOff>161925</xdr:colOff>
                    <xdr:row>82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63" name="Option Button 177">
              <controlPr defaultSize="0" autoFill="0" autoLine="0" autoPict="0">
                <anchor moveWithCells="1">
                  <from>
                    <xdr:col>10</xdr:col>
                    <xdr:colOff>676275</xdr:colOff>
                    <xdr:row>75</xdr:row>
                    <xdr:rowOff>47625</xdr:rowOff>
                  </from>
                  <to>
                    <xdr:col>11</xdr:col>
                    <xdr:colOff>238125</xdr:colOff>
                    <xdr:row>75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64" name="Option Button 178">
              <controlPr defaultSize="0" autoFill="0" autoLine="0" autoPict="0">
                <anchor moveWithCells="1">
                  <from>
                    <xdr:col>11</xdr:col>
                    <xdr:colOff>771525</xdr:colOff>
                    <xdr:row>75</xdr:row>
                    <xdr:rowOff>47625</xdr:rowOff>
                  </from>
                  <to>
                    <xdr:col>12</xdr:col>
                    <xdr:colOff>314325</xdr:colOff>
                    <xdr:row>75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65" name="Option Button 296">
              <controlPr defaultSize="0" autoFill="0" autoLine="0" autoPict="0">
                <anchor moveWithCells="1">
                  <from>
                    <xdr:col>12</xdr:col>
                    <xdr:colOff>600075</xdr:colOff>
                    <xdr:row>12</xdr:row>
                    <xdr:rowOff>9525</xdr:rowOff>
                  </from>
                  <to>
                    <xdr:col>13</xdr:col>
                    <xdr:colOff>152400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66" name="Group Box 924">
              <controlPr defaultSize="0" autoFill="0" autoPict="0">
                <anchor moveWithCells="1">
                  <from>
                    <xdr:col>4</xdr:col>
                    <xdr:colOff>123825</xdr:colOff>
                    <xdr:row>71</xdr:row>
                    <xdr:rowOff>257175</xdr:rowOff>
                  </from>
                  <to>
                    <xdr:col>11</xdr:col>
                    <xdr:colOff>485775</xdr:colOff>
                    <xdr:row>72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67" name="Option Button 925">
              <controlPr defaultSize="0" autoFill="0" autoLine="0" autoPict="0">
                <anchor moveWithCells="1">
                  <from>
                    <xdr:col>5</xdr:col>
                    <xdr:colOff>152400</xdr:colOff>
                    <xdr:row>72</xdr:row>
                    <xdr:rowOff>47625</xdr:rowOff>
                  </from>
                  <to>
                    <xdr:col>5</xdr:col>
                    <xdr:colOff>561975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68" name="Option Button 926">
              <controlPr defaultSize="0" autoFill="0" autoLine="0" autoPict="0">
                <anchor moveWithCells="1">
                  <from>
                    <xdr:col>7</xdr:col>
                    <xdr:colOff>581025</xdr:colOff>
                    <xdr:row>72</xdr:row>
                    <xdr:rowOff>47625</xdr:rowOff>
                  </from>
                  <to>
                    <xdr:col>8</xdr:col>
                    <xdr:colOff>133350</xdr:colOff>
                    <xdr:row>72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69" name="Option Button 936">
              <controlPr defaultSize="0" autoFill="0" autoLine="0" autoPict="0">
                <anchor moveWithCells="1">
                  <from>
                    <xdr:col>9</xdr:col>
                    <xdr:colOff>609600</xdr:colOff>
                    <xdr:row>78</xdr:row>
                    <xdr:rowOff>47625</xdr:rowOff>
                  </from>
                  <to>
                    <xdr:col>10</xdr:col>
                    <xdr:colOff>428625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6" r:id="rId70" name="Option Button 1204">
              <controlPr defaultSize="0" autoFill="0" autoLine="0" autoPict="0">
                <anchor moveWithCells="1">
                  <from>
                    <xdr:col>12</xdr:col>
                    <xdr:colOff>19050</xdr:colOff>
                    <xdr:row>71</xdr:row>
                    <xdr:rowOff>38100</xdr:rowOff>
                  </from>
                  <to>
                    <xdr:col>12</xdr:col>
                    <xdr:colOff>419100</xdr:colOff>
                    <xdr:row>71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00000000-000E-0000-0000-000001000000}">
            <xm:f>'LMC-ADequations'!B$386</xm:f>
            <x14:dxf>
              <fill>
                <patternFill>
                  <bgColor theme="0" tint="-0.14996795556505021"/>
                </patternFill>
              </fill>
            </x14:dxf>
          </x14:cfRule>
          <xm:sqref>F41:M69</xm:sqref>
        </x14:conditionalFormatting>
        <x14:conditionalFormatting xmlns:xm="http://schemas.microsoft.com/office/excel/2006/main">
          <x14:cfRule type="expression" priority="7" id="{8F14D191-CEA6-45E1-84D8-2F4204CBDB9D}">
            <xm:f>'LMC-ADequations'!B$380</xm:f>
            <x14:dxf>
              <font>
                <color rgb="FFC00000"/>
              </font>
            </x14:dxf>
          </x14:cfRule>
          <xm:sqref>F46:M46 F51:M52</xm:sqref>
        </x14:conditionalFormatting>
        <x14:conditionalFormatting xmlns:xm="http://schemas.microsoft.com/office/excel/2006/main">
          <x14:cfRule type="expression" priority="6" id="{21C5C552-6772-4F09-B4A8-CEB088940620}">
            <xm:f>'LMC-ADequations'!B$381</xm:f>
            <x14:dxf>
              <font>
                <color rgb="FFC00000"/>
              </font>
            </x14:dxf>
          </x14:cfRule>
          <xm:sqref>F48:M48 F50:M50</xm:sqref>
        </x14:conditionalFormatting>
        <x14:conditionalFormatting xmlns:xm="http://schemas.microsoft.com/office/excel/2006/main">
          <x14:cfRule type="expression" priority="16" id="{72F6AB3C-F6E0-4588-BFF9-4C6A6C42C979}">
            <xm:f>'LMC-ADequations'!B382</xm:f>
            <x14:dxf>
              <font>
                <color rgb="FFC00000"/>
              </font>
            </x14:dxf>
          </x14:cfRule>
          <xm:sqref>F60:M61</xm:sqref>
        </x14:conditionalFormatting>
        <x14:conditionalFormatting xmlns:xm="http://schemas.microsoft.com/office/excel/2006/main">
          <x14:cfRule type="expression" priority="2" id="{44D16564-9F9F-434B-84A3-0C323FED5D30}">
            <xm:f>'LMC-ADequations'!B$384</xm:f>
            <x14:dxf>
              <font>
                <color rgb="FFC00000"/>
              </font>
            </x14:dxf>
          </x14:cfRule>
          <xm:sqref>F62:M62</xm:sqref>
        </x14:conditionalFormatting>
        <x14:conditionalFormatting xmlns:xm="http://schemas.microsoft.com/office/excel/2006/main">
          <x14:cfRule type="expression" priority="5" id="{B2713504-576B-4DC4-81C8-76E9528495A1}">
            <xm:f>(data!$B$61=0)</xm:f>
            <x14:dxf>
              <font>
                <color theme="0" tint="-0.34998626667073579"/>
              </font>
            </x14:dxf>
          </x14:cfRule>
          <xm:sqref>I83 K83</xm:sqref>
        </x14:conditionalFormatting>
        <x14:conditionalFormatting xmlns:xm="http://schemas.microsoft.com/office/excel/2006/main">
          <x14:cfRule type="expression" priority="21" id="{DD1941B6-910C-4127-B1A7-5C75B3420BF4}">
            <xm:f>('LMC-ADequations'!$B$21&lt;&gt;1)</xm:f>
            <x14:dxf>
              <font>
                <color theme="0" tint="-0.34998626667073579"/>
              </font>
            </x14:dxf>
          </x14:cfRule>
          <xm:sqref>J17</xm:sqref>
        </x14:conditionalFormatting>
        <x14:conditionalFormatting xmlns:xm="http://schemas.microsoft.com/office/excel/2006/main">
          <x14:cfRule type="expression" priority="4" id="{AFF03A08-00A8-40C6-A860-4580F02B0623}">
            <xm:f>('LMC-ADequations'!$B$21&lt;&gt;3)</xm:f>
            <x14:dxf>
              <font>
                <color theme="0" tint="-0.34998626667073579"/>
              </font>
            </x14:dxf>
          </x14:cfRule>
          <xm:sqref>J21:K21</xm:sqref>
        </x14:conditionalFormatting>
        <x14:conditionalFormatting xmlns:xm="http://schemas.microsoft.com/office/excel/2006/main">
          <x14:cfRule type="expression" priority="25" id="{C7A11C0F-3B07-4115-9257-86718ED35A67}">
            <xm:f>('LMC-ADequations'!$B$21&lt;&gt;2)</xm:f>
            <x14:dxf>
              <font>
                <color theme="0" tint="-0.34998626667073579"/>
              </font>
            </x14:dxf>
          </x14:cfRule>
          <xm:sqref>K19 M19</xm:sqref>
        </x14:conditionalFormatting>
        <x14:conditionalFormatting xmlns:xm="http://schemas.microsoft.com/office/excel/2006/main">
          <x14:cfRule type="expression" priority="169" id="{D1922230-C9FF-4672-9E31-C9BC7DE883C0}">
            <xm:f>AND('LMC-ADequations'!$B$21=2,OR($L$19&gt;ROUND($F$60,1),$L$19&lt;ROUND($M$62,1)))</xm:f>
            <x14:dxf>
              <font>
                <color rgb="FFC00000"/>
              </font>
            </x14:dxf>
          </x14:cfRule>
          <x14:cfRule type="expression" priority="170" id="{3CBFB7BF-D524-40A8-9479-FE86855BC34C}">
            <xm:f>('LMC-ADequations'!$B$21&lt;&gt;2)</xm:f>
            <x14:dxf>
              <font>
                <color theme="1" tint="0.24994659260841701"/>
              </font>
              <fill>
                <patternFill>
                  <bgColor theme="1" tint="0.49998474074526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L19</xm:sqref>
        </x14:conditionalFormatting>
        <x14:conditionalFormatting xmlns:xm="http://schemas.microsoft.com/office/excel/2006/main">
          <x14:cfRule type="expression" priority="23" id="{A8B561BF-4A13-4E28-9668-0B0ED126E20B}">
            <xm:f>('LMC-ADequations'!$B$21&lt;&gt;3)</xm:f>
            <x14:dxf>
              <font>
                <color theme="1" tint="0.24994659260841701"/>
              </font>
              <fill>
                <patternFill>
                  <bgColor theme="1" tint="0.49998474074526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L21</xm:sqref>
        </x14:conditionalFormatting>
        <x14:conditionalFormatting xmlns:xm="http://schemas.microsoft.com/office/excel/2006/main">
          <x14:cfRule type="expression" priority="18" id="{5AEDF4DC-307D-4794-A665-B6734A374481}">
            <xm:f>('LMC-ADequations'!$B$21&lt;&gt;1)</xm:f>
            <x14:dxf>
              <font>
                <color theme="0" tint="-0.14996795556505021"/>
              </font>
            </x14:dxf>
          </x14:cfRule>
          <xm:sqref>L18:M18</xm:sqref>
        </x14:conditionalFormatting>
        <x14:conditionalFormatting xmlns:xm="http://schemas.microsoft.com/office/excel/2006/main">
          <x14:cfRule type="expression" priority="20" id="{C2078D13-9E87-4A23-ADDF-B1BBE77E32CB}">
            <xm:f>('LMC-ADequations'!$B$21&lt;&gt;2)</xm:f>
            <x14:dxf>
              <font>
                <color theme="0" tint="-0.14996795556505021"/>
              </font>
            </x14:dxf>
          </x14:cfRule>
          <xm:sqref>L20:M20</xm:sqref>
        </x14:conditionalFormatting>
        <x14:conditionalFormatting xmlns:xm="http://schemas.microsoft.com/office/excel/2006/main">
          <x14:cfRule type="expression" priority="19" id="{92F06EC8-3997-43C9-AF25-CC06BCE157B0}">
            <xm:f>('LMC-ADequations'!$B$21&lt;&gt;3)</xm:f>
            <x14:dxf>
              <font>
                <color theme="0" tint="-0.14996795556505021"/>
              </font>
            </x14:dxf>
          </x14:cfRule>
          <xm:sqref>L22:M22</xm:sqref>
        </x14:conditionalFormatting>
        <x14:conditionalFormatting xmlns:xm="http://schemas.microsoft.com/office/excel/2006/main">
          <x14:cfRule type="expression" priority="22" id="{E7FC1B7A-3562-44EB-B017-F665F5AA0563}">
            <xm:f>('LMC-ADequations'!$B$21&lt;&gt;3)</xm:f>
            <x14:dxf>
              <font>
                <color theme="0" tint="-0.34998626667073579"/>
              </font>
            </x14:dxf>
          </x14:cfRule>
          <xm:sqref>M21</xm:sqref>
        </x14:conditionalFormatting>
        <x14:conditionalFormatting xmlns:xm="http://schemas.microsoft.com/office/excel/2006/main">
          <x14:cfRule type="expression" priority="110" id="{00000000-000E-0000-0000-000021000000}">
            <xm:f>'LMC-ADequations'!$J$383</xm:f>
            <x14:dxf>
              <font>
                <color rgb="FFC00000"/>
              </font>
            </x14:dxf>
          </x14:cfRule>
          <xm:sqref>N61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decimal" operator="lessThan" allowBlank="1" showInputMessage="1" showErrorMessage="1" xr:uid="{00000000-0002-0000-0000-000009000000}">
          <x14:formula1>
            <xm:f>'LMC-ADequations'!C392+1</xm:f>
          </x14:formula1>
          <xm:sqref>L21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Q396"/>
  <sheetViews>
    <sheetView topLeftCell="A273" zoomScaleNormal="100" workbookViewId="0">
      <selection activeCell="B300" sqref="B300"/>
    </sheetView>
  </sheetViews>
  <sheetFormatPr defaultRowHeight="15" x14ac:dyDescent="0.25"/>
  <cols>
    <col min="1" max="1" width="32.5703125" customWidth="1"/>
    <col min="2" max="2" width="9.42578125" customWidth="1"/>
    <col min="4" max="4" width="10.85546875" customWidth="1"/>
    <col min="6" max="6" width="9.42578125" bestFit="1" customWidth="1"/>
    <col min="8" max="8" width="14.42578125" customWidth="1"/>
    <col min="13" max="13" width="15.42578125" customWidth="1"/>
    <col min="15" max="15" width="18" customWidth="1"/>
    <col min="36" max="36" width="13.42578125" customWidth="1"/>
  </cols>
  <sheetData>
    <row r="1" spans="1:7" ht="20.25" thickBot="1" x14ac:dyDescent="0.35">
      <c r="A1" s="2" t="s">
        <v>159</v>
      </c>
    </row>
    <row r="2" spans="1:7" ht="15.75" thickTop="1" x14ac:dyDescent="0.25"/>
    <row r="3" spans="1:7" x14ac:dyDescent="0.25">
      <c r="A3" t="s">
        <v>159</v>
      </c>
      <c r="B3">
        <v>1</v>
      </c>
      <c r="C3" t="str">
        <f>IF(B3=1,"[L/s/m]","[m³/h/m]")</f>
        <v>[L/s/m]</v>
      </c>
      <c r="D3" t="str">
        <f>IF(B3=1,"L/s/m","m³/h/m")</f>
        <v>L/s/m</v>
      </c>
    </row>
    <row r="4" spans="1:7" x14ac:dyDescent="0.25">
      <c r="A4" t="s">
        <v>160</v>
      </c>
      <c r="B4">
        <f>IF(B3=1,1,3.6)</f>
        <v>1</v>
      </c>
      <c r="C4" t="str">
        <f>IF(B4=1,"L/s/m²","m³/h/m²")</f>
        <v>L/s/m²</v>
      </c>
      <c r="D4" t="str">
        <f>IF(B3=1,"L/s","m³/h")</f>
        <v>L/s</v>
      </c>
    </row>
    <row r="6" spans="1:7" ht="20.25" thickBot="1" x14ac:dyDescent="0.35">
      <c r="A6" s="2" t="s">
        <v>161</v>
      </c>
    </row>
    <row r="7" spans="1:7" ht="15.75" thickTop="1" x14ac:dyDescent="0.25"/>
    <row r="8" spans="1:7" x14ac:dyDescent="0.25">
      <c r="A8" t="s">
        <v>162</v>
      </c>
      <c r="B8">
        <f>'LMC-AD'!E9</f>
        <v>250</v>
      </c>
    </row>
    <row r="9" spans="1:7" x14ac:dyDescent="0.25">
      <c r="A9" t="s">
        <v>163</v>
      </c>
      <c r="B9">
        <f>'LMC-AD'!E11</f>
        <v>100</v>
      </c>
      <c r="G9" s="6"/>
    </row>
    <row r="10" spans="1:7" x14ac:dyDescent="0.25">
      <c r="A10" t="s">
        <v>164</v>
      </c>
      <c r="B10">
        <f>'LMC-AD'!E13</f>
        <v>30</v>
      </c>
    </row>
    <row r="11" spans="1:7" x14ac:dyDescent="0.25">
      <c r="A11" t="s">
        <v>165</v>
      </c>
      <c r="B11">
        <f>'LMC-AD'!E15</f>
        <v>-12</v>
      </c>
    </row>
    <row r="12" spans="1:7" x14ac:dyDescent="0.25">
      <c r="A12" t="s">
        <v>166</v>
      </c>
      <c r="B12">
        <f>'LMC-AD'!E17</f>
        <v>2.7</v>
      </c>
    </row>
    <row r="13" spans="1:7" x14ac:dyDescent="0.25">
      <c r="A13" t="s">
        <v>167</v>
      </c>
      <c r="B13">
        <f>'LMC-AD'!E19</f>
        <v>0.5</v>
      </c>
    </row>
    <row r="14" spans="1:7" x14ac:dyDescent="0.25">
      <c r="A14" t="s">
        <v>9</v>
      </c>
      <c r="B14" s="26">
        <v>2</v>
      </c>
    </row>
    <row r="15" spans="1:7" x14ac:dyDescent="0.25">
      <c r="A15" t="s">
        <v>168</v>
      </c>
      <c r="B15">
        <f>'LMC-AD'!L21/B4</f>
        <v>5</v>
      </c>
    </row>
    <row r="16" spans="1:7" x14ac:dyDescent="0.25">
      <c r="A16" t="s">
        <v>169</v>
      </c>
      <c r="B16">
        <f>'LMC-AD'!L11</f>
        <v>0.9</v>
      </c>
    </row>
    <row r="17" spans="1:3" x14ac:dyDescent="0.25">
      <c r="A17" t="s">
        <v>170</v>
      </c>
      <c r="B17">
        <f>'LMC-AD'!L25</f>
        <v>0</v>
      </c>
    </row>
    <row r="18" spans="1:3" x14ac:dyDescent="0.25">
      <c r="A18" t="s">
        <v>171</v>
      </c>
      <c r="B18" s="26">
        <v>1</v>
      </c>
    </row>
    <row r="19" spans="1:3" x14ac:dyDescent="0.25">
      <c r="A19" t="s">
        <v>172</v>
      </c>
      <c r="B19">
        <f>'LMC-AD'!L23</f>
        <v>23</v>
      </c>
      <c r="C19" t="s">
        <v>173</v>
      </c>
    </row>
    <row r="20" spans="1:3" x14ac:dyDescent="0.25">
      <c r="A20" t="s">
        <v>174</v>
      </c>
      <c r="B20">
        <f>'LMC-AD'!L19</f>
        <v>3.4</v>
      </c>
      <c r="C20" t="s">
        <v>31</v>
      </c>
    </row>
    <row r="21" spans="1:3" x14ac:dyDescent="0.25">
      <c r="A21" t="s">
        <v>175</v>
      </c>
      <c r="B21">
        <v>1</v>
      </c>
    </row>
    <row r="23" spans="1:3" ht="20.25" thickBot="1" x14ac:dyDescent="0.35">
      <c r="A23" s="2" t="s">
        <v>176</v>
      </c>
    </row>
    <row r="24" spans="1:3" ht="15.75" thickTop="1" x14ac:dyDescent="0.25"/>
    <row r="25" spans="1:3" x14ac:dyDescent="0.25">
      <c r="A25" t="s">
        <v>162</v>
      </c>
      <c r="B25">
        <f>B8/B4</f>
        <v>250</v>
      </c>
    </row>
    <row r="26" spans="1:3" x14ac:dyDescent="0.25">
      <c r="A26" t="s">
        <v>163</v>
      </c>
      <c r="B26">
        <f>B9/100</f>
        <v>1</v>
      </c>
    </row>
    <row r="27" spans="1:3" x14ac:dyDescent="0.25">
      <c r="A27" t="s">
        <v>177</v>
      </c>
      <c r="B27">
        <f>B25*B26</f>
        <v>250</v>
      </c>
    </row>
    <row r="28" spans="1:3" x14ac:dyDescent="0.25">
      <c r="A28" t="s">
        <v>164</v>
      </c>
      <c r="B28">
        <f>B10</f>
        <v>30</v>
      </c>
    </row>
    <row r="29" spans="1:3" x14ac:dyDescent="0.25">
      <c r="A29" t="s">
        <v>165</v>
      </c>
      <c r="B29">
        <f>ABS(B11)</f>
        <v>12</v>
      </c>
    </row>
    <row r="30" spans="1:3" x14ac:dyDescent="0.25">
      <c r="A30" t="s">
        <v>166</v>
      </c>
      <c r="B30">
        <f>B12</f>
        <v>2.7</v>
      </c>
    </row>
    <row r="31" spans="1:3" x14ac:dyDescent="0.25">
      <c r="A31" t="s">
        <v>167</v>
      </c>
      <c r="B31">
        <f>B13</f>
        <v>0.5</v>
      </c>
    </row>
    <row r="32" spans="1:3" x14ac:dyDescent="0.25">
      <c r="A32" t="s">
        <v>9</v>
      </c>
      <c r="B32">
        <f>B14</f>
        <v>2</v>
      </c>
    </row>
    <row r="34" spans="1:11" x14ac:dyDescent="0.25">
      <c r="A34" t="s">
        <v>169</v>
      </c>
      <c r="B34" s="11">
        <f>B16</f>
        <v>0.9</v>
      </c>
    </row>
    <row r="35" spans="1:11" x14ac:dyDescent="0.25">
      <c r="A35" t="s">
        <v>178</v>
      </c>
      <c r="B35" s="78">
        <f>VLOOKUP('LMC-ADequations'!B34,data!A2:B5,2,0)</f>
        <v>0.25</v>
      </c>
    </row>
    <row r="36" spans="1:11" x14ac:dyDescent="0.25">
      <c r="A36" t="s">
        <v>170</v>
      </c>
      <c r="B36" s="11">
        <f>(1+B17/100)</f>
        <v>1</v>
      </c>
    </row>
    <row r="37" spans="1:11" x14ac:dyDescent="0.25">
      <c r="A37" t="s">
        <v>179</v>
      </c>
      <c r="B37" s="15">
        <f>B18-1</f>
        <v>0</v>
      </c>
      <c r="C37" t="str">
        <f>IF(B37=0,"Closed","Free")</f>
        <v>Closed</v>
      </c>
    </row>
    <row r="38" spans="1:11" x14ac:dyDescent="0.25">
      <c r="A38" t="s">
        <v>180</v>
      </c>
      <c r="B38">
        <f>IF(B37=1,0.833,1)</f>
        <v>1</v>
      </c>
    </row>
    <row r="39" spans="1:11" x14ac:dyDescent="0.25">
      <c r="A39" t="s">
        <v>181</v>
      </c>
      <c r="B39">
        <f>IF(B37=1,1.1,1)</f>
        <v>1</v>
      </c>
    </row>
    <row r="41" spans="1:11" x14ac:dyDescent="0.25">
      <c r="A41" t="s">
        <v>182</v>
      </c>
      <c r="B41" s="4">
        <f>(34-$B$19)*($B$35-0.05)^0.62*(0.37*B35*40+3.14)/100</f>
        <v>0.27738781792388134</v>
      </c>
    </row>
    <row r="42" spans="1:11" x14ac:dyDescent="0.25">
      <c r="A42" t="s">
        <v>183</v>
      </c>
      <c r="B42" s="6">
        <f>B297</f>
        <v>14.642563691730427</v>
      </c>
    </row>
    <row r="43" spans="1:11" x14ac:dyDescent="0.25">
      <c r="B43" s="6"/>
    </row>
    <row r="44" spans="1:11" x14ac:dyDescent="0.25">
      <c r="A44" t="s">
        <v>184</v>
      </c>
      <c r="B44" s="165">
        <v>1</v>
      </c>
      <c r="E44" t="s">
        <v>185</v>
      </c>
      <c r="I44" t="s">
        <v>186</v>
      </c>
      <c r="K44" t="s">
        <v>187</v>
      </c>
    </row>
    <row r="45" spans="1:11" x14ac:dyDescent="0.25">
      <c r="A45" t="s">
        <v>188</v>
      </c>
      <c r="B45" s="165">
        <f>IF(B44=1,E50,I50)</f>
        <v>300</v>
      </c>
      <c r="C45" t="s">
        <v>189</v>
      </c>
      <c r="D45">
        <v>1</v>
      </c>
      <c r="E45">
        <v>150</v>
      </c>
      <c r="F45" s="166">
        <f>PI()*(E45/2000)^2</f>
        <v>1.7671458676442587E-2</v>
      </c>
      <c r="G45" s="6">
        <f>IF($B$25/1000/F45&gt;3.6,0,$B$25/1000/F45)</f>
        <v>0</v>
      </c>
      <c r="H45">
        <v>1</v>
      </c>
      <c r="I45">
        <v>160</v>
      </c>
      <c r="J45" s="166">
        <f>PI()*(I45/2000)^2</f>
        <v>2.0106192982974676E-2</v>
      </c>
      <c r="K45" s="6">
        <f>IF($B$25/1000/J45&gt;3.6,0,$B$25/1000/J45)</f>
        <v>0</v>
      </c>
    </row>
    <row r="46" spans="1:11" x14ac:dyDescent="0.25">
      <c r="A46" t="s">
        <v>190</v>
      </c>
      <c r="B46" s="107">
        <f>IF(B44=1,F50,J50)</f>
        <v>7.0685834705770348E-2</v>
      </c>
      <c r="C46" t="s">
        <v>191</v>
      </c>
      <c r="D46">
        <v>2</v>
      </c>
      <c r="E46">
        <v>200</v>
      </c>
      <c r="F46" s="166">
        <f t="shared" ref="F46:F49" si="0">PI()*(E46/2000)^2</f>
        <v>3.1415926535897934E-2</v>
      </c>
      <c r="G46" s="6">
        <f t="shared" ref="G46:G49" si="1">IF($B$25/1000/F46&gt;3.6,0,$B$25/1000/F46)</f>
        <v>0</v>
      </c>
      <c r="H46">
        <v>2</v>
      </c>
      <c r="I46">
        <v>200</v>
      </c>
      <c r="J46" s="166">
        <f>PI()*(I46/2000)^2</f>
        <v>3.1415926535897934E-2</v>
      </c>
      <c r="K46" s="6">
        <f t="shared" ref="K46:K49" si="2">IF($B$25/1000/J46&gt;3.6,0,$B$25/1000/J46)</f>
        <v>0</v>
      </c>
    </row>
    <row r="47" spans="1:11" x14ac:dyDescent="0.25">
      <c r="A47" t="s">
        <v>192</v>
      </c>
      <c r="B47" s="107">
        <f>IF(B44=1,G50,K50)</f>
        <v>3.5367765131532298</v>
      </c>
      <c r="C47" t="s">
        <v>193</v>
      </c>
      <c r="D47">
        <v>3</v>
      </c>
      <c r="E47">
        <v>250</v>
      </c>
      <c r="F47" s="166">
        <f t="shared" si="0"/>
        <v>4.9087385212340517E-2</v>
      </c>
      <c r="G47" s="6">
        <f t="shared" si="1"/>
        <v>0</v>
      </c>
      <c r="H47">
        <v>3</v>
      </c>
      <c r="I47">
        <v>250</v>
      </c>
      <c r="J47" s="166">
        <f>PI()*(I47/2000)^2</f>
        <v>4.9087385212340517E-2</v>
      </c>
      <c r="K47" s="6">
        <f t="shared" si="2"/>
        <v>0</v>
      </c>
    </row>
    <row r="48" spans="1:11" x14ac:dyDescent="0.25">
      <c r="B48" s="6"/>
      <c r="D48">
        <v>4</v>
      </c>
      <c r="E48">
        <v>300</v>
      </c>
      <c r="F48" s="166">
        <f t="shared" si="0"/>
        <v>7.0685834705770348E-2</v>
      </c>
      <c r="G48" s="6">
        <f t="shared" si="1"/>
        <v>3.5367765131532298</v>
      </c>
      <c r="H48">
        <v>4</v>
      </c>
      <c r="I48">
        <v>315</v>
      </c>
      <c r="J48" s="166">
        <f>PI()*(I48/2000)^2</f>
        <v>7.793113276311181E-2</v>
      </c>
      <c r="K48" s="6">
        <f t="shared" si="2"/>
        <v>3.2079605561480542</v>
      </c>
    </row>
    <row r="49" spans="1:11" x14ac:dyDescent="0.25">
      <c r="B49" s="6"/>
      <c r="D49" s="158">
        <v>5</v>
      </c>
      <c r="E49" s="158">
        <v>350</v>
      </c>
      <c r="F49" s="170">
        <f t="shared" si="0"/>
        <v>9.6211275016187398E-2</v>
      </c>
      <c r="G49" s="171">
        <f t="shared" si="1"/>
        <v>2.5984480504799246</v>
      </c>
      <c r="H49" s="158">
        <v>5</v>
      </c>
      <c r="I49" s="158">
        <v>355</v>
      </c>
      <c r="J49" s="170">
        <f>PI()*(I49/2000)^2</f>
        <v>9.8979803542163416E-2</v>
      </c>
      <c r="K49" s="171">
        <f t="shared" si="2"/>
        <v>2.5257677935631082</v>
      </c>
    </row>
    <row r="50" spans="1:11" x14ac:dyDescent="0.25">
      <c r="B50" s="6"/>
      <c r="D50" s="6">
        <f>6-COUNTIF(G45:G49,"&gt;0")</f>
        <v>4</v>
      </c>
      <c r="E50">
        <f>VLOOKUP($D$50,$D$45:$G$49,2,0)</f>
        <v>300</v>
      </c>
      <c r="F50">
        <f>VLOOKUP($D$50,$D$45:$G$49,3,0)</f>
        <v>7.0685834705770348E-2</v>
      </c>
      <c r="G50">
        <f>VLOOKUP($D$50,$D$45:$G$49,4,0)</f>
        <v>3.5367765131532298</v>
      </c>
      <c r="H50" s="6">
        <f>6-COUNTIF(K45:K49,"&gt;0")</f>
        <v>4</v>
      </c>
      <c r="I50">
        <f>VLOOKUP($H$50,$H$45:$K$49,2,0)</f>
        <v>315</v>
      </c>
      <c r="J50">
        <f>VLOOKUP($H$50,$H$45:$K$49,3,0)</f>
        <v>7.793113276311181E-2</v>
      </c>
      <c r="K50">
        <f>VLOOKUP($H$50,$H$45:$K$49,4,0)</f>
        <v>3.2079605561480542</v>
      </c>
    </row>
    <row r="51" spans="1:11" x14ac:dyDescent="0.25">
      <c r="B51" s="6"/>
    </row>
    <row r="52" spans="1:11" x14ac:dyDescent="0.25">
      <c r="A52" t="s">
        <v>194</v>
      </c>
      <c r="B52" s="6">
        <f>IF($B$37=1,0.85,1)</f>
        <v>1</v>
      </c>
    </row>
    <row r="53" spans="1:11" x14ac:dyDescent="0.25">
      <c r="A53" t="s">
        <v>195</v>
      </c>
      <c r="B53" s="6">
        <f>IF($B$37=1,0.8,1)</f>
        <v>1</v>
      </c>
    </row>
    <row r="55" spans="1:11" x14ac:dyDescent="0.25">
      <c r="A55" t="s">
        <v>196</v>
      </c>
      <c r="B55">
        <f>B25*B26</f>
        <v>250</v>
      </c>
      <c r="D55" t="s">
        <v>197</v>
      </c>
    </row>
    <row r="57" spans="1:11" x14ac:dyDescent="0.25">
      <c r="A57" t="s">
        <v>198</v>
      </c>
      <c r="B57">
        <f>IFERROR(ROUND(C57*B8,1),"custom")</f>
        <v>290.8</v>
      </c>
      <c r="C57">
        <f>D57/1000</f>
        <v>1.163</v>
      </c>
      <c r="D57">
        <f>IF(data!C7=1,1200,IF(data!C7=2,1163,""))</f>
        <v>1163</v>
      </c>
    </row>
    <row r="59" spans="1:11" x14ac:dyDescent="0.25">
      <c r="A59" s="3" t="s">
        <v>199</v>
      </c>
    </row>
    <row r="60" spans="1:11" x14ac:dyDescent="0.25">
      <c r="A60" s="3"/>
    </row>
    <row r="61" spans="1:11" x14ac:dyDescent="0.25">
      <c r="A61" t="s">
        <v>200</v>
      </c>
      <c r="B61" s="7">
        <f>D61*SQRT($B$25)+E61</f>
        <v>2.85004364704205</v>
      </c>
      <c r="D61" s="226">
        <v>4.2819999999999997E-2</v>
      </c>
      <c r="E61" s="226">
        <v>2.173</v>
      </c>
    </row>
    <row r="62" spans="1:11" x14ac:dyDescent="0.25">
      <c r="A62" t="s">
        <v>201</v>
      </c>
      <c r="B62" s="7">
        <f>D61*SQRT($B$25*2)+E61</f>
        <v>3.1304843079654101</v>
      </c>
      <c r="F62" s="5"/>
    </row>
    <row r="63" spans="1:11" x14ac:dyDescent="0.25">
      <c r="A63" t="s">
        <v>202</v>
      </c>
      <c r="B63" s="7">
        <f>IF($B$32=2,$B$61,$B$62)</f>
        <v>2.85004364704205</v>
      </c>
      <c r="F63" s="5"/>
    </row>
    <row r="64" spans="1:11" x14ac:dyDescent="0.25">
      <c r="B64" s="7"/>
      <c r="F64" s="5"/>
    </row>
    <row r="65" spans="1:17" x14ac:dyDescent="0.25">
      <c r="A65" t="s">
        <v>556</v>
      </c>
      <c r="B65" s="7">
        <f>0.9+0.1*($B$29/8)</f>
        <v>1.05</v>
      </c>
      <c r="F65" s="5"/>
    </row>
    <row r="66" spans="1:17" x14ac:dyDescent="0.25">
      <c r="A66" s="3"/>
    </row>
    <row r="67" spans="1:17" x14ac:dyDescent="0.25">
      <c r="A67" t="s">
        <v>169</v>
      </c>
    </row>
    <row r="68" spans="1:17" x14ac:dyDescent="0.25">
      <c r="A68" t="s">
        <v>199</v>
      </c>
      <c r="B68" s="11">
        <v>0.95</v>
      </c>
      <c r="C68">
        <f>C69+0.1</f>
        <v>2.9500436470420501</v>
      </c>
    </row>
    <row r="69" spans="1:17" x14ac:dyDescent="0.25">
      <c r="B69" s="11">
        <v>0.9</v>
      </c>
      <c r="C69" s="7">
        <f>B63</f>
        <v>2.85004364704205</v>
      </c>
    </row>
    <row r="70" spans="1:17" x14ac:dyDescent="0.25">
      <c r="B70" s="11">
        <v>0.8</v>
      </c>
      <c r="C70">
        <f>C69-0.1</f>
        <v>2.75004364704205</v>
      </c>
    </row>
    <row r="71" spans="1:17" x14ac:dyDescent="0.25">
      <c r="B71" s="11">
        <v>0.7</v>
      </c>
      <c r="C71">
        <f>C70-0.1</f>
        <v>2.6500436470420499</v>
      </c>
    </row>
    <row r="73" spans="1:17" x14ac:dyDescent="0.25">
      <c r="A73" s="3" t="s">
        <v>203</v>
      </c>
      <c r="B73" t="s">
        <v>204</v>
      </c>
      <c r="F73" t="s">
        <v>205</v>
      </c>
      <c r="K73" t="s">
        <v>206</v>
      </c>
    </row>
    <row r="74" spans="1:17" x14ac:dyDescent="0.25">
      <c r="D74" t="s">
        <v>207</v>
      </c>
      <c r="H74" t="s">
        <v>207</v>
      </c>
      <c r="L74" s="265" t="s">
        <v>10</v>
      </c>
      <c r="N74" s="265" t="s">
        <v>11</v>
      </c>
      <c r="P74" s="265" t="s">
        <v>208</v>
      </c>
    </row>
    <row r="75" spans="1:17" x14ac:dyDescent="0.25">
      <c r="A75" t="s">
        <v>209</v>
      </c>
      <c r="B75" t="s">
        <v>210</v>
      </c>
      <c r="C75" t="s">
        <v>211</v>
      </c>
      <c r="D75" t="s">
        <v>212</v>
      </c>
      <c r="F75" t="s">
        <v>210</v>
      </c>
      <c r="G75" t="s">
        <v>211</v>
      </c>
      <c r="H75" t="s">
        <v>212</v>
      </c>
      <c r="L75" s="265" t="s">
        <v>210</v>
      </c>
      <c r="M75" t="s">
        <v>211</v>
      </c>
      <c r="N75" s="265" t="s">
        <v>210</v>
      </c>
      <c r="O75" t="s">
        <v>211</v>
      </c>
      <c r="P75" s="265" t="s">
        <v>210</v>
      </c>
      <c r="Q75" t="s">
        <v>211</v>
      </c>
    </row>
    <row r="76" spans="1:17" x14ac:dyDescent="0.25">
      <c r="A76">
        <v>2.7</v>
      </c>
      <c r="B76">
        <v>4510</v>
      </c>
      <c r="C76">
        <v>2.2692999999999999</v>
      </c>
      <c r="D76">
        <f>B76*$B$35^C76</f>
        <v>194.05364448580664</v>
      </c>
      <c r="F76">
        <v>2886</v>
      </c>
      <c r="G76">
        <v>2.1520000000000001</v>
      </c>
      <c r="H76">
        <f>F76*$B$35^G76</f>
        <v>146.10437655638026</v>
      </c>
      <c r="K76">
        <v>2.7</v>
      </c>
      <c r="L76" s="265">
        <v>2.4549999999999999E-2</v>
      </c>
      <c r="M76">
        <v>0.4405</v>
      </c>
      <c r="N76" s="265">
        <v>2.4660000000000001E-2</v>
      </c>
      <c r="O76">
        <v>0.4647</v>
      </c>
      <c r="P76" s="265">
        <f>IF($B$32=2,L76,N76)</f>
        <v>2.4549999999999999E-2</v>
      </c>
      <c r="Q76">
        <f>IF($B$32=2,M76,O76)</f>
        <v>0.4405</v>
      </c>
    </row>
    <row r="77" spans="1:17" x14ac:dyDescent="0.25">
      <c r="A77">
        <v>4</v>
      </c>
      <c r="B77">
        <v>3884</v>
      </c>
      <c r="C77">
        <v>2.2425999999999999</v>
      </c>
      <c r="D77">
        <f t="shared" ref="D77:D78" si="3">B77*$B$35^C77</f>
        <v>173.42012091102143</v>
      </c>
      <c r="F77">
        <v>2651</v>
      </c>
      <c r="G77">
        <v>2.1749999999999998</v>
      </c>
      <c r="H77">
        <f t="shared" ref="H77:H78" si="4">F77*$B$35^G77</f>
        <v>129.99577772026794</v>
      </c>
      <c r="K77">
        <v>4</v>
      </c>
      <c r="L77" s="265">
        <v>2.5100000000000001E-2</v>
      </c>
      <c r="M77">
        <v>0.44579999999999997</v>
      </c>
      <c r="N77" s="265">
        <v>2.6689999999999998E-2</v>
      </c>
      <c r="O77">
        <v>0.4597</v>
      </c>
      <c r="P77" s="265">
        <f t="shared" ref="P77:P78" si="5">IF($B$32=2,L77,N77)</f>
        <v>2.5100000000000001E-2</v>
      </c>
      <c r="Q77">
        <f t="shared" ref="Q77:Q78" si="6">IF($B$32=2,M77,O77)</f>
        <v>0.44579999999999997</v>
      </c>
    </row>
    <row r="78" spans="1:17" x14ac:dyDescent="0.25">
      <c r="A78">
        <v>10.0001</v>
      </c>
      <c r="B78">
        <v>3435</v>
      </c>
      <c r="C78">
        <v>2.2753999999999999</v>
      </c>
      <c r="D78">
        <f t="shared" si="3"/>
        <v>146.55459415179587</v>
      </c>
      <c r="F78">
        <v>2317</v>
      </c>
      <c r="G78">
        <v>2.194</v>
      </c>
      <c r="H78">
        <f t="shared" si="4"/>
        <v>110.66401245665284</v>
      </c>
      <c r="K78">
        <v>10.0001</v>
      </c>
      <c r="L78" s="265">
        <v>2.7969999999999998E-2</v>
      </c>
      <c r="M78">
        <v>0.43909999999999999</v>
      </c>
      <c r="N78" s="265">
        <v>2.9270000000000001E-2</v>
      </c>
      <c r="O78">
        <v>0.45569999999999999</v>
      </c>
      <c r="P78" s="265">
        <f t="shared" si="5"/>
        <v>2.7969999999999998E-2</v>
      </c>
      <c r="Q78">
        <f t="shared" si="6"/>
        <v>0.43909999999999999</v>
      </c>
    </row>
    <row r="79" spans="1:17" x14ac:dyDescent="0.25">
      <c r="B79" t="s">
        <v>213</v>
      </c>
      <c r="C79" t="s">
        <v>211</v>
      </c>
      <c r="F79" t="s">
        <v>213</v>
      </c>
      <c r="G79" t="s">
        <v>211</v>
      </c>
      <c r="K79" s="11"/>
    </row>
    <row r="80" spans="1:17" x14ac:dyDescent="0.25">
      <c r="A80" s="158">
        <f>B30</f>
        <v>2.7</v>
      </c>
      <c r="B80" s="158">
        <f>EXP(INDEX(LINEST(LN(D76:D78),LN(A76:A78),,),1,2))</f>
        <v>235.85800421193721</v>
      </c>
      <c r="C80" s="158">
        <f>INDEX(LINEST(LN(D76:D78),LN(A76:A78),,),1)</f>
        <v>-0.20897278485293347</v>
      </c>
      <c r="D80" s="160">
        <f>B80*A80^C80</f>
        <v>191.64934187208348</v>
      </c>
      <c r="E80" s="158" t="s">
        <v>214</v>
      </c>
      <c r="F80" s="158">
        <f>EXP(INDEX(LINEST(LN(H76:H78),LN(A76:A78),,),1,2))</f>
        <v>176.59451316795503</v>
      </c>
      <c r="G80" s="158">
        <f>INDEX(LINEST(LN(H76:H78),LN(A76:A78),,),1)</f>
        <v>-0.20572782138797652</v>
      </c>
      <c r="H80" s="160">
        <f>F80*A80^G80</f>
        <v>143.95729528493115</v>
      </c>
      <c r="I80" s="158" t="s">
        <v>214</v>
      </c>
    </row>
    <row r="81" spans="1:68" x14ac:dyDescent="0.25">
      <c r="A81" t="s">
        <v>215</v>
      </c>
      <c r="B81">
        <f>IF($B$32=2,D80,H80)</f>
        <v>191.64934187208348</v>
      </c>
      <c r="D81" s="3"/>
      <c r="H81" s="3"/>
    </row>
    <row r="82" spans="1:68" x14ac:dyDescent="0.25">
      <c r="A82" t="s">
        <v>216</v>
      </c>
      <c r="B82">
        <f>$B$81/$B$29</f>
        <v>15.97077848934029</v>
      </c>
      <c r="C82" t="s">
        <v>217</v>
      </c>
    </row>
    <row r="83" spans="1:68" x14ac:dyDescent="0.25">
      <c r="A83" t="s">
        <v>218</v>
      </c>
      <c r="B83">
        <f>B82+B84</f>
        <v>19.97077848934029</v>
      </c>
      <c r="C83" t="s">
        <v>217</v>
      </c>
    </row>
    <row r="84" spans="1:68" x14ac:dyDescent="0.25">
      <c r="A84" t="s">
        <v>219</v>
      </c>
      <c r="B84">
        <v>4</v>
      </c>
    </row>
    <row r="86" spans="1:68" x14ac:dyDescent="0.25">
      <c r="A86" t="s">
        <v>553</v>
      </c>
      <c r="B86">
        <f>B31^0.151</f>
        <v>0.90062597984792936</v>
      </c>
    </row>
    <row r="88" spans="1:68" x14ac:dyDescent="0.25">
      <c r="A88" s="3" t="s">
        <v>220</v>
      </c>
    </row>
    <row r="89" spans="1:68" x14ac:dyDescent="0.25">
      <c r="A89" t="s">
        <v>169</v>
      </c>
      <c r="B89" t="s">
        <v>221</v>
      </c>
      <c r="C89" t="s">
        <v>222</v>
      </c>
      <c r="E89" t="s">
        <v>223</v>
      </c>
      <c r="F89" t="s">
        <v>224</v>
      </c>
    </row>
    <row r="90" spans="1:68" x14ac:dyDescent="0.25">
      <c r="A90" s="1">
        <v>0.95</v>
      </c>
      <c r="B90">
        <v>1.91</v>
      </c>
      <c r="C90">
        <v>2.54</v>
      </c>
      <c r="E90">
        <v>5.3170379048810661</v>
      </c>
      <c r="F90">
        <v>4.4308649207342219</v>
      </c>
      <c r="H90" s="1"/>
    </row>
    <row r="91" spans="1:68" x14ac:dyDescent="0.25">
      <c r="A91" s="1">
        <v>0.9</v>
      </c>
      <c r="B91">
        <v>1.5</v>
      </c>
      <c r="C91">
        <v>2</v>
      </c>
      <c r="E91">
        <v>6</v>
      </c>
      <c r="F91">
        <v>5</v>
      </c>
      <c r="H91" s="1"/>
    </row>
    <row r="92" spans="1:68" x14ac:dyDescent="0.25">
      <c r="A92" s="1">
        <v>0.8</v>
      </c>
      <c r="B92">
        <v>1</v>
      </c>
      <c r="C92">
        <v>1.32</v>
      </c>
      <c r="E92">
        <v>7.3659241902378696</v>
      </c>
      <c r="F92">
        <v>6.138270158531558</v>
      </c>
      <c r="H92" s="1"/>
    </row>
    <row r="93" spans="1:68" x14ac:dyDescent="0.25">
      <c r="A93" s="159">
        <v>0.7</v>
      </c>
      <c r="B93" s="158">
        <v>0.7</v>
      </c>
      <c r="C93" s="158">
        <v>0.94</v>
      </c>
      <c r="D93" s="158"/>
      <c r="E93" s="158">
        <v>8.7318483804757356</v>
      </c>
      <c r="F93" s="158">
        <v>7.2765403170631142</v>
      </c>
      <c r="H93" s="1"/>
      <c r="BK93" t="s">
        <v>225</v>
      </c>
      <c r="BL93" t="s">
        <v>226</v>
      </c>
      <c r="BM93" t="s">
        <v>227</v>
      </c>
      <c r="BO93" t="s">
        <v>228</v>
      </c>
      <c r="BP93" t="s">
        <v>229</v>
      </c>
    </row>
    <row r="94" spans="1:68" x14ac:dyDescent="0.25">
      <c r="A94" s="1" t="s">
        <v>230</v>
      </c>
      <c r="B94">
        <f>VLOOKUP($B$34,A90:F93,2,0)</f>
        <v>1.5</v>
      </c>
      <c r="D94" t="s">
        <v>231</v>
      </c>
      <c r="E94">
        <f>VLOOKUP($B$34,A90:F93,5,0)</f>
        <v>6</v>
      </c>
      <c r="BK94">
        <v>130</v>
      </c>
      <c r="BL94" s="6">
        <f>BK94^2*$BA$137+BK94*$BB$137+$BC$137</f>
        <v>0</v>
      </c>
      <c r="BM94">
        <f>(BK94/$AY$125)^2*$AY$127</f>
        <v>5.3438335778734301</v>
      </c>
      <c r="BO94">
        <v>15.324</v>
      </c>
      <c r="BP94">
        <v>-2.6400999999999999</v>
      </c>
    </row>
    <row r="95" spans="1:68" x14ac:dyDescent="0.25">
      <c r="A95" s="1" t="s">
        <v>232</v>
      </c>
      <c r="B95" s="158">
        <f>VLOOKUP($B$34,A90:F93,3,0)</f>
        <v>2</v>
      </c>
      <c r="C95" s="158"/>
      <c r="D95" s="158"/>
      <c r="E95" s="158">
        <f>VLOOKUP($B$34,A90:F93,6,0)</f>
        <v>5</v>
      </c>
      <c r="BK95">
        <v>210</v>
      </c>
      <c r="BL95" s="6">
        <f>BK95^2*$BA$137+BK95*$BB$137+$BC$137</f>
        <v>0</v>
      </c>
      <c r="BM95">
        <f>(BK95/$AY$125)^2*$AY$127</f>
        <v>13.944559809717058</v>
      </c>
      <c r="BP95" s="10"/>
    </row>
    <row r="96" spans="1:68" x14ac:dyDescent="0.25">
      <c r="BK96">
        <v>280</v>
      </c>
      <c r="BL96" s="6">
        <f>BK96^2*$BA$137+BK96*$BB$137+$BC$137</f>
        <v>0</v>
      </c>
      <c r="BM96">
        <f>(BK96/$AY$125)^2*$AY$127</f>
        <v>24.790328550608102</v>
      </c>
      <c r="BP96" s="10"/>
    </row>
    <row r="97" spans="1:68" x14ac:dyDescent="0.25">
      <c r="A97" s="3" t="s">
        <v>233</v>
      </c>
      <c r="BL97" s="6"/>
      <c r="BP97" s="10"/>
    </row>
    <row r="98" spans="1:68" x14ac:dyDescent="0.25">
      <c r="A98" t="s">
        <v>169</v>
      </c>
      <c r="B98" t="s">
        <v>221</v>
      </c>
      <c r="C98" t="s">
        <v>222</v>
      </c>
      <c r="E98" t="s">
        <v>223</v>
      </c>
      <c r="F98" t="s">
        <v>224</v>
      </c>
      <c r="BL98" s="6"/>
      <c r="BP98" s="10"/>
    </row>
    <row r="99" spans="1:68" x14ac:dyDescent="0.25">
      <c r="A99" s="1">
        <v>0.95</v>
      </c>
      <c r="B99">
        <v>1.5</v>
      </c>
      <c r="C99">
        <v>2</v>
      </c>
      <c r="E99">
        <v>5.3170379048810661</v>
      </c>
      <c r="F99">
        <v>4.4308649207342219</v>
      </c>
      <c r="BL99" s="6"/>
      <c r="BP99" s="10"/>
    </row>
    <row r="100" spans="1:68" x14ac:dyDescent="0.25">
      <c r="A100" s="1">
        <v>0.9</v>
      </c>
      <c r="B100">
        <v>1.2152339999999999</v>
      </c>
      <c r="C100">
        <v>1.6165400000000001</v>
      </c>
      <c r="E100">
        <v>6</v>
      </c>
      <c r="F100">
        <v>5</v>
      </c>
      <c r="BL100" s="6"/>
      <c r="BP100" s="10"/>
    </row>
    <row r="101" spans="1:68" x14ac:dyDescent="0.25">
      <c r="A101" s="1">
        <v>0.8</v>
      </c>
      <c r="B101">
        <v>0.80587399999999998</v>
      </c>
      <c r="C101">
        <v>1.0763499999999999</v>
      </c>
      <c r="E101">
        <v>7.3659241902378696</v>
      </c>
      <c r="F101">
        <v>6.138270158531558</v>
      </c>
      <c r="BL101" s="6"/>
      <c r="BP101" s="10"/>
    </row>
    <row r="102" spans="1:68" x14ac:dyDescent="0.25">
      <c r="A102" s="159">
        <v>0.7</v>
      </c>
      <c r="B102" s="158">
        <v>0.7</v>
      </c>
      <c r="C102" s="158">
        <v>0.94</v>
      </c>
      <c r="D102" s="158"/>
      <c r="E102" s="158">
        <v>8.7318483804757356</v>
      </c>
      <c r="F102" s="158">
        <v>7.2765403170631142</v>
      </c>
      <c r="BL102" s="6"/>
      <c r="BP102" s="10"/>
    </row>
    <row r="103" spans="1:68" x14ac:dyDescent="0.25">
      <c r="A103" s="1" t="s">
        <v>230</v>
      </c>
      <c r="B103">
        <f>VLOOKUP($B$34,A99:F102,2,0)</f>
        <v>1.2152339999999999</v>
      </c>
      <c r="D103" t="s">
        <v>231</v>
      </c>
      <c r="E103">
        <f>VLOOKUP($B$34,A99:F102,5,0)</f>
        <v>6</v>
      </c>
      <c r="BL103" s="6"/>
      <c r="BP103" s="10"/>
    </row>
    <row r="104" spans="1:68" x14ac:dyDescent="0.25">
      <c r="A104" s="1" t="s">
        <v>232</v>
      </c>
      <c r="B104" s="158">
        <f>VLOOKUP($B$34,A99:F102,3,0)</f>
        <v>1.6165400000000001</v>
      </c>
      <c r="C104" s="158"/>
      <c r="D104" s="158"/>
      <c r="E104" s="158">
        <f>VLOOKUP($B$34,A99:F102,6,0)</f>
        <v>5</v>
      </c>
      <c r="BK104">
        <v>330</v>
      </c>
      <c r="BL104" s="6">
        <f>BK104^2*$BA$137+BK104*$BB$137+$BC$137</f>
        <v>0</v>
      </c>
      <c r="BM104">
        <f>(BK104/$AY$125)^2*$AY$127</f>
        <v>34.434525244403353</v>
      </c>
    </row>
    <row r="105" spans="1:68" x14ac:dyDescent="0.25">
      <c r="A105" s="1"/>
      <c r="BL105" s="6"/>
    </row>
    <row r="106" spans="1:68" x14ac:dyDescent="0.25">
      <c r="A106" s="3" t="s">
        <v>234</v>
      </c>
    </row>
    <row r="108" spans="1:68" x14ac:dyDescent="0.25">
      <c r="A108" s="3" t="s">
        <v>235</v>
      </c>
      <c r="B108" s="3" t="s">
        <v>236</v>
      </c>
    </row>
    <row r="109" spans="1:68" x14ac:dyDescent="0.25">
      <c r="A109">
        <v>2</v>
      </c>
      <c r="B109">
        <v>1.01123595505618</v>
      </c>
      <c r="BK109" t="s">
        <v>226</v>
      </c>
      <c r="BL109">
        <f>BO94*LN(AY128)+BP94</f>
        <v>43.083593408564369</v>
      </c>
    </row>
    <row r="110" spans="1:68" x14ac:dyDescent="0.25">
      <c r="A110">
        <v>2.7</v>
      </c>
      <c r="B110">
        <v>0.66725663716814154</v>
      </c>
    </row>
    <row r="111" spans="1:68" x14ac:dyDescent="0.25">
      <c r="A111">
        <v>3</v>
      </c>
      <c r="B111">
        <v>0.54867256637168138</v>
      </c>
    </row>
    <row r="112" spans="1:68" x14ac:dyDescent="0.25">
      <c r="A112">
        <v>4</v>
      </c>
      <c r="B112">
        <v>0.27433628318584069</v>
      </c>
    </row>
    <row r="113" spans="1:52" x14ac:dyDescent="0.25">
      <c r="A113" s="158">
        <v>5</v>
      </c>
      <c r="B113" s="158">
        <v>8.8495575221238937E-2</v>
      </c>
    </row>
    <row r="114" spans="1:52" x14ac:dyDescent="0.25">
      <c r="A114">
        <f>B30</f>
        <v>2.7</v>
      </c>
      <c r="B114">
        <f>5.7114*EXP(-0.804*A114)</f>
        <v>0.65159255861242893</v>
      </c>
    </row>
    <row r="116" spans="1:52" x14ac:dyDescent="0.25">
      <c r="A116" s="3" t="s">
        <v>349</v>
      </c>
      <c r="C116" t="s">
        <v>350</v>
      </c>
      <c r="D116" t="s">
        <v>351</v>
      </c>
      <c r="E116" t="s">
        <v>208</v>
      </c>
    </row>
    <row r="117" spans="1:52" x14ac:dyDescent="0.25">
      <c r="A117">
        <v>1</v>
      </c>
      <c r="B117">
        <f>3*$B$39*(0.1*($B$29/8)+0.9)</f>
        <v>3.1500000000000004</v>
      </c>
      <c r="C117" t="s">
        <v>228</v>
      </c>
      <c r="D117" t="s">
        <v>352</v>
      </c>
      <c r="E117" t="str">
        <f>IF($B$32=2,C117,D117)</f>
        <v>A</v>
      </c>
    </row>
    <row r="118" spans="1:52" x14ac:dyDescent="0.25">
      <c r="A118">
        <v>2</v>
      </c>
      <c r="B118">
        <f>4*$B$39*(0.1*($B$29/8)+0.9)</f>
        <v>4.2</v>
      </c>
      <c r="C118" t="s">
        <v>229</v>
      </c>
      <c r="D118" t="s">
        <v>353</v>
      </c>
      <c r="E118" t="str">
        <f t="shared" ref="E118:E119" si="7">IF($B$32=2,C118,D118)</f>
        <v>B</v>
      </c>
    </row>
    <row r="119" spans="1:52" x14ac:dyDescent="0.25">
      <c r="A119">
        <v>3</v>
      </c>
      <c r="C119" t="s">
        <v>173</v>
      </c>
      <c r="D119" t="s">
        <v>354</v>
      </c>
      <c r="E119" t="str">
        <f t="shared" si="7"/>
        <v>C</v>
      </c>
    </row>
    <row r="121" spans="1:52" x14ac:dyDescent="0.25">
      <c r="A121" s="3" t="s">
        <v>568</v>
      </c>
      <c r="B121">
        <v>1.2999999999999999E-2</v>
      </c>
    </row>
    <row r="123" spans="1:52" x14ac:dyDescent="0.25">
      <c r="A123" s="3" t="s">
        <v>237</v>
      </c>
      <c r="H123" s="3" t="s">
        <v>238</v>
      </c>
      <c r="O123" s="3" t="s">
        <v>239</v>
      </c>
      <c r="V123" s="3" t="s">
        <v>240</v>
      </c>
      <c r="AC123" s="3" t="s">
        <v>241</v>
      </c>
      <c r="AJ123" s="3" t="s">
        <v>242</v>
      </c>
      <c r="AQ123" s="3" t="s">
        <v>243</v>
      </c>
      <c r="AX123" s="3" t="s">
        <v>244</v>
      </c>
    </row>
    <row r="124" spans="1:52" x14ac:dyDescent="0.25">
      <c r="A124" s="3" t="s">
        <v>245</v>
      </c>
      <c r="B124">
        <v>1</v>
      </c>
      <c r="H124" s="3" t="s">
        <v>245</v>
      </c>
      <c r="I124">
        <v>2</v>
      </c>
      <c r="O124" s="3" t="s">
        <v>245</v>
      </c>
      <c r="P124">
        <v>3</v>
      </c>
      <c r="V124" s="3" t="s">
        <v>245</v>
      </c>
      <c r="W124">
        <v>4</v>
      </c>
      <c r="AC124" s="3" t="s">
        <v>245</v>
      </c>
      <c r="AD124">
        <v>5</v>
      </c>
      <c r="AJ124" s="3" t="s">
        <v>245</v>
      </c>
      <c r="AK124">
        <v>6</v>
      </c>
      <c r="AQ124" s="3" t="s">
        <v>245</v>
      </c>
      <c r="AR124">
        <v>7</v>
      </c>
      <c r="AX124" s="3" t="s">
        <v>245</v>
      </c>
      <c r="AY124">
        <v>8</v>
      </c>
    </row>
    <row r="125" spans="1:52" x14ac:dyDescent="0.25">
      <c r="A125" t="s">
        <v>246</v>
      </c>
      <c r="B125" s="12">
        <v>35</v>
      </c>
      <c r="C125" t="s">
        <v>247</v>
      </c>
      <c r="H125" t="s">
        <v>246</v>
      </c>
      <c r="I125" s="12">
        <v>74</v>
      </c>
      <c r="J125" t="s">
        <v>247</v>
      </c>
      <c r="O125" t="s">
        <v>246</v>
      </c>
      <c r="P125" s="12">
        <v>112</v>
      </c>
      <c r="Q125" t="s">
        <v>247</v>
      </c>
      <c r="V125" t="s">
        <v>246</v>
      </c>
      <c r="W125" s="12">
        <v>149</v>
      </c>
      <c r="X125" t="s">
        <v>247</v>
      </c>
      <c r="AC125" t="s">
        <v>246</v>
      </c>
      <c r="AD125" s="12">
        <v>188</v>
      </c>
      <c r="AE125" t="s">
        <v>247</v>
      </c>
      <c r="AJ125" t="s">
        <v>246</v>
      </c>
      <c r="AK125" s="12">
        <v>228</v>
      </c>
      <c r="AL125" t="s">
        <v>247</v>
      </c>
      <c r="AQ125" t="s">
        <v>246</v>
      </c>
      <c r="AR125" s="12">
        <v>265</v>
      </c>
      <c r="AS125" t="s">
        <v>247</v>
      </c>
      <c r="AX125" t="s">
        <v>246</v>
      </c>
      <c r="AY125" s="12">
        <v>304</v>
      </c>
      <c r="AZ125" t="s">
        <v>247</v>
      </c>
    </row>
    <row r="126" spans="1:52" x14ac:dyDescent="0.25">
      <c r="A126" t="s">
        <v>248</v>
      </c>
      <c r="B126" s="12">
        <v>35</v>
      </c>
      <c r="C126" t="s">
        <v>249</v>
      </c>
      <c r="H126" t="s">
        <v>248</v>
      </c>
      <c r="I126" s="12">
        <v>35</v>
      </c>
      <c r="J126" t="s">
        <v>249</v>
      </c>
      <c r="O126" t="s">
        <v>248</v>
      </c>
      <c r="P126" s="12">
        <v>35</v>
      </c>
      <c r="Q126" t="s">
        <v>249</v>
      </c>
      <c r="V126" t="s">
        <v>248</v>
      </c>
      <c r="W126" s="12">
        <v>35</v>
      </c>
      <c r="X126" t="s">
        <v>249</v>
      </c>
      <c r="AC126" t="s">
        <v>248</v>
      </c>
      <c r="AD126" s="12">
        <v>35</v>
      </c>
      <c r="AE126" t="s">
        <v>249</v>
      </c>
      <c r="AJ126" t="s">
        <v>248</v>
      </c>
      <c r="AK126" s="12">
        <v>35</v>
      </c>
      <c r="AL126" t="s">
        <v>249</v>
      </c>
      <c r="AQ126" t="s">
        <v>248</v>
      </c>
      <c r="AR126" s="12">
        <v>35</v>
      </c>
      <c r="AS126" t="s">
        <v>249</v>
      </c>
      <c r="AX126" t="s">
        <v>248</v>
      </c>
      <c r="AY126" s="12">
        <v>35</v>
      </c>
      <c r="AZ126" t="s">
        <v>249</v>
      </c>
    </row>
    <row r="127" spans="1:52" x14ac:dyDescent="0.25">
      <c r="A127" t="s">
        <v>250</v>
      </c>
      <c r="B127" s="12">
        <f>B126-(0.5*1.225*(B125/1000/(PI()*(0.15/2)^2))^2)</f>
        <v>32.597311980985154</v>
      </c>
      <c r="C127" t="s">
        <v>249</v>
      </c>
      <c r="H127" t="s">
        <v>250</v>
      </c>
      <c r="I127" s="12">
        <f>I126-(0.5*1.225*(I125/1000/(PI()*(0.225/2)^2))^2)</f>
        <v>32.878418609483454</v>
      </c>
      <c r="O127" t="s">
        <v>250</v>
      </c>
      <c r="P127" s="12">
        <f>P126-(0.5*1.225*(P125/1000/(PI()*(0.25/2)^2))^2)</f>
        <v>31.811383119213325</v>
      </c>
      <c r="V127" t="s">
        <v>250</v>
      </c>
      <c r="W127" s="12">
        <f>W126-(0.5*1.225*(W125/1000/(PI()*(0.3/2)^2))^2)</f>
        <v>32.278465473972012</v>
      </c>
      <c r="AC127" t="s">
        <v>250</v>
      </c>
      <c r="AD127" s="12">
        <f>AD126-(0.5*1.225*(AD125/1000/(PI()*(0.3/2)^2))^2)</f>
        <v>30.667316053874458</v>
      </c>
      <c r="AJ127" t="s">
        <v>250</v>
      </c>
      <c r="AK127" s="12">
        <f>AK126-(0.5*1.225*(AK125/1000/(PI()*(0.315/2)^2))^2)</f>
        <v>29.757314460686828</v>
      </c>
      <c r="AQ127" t="s">
        <v>250</v>
      </c>
      <c r="AR127" s="12">
        <f>AR126-(0.5*1.225*(AR125/1000/(PI()*(0.355/2)^2))^2)</f>
        <v>30.609594174359415</v>
      </c>
      <c r="AX127" t="s">
        <v>250</v>
      </c>
      <c r="AY127" s="12">
        <f>AY126-(0.5*1.225*(AY125/1000/(PI()*(0.355/2)^2))^2)</f>
        <v>29.222232185369879</v>
      </c>
    </row>
    <row r="128" spans="1:52" x14ac:dyDescent="0.25">
      <c r="A128" t="s">
        <v>251</v>
      </c>
      <c r="B128">
        <f>($B$25/B125)^2*B127</f>
        <v>1663.128162295161</v>
      </c>
      <c r="H128" t="s">
        <v>251</v>
      </c>
      <c r="I128">
        <f t="shared" ref="I128" si="8">($B$25/I125)^2*I127</f>
        <v>375.25587346470343</v>
      </c>
      <c r="O128" t="s">
        <v>251</v>
      </c>
      <c r="P128">
        <f t="shared" ref="P128" si="9">($B$25/P125)^2*P127</f>
        <v>158.49899911916717</v>
      </c>
      <c r="V128" t="s">
        <v>251</v>
      </c>
      <c r="W128">
        <f t="shared" ref="W128" si="10">($B$25/W125)^2*W127</f>
        <v>90.869964962085078</v>
      </c>
      <c r="AC128" t="s">
        <v>251</v>
      </c>
      <c r="AD128">
        <f t="shared" ref="AD128" si="11">($B$25/AD125)^2*AD127</f>
        <v>54.230060360093752</v>
      </c>
      <c r="AJ128" t="s">
        <v>251</v>
      </c>
      <c r="AK128">
        <f t="shared" ref="AK128" si="12">($B$25/AK125)^2*AK127</f>
        <v>35.777011268715896</v>
      </c>
      <c r="AQ128" t="s">
        <v>251</v>
      </c>
      <c r="AR128">
        <f t="shared" ref="AR128" si="13">($B$25/AR125)^2*AR127</f>
        <v>27.242429845460499</v>
      </c>
      <c r="AX128" t="s">
        <v>251</v>
      </c>
      <c r="AY128">
        <f t="shared" ref="AY128" si="14">($B$25/AY125)^2*AY127</f>
        <v>19.762698143023041</v>
      </c>
    </row>
    <row r="129" spans="1:55" x14ac:dyDescent="0.25">
      <c r="A129" t="s">
        <v>252</v>
      </c>
      <c r="B129">
        <f>B128+0.5*1.225*$B$47^2</f>
        <v>1670.7897950088563</v>
      </c>
      <c r="C129" t="s">
        <v>249</v>
      </c>
      <c r="H129" t="s">
        <v>252</v>
      </c>
      <c r="I129">
        <f t="shared" ref="I129" si="15">I128+0.5*1.225*$B$47^2</f>
        <v>382.9175061783987</v>
      </c>
      <c r="J129" t="s">
        <v>249</v>
      </c>
      <c r="O129" t="s">
        <v>252</v>
      </c>
      <c r="P129">
        <f t="shared" ref="P129" si="16">P128+0.5*1.225*$B$47^2</f>
        <v>166.16063183286246</v>
      </c>
      <c r="Q129" t="s">
        <v>249</v>
      </c>
      <c r="V129" t="s">
        <v>252</v>
      </c>
      <c r="W129">
        <f t="shared" ref="W129" si="17">W128+0.5*1.225*$B$47^2</f>
        <v>98.531597675780375</v>
      </c>
      <c r="X129" t="s">
        <v>249</v>
      </c>
      <c r="AC129" t="s">
        <v>252</v>
      </c>
      <c r="AD129">
        <f t="shared" ref="AD129" si="18">AD128+0.5*1.225*$B$47^2</f>
        <v>61.89169307378905</v>
      </c>
      <c r="AE129" t="s">
        <v>249</v>
      </c>
      <c r="AJ129" t="s">
        <v>252</v>
      </c>
      <c r="AK129">
        <f t="shared" ref="AK129" si="19">AK128+0.5*1.225*$B$47^2</f>
        <v>43.438643982411193</v>
      </c>
      <c r="AL129" t="s">
        <v>249</v>
      </c>
      <c r="AQ129" t="s">
        <v>252</v>
      </c>
      <c r="AR129">
        <f t="shared" ref="AR129" si="20">AR128+0.5*1.225*$B$47^2</f>
        <v>34.904062559155797</v>
      </c>
      <c r="AS129" t="s">
        <v>249</v>
      </c>
      <c r="AX129" t="s">
        <v>252</v>
      </c>
      <c r="AY129">
        <f t="shared" ref="AY129" si="21">AY128+0.5*1.225*$B$47^2</f>
        <v>27.424330856718335</v>
      </c>
      <c r="AZ129" t="s">
        <v>249</v>
      </c>
    </row>
    <row r="130" spans="1:55" x14ac:dyDescent="0.25">
      <c r="A130" t="s">
        <v>253</v>
      </c>
      <c r="B130">
        <f>SQRT($B$28/B127)*B125</f>
        <v>33.576681972021731</v>
      </c>
      <c r="H130" t="s">
        <v>253</v>
      </c>
      <c r="I130">
        <f t="shared" ref="I130" si="22">SQRT($B$28/I127)*I125</f>
        <v>70.686566475410444</v>
      </c>
      <c r="O130" t="s">
        <v>253</v>
      </c>
      <c r="P130">
        <f t="shared" ref="P130" si="23">SQRT($B$28/P127)*P125</f>
        <v>108.76455166134237</v>
      </c>
      <c r="V130" t="s">
        <v>253</v>
      </c>
      <c r="W130">
        <f t="shared" ref="W130" si="24">SQRT($B$28/W127)*W125</f>
        <v>143.64498084261001</v>
      </c>
      <c r="AC130" t="s">
        <v>253</v>
      </c>
      <c r="AD130">
        <f t="shared" ref="AD130" si="25">SQRT($B$28/AD127)*AD125</f>
        <v>185.94332477080894</v>
      </c>
      <c r="AJ130" t="s">
        <v>253</v>
      </c>
      <c r="AK130">
        <f t="shared" ref="AK130" si="26">SQRT($B$28/AK127)*AK125</f>
        <v>228.92783818243558</v>
      </c>
      <c r="AQ130" t="s">
        <v>253</v>
      </c>
      <c r="AR130">
        <f t="shared" ref="AR130" si="27">SQRT($B$28/AR127)*AR125</f>
        <v>262.34797446156671</v>
      </c>
      <c r="AX130" t="s">
        <v>253</v>
      </c>
      <c r="AY130">
        <f t="shared" ref="AY130" si="28">SQRT($B$28/AY127)*AY125</f>
        <v>308.0190076887182</v>
      </c>
    </row>
    <row r="131" spans="1:55" x14ac:dyDescent="0.25">
      <c r="A131" t="s">
        <v>254</v>
      </c>
      <c r="B131">
        <f>SQRT($B$29/16)*0.25*B125</f>
        <v>7.5777222831138378</v>
      </c>
      <c r="H131" t="s">
        <v>254</v>
      </c>
      <c r="I131">
        <f t="shared" ref="I131" si="29">SQRT($B$29/16)*0.25*I125</f>
        <v>16.021469970012113</v>
      </c>
      <c r="O131" t="s">
        <v>254</v>
      </c>
      <c r="P131">
        <f t="shared" ref="P131" si="30">SQRT($B$29/16)*0.25*P125</f>
        <v>24.248711305964282</v>
      </c>
      <c r="V131" t="s">
        <v>254</v>
      </c>
      <c r="W131">
        <f t="shared" ref="W131" si="31">SQRT($B$29/16)*0.25*W125</f>
        <v>32.259446290970338</v>
      </c>
      <c r="AC131" t="s">
        <v>254</v>
      </c>
      <c r="AD131">
        <f t="shared" ref="AD131" si="32">SQRT($B$29/16)*0.25*AD125</f>
        <v>40.703193977868615</v>
      </c>
      <c r="AJ131" t="s">
        <v>254</v>
      </c>
      <c r="AK131">
        <f t="shared" ref="AK131" si="33">SQRT($B$29/16)*0.25*AK125</f>
        <v>49.363448015712997</v>
      </c>
      <c r="AQ131" t="s">
        <v>254</v>
      </c>
      <c r="AR131">
        <f t="shared" ref="AR131" si="34">SQRT($B$29/16)*0.25*AR125</f>
        <v>57.374183000719057</v>
      </c>
      <c r="AX131" t="s">
        <v>254</v>
      </c>
      <c r="AY131">
        <f t="shared" ref="AY131" si="35">SQRT($B$29/16)*0.25*AY125</f>
        <v>65.817930687617334</v>
      </c>
    </row>
    <row r="132" spans="1:55" x14ac:dyDescent="0.25">
      <c r="A132" t="s">
        <v>255</v>
      </c>
      <c r="B132" s="4">
        <f>B131/$B$25</f>
        <v>3.0310889132455353E-2</v>
      </c>
      <c r="H132" t="s">
        <v>255</v>
      </c>
      <c r="I132" s="4">
        <f>I131/$B$25</f>
        <v>6.4085879880048449E-2</v>
      </c>
      <c r="O132" t="s">
        <v>255</v>
      </c>
      <c r="P132" s="4">
        <f>P131/$B$25</f>
        <v>9.6994845223857123E-2</v>
      </c>
      <c r="V132" t="s">
        <v>255</v>
      </c>
      <c r="W132" s="4">
        <f>W131/$B$25</f>
        <v>0.12903778516388134</v>
      </c>
      <c r="AC132" t="s">
        <v>255</v>
      </c>
      <c r="AD132" s="4">
        <f>AD131/$B$25</f>
        <v>0.16281277591147447</v>
      </c>
      <c r="AJ132" t="s">
        <v>255</v>
      </c>
      <c r="AK132" s="4">
        <f>AK131/$B$25</f>
        <v>0.19745379206285199</v>
      </c>
      <c r="AQ132" t="s">
        <v>255</v>
      </c>
      <c r="AR132" s="4">
        <f>AR131/$B$25</f>
        <v>0.22949673200287624</v>
      </c>
      <c r="AX132" t="s">
        <v>255</v>
      </c>
      <c r="AY132" s="4">
        <f>AY131/$B$25</f>
        <v>0.26327172275046934</v>
      </c>
    </row>
    <row r="133" spans="1:55" x14ac:dyDescent="0.25">
      <c r="B133" s="4"/>
      <c r="I133" s="4"/>
      <c r="P133" s="4"/>
      <c r="W133" s="4"/>
      <c r="AD133" s="4"/>
      <c r="AK133" s="4"/>
      <c r="AR133" s="4"/>
      <c r="AY133" s="4"/>
    </row>
    <row r="134" spans="1:55" x14ac:dyDescent="0.25">
      <c r="A134" t="s">
        <v>256</v>
      </c>
      <c r="B134" s="4"/>
      <c r="H134" t="s">
        <v>256</v>
      </c>
      <c r="I134" s="4"/>
      <c r="O134" t="s">
        <v>256</v>
      </c>
      <c r="P134" s="4"/>
      <c r="V134" t="s">
        <v>256</v>
      </c>
      <c r="W134" s="4"/>
      <c r="AC134" t="s">
        <v>256</v>
      </c>
      <c r="AD134" s="4"/>
      <c r="AJ134" t="s">
        <v>256</v>
      </c>
      <c r="AK134" s="4"/>
      <c r="AQ134" t="s">
        <v>256</v>
      </c>
      <c r="AR134" s="4"/>
      <c r="AX134" t="s">
        <v>256</v>
      </c>
      <c r="AY134" s="4"/>
    </row>
    <row r="135" spans="1:55" x14ac:dyDescent="0.25">
      <c r="A135" t="s">
        <v>228</v>
      </c>
      <c r="B135" s="6">
        <v>9.1037999999999997</v>
      </c>
      <c r="H135" t="s">
        <v>228</v>
      </c>
      <c r="I135" s="6">
        <v>10.92</v>
      </c>
      <c r="O135" t="s">
        <v>228</v>
      </c>
      <c r="P135" s="6">
        <v>12.23</v>
      </c>
      <c r="V135" t="s">
        <v>228</v>
      </c>
      <c r="W135" s="6">
        <v>12.574999999999999</v>
      </c>
      <c r="AC135" t="s">
        <v>228</v>
      </c>
      <c r="AD135" s="6">
        <v>12.667</v>
      </c>
      <c r="AJ135" t="s">
        <v>228</v>
      </c>
      <c r="AK135" s="6">
        <v>14.311999999999999</v>
      </c>
      <c r="AQ135" t="s">
        <v>228</v>
      </c>
      <c r="AR135" s="6">
        <v>14.311999999999999</v>
      </c>
      <c r="AX135" t="s">
        <v>228</v>
      </c>
      <c r="AY135" s="6">
        <v>14.311999999999999</v>
      </c>
    </row>
    <row r="136" spans="1:55" x14ac:dyDescent="0.25">
      <c r="A136" t="s">
        <v>229</v>
      </c>
      <c r="B136" s="6">
        <v>-2.4592000000000001</v>
      </c>
      <c r="H136" t="s">
        <v>229</v>
      </c>
      <c r="I136" s="6">
        <v>-3.4754</v>
      </c>
      <c r="O136" t="s">
        <v>229</v>
      </c>
      <c r="P136" s="6">
        <v>-5.1696999999999997</v>
      </c>
      <c r="V136" t="s">
        <v>229</v>
      </c>
      <c r="W136" s="6">
        <v>-5.7515999999999998</v>
      </c>
      <c r="AC136" t="s">
        <v>229</v>
      </c>
      <c r="AD136" s="6">
        <v>-4.6794000000000002</v>
      </c>
      <c r="AJ136" t="s">
        <v>229</v>
      </c>
      <c r="AK136" s="6">
        <v>-8.6166</v>
      </c>
      <c r="AQ136" t="s">
        <v>229</v>
      </c>
      <c r="AR136" s="6">
        <v>-7.9470000000000001</v>
      </c>
      <c r="AX136" t="s">
        <v>229</v>
      </c>
      <c r="AY136" s="6">
        <v>-7.367</v>
      </c>
    </row>
    <row r="137" spans="1:55" x14ac:dyDescent="0.25">
      <c r="A137" t="s">
        <v>226</v>
      </c>
      <c r="B137" s="6">
        <f>B135*LN(B128)+B136</f>
        <v>65.058727973708542</v>
      </c>
      <c r="D137" s="213"/>
      <c r="E137" s="213"/>
      <c r="F137" s="213"/>
      <c r="H137" t="s">
        <v>226</v>
      </c>
      <c r="I137" s="6">
        <f>I135*LN(I128)+I136</f>
        <v>61.254080698015166</v>
      </c>
      <c r="K137" s="213"/>
      <c r="L137" s="213"/>
      <c r="M137" s="213"/>
      <c r="O137" t="s">
        <v>226</v>
      </c>
      <c r="P137" s="6">
        <f>P135*LN(P128)+P136</f>
        <v>56.784401447178062</v>
      </c>
      <c r="R137" s="213"/>
      <c r="S137" s="213"/>
      <c r="T137" s="213"/>
      <c r="V137" t="s">
        <v>226</v>
      </c>
      <c r="W137" s="6">
        <f>W135*LN(W128)+W136</f>
        <v>50.95447631616328</v>
      </c>
      <c r="Y137" s="213"/>
      <c r="Z137" s="213"/>
      <c r="AA137" s="213"/>
      <c r="AC137" t="s">
        <v>226</v>
      </c>
      <c r="AD137" s="6">
        <f>AD135*LN(AD128)+AD136</f>
        <v>45.902912481079106</v>
      </c>
      <c r="AF137" s="213"/>
      <c r="AG137" s="213"/>
      <c r="AH137" s="213"/>
      <c r="AJ137" t="s">
        <v>226</v>
      </c>
      <c r="AK137" s="6">
        <f>AK135*LN(AK128)+AK136</f>
        <v>42.581796943042526</v>
      </c>
      <c r="AM137" s="213"/>
      <c r="AN137" s="213"/>
      <c r="AO137" s="213"/>
      <c r="AQ137" t="s">
        <v>226</v>
      </c>
      <c r="AR137" s="6">
        <f>AR135*LN(AR128)+AR136</f>
        <v>39.350949513243933</v>
      </c>
      <c r="AT137" s="213"/>
      <c r="AU137" s="213"/>
      <c r="AV137" s="213"/>
      <c r="AX137" t="s">
        <v>226</v>
      </c>
      <c r="AY137" s="6">
        <f>AY135*LN(AY128)+AY136</f>
        <v>35.337091625122241</v>
      </c>
      <c r="BA137" s="213"/>
      <c r="BB137" s="213"/>
      <c r="BC137" s="213"/>
    </row>
    <row r="138" spans="1:55" x14ac:dyDescent="0.25">
      <c r="A138" t="s">
        <v>257</v>
      </c>
      <c r="B138" s="6">
        <f>B137-15</f>
        <v>50.058727973708542</v>
      </c>
      <c r="D138" t="s">
        <v>258</v>
      </c>
      <c r="H138" t="s">
        <v>257</v>
      </c>
      <c r="I138" s="6">
        <f>I137-15</f>
        <v>46.254080698015166</v>
      </c>
      <c r="K138" t="s">
        <v>258</v>
      </c>
      <c r="O138" t="s">
        <v>257</v>
      </c>
      <c r="P138" s="6">
        <f>P137-15</f>
        <v>41.784401447178062</v>
      </c>
      <c r="R138" t="s">
        <v>258</v>
      </c>
      <c r="V138" t="s">
        <v>257</v>
      </c>
      <c r="W138" s="6">
        <f>W137-15</f>
        <v>35.95447631616328</v>
      </c>
      <c r="Y138" t="s">
        <v>258</v>
      </c>
      <c r="AC138" t="s">
        <v>257</v>
      </c>
      <c r="AD138" s="6">
        <f>AD137-15</f>
        <v>30.902912481079106</v>
      </c>
      <c r="AF138" t="s">
        <v>258</v>
      </c>
      <c r="AJ138" t="s">
        <v>257</v>
      </c>
      <c r="AK138" s="6">
        <f>AK137-15</f>
        <v>27.581796943042526</v>
      </c>
      <c r="AM138" t="s">
        <v>258</v>
      </c>
      <c r="AQ138" t="s">
        <v>257</v>
      </c>
      <c r="AR138" s="6">
        <f>AR137-15</f>
        <v>24.350949513243933</v>
      </c>
      <c r="AT138" t="s">
        <v>258</v>
      </c>
      <c r="AX138" t="s">
        <v>257</v>
      </c>
      <c r="AY138" s="6">
        <f>AY137-15</f>
        <v>20.337091625122241</v>
      </c>
      <c r="BA138" t="s">
        <v>258</v>
      </c>
    </row>
    <row r="139" spans="1:55" x14ac:dyDescent="0.25">
      <c r="I139" s="7"/>
      <c r="K139" s="5"/>
      <c r="L139" s="5"/>
      <c r="M139" s="5"/>
      <c r="P139" s="7"/>
      <c r="R139" s="5"/>
      <c r="S139" s="5"/>
      <c r="T139" s="5"/>
      <c r="W139" s="7"/>
      <c r="Y139" s="5"/>
      <c r="Z139" s="5"/>
      <c r="AA139" s="5"/>
      <c r="AD139" s="7"/>
      <c r="AF139" s="5"/>
      <c r="AG139" s="5"/>
      <c r="AH139" s="5"/>
      <c r="AK139" s="7"/>
      <c r="AM139" s="5"/>
      <c r="AN139" s="5"/>
      <c r="AO139" s="5"/>
      <c r="AR139" s="7"/>
      <c r="AT139" s="5"/>
      <c r="AU139" s="5"/>
      <c r="AV139" s="5"/>
      <c r="AY139" s="7"/>
      <c r="BA139" s="5"/>
      <c r="BB139" s="5"/>
      <c r="BC139" s="5"/>
    </row>
    <row r="140" spans="1:55" x14ac:dyDescent="0.25">
      <c r="A140" s="3" t="s">
        <v>199</v>
      </c>
      <c r="I140" s="7"/>
      <c r="K140" s="5"/>
      <c r="L140" s="5"/>
      <c r="M140" s="5"/>
      <c r="P140" s="7"/>
      <c r="R140" s="5"/>
      <c r="S140" s="5"/>
      <c r="T140" s="5"/>
      <c r="W140" s="7"/>
      <c r="Y140" s="5"/>
      <c r="Z140" s="5"/>
      <c r="AA140" s="5"/>
      <c r="AD140" s="7"/>
      <c r="AF140" s="5"/>
      <c r="AG140" s="5"/>
      <c r="AH140" s="5"/>
      <c r="AK140" s="7"/>
      <c r="AM140" s="5"/>
      <c r="AN140" s="5"/>
      <c r="AO140" s="5"/>
      <c r="AR140" s="7"/>
      <c r="AT140" s="5"/>
      <c r="AU140" s="5"/>
      <c r="AV140" s="5"/>
      <c r="AY140" s="7"/>
      <c r="BA140" s="5"/>
      <c r="BB140" s="5"/>
      <c r="BC140" s="5"/>
    </row>
    <row r="141" spans="1:55" x14ac:dyDescent="0.25">
      <c r="A141" s="3"/>
      <c r="I141" s="7"/>
      <c r="K141" s="5"/>
      <c r="L141" s="5"/>
      <c r="M141" s="5"/>
      <c r="P141" s="7"/>
      <c r="R141" s="5"/>
      <c r="S141" s="5"/>
      <c r="T141" s="5"/>
      <c r="W141" s="7"/>
      <c r="Y141" s="5"/>
      <c r="Z141" s="5"/>
      <c r="AA141" s="5"/>
      <c r="AD141" s="7"/>
      <c r="AF141" s="5"/>
      <c r="AG141" s="5"/>
      <c r="AH141" s="5"/>
      <c r="AK141" s="7"/>
      <c r="AM141" s="5"/>
      <c r="AN141" s="5"/>
      <c r="AO141" s="5"/>
      <c r="AR141" s="7"/>
      <c r="AT141" s="5"/>
      <c r="AU141" s="5"/>
      <c r="AV141" s="5"/>
      <c r="AY141" s="7"/>
      <c r="BA141" s="5"/>
      <c r="BB141" s="5"/>
      <c r="BC141" s="5"/>
    </row>
    <row r="142" spans="1:55" x14ac:dyDescent="0.25">
      <c r="A142" t="s">
        <v>259</v>
      </c>
      <c r="B142">
        <v>0.9</v>
      </c>
      <c r="H142" t="s">
        <v>259</v>
      </c>
      <c r="I142">
        <v>0.92</v>
      </c>
      <c r="O142" t="s">
        <v>259</v>
      </c>
      <c r="P142">
        <v>0.94</v>
      </c>
      <c r="V142" t="s">
        <v>259</v>
      </c>
      <c r="W142">
        <v>0.96</v>
      </c>
      <c r="AC142" t="s">
        <v>259</v>
      </c>
      <c r="AD142">
        <v>0.98</v>
      </c>
      <c r="AJ142" t="s">
        <v>259</v>
      </c>
      <c r="AK142">
        <v>1</v>
      </c>
      <c r="AQ142" t="s">
        <v>259</v>
      </c>
      <c r="AR142">
        <v>1.02</v>
      </c>
      <c r="AX142" t="s">
        <v>259</v>
      </c>
      <c r="AY142">
        <v>1.04</v>
      </c>
    </row>
    <row r="143" spans="1:55" x14ac:dyDescent="0.25">
      <c r="A143" t="s">
        <v>260</v>
      </c>
      <c r="B143">
        <f>VLOOKUP($B$34,$B$68:$C$71,2,0)*$B$39*B142*$B$65</f>
        <v>2.6932912464547374</v>
      </c>
      <c r="H143" t="s">
        <v>260</v>
      </c>
      <c r="I143">
        <f t="shared" ref="I143" si="36">VLOOKUP($B$34,$B$68:$C$71,2,0)*$B$39*I142*$B$65</f>
        <v>2.7531421630426203</v>
      </c>
      <c r="O143" t="s">
        <v>260</v>
      </c>
      <c r="P143">
        <f t="shared" ref="P143" si="37">VLOOKUP($B$34,$B$68:$C$71,2,0)*$B$39*P142*$B$65</f>
        <v>2.8129930796305036</v>
      </c>
      <c r="V143" t="s">
        <v>260</v>
      </c>
      <c r="W143">
        <f t="shared" ref="W143" si="38">VLOOKUP($B$34,$B$68:$C$71,2,0)*$B$39*W142*$B$65</f>
        <v>2.8728439962183865</v>
      </c>
      <c r="AC143" t="s">
        <v>260</v>
      </c>
      <c r="AD143">
        <f t="shared" ref="AD143" si="39">VLOOKUP($B$34,$B$68:$C$71,2,0)*$B$39*AD142*$B$65</f>
        <v>2.9326949128062698</v>
      </c>
      <c r="AJ143" t="s">
        <v>260</v>
      </c>
      <c r="AK143">
        <f t="shared" ref="AK143" si="40">VLOOKUP($B$34,$B$68:$C$71,2,0)*$B$39*AK142*$B$65</f>
        <v>2.9925458293941527</v>
      </c>
      <c r="AQ143" t="s">
        <v>260</v>
      </c>
      <c r="AR143">
        <f t="shared" ref="AR143" si="41">VLOOKUP($B$34,$B$68:$C$71,2,0)*$B$39*AR142*$B$65</f>
        <v>3.0523967459820356</v>
      </c>
      <c r="AX143" t="s">
        <v>260</v>
      </c>
      <c r="AY143">
        <f t="shared" ref="AY143" si="42">VLOOKUP($B$34,$B$68:$C$71,2,0)*$B$39*AY142*$B$65</f>
        <v>3.1122476625699189</v>
      </c>
    </row>
    <row r="145" spans="1:51" x14ac:dyDescent="0.25">
      <c r="A145" s="3" t="s">
        <v>127</v>
      </c>
      <c r="H145" s="3" t="s">
        <v>127</v>
      </c>
      <c r="O145" s="3" t="s">
        <v>127</v>
      </c>
      <c r="V145" s="3" t="s">
        <v>127</v>
      </c>
      <c r="AC145" s="3" t="s">
        <v>127</v>
      </c>
      <c r="AJ145" s="3" t="s">
        <v>127</v>
      </c>
      <c r="AQ145" s="3" t="s">
        <v>127</v>
      </c>
      <c r="AX145" s="3" t="s">
        <v>127</v>
      </c>
    </row>
    <row r="146" spans="1:51" x14ac:dyDescent="0.25">
      <c r="A146" t="s">
        <v>560</v>
      </c>
      <c r="B146" s="7">
        <f>(B143-$AK$143)*($B$30)*0.5</f>
        <v>-0.4039936869682107</v>
      </c>
      <c r="H146" t="s">
        <v>560</v>
      </c>
      <c r="I146" s="7">
        <f t="shared" ref="I146" si="43">(I143-$AK$143)*($B$30)*0.5</f>
        <v>-0.32319494957456879</v>
      </c>
      <c r="O146" t="s">
        <v>560</v>
      </c>
      <c r="P146" s="7">
        <f t="shared" ref="P146" si="44">(P143-$AK$143)*($B$30)*0.5</f>
        <v>-0.2423962121809263</v>
      </c>
      <c r="V146" t="s">
        <v>560</v>
      </c>
      <c r="W146" s="7">
        <f t="shared" ref="W146" si="45">(W143-$AK$143)*($B$30)*0.5</f>
        <v>-0.1615974747872844</v>
      </c>
      <c r="AC146" t="s">
        <v>560</v>
      </c>
      <c r="AD146" s="7">
        <f t="shared" ref="AD146" si="46">(AD143-$AK$143)*($B$30)*0.5</f>
        <v>-8.0798737393641906E-2</v>
      </c>
      <c r="AJ146" t="s">
        <v>560</v>
      </c>
      <c r="AK146" s="7">
        <f t="shared" ref="AK146" si="47">(AK143-$AK$143)*($B$30)*0.5</f>
        <v>0</v>
      </c>
      <c r="AQ146" t="s">
        <v>560</v>
      </c>
      <c r="AR146" s="7">
        <f t="shared" ref="AR146" si="48">(AR143-$AK$143)*($B$30)*0.5</f>
        <v>8.0798737393641906E-2</v>
      </c>
      <c r="AX146" t="s">
        <v>560</v>
      </c>
      <c r="AY146" s="7">
        <f t="shared" ref="AY146" si="49">(AY143-$AK$143)*($B$30)*0.5</f>
        <v>0.1615974747872844</v>
      </c>
    </row>
    <row r="147" spans="1:51" x14ac:dyDescent="0.25">
      <c r="A147" s="276" t="s">
        <v>559</v>
      </c>
      <c r="B147" s="277" t="s">
        <v>209</v>
      </c>
      <c r="H147" s="276" t="s">
        <v>559</v>
      </c>
      <c r="I147" s="277" t="s">
        <v>209</v>
      </c>
      <c r="O147" s="276" t="s">
        <v>559</v>
      </c>
      <c r="P147" s="277" t="s">
        <v>209</v>
      </c>
      <c r="V147" s="276" t="s">
        <v>559</v>
      </c>
      <c r="W147" s="277" t="s">
        <v>209</v>
      </c>
      <c r="AC147" s="276" t="s">
        <v>559</v>
      </c>
      <c r="AD147" s="277" t="s">
        <v>209</v>
      </c>
      <c r="AJ147" s="276" t="s">
        <v>559</v>
      </c>
      <c r="AK147" s="277" t="s">
        <v>209</v>
      </c>
      <c r="AQ147" s="276" t="s">
        <v>559</v>
      </c>
      <c r="AR147" s="277" t="s">
        <v>209</v>
      </c>
      <c r="AX147" s="276" t="s">
        <v>559</v>
      </c>
      <c r="AY147" s="277" t="s">
        <v>209</v>
      </c>
    </row>
    <row r="148" spans="1:51" x14ac:dyDescent="0.25">
      <c r="A148" s="276">
        <v>1</v>
      </c>
      <c r="B148" s="277">
        <f>$B$117+B146</f>
        <v>2.7460063130317898</v>
      </c>
      <c r="H148" s="276">
        <v>1</v>
      </c>
      <c r="I148" s="277">
        <f t="shared" ref="I148" si="50">$B$117+I146</f>
        <v>2.8268050504254316</v>
      </c>
      <c r="O148" s="276">
        <v>1</v>
      </c>
      <c r="P148" s="277">
        <f t="shared" ref="P148" si="51">$B$117+P146</f>
        <v>2.9076037878190739</v>
      </c>
      <c r="V148" s="276">
        <v>1</v>
      </c>
      <c r="W148" s="277">
        <f t="shared" ref="W148" si="52">$B$117+W146</f>
        <v>2.9884025252127158</v>
      </c>
      <c r="AC148" s="276">
        <v>1</v>
      </c>
      <c r="AD148" s="277">
        <f t="shared" ref="AD148" si="53">$B$117+AD146</f>
        <v>3.0692012626063585</v>
      </c>
      <c r="AJ148" s="276">
        <v>1</v>
      </c>
      <c r="AK148" s="277">
        <f t="shared" ref="AK148" si="54">$B$117+AK146</f>
        <v>3.1500000000000004</v>
      </c>
      <c r="AQ148" s="276">
        <v>1</v>
      </c>
      <c r="AR148" s="277">
        <f t="shared" ref="AR148" si="55">$B$117+AR146</f>
        <v>3.2307987373936422</v>
      </c>
      <c r="AX148" s="276">
        <v>1</v>
      </c>
      <c r="AY148" s="277">
        <f t="shared" ref="AY148" si="56">$B$117+AY146</f>
        <v>3.3115974747872849</v>
      </c>
    </row>
    <row r="149" spans="1:51" x14ac:dyDescent="0.25">
      <c r="A149" s="276">
        <v>2</v>
      </c>
      <c r="B149" s="277">
        <f>$B$118+B146</f>
        <v>3.7960063130317896</v>
      </c>
      <c r="H149" s="276">
        <v>2</v>
      </c>
      <c r="I149" s="277">
        <f t="shared" ref="I149" si="57">$B$118+I146</f>
        <v>3.8768050504254314</v>
      </c>
      <c r="O149" s="276">
        <v>2</v>
      </c>
      <c r="P149" s="277">
        <f t="shared" ref="P149" si="58">$B$118+P146</f>
        <v>3.9576037878190737</v>
      </c>
      <c r="V149" s="276">
        <v>2</v>
      </c>
      <c r="W149" s="277">
        <f t="shared" ref="W149" si="59">$B$118+W146</f>
        <v>4.0384025252127156</v>
      </c>
      <c r="AC149" s="276">
        <v>2</v>
      </c>
      <c r="AD149" s="277">
        <f t="shared" ref="AD149" si="60">$B$118+AD146</f>
        <v>4.1192012626063583</v>
      </c>
      <c r="AJ149" s="276">
        <v>2</v>
      </c>
      <c r="AK149" s="277">
        <f t="shared" ref="AK149" si="61">$B$118+AK146</f>
        <v>4.2</v>
      </c>
      <c r="AQ149" s="276">
        <v>2</v>
      </c>
      <c r="AR149" s="277">
        <f t="shared" ref="AR149" si="62">$B$118+AR146</f>
        <v>4.280798737393642</v>
      </c>
      <c r="AX149" s="276">
        <v>2</v>
      </c>
      <c r="AY149" s="277">
        <f t="shared" ref="AY149" si="63">$B$118+AY146</f>
        <v>4.3615974747872848</v>
      </c>
    </row>
    <row r="150" spans="1:51" x14ac:dyDescent="0.25">
      <c r="A150" s="276">
        <v>3</v>
      </c>
      <c r="B150" s="277"/>
      <c r="H150" s="276">
        <v>3</v>
      </c>
      <c r="I150" s="277"/>
      <c r="O150" s="276">
        <v>3</v>
      </c>
      <c r="P150" s="277"/>
      <c r="V150" s="276">
        <v>3</v>
      </c>
      <c r="W150" s="277"/>
      <c r="AC150" s="276">
        <v>3</v>
      </c>
      <c r="AD150" s="277"/>
      <c r="AJ150" s="276">
        <v>3</v>
      </c>
      <c r="AK150" s="277"/>
      <c r="AQ150" s="276">
        <v>3</v>
      </c>
      <c r="AR150" s="277"/>
      <c r="AX150" s="276">
        <v>3</v>
      </c>
      <c r="AY150" s="277"/>
    </row>
    <row r="151" spans="1:51" x14ac:dyDescent="0.25">
      <c r="A151" t="s">
        <v>208</v>
      </c>
      <c r="B151" t="str">
        <f>IF($B$12&lt;=B148,$E$117,IF($B$12&lt;=B149,$E$118,$E$119))</f>
        <v>A</v>
      </c>
      <c r="H151" t="s">
        <v>208</v>
      </c>
      <c r="I151" t="str">
        <f t="shared" ref="I151" si="64">IF($B$12&lt;=I148,$E$117,IF($B$12&lt;=I149,$E$118,$E$119))</f>
        <v>A</v>
      </c>
      <c r="O151" t="s">
        <v>208</v>
      </c>
      <c r="P151" t="str">
        <f t="shared" ref="P151" si="65">IF($B$12&lt;=P148,$E$117,IF($B$12&lt;=P149,$E$118,$E$119))</f>
        <v>A</v>
      </c>
      <c r="V151" t="s">
        <v>208</v>
      </c>
      <c r="W151" t="str">
        <f t="shared" ref="W151" si="66">IF($B$12&lt;=W148,$E$117,IF($B$12&lt;=W149,$E$118,$E$119))</f>
        <v>A</v>
      </c>
      <c r="AC151" t="s">
        <v>208</v>
      </c>
      <c r="AD151" t="str">
        <f t="shared" ref="AD151" si="67">IF($B$12&lt;=AD148,$E$117,IF($B$12&lt;=AD149,$E$118,$E$119))</f>
        <v>A</v>
      </c>
      <c r="AJ151" t="s">
        <v>208</v>
      </c>
      <c r="AK151" t="str">
        <f t="shared" ref="AK151" si="68">IF($B$12&lt;=AK148,$E$117,IF($B$12&lt;=AK149,$E$118,$E$119))</f>
        <v>A</v>
      </c>
      <c r="AQ151" t="s">
        <v>208</v>
      </c>
      <c r="AR151" t="str">
        <f t="shared" ref="AR151" si="69">IF($B$12&lt;=AR148,$E$117,IF($B$12&lt;=AR149,$E$118,$E$119))</f>
        <v>A</v>
      </c>
      <c r="AX151" t="s">
        <v>208</v>
      </c>
      <c r="AY151" t="str">
        <f t="shared" ref="AY151" si="70">IF($B$12&lt;=AY148,$E$117,IF($B$12&lt;=AY149,$E$118,$E$119))</f>
        <v>A</v>
      </c>
    </row>
    <row r="156" spans="1:51" x14ac:dyDescent="0.25">
      <c r="A156" s="3" t="s">
        <v>261</v>
      </c>
      <c r="H156" s="3" t="s">
        <v>261</v>
      </c>
      <c r="O156" s="3" t="s">
        <v>261</v>
      </c>
      <c r="V156" s="3" t="s">
        <v>261</v>
      </c>
      <c r="AC156" s="3" t="s">
        <v>261</v>
      </c>
      <c r="AJ156" s="3" t="s">
        <v>261</v>
      </c>
      <c r="AQ156" s="3" t="s">
        <v>261</v>
      </c>
      <c r="AX156" s="3" t="s">
        <v>261</v>
      </c>
    </row>
    <row r="157" spans="1:51" x14ac:dyDescent="0.25">
      <c r="A157" t="s">
        <v>262</v>
      </c>
      <c r="B157">
        <f>B125</f>
        <v>35</v>
      </c>
      <c r="H157" t="s">
        <v>262</v>
      </c>
      <c r="I157">
        <f>I125</f>
        <v>74</v>
      </c>
      <c r="O157" t="s">
        <v>262</v>
      </c>
      <c r="P157">
        <f>P125</f>
        <v>112</v>
      </c>
      <c r="V157" t="s">
        <v>262</v>
      </c>
      <c r="W157">
        <f>W125</f>
        <v>149</v>
      </c>
      <c r="AC157" t="s">
        <v>262</v>
      </c>
      <c r="AD157">
        <f>AD125</f>
        <v>188</v>
      </c>
      <c r="AJ157" t="s">
        <v>262</v>
      </c>
      <c r="AK157">
        <f>AK125</f>
        <v>228</v>
      </c>
      <c r="AQ157" t="s">
        <v>262</v>
      </c>
      <c r="AR157">
        <f>AR125</f>
        <v>265</v>
      </c>
      <c r="AX157" t="s">
        <v>262</v>
      </c>
      <c r="AY157">
        <f>AY125</f>
        <v>304</v>
      </c>
    </row>
    <row r="158" spans="1:51" x14ac:dyDescent="0.25">
      <c r="A158" t="s">
        <v>263</v>
      </c>
      <c r="B158">
        <f>B157*0.3</f>
        <v>10.5</v>
      </c>
      <c r="H158" t="s">
        <v>263</v>
      </c>
      <c r="I158">
        <f>I157*0.3</f>
        <v>22.2</v>
      </c>
      <c r="O158" t="s">
        <v>263</v>
      </c>
      <c r="P158">
        <f t="shared" ref="P158" si="71">P157*0.3</f>
        <v>33.6</v>
      </c>
      <c r="V158" t="s">
        <v>263</v>
      </c>
      <c r="W158">
        <f t="shared" ref="W158" si="72">W157*0.3</f>
        <v>44.699999999999996</v>
      </c>
      <c r="AC158" t="s">
        <v>263</v>
      </c>
      <c r="AD158">
        <f t="shared" ref="AD158" si="73">AD157*0.3</f>
        <v>56.4</v>
      </c>
      <c r="AJ158" t="s">
        <v>263</v>
      </c>
      <c r="AK158">
        <f t="shared" ref="AK158" si="74">AK157*0.3</f>
        <v>68.399999999999991</v>
      </c>
      <c r="AQ158" t="s">
        <v>263</v>
      </c>
      <c r="AR158">
        <f t="shared" ref="AR158" si="75">AR157*0.3</f>
        <v>79.5</v>
      </c>
      <c r="AX158" t="s">
        <v>263</v>
      </c>
      <c r="AY158">
        <f t="shared" ref="AY158" si="76">AY157*0.3</f>
        <v>91.2</v>
      </c>
    </row>
    <row r="160" spans="1:51" x14ac:dyDescent="0.25">
      <c r="A160" s="3" t="s">
        <v>203</v>
      </c>
      <c r="H160" s="3" t="s">
        <v>203</v>
      </c>
      <c r="O160" s="3" t="s">
        <v>203</v>
      </c>
      <c r="V160" s="3" t="s">
        <v>203</v>
      </c>
      <c r="AC160" s="3" t="s">
        <v>203</v>
      </c>
      <c r="AJ160" s="3" t="s">
        <v>203</v>
      </c>
      <c r="AQ160" s="3" t="s">
        <v>203</v>
      </c>
      <c r="AX160" s="3" t="s">
        <v>203</v>
      </c>
    </row>
    <row r="161" spans="1:52" x14ac:dyDescent="0.25">
      <c r="A161" t="s">
        <v>264</v>
      </c>
      <c r="B161">
        <f>TREND($B$82:$B$83,B157:B158,$B$25,1)</f>
        <v>-19.131262326986246</v>
      </c>
      <c r="H161" t="s">
        <v>264</v>
      </c>
      <c r="I161">
        <f>TREND($B$82:$B$83,I157:I158,$B$25,1)</f>
        <v>2.3800448986067018</v>
      </c>
      <c r="O161" t="s">
        <v>264</v>
      </c>
      <c r="P161">
        <f t="shared" ref="P161" si="77">TREND($B$82:$B$83,P157:P158,$B$25,1)</f>
        <v>8.9299621628096801</v>
      </c>
      <c r="V161" t="s">
        <v>264</v>
      </c>
      <c r="W161">
        <f t="shared" ref="W161" si="78">TREND($B$82:$B$83,W157:W158,$B$25,1)</f>
        <v>12.097336495092927</v>
      </c>
      <c r="AC161" t="s">
        <v>264</v>
      </c>
      <c r="AD161">
        <f t="shared" ref="AD161" si="79">TREND($B$82:$B$83,AD157:AD158,$B$25,1)</f>
        <v>14.086280009097131</v>
      </c>
      <c r="AJ161" t="s">
        <v>264</v>
      </c>
      <c r="AK161">
        <f t="shared" ref="AK161" si="80">TREND($B$82:$B$83,AK157:AK158,$B$25,1)</f>
        <v>15.419400043225</v>
      </c>
      <c r="AQ161" t="s">
        <v>264</v>
      </c>
      <c r="AR161">
        <f t="shared" ref="AR161" si="81">TREND($B$82:$B$83,AR157:AR158,$B$25,1)</f>
        <v>16.294228624111177</v>
      </c>
      <c r="AX161" t="s">
        <v>264</v>
      </c>
      <c r="AY161">
        <f t="shared" ref="AY161" si="82">TREND($B$82:$B$83,AY157:AY158,$B$25,1)</f>
        <v>16.985816083325251</v>
      </c>
    </row>
    <row r="162" spans="1:52" x14ac:dyDescent="0.25">
      <c r="A162" t="s">
        <v>203</v>
      </c>
      <c r="B162" s="3">
        <f>$B$25/B161*$B$52*$B$86</f>
        <v>-11.769034949898746</v>
      </c>
      <c r="H162" t="s">
        <v>203</v>
      </c>
      <c r="I162" s="3">
        <f t="shared" ref="I162" si="83">$B$25/I161*$B$52*$B$86</f>
        <v>94.601784652798287</v>
      </c>
      <c r="O162" t="s">
        <v>203</v>
      </c>
      <c r="P162" s="3">
        <f t="shared" ref="P162" si="84">$B$25/P161*$B$52*$B$86</f>
        <v>25.213600109044606</v>
      </c>
      <c r="V162" t="s">
        <v>203</v>
      </c>
      <c r="W162" s="3">
        <f t="shared" ref="W162" si="85">$B$25/W161*$B$52*$B$86</f>
        <v>18.612071760863486</v>
      </c>
      <c r="AC162" t="s">
        <v>203</v>
      </c>
      <c r="AD162" s="3">
        <f t="shared" ref="AD162" si="86">$B$25/AD161*$B$52*$B$86</f>
        <v>15.984099053587812</v>
      </c>
      <c r="AJ162" t="s">
        <v>203</v>
      </c>
      <c r="AK162" s="3">
        <f t="shared" ref="AK162" si="87">$B$25/AK161*$B$52*$B$86</f>
        <v>14.602156655304624</v>
      </c>
      <c r="AQ162" t="s">
        <v>203</v>
      </c>
      <c r="AR162" s="3">
        <f t="shared" ref="AR162" si="88">$B$25/AR161*$B$52*$B$86</f>
        <v>13.818174530140682</v>
      </c>
      <c r="AX162" t="s">
        <v>203</v>
      </c>
      <c r="AY162" s="3">
        <f t="shared" ref="AY162" si="89">$B$25/AY161*$B$52*$B$86</f>
        <v>13.255559453691216</v>
      </c>
    </row>
    <row r="164" spans="1:52" x14ac:dyDescent="0.25">
      <c r="A164" s="3" t="s">
        <v>265</v>
      </c>
      <c r="H164" s="3" t="s">
        <v>265</v>
      </c>
      <c r="O164" s="3" t="s">
        <v>220</v>
      </c>
      <c r="V164" s="3" t="s">
        <v>220</v>
      </c>
      <c r="AC164" s="3" t="s">
        <v>220</v>
      </c>
      <c r="AJ164" s="3" t="s">
        <v>220</v>
      </c>
      <c r="AQ164" s="3" t="s">
        <v>220</v>
      </c>
      <c r="AX164" s="3" t="s">
        <v>220</v>
      </c>
    </row>
    <row r="165" spans="1:52" x14ac:dyDescent="0.25">
      <c r="A165" t="s">
        <v>266</v>
      </c>
      <c r="B165">
        <f>TREND($B$94:$B$95,B157:B158,$B$27,1)</f>
        <v>-2.887755102040817</v>
      </c>
      <c r="H165" t="s">
        <v>266</v>
      </c>
      <c r="I165">
        <f>TREND($B$94:$B$95,I157:I158,$B$27,1)</f>
        <v>-0.19884169884169856</v>
      </c>
      <c r="O165" t="s">
        <v>266</v>
      </c>
      <c r="P165">
        <f t="shared" ref="P165" si="90">TREND($B$94:$B$95,P157:P158,$B$27,1)</f>
        <v>0.61989795918367374</v>
      </c>
      <c r="V165" t="s">
        <v>266</v>
      </c>
      <c r="W165">
        <f t="shared" ref="W165" si="91">TREND($B$94:$B$95,W157:W158,$B$27,1)</f>
        <v>1.0158197507190796</v>
      </c>
      <c r="AC165" t="s">
        <v>266</v>
      </c>
      <c r="AD165">
        <f t="shared" ref="AD165" si="92">TREND($B$94:$B$95,AD157:AD158,$B$27,1)</f>
        <v>1.264437689969605</v>
      </c>
      <c r="AJ165" t="s">
        <v>266</v>
      </c>
      <c r="AK165">
        <f t="shared" ref="AK165" si="93">TREND($B$94:$B$95,AK157:AK158,$B$27,1)</f>
        <v>1.4310776942355887</v>
      </c>
      <c r="AQ165" t="s">
        <v>266</v>
      </c>
      <c r="AR165">
        <f t="shared" ref="AR165" si="94">TREND($B$94:$B$95,AR157:AR158,$B$27,1)</f>
        <v>1.5404312668463609</v>
      </c>
      <c r="AX165" t="s">
        <v>266</v>
      </c>
      <c r="AY165">
        <f t="shared" ref="AY165" si="95">TREND($B$94:$B$95,AY157:AY158,$B$27,1)</f>
        <v>1.62687969924812</v>
      </c>
    </row>
    <row r="166" spans="1:52" x14ac:dyDescent="0.25">
      <c r="A166" t="s">
        <v>267</v>
      </c>
      <c r="B166">
        <f>TREND($E$94:$E$95,B157:B158,$B$27,1)</f>
        <v>14.775510204081634</v>
      </c>
      <c r="H166" t="s">
        <v>267</v>
      </c>
      <c r="I166" s="3">
        <f>TREND($E$94:$E$95,I157:I158,$B$27,1)</f>
        <v>9.397683397683398</v>
      </c>
      <c r="O166" t="s">
        <v>267</v>
      </c>
      <c r="P166" s="3">
        <f t="shared" ref="P166" si="96">TREND($E$94:$E$95,P157:P158,$B$27,1)</f>
        <v>7.7602040816326525</v>
      </c>
      <c r="V166" t="s">
        <v>267</v>
      </c>
      <c r="W166" s="3">
        <f t="shared" ref="W166" si="97">TREND($E$94:$E$95,W157:W158,$B$27,1)</f>
        <v>6.9683604985618413</v>
      </c>
      <c r="AC166" t="s">
        <v>267</v>
      </c>
      <c r="AD166" s="3">
        <f t="shared" ref="AD166" si="98">TREND($E$94:$E$95,AD157:AD158,$B$27,1)</f>
        <v>6.4711246200607899</v>
      </c>
      <c r="AJ166" t="s">
        <v>267</v>
      </c>
      <c r="AK166" s="3">
        <f t="shared" ref="AK166" si="99">TREND($E$94:$E$95,AK157:AK158,$B$27,1)</f>
        <v>6.1378446115288225</v>
      </c>
      <c r="AQ166" t="s">
        <v>267</v>
      </c>
      <c r="AR166" s="3">
        <f t="shared" ref="AR166" si="100">TREND($E$94:$E$95,AR157:AR158,$B$27,1)</f>
        <v>5.9191374663072782</v>
      </c>
      <c r="AX166" t="s">
        <v>267</v>
      </c>
      <c r="AY166" s="3">
        <f t="shared" ref="AY166" si="101">TREND($E$94:$E$95,AY157:AY158,$B$27,1)</f>
        <v>5.7462406015037599</v>
      </c>
    </row>
    <row r="168" spans="1:52" x14ac:dyDescent="0.25">
      <c r="A168" t="s">
        <v>220</v>
      </c>
      <c r="B168">
        <f>$B$27/B165*$B$13*(2.7/$B$30)</f>
        <v>-43.286219081272073</v>
      </c>
      <c r="H168" t="s">
        <v>220</v>
      </c>
      <c r="I168">
        <f>$B$27/I165*$B$13*(2.7/$B$30)</f>
        <v>-628.64077669903008</v>
      </c>
      <c r="O168" t="s">
        <v>220</v>
      </c>
      <c r="P168">
        <f t="shared" ref="P168" si="102">$B$27/P165*$B$13*(2.7/$B$30)</f>
        <v>201.64609053497932</v>
      </c>
      <c r="V168" t="s">
        <v>220</v>
      </c>
      <c r="W168">
        <f t="shared" ref="W168" si="103">$B$27/W165*$B$13*(2.7/$B$30)</f>
        <v>123.0533270410571</v>
      </c>
      <c r="AC168" t="s">
        <v>220</v>
      </c>
      <c r="AD168">
        <f t="shared" ref="AD168" si="104">$B$27/AD165*$B$13*(2.7/$B$30)</f>
        <v>98.858173076923066</v>
      </c>
      <c r="AJ168" t="s">
        <v>220</v>
      </c>
      <c r="AK168">
        <f t="shared" ref="AK168" si="105">$B$27/AK165*$B$13*(2.7/$B$30)</f>
        <v>87.346760070052554</v>
      </c>
      <c r="AQ168" t="s">
        <v>220</v>
      </c>
      <c r="AR168">
        <f t="shared" ref="AR168" si="106">$B$27/AR165*$B$13*(2.7/$B$30)</f>
        <v>81.146106736657927</v>
      </c>
      <c r="AX168" t="s">
        <v>220</v>
      </c>
      <c r="AY168">
        <f t="shared" ref="AY168" si="107">$B$27/AY165*$B$13*(2.7/$B$30)</f>
        <v>76.834199884459863</v>
      </c>
    </row>
    <row r="169" spans="1:52" x14ac:dyDescent="0.25">
      <c r="A169" t="s">
        <v>268</v>
      </c>
      <c r="B169">
        <f>B166*$B$30</f>
        <v>39.893877551020417</v>
      </c>
      <c r="H169" t="s">
        <v>268</v>
      </c>
      <c r="I169">
        <f>I166*$B$30</f>
        <v>25.373745173745178</v>
      </c>
      <c r="K169" t="s">
        <v>269</v>
      </c>
      <c r="O169" t="s">
        <v>268</v>
      </c>
      <c r="P169">
        <f t="shared" ref="P169" si="108">P166*$B$30</f>
        <v>20.952551020408162</v>
      </c>
      <c r="V169" t="s">
        <v>268</v>
      </c>
      <c r="W169">
        <f t="shared" ref="W169" si="109">W166*$B$30</f>
        <v>18.814573346116973</v>
      </c>
      <c r="AC169" t="s">
        <v>268</v>
      </c>
      <c r="AD169">
        <f t="shared" ref="AD169" si="110">AD166*$B$30</f>
        <v>17.472036474164135</v>
      </c>
      <c r="AJ169" t="s">
        <v>268</v>
      </c>
      <c r="AK169">
        <f t="shared" ref="AK169" si="111">AK166*$B$30</f>
        <v>16.572180451127821</v>
      </c>
      <c r="AQ169" t="s">
        <v>268</v>
      </c>
      <c r="AR169">
        <f t="shared" ref="AR169" si="112">AR166*$B$30</f>
        <v>15.981671159029652</v>
      </c>
      <c r="AX169" t="s">
        <v>268</v>
      </c>
      <c r="AY169">
        <f t="shared" ref="AY169" si="113">AY166*$B$30</f>
        <v>15.514849624060153</v>
      </c>
    </row>
    <row r="170" spans="1:52" x14ac:dyDescent="0.25">
      <c r="A170" t="s">
        <v>270</v>
      </c>
      <c r="B170" s="3">
        <f>MIN(B168,B169)*(12/$B$29)*$B$53</f>
        <v>-43.286219081272073</v>
      </c>
      <c r="C170" t="s">
        <v>271</v>
      </c>
      <c r="H170" t="s">
        <v>270</v>
      </c>
      <c r="I170" s="3">
        <f t="shared" ref="I170" si="114">MIN(I168,I169)*(12/$B$29)*$B$53</f>
        <v>-628.64077669903008</v>
      </c>
      <c r="J170" t="s">
        <v>271</v>
      </c>
      <c r="O170" t="s">
        <v>270</v>
      </c>
      <c r="P170" s="3">
        <f t="shared" ref="P170" si="115">MIN(P168,P169)*(12/$B$29)*$B$53</f>
        <v>20.952551020408162</v>
      </c>
      <c r="Q170" t="s">
        <v>271</v>
      </c>
      <c r="V170" t="s">
        <v>270</v>
      </c>
      <c r="W170" s="3">
        <f t="shared" ref="W170" si="116">MIN(W168,W169)*(12/$B$29)*$B$53</f>
        <v>18.814573346116973</v>
      </c>
      <c r="X170" t="s">
        <v>271</v>
      </c>
      <c r="AC170" t="s">
        <v>270</v>
      </c>
      <c r="AD170" s="3">
        <f t="shared" ref="AD170" si="117">MIN(AD168,AD169)*(12/$B$29)*$B$53</f>
        <v>17.472036474164135</v>
      </c>
      <c r="AE170" t="s">
        <v>271</v>
      </c>
      <c r="AJ170" t="s">
        <v>270</v>
      </c>
      <c r="AK170" s="3">
        <f t="shared" ref="AK170" si="118">MIN(AK168,AK169)*(12/$B$29)*$B$53</f>
        <v>16.572180451127821</v>
      </c>
      <c r="AL170" t="s">
        <v>271</v>
      </c>
      <c r="AQ170" t="s">
        <v>270</v>
      </c>
      <c r="AR170" s="3">
        <f t="shared" ref="AR170" si="119">MIN(AR168,AR169)*(12/$B$29)*$B$53</f>
        <v>15.981671159029652</v>
      </c>
      <c r="AS170" t="s">
        <v>271</v>
      </c>
      <c r="AX170" t="s">
        <v>270</v>
      </c>
      <c r="AY170" s="3">
        <f t="shared" ref="AY170" si="120">MIN(AY168,AY169)*(12/$B$29)*$B$53</f>
        <v>15.514849624060153</v>
      </c>
      <c r="AZ170" t="s">
        <v>271</v>
      </c>
    </row>
    <row r="171" spans="1:52" x14ac:dyDescent="0.25">
      <c r="B171" s="3"/>
      <c r="I171" s="3"/>
      <c r="P171" s="3"/>
      <c r="W171" s="3"/>
      <c r="AD171" s="3"/>
      <c r="AK171" s="3"/>
      <c r="AR171" s="3"/>
      <c r="AY171" s="3"/>
    </row>
    <row r="172" spans="1:52" x14ac:dyDescent="0.25">
      <c r="A172" s="3" t="s">
        <v>272</v>
      </c>
      <c r="H172" s="3" t="s">
        <v>272</v>
      </c>
      <c r="O172" s="3" t="s">
        <v>272</v>
      </c>
      <c r="V172" s="3" t="s">
        <v>272</v>
      </c>
      <c r="AC172" s="3" t="s">
        <v>272</v>
      </c>
      <c r="AJ172" s="3" t="s">
        <v>272</v>
      </c>
      <c r="AQ172" s="3" t="s">
        <v>272</v>
      </c>
      <c r="AX172" s="3" t="s">
        <v>272</v>
      </c>
    </row>
    <row r="173" spans="1:52" x14ac:dyDescent="0.25">
      <c r="A173" t="s">
        <v>266</v>
      </c>
      <c r="B173">
        <f>TREND($B$103:$B$104,B157:B158,$B$27,1)</f>
        <v>-2.3064308979591845</v>
      </c>
      <c r="H173" t="s">
        <v>266</v>
      </c>
      <c r="I173">
        <f t="shared" ref="I173" si="121">TREND($B$103:$B$104,I157:I158,$B$27,1)</f>
        <v>-0.14827673359073423</v>
      </c>
      <c r="O173" t="s">
        <v>266</v>
      </c>
      <c r="P173">
        <f t="shared" ref="P173" si="122">TREND($B$103:$B$104,P157:P158,$B$27,1)</f>
        <v>0.50885354081632617</v>
      </c>
      <c r="V173" t="s">
        <v>266</v>
      </c>
      <c r="W173">
        <f t="shared" ref="W173" si="123">TREND($B$103:$B$104,W157:W158,$B$27,1)</f>
        <v>0.82662512176414171</v>
      </c>
      <c r="AC173" t="s">
        <v>266</v>
      </c>
      <c r="AD173">
        <f t="shared" ref="AD173" si="124">TREND($B$103:$B$104,AD157:AD158,$B$27,1)</f>
        <v>1.0261688632218844</v>
      </c>
      <c r="AJ173" t="s">
        <v>266</v>
      </c>
      <c r="AK173">
        <f t="shared" ref="AK173" si="125">TREND($B$103:$B$104,AK157:AK158,$B$27,1)</f>
        <v>1.1599161303258145</v>
      </c>
      <c r="AQ173" t="s">
        <v>266</v>
      </c>
      <c r="AR173">
        <f t="shared" ref="AR173" si="126">TREND($B$103:$B$104,AR157:AR158,$B$27,1)</f>
        <v>1.2476846199460918</v>
      </c>
      <c r="AX173" t="s">
        <v>266</v>
      </c>
      <c r="AY173">
        <f t="shared" ref="AY173" si="127">TREND($B$103:$B$104,AY157:AY158,$B$27,1)</f>
        <v>1.3170691691729326</v>
      </c>
    </row>
    <row r="174" spans="1:52" x14ac:dyDescent="0.25">
      <c r="A174" t="s">
        <v>267</v>
      </c>
      <c r="B174">
        <f>TREND($E$103:$E$104,B157:B158,$B$27,1)</f>
        <v>14.775510204081634</v>
      </c>
      <c r="H174" t="s">
        <v>267</v>
      </c>
      <c r="I174">
        <f t="shared" ref="I174" si="128">TREND($E$103:$E$104,I157:I158,$B$27,1)</f>
        <v>9.397683397683398</v>
      </c>
      <c r="O174" t="s">
        <v>267</v>
      </c>
      <c r="P174">
        <f t="shared" ref="P174" si="129">TREND($E$103:$E$104,P157:P158,$B$27,1)</f>
        <v>7.7602040816326525</v>
      </c>
      <c r="V174" t="s">
        <v>267</v>
      </c>
      <c r="W174">
        <f t="shared" ref="W174" si="130">TREND($E$103:$E$104,W157:W158,$B$27,1)</f>
        <v>6.9683604985618413</v>
      </c>
      <c r="AC174" t="s">
        <v>267</v>
      </c>
      <c r="AD174">
        <f t="shared" ref="AD174" si="131">TREND($E$103:$E$104,AD157:AD158,$B$27,1)</f>
        <v>6.4711246200607899</v>
      </c>
      <c r="AJ174" t="s">
        <v>267</v>
      </c>
      <c r="AK174">
        <f t="shared" ref="AK174" si="132">TREND($E$103:$E$104,AK157:AK158,$B$27,1)</f>
        <v>6.1378446115288225</v>
      </c>
      <c r="AQ174" t="s">
        <v>267</v>
      </c>
      <c r="AR174">
        <f t="shared" ref="AR174" si="133">TREND($E$103:$E$104,AR157:AR158,$B$27,1)</f>
        <v>5.9191374663072782</v>
      </c>
      <c r="AX174" t="s">
        <v>267</v>
      </c>
      <c r="AY174">
        <f t="shared" ref="AY174" si="134">TREND($E$103:$E$104,AY157:AY158,$B$27,1)</f>
        <v>5.7462406015037599</v>
      </c>
    </row>
    <row r="176" spans="1:52" x14ac:dyDescent="0.25">
      <c r="A176" t="s">
        <v>220</v>
      </c>
      <c r="B176">
        <f>$B$27/B173*$B$13*(2.7/$B$30)</f>
        <v>-54.196290949191074</v>
      </c>
      <c r="H176" t="s">
        <v>220</v>
      </c>
      <c r="I176">
        <f t="shared" ref="I176" si="135">$B$27/I173*$B$13*(2.7/$B$30)</f>
        <v>-843.01830080111245</v>
      </c>
      <c r="O176" t="s">
        <v>220</v>
      </c>
      <c r="P176">
        <f t="shared" ref="P176" si="136">$B$27/P173*$B$13*(2.7/$B$30)</f>
        <v>245.65025095328858</v>
      </c>
      <c r="V176" t="s">
        <v>220</v>
      </c>
      <c r="W176">
        <f t="shared" ref="W176" si="137">$B$27/W173*$B$13*(2.7/$B$30)</f>
        <v>151.2172769843134</v>
      </c>
      <c r="AC176" t="s">
        <v>220</v>
      </c>
      <c r="AD176">
        <f t="shared" ref="AD176" si="138">$B$27/AD173*$B$13*(2.7/$B$30)</f>
        <v>121.8123103126856</v>
      </c>
      <c r="AJ176" t="s">
        <v>220</v>
      </c>
      <c r="AK176">
        <f t="shared" ref="AK176" si="139">$B$27/AK173*$B$13*(2.7/$B$30)</f>
        <v>107.76641235680388</v>
      </c>
      <c r="AQ176" t="s">
        <v>220</v>
      </c>
      <c r="AR176">
        <f t="shared" ref="AR176" si="140">$B$27/AR173*$B$13*(2.7/$B$30)</f>
        <v>100.18557414404998</v>
      </c>
      <c r="AX176" t="s">
        <v>220</v>
      </c>
      <c r="AY176">
        <f t="shared" ref="AY176" si="141">$B$27/AY173*$B$13*(2.7/$B$30)</f>
        <v>94.907695757919129</v>
      </c>
    </row>
    <row r="177" spans="1:58" x14ac:dyDescent="0.25">
      <c r="A177" t="s">
        <v>268</v>
      </c>
      <c r="B177">
        <f>B174*$B$30</f>
        <v>39.893877551020417</v>
      </c>
      <c r="H177" t="s">
        <v>268</v>
      </c>
      <c r="I177">
        <f t="shared" ref="I177" si="142">I174*$B$30</f>
        <v>25.373745173745178</v>
      </c>
      <c r="O177" t="s">
        <v>268</v>
      </c>
      <c r="P177">
        <f t="shared" ref="P177" si="143">P174*$B$30</f>
        <v>20.952551020408162</v>
      </c>
      <c r="V177" t="s">
        <v>268</v>
      </c>
      <c r="W177">
        <f t="shared" ref="W177" si="144">W174*$B$30</f>
        <v>18.814573346116973</v>
      </c>
      <c r="AC177" t="s">
        <v>268</v>
      </c>
      <c r="AD177">
        <f t="shared" ref="AD177" si="145">AD174*$B$30</f>
        <v>17.472036474164135</v>
      </c>
      <c r="AJ177" t="s">
        <v>268</v>
      </c>
      <c r="AK177">
        <f t="shared" ref="AK177" si="146">AK174*$B$30</f>
        <v>16.572180451127821</v>
      </c>
      <c r="AQ177" t="s">
        <v>268</v>
      </c>
      <c r="AR177">
        <f t="shared" ref="AR177" si="147">AR174*$B$30</f>
        <v>15.981671159029652</v>
      </c>
      <c r="AX177" t="s">
        <v>268</v>
      </c>
      <c r="AY177">
        <f t="shared" ref="AY177" si="148">AY174*$B$30</f>
        <v>15.514849624060153</v>
      </c>
    </row>
    <row r="178" spans="1:58" x14ac:dyDescent="0.25">
      <c r="A178" t="s">
        <v>270</v>
      </c>
      <c r="B178" s="3">
        <f>MIN(B176,B177)*(12/$B$29)*$B$53</f>
        <v>-54.196290949191074</v>
      </c>
      <c r="C178" t="s">
        <v>271</v>
      </c>
      <c r="H178" t="s">
        <v>270</v>
      </c>
      <c r="I178" s="3">
        <f t="shared" ref="I178" si="149">MIN(I176,I177)*(12/$B$29)*$B$53</f>
        <v>-843.01830080111245</v>
      </c>
      <c r="J178" t="s">
        <v>271</v>
      </c>
      <c r="O178" t="s">
        <v>270</v>
      </c>
      <c r="P178" s="3">
        <f t="shared" ref="P178" si="150">MIN(P176,P177)*(12/$B$29)*$B$53</f>
        <v>20.952551020408162</v>
      </c>
      <c r="Q178" t="s">
        <v>271</v>
      </c>
      <c r="V178" t="s">
        <v>270</v>
      </c>
      <c r="W178" s="3">
        <f t="shared" ref="W178" si="151">MIN(W176,W177)*(12/$B$29)*$B$53</f>
        <v>18.814573346116973</v>
      </c>
      <c r="X178" t="s">
        <v>271</v>
      </c>
      <c r="AC178" t="s">
        <v>270</v>
      </c>
      <c r="AD178" s="3">
        <f t="shared" ref="AD178" si="152">MIN(AD176,AD177)*(12/$B$29)*$B$53</f>
        <v>17.472036474164135</v>
      </c>
      <c r="AE178" t="s">
        <v>271</v>
      </c>
      <c r="AJ178" t="s">
        <v>270</v>
      </c>
      <c r="AK178" s="3">
        <f t="shared" ref="AK178" si="153">MIN(AK176,AK177)*(12/$B$29)*$B$53</f>
        <v>16.572180451127821</v>
      </c>
      <c r="AL178" t="s">
        <v>271</v>
      </c>
      <c r="AQ178" t="s">
        <v>270</v>
      </c>
      <c r="AR178" s="3">
        <f t="shared" ref="AR178" si="154">MIN(AR176,AR177)*(12/$B$29)*$B$53</f>
        <v>15.981671159029652</v>
      </c>
      <c r="AS178" t="s">
        <v>271</v>
      </c>
      <c r="AX178" t="s">
        <v>270</v>
      </c>
      <c r="AY178" s="3">
        <f t="shared" ref="AY178" si="155">MIN(AY176,AY177)*(12/$B$29)*$B$53</f>
        <v>15.514849624060153</v>
      </c>
      <c r="AZ178" t="s">
        <v>271</v>
      </c>
      <c r="BE178" t="s">
        <v>270</v>
      </c>
      <c r="BF178" s="3">
        <f t="shared" ref="BF178" si="156">MIN(BF176,BF177)*(12/$B$29)*$B$53</f>
        <v>0</v>
      </c>
    </row>
    <row r="179" spans="1:58" x14ac:dyDescent="0.25">
      <c r="B179" s="3"/>
      <c r="I179" s="3"/>
      <c r="P179" s="3"/>
      <c r="W179" s="3"/>
      <c r="AD179" s="3"/>
      <c r="AK179" s="3"/>
      <c r="AR179" s="3"/>
      <c r="AY179" s="3"/>
    </row>
    <row r="181" spans="1:58" x14ac:dyDescent="0.25">
      <c r="A181" s="3" t="s">
        <v>100</v>
      </c>
      <c r="H181" s="3" t="s">
        <v>100</v>
      </c>
      <c r="O181" s="3" t="s">
        <v>100</v>
      </c>
      <c r="V181" s="3" t="s">
        <v>100</v>
      </c>
      <c r="AC181" s="3" t="s">
        <v>100</v>
      </c>
      <c r="AJ181" s="3" t="s">
        <v>100</v>
      </c>
      <c r="AQ181" s="3" t="s">
        <v>100</v>
      </c>
      <c r="AX181" s="3" t="s">
        <v>100</v>
      </c>
    </row>
    <row r="183" spans="1:58" x14ac:dyDescent="0.25">
      <c r="A183" t="s">
        <v>273</v>
      </c>
      <c r="B183" s="7"/>
      <c r="H183" t="s">
        <v>273</v>
      </c>
      <c r="I183" s="7"/>
      <c r="O183" t="s">
        <v>273</v>
      </c>
      <c r="P183" s="7"/>
      <c r="V183" t="s">
        <v>273</v>
      </c>
      <c r="W183" s="7"/>
      <c r="AC183" t="s">
        <v>273</v>
      </c>
      <c r="AD183" s="7"/>
      <c r="AJ183" t="s">
        <v>273</v>
      </c>
      <c r="AK183" s="7"/>
      <c r="AQ183" t="s">
        <v>273</v>
      </c>
      <c r="AR183" s="7"/>
      <c r="AX183" t="s">
        <v>273</v>
      </c>
      <c r="AY183" s="7"/>
      <c r="BF183" s="7"/>
    </row>
    <row r="184" spans="1:58" x14ac:dyDescent="0.25">
      <c r="B184" s="6"/>
      <c r="I184" s="6"/>
      <c r="P184" s="6"/>
      <c r="W184" s="6"/>
      <c r="AD184" s="6"/>
      <c r="AK184" s="6"/>
      <c r="AR184" s="6"/>
      <c r="AY184" s="6"/>
      <c r="BF184" s="6"/>
    </row>
    <row r="185" spans="1:58" x14ac:dyDescent="0.25">
      <c r="A185" t="s">
        <v>274</v>
      </c>
      <c r="B185" s="6"/>
      <c r="H185" t="s">
        <v>274</v>
      </c>
      <c r="I185" s="6"/>
      <c r="O185" t="s">
        <v>274</v>
      </c>
      <c r="P185" s="6"/>
      <c r="V185" t="s">
        <v>274</v>
      </c>
      <c r="W185" s="6"/>
      <c r="AC185" t="s">
        <v>274</v>
      </c>
      <c r="AD185" s="6"/>
      <c r="AJ185" t="s">
        <v>274</v>
      </c>
      <c r="AK185" s="6"/>
      <c r="AQ185" t="s">
        <v>274</v>
      </c>
      <c r="AR185" s="6"/>
      <c r="AX185" t="s">
        <v>274</v>
      </c>
      <c r="AY185" s="6"/>
      <c r="BF185" s="6"/>
    </row>
    <row r="186" spans="1:58" x14ac:dyDescent="0.25">
      <c r="A186" t="s">
        <v>275</v>
      </c>
      <c r="H186" t="s">
        <v>275</v>
      </c>
      <c r="O186" t="s">
        <v>275</v>
      </c>
      <c r="V186" t="s">
        <v>275</v>
      </c>
      <c r="AC186" t="s">
        <v>275</v>
      </c>
      <c r="AJ186" t="s">
        <v>275</v>
      </c>
      <c r="AQ186" t="s">
        <v>275</v>
      </c>
      <c r="AX186" t="s">
        <v>275</v>
      </c>
    </row>
    <row r="187" spans="1:58" x14ac:dyDescent="0.25">
      <c r="A187" t="s">
        <v>276</v>
      </c>
      <c r="B187" s="6"/>
      <c r="H187" t="s">
        <v>276</v>
      </c>
      <c r="I187" s="6"/>
      <c r="O187" t="s">
        <v>276</v>
      </c>
      <c r="P187" s="6"/>
      <c r="V187" t="s">
        <v>276</v>
      </c>
      <c r="W187" s="6"/>
      <c r="AC187" t="s">
        <v>276</v>
      </c>
      <c r="AD187" s="6"/>
      <c r="AJ187" t="s">
        <v>276</v>
      </c>
      <c r="AK187" s="6"/>
      <c r="AQ187" t="s">
        <v>276</v>
      </c>
      <c r="AR187" s="6"/>
      <c r="AX187" t="s">
        <v>276</v>
      </c>
      <c r="AY187" s="6"/>
      <c r="BF187" s="6"/>
    </row>
    <row r="188" spans="1:58" x14ac:dyDescent="0.25">
      <c r="A188" t="s">
        <v>277</v>
      </c>
      <c r="B188" s="6">
        <f>$B$308</f>
        <v>8.5367564472740067</v>
      </c>
      <c r="C188" t="s">
        <v>217</v>
      </c>
      <c r="H188" t="s">
        <v>277</v>
      </c>
      <c r="I188" s="6">
        <f>$B$308</f>
        <v>8.5367564472740067</v>
      </c>
      <c r="J188" t="s">
        <v>278</v>
      </c>
      <c r="O188" t="s">
        <v>277</v>
      </c>
      <c r="P188" s="6">
        <f>$B$308</f>
        <v>8.5367564472740067</v>
      </c>
      <c r="Q188" t="s">
        <v>279</v>
      </c>
      <c r="V188" t="s">
        <v>277</v>
      </c>
      <c r="W188" s="6">
        <f>$B$308</f>
        <v>8.5367564472740067</v>
      </c>
      <c r="X188" t="s">
        <v>280</v>
      </c>
      <c r="AC188" t="s">
        <v>277</v>
      </c>
      <c r="AD188" s="6">
        <f>$B$308</f>
        <v>8.5367564472740067</v>
      </c>
      <c r="AE188" t="s">
        <v>281</v>
      </c>
      <c r="AJ188" t="s">
        <v>277</v>
      </c>
      <c r="AK188" s="6">
        <f>$B$308</f>
        <v>8.5367564472740067</v>
      </c>
      <c r="AL188" t="s">
        <v>282</v>
      </c>
      <c r="AQ188" t="s">
        <v>277</v>
      </c>
      <c r="AR188" s="6">
        <f>$B$308</f>
        <v>8.5367564472740067</v>
      </c>
      <c r="AS188" t="s">
        <v>283</v>
      </c>
      <c r="AX188" t="s">
        <v>277</v>
      </c>
      <c r="AY188" s="6">
        <f>$B$308</f>
        <v>8.5367564472740067</v>
      </c>
      <c r="AZ188" t="s">
        <v>284</v>
      </c>
      <c r="BF188" s="6"/>
    </row>
    <row r="189" spans="1:58" x14ac:dyDescent="0.25">
      <c r="B189" s="6"/>
      <c r="I189" s="6"/>
      <c r="P189" s="6"/>
      <c r="W189" s="6"/>
      <c r="AD189" s="6"/>
      <c r="AK189" s="6"/>
      <c r="AR189" s="6"/>
      <c r="AY189" s="6"/>
      <c r="BF189" s="6"/>
    </row>
    <row r="190" spans="1:58" x14ac:dyDescent="0.25">
      <c r="A190" s="3" t="s">
        <v>285</v>
      </c>
      <c r="D190" t="s">
        <v>286</v>
      </c>
      <c r="H190" s="3" t="s">
        <v>285</v>
      </c>
      <c r="K190" t="s">
        <v>286</v>
      </c>
      <c r="O190" s="3" t="s">
        <v>285</v>
      </c>
      <c r="R190" t="s">
        <v>286</v>
      </c>
      <c r="V190" s="3" t="s">
        <v>285</v>
      </c>
      <c r="Y190" t="s">
        <v>286</v>
      </c>
      <c r="AC190" s="3" t="s">
        <v>285</v>
      </c>
      <c r="AF190" t="s">
        <v>286</v>
      </c>
      <c r="AJ190" s="3" t="s">
        <v>285</v>
      </c>
      <c r="AM190" t="s">
        <v>286</v>
      </c>
      <c r="AQ190" s="3" t="s">
        <v>285</v>
      </c>
      <c r="AT190" t="s">
        <v>286</v>
      </c>
      <c r="AX190" s="3" t="s">
        <v>285</v>
      </c>
      <c r="BA190" t="s">
        <v>286</v>
      </c>
      <c r="BE190" s="3"/>
    </row>
    <row r="191" spans="1:58" x14ac:dyDescent="0.25">
      <c r="A191" s="8" t="s">
        <v>212</v>
      </c>
      <c r="B191" s="8">
        <f>B188*$B$29</f>
        <v>102.44107736728807</v>
      </c>
      <c r="C191" s="8" t="s">
        <v>214</v>
      </c>
      <c r="H191" s="8" t="s">
        <v>212</v>
      </c>
      <c r="I191" s="8">
        <f t="shared" ref="I191" si="157">I188*$B$29</f>
        <v>102.44107736728807</v>
      </c>
      <c r="J191" s="8" t="s">
        <v>287</v>
      </c>
      <c r="O191" s="8" t="s">
        <v>212</v>
      </c>
      <c r="P191" s="8">
        <f t="shared" ref="P191" si="158">P188*$B$29</f>
        <v>102.44107736728807</v>
      </c>
      <c r="Q191" s="8" t="s">
        <v>288</v>
      </c>
      <c r="V191" s="8" t="s">
        <v>212</v>
      </c>
      <c r="W191" s="8">
        <f t="shared" ref="W191" si="159">W188*$B$29</f>
        <v>102.44107736728807</v>
      </c>
      <c r="X191" s="8" t="s">
        <v>289</v>
      </c>
      <c r="AC191" s="8" t="s">
        <v>212</v>
      </c>
      <c r="AD191" s="8">
        <f t="shared" ref="AD191" si="160">AD188*$B$29</f>
        <v>102.44107736728807</v>
      </c>
      <c r="AE191" s="8" t="s">
        <v>290</v>
      </c>
      <c r="AJ191" s="8" t="s">
        <v>212</v>
      </c>
      <c r="AK191" s="8">
        <f t="shared" ref="AK191" si="161">AK188*$B$29</f>
        <v>102.44107736728807</v>
      </c>
      <c r="AL191" s="8" t="s">
        <v>291</v>
      </c>
      <c r="AQ191" s="8" t="s">
        <v>212</v>
      </c>
      <c r="AR191" s="8">
        <f t="shared" ref="AR191" si="162">AR188*$B$29</f>
        <v>102.44107736728807</v>
      </c>
      <c r="AS191" s="8" t="s">
        <v>292</v>
      </c>
      <c r="AX191" s="8" t="s">
        <v>212</v>
      </c>
      <c r="AY191" s="8">
        <f t="shared" ref="AY191" si="163">AY188*$B$29</f>
        <v>102.44107736728807</v>
      </c>
      <c r="AZ191" s="8" t="s">
        <v>293</v>
      </c>
      <c r="BE191" s="8"/>
      <c r="BF191" s="8"/>
    </row>
    <row r="192" spans="1:58" x14ac:dyDescent="0.25">
      <c r="A192" t="s">
        <v>294</v>
      </c>
      <c r="B192">
        <f>(B157-$B$25)/(B157-B158)*(B188/$B$84)</f>
        <v>-18.728598328203176</v>
      </c>
      <c r="H192" t="s">
        <v>294</v>
      </c>
      <c r="I192">
        <f t="shared" ref="I192" si="164">(I157-$B$25)/(I157-I158)*(I188/$B$84)</f>
        <v>-7.2512989127424001</v>
      </c>
      <c r="O192" t="s">
        <v>294</v>
      </c>
      <c r="P192">
        <f t="shared" ref="P192" si="165">(P157-$B$25)/(P157-P158)*(P188/$B$84)</f>
        <v>-3.7566083855988932</v>
      </c>
      <c r="V192" t="s">
        <v>294</v>
      </c>
      <c r="W192">
        <f t="shared" ref="W192" si="166">(W157-$B$25)/(W157-W158)*(W188/$B$84)</f>
        <v>-2.0666644323458163</v>
      </c>
      <c r="AC192" t="s">
        <v>294</v>
      </c>
      <c r="AD192">
        <f t="shared" ref="AD192" si="167">(AD157-$B$25)/(AD157-AD158)*(AD188/$B$84)</f>
        <v>-1.0054690344433672</v>
      </c>
      <c r="AJ192" t="s">
        <v>294</v>
      </c>
      <c r="AK192">
        <f t="shared" ref="AK192" si="168">(AK157-$B$25)/(AK157-AK158)*(AK188/$B$84)</f>
        <v>-0.2941864690476631</v>
      </c>
      <c r="AQ192" t="s">
        <v>294</v>
      </c>
      <c r="AR192">
        <f t="shared" ref="AR192" si="169">(AR157-$B$25)/(AR157-AR158)*(AR188/$B$84)</f>
        <v>0.17257593896106482</v>
      </c>
      <c r="AX192" t="s">
        <v>294</v>
      </c>
      <c r="AY192">
        <f t="shared" ref="AY192" si="170">(AY157-$B$25)/(AY157-AY158)*(AY188/$B$84)</f>
        <v>0.54157054529228887</v>
      </c>
    </row>
    <row r="193" spans="1:58" x14ac:dyDescent="0.25">
      <c r="A193" t="s">
        <v>295</v>
      </c>
      <c r="B193" s="6">
        <f>B188-B192</f>
        <v>27.265354775477185</v>
      </c>
      <c r="H193" t="s">
        <v>295</v>
      </c>
      <c r="I193" s="6">
        <f t="shared" ref="I193" si="171">I188-I192</f>
        <v>15.788055360016408</v>
      </c>
      <c r="O193" t="s">
        <v>295</v>
      </c>
      <c r="P193" s="6">
        <f t="shared" ref="P193" si="172">P188-P192</f>
        <v>12.2933648328729</v>
      </c>
      <c r="V193" t="s">
        <v>295</v>
      </c>
      <c r="W193" s="6">
        <f t="shared" ref="W193" si="173">W188-W192</f>
        <v>10.603420879619822</v>
      </c>
      <c r="AC193" t="s">
        <v>295</v>
      </c>
      <c r="AD193" s="6">
        <f t="shared" ref="AD193" si="174">AD188-AD192</f>
        <v>9.5422254817173737</v>
      </c>
      <c r="AJ193" t="s">
        <v>295</v>
      </c>
      <c r="AK193" s="6">
        <f t="shared" ref="AK193" si="175">AK188-AK192</f>
        <v>8.8309429163216695</v>
      </c>
      <c r="AQ193" t="s">
        <v>295</v>
      </c>
      <c r="AR193" s="6">
        <f t="shared" ref="AR193" si="176">AR188-AR192</f>
        <v>8.3641805083129412</v>
      </c>
      <c r="AX193" t="s">
        <v>295</v>
      </c>
      <c r="AY193" s="6">
        <f t="shared" ref="AY193" si="177">AY188-AY192</f>
        <v>7.995185901981718</v>
      </c>
      <c r="BF193" s="6"/>
    </row>
    <row r="194" spans="1:58" x14ac:dyDescent="0.25">
      <c r="A194" t="s">
        <v>296</v>
      </c>
      <c r="B194">
        <f>B193*$B$29*$B$52</f>
        <v>327.18425730572619</v>
      </c>
      <c r="D194" t="s">
        <v>297</v>
      </c>
      <c r="H194" t="s">
        <v>296</v>
      </c>
      <c r="I194">
        <f t="shared" ref="I194" si="178">I193*$B$29*$B$52</f>
        <v>189.45666432019689</v>
      </c>
      <c r="K194" t="s">
        <v>297</v>
      </c>
      <c r="O194" t="s">
        <v>296</v>
      </c>
      <c r="P194">
        <f t="shared" ref="P194" si="179">P193*$B$29*$B$52</f>
        <v>147.52037799447481</v>
      </c>
      <c r="R194" t="s">
        <v>297</v>
      </c>
      <c r="V194" t="s">
        <v>296</v>
      </c>
      <c r="W194">
        <f t="shared" ref="W194" si="180">W193*$B$29*$B$52</f>
        <v>127.24105055543787</v>
      </c>
      <c r="Y194" t="s">
        <v>297</v>
      </c>
      <c r="AC194" t="s">
        <v>296</v>
      </c>
      <c r="AD194">
        <f t="shared" ref="AD194" si="181">AD193*$B$29*$B$52</f>
        <v>114.50670578060848</v>
      </c>
      <c r="AF194" t="s">
        <v>297</v>
      </c>
      <c r="AJ194" t="s">
        <v>296</v>
      </c>
      <c r="AK194">
        <f t="shared" ref="AK194" si="182">AK193*$B$29*$B$52</f>
        <v>105.97131499586004</v>
      </c>
      <c r="AM194" t="s">
        <v>297</v>
      </c>
      <c r="AQ194" t="s">
        <v>296</v>
      </c>
      <c r="AR194">
        <f t="shared" ref="AR194" si="183">AR193*$B$29*$B$52</f>
        <v>100.37016609975529</v>
      </c>
      <c r="AT194" t="s">
        <v>297</v>
      </c>
      <c r="AX194" t="s">
        <v>296</v>
      </c>
      <c r="AY194">
        <f t="shared" ref="AY194" si="184">AY193*$B$29*$B$52</f>
        <v>95.942230823780619</v>
      </c>
      <c r="BA194" t="s">
        <v>297</v>
      </c>
    </row>
    <row r="195" spans="1:58" x14ac:dyDescent="0.25">
      <c r="A195" s="3">
        <v>2.7</v>
      </c>
      <c r="B195" s="162">
        <f>$P$76*B$194^$Q$76</f>
        <v>0.31464261893301382</v>
      </c>
      <c r="C195" s="3"/>
      <c r="H195" s="3">
        <v>2.7</v>
      </c>
      <c r="I195" s="162">
        <f>$P$76*I$194^$Q$76</f>
        <v>0.24734013956486034</v>
      </c>
      <c r="J195" s="3"/>
      <c r="O195" s="3">
        <v>2.7</v>
      </c>
      <c r="P195" s="162">
        <f>$P$76*P$194^$Q$76</f>
        <v>0.22152911358161781</v>
      </c>
      <c r="Q195" s="3"/>
      <c r="V195" s="3">
        <v>2.7</v>
      </c>
      <c r="W195" s="162">
        <f>$P$76*W$194^$Q$76</f>
        <v>0.20755815348588946</v>
      </c>
      <c r="X195" s="3"/>
      <c r="AC195" s="3">
        <v>2.7</v>
      </c>
      <c r="AD195" s="162">
        <f>$P$76*AD$194^$Q$76</f>
        <v>0.19813742611682975</v>
      </c>
      <c r="AE195" s="3"/>
      <c r="AJ195" s="3">
        <v>2.7</v>
      </c>
      <c r="AK195" s="162">
        <f>$P$76*AK$194^$Q$76</f>
        <v>0.19149037646847222</v>
      </c>
      <c r="AL195" s="3"/>
      <c r="AQ195" s="3">
        <v>2.7</v>
      </c>
      <c r="AR195" s="162">
        <f>$P$76*AR$194^$Q$76</f>
        <v>0.18696415095140123</v>
      </c>
      <c r="AS195" s="3"/>
      <c r="AX195" s="3">
        <v>2.7</v>
      </c>
      <c r="AY195" s="162">
        <f>$P$76*AY$194^$Q$76</f>
        <v>0.18328495566060107</v>
      </c>
      <c r="AZ195" s="3"/>
      <c r="BE195" s="3"/>
      <c r="BF195" s="162"/>
    </row>
    <row r="196" spans="1:58" x14ac:dyDescent="0.25">
      <c r="A196" s="3">
        <v>4</v>
      </c>
      <c r="B196" s="162">
        <f>$P$77*B$194^$Q$77</f>
        <v>0.3317173391143533</v>
      </c>
      <c r="C196" s="3"/>
      <c r="H196" s="3">
        <v>4</v>
      </c>
      <c r="I196" s="162">
        <f>$P$77*I$194^$Q$77</f>
        <v>0.26000854975256821</v>
      </c>
      <c r="J196" s="3"/>
      <c r="O196" s="3">
        <v>4</v>
      </c>
      <c r="P196" s="162">
        <f>$P$77*P$194^$Q$77</f>
        <v>0.23256692487792627</v>
      </c>
      <c r="Q196" s="3"/>
      <c r="V196" s="3">
        <v>4</v>
      </c>
      <c r="W196" s="162">
        <f>$P$77*W$194^$Q$77</f>
        <v>0.2177291353122475</v>
      </c>
      <c r="X196" s="3"/>
      <c r="AC196" s="3">
        <v>4</v>
      </c>
      <c r="AD196" s="162">
        <f>$P$77*AD$194^$Q$77</f>
        <v>0.20773063368913003</v>
      </c>
      <c r="AE196" s="3"/>
      <c r="AJ196" s="3">
        <v>4</v>
      </c>
      <c r="AK196" s="162">
        <f>$P$77*AK$194^$Q$77</f>
        <v>0.20067934557661471</v>
      </c>
      <c r="AL196" s="3"/>
      <c r="AQ196" s="3">
        <v>4</v>
      </c>
      <c r="AR196" s="162">
        <f>$P$77*AR$194^$Q$77</f>
        <v>0.19587953810860406</v>
      </c>
      <c r="AS196" s="3"/>
      <c r="AX196" s="3">
        <v>4</v>
      </c>
      <c r="AY196" s="162">
        <f>$P$77*AY$194^$Q$77</f>
        <v>0.19197898703905183</v>
      </c>
      <c r="AZ196" s="3"/>
      <c r="BE196" s="3"/>
      <c r="BF196" s="162"/>
    </row>
    <row r="197" spans="1:58" x14ac:dyDescent="0.25">
      <c r="A197" s="3">
        <v>10</v>
      </c>
      <c r="B197" s="162">
        <f>$P$78*B$194^$Q$78</f>
        <v>0.35558039564458238</v>
      </c>
      <c r="C197" s="3"/>
      <c r="H197" s="3">
        <v>10</v>
      </c>
      <c r="I197" s="162">
        <f>$P$78*I$194^$Q$78</f>
        <v>0.27973516075231269</v>
      </c>
      <c r="J197" s="3"/>
      <c r="O197" s="3">
        <v>10</v>
      </c>
      <c r="P197" s="162">
        <f>$P$78*P$194^$Q$78</f>
        <v>0.2506313462063931</v>
      </c>
      <c r="Q197" s="3"/>
      <c r="V197" s="3">
        <v>10</v>
      </c>
      <c r="W197" s="162">
        <f>$P$78*W$194^$Q$78</f>
        <v>0.23487364636202404</v>
      </c>
      <c r="X197" s="3"/>
      <c r="AC197" s="3">
        <v>10</v>
      </c>
      <c r="AD197" s="162">
        <f>$P$78*AD$194^$Q$78</f>
        <v>0.22424621615585691</v>
      </c>
      <c r="AE197" s="3"/>
      <c r="AJ197" s="3">
        <v>10</v>
      </c>
      <c r="AK197" s="162">
        <f>$P$78*AK$194^$Q$78</f>
        <v>0.21674678246124429</v>
      </c>
      <c r="AL197" s="3"/>
      <c r="AQ197" s="3">
        <v>10</v>
      </c>
      <c r="AR197" s="162">
        <f>$P$78*AR$194^$Q$78</f>
        <v>0.21163966481626312</v>
      </c>
      <c r="AS197" s="3"/>
      <c r="AX197" s="3">
        <v>10</v>
      </c>
      <c r="AY197" s="162">
        <f>$P$78*AY$194^$Q$78</f>
        <v>0.20748799545069838</v>
      </c>
      <c r="AZ197" s="3"/>
      <c r="BE197" s="3"/>
      <c r="BF197" s="162"/>
    </row>
    <row r="198" spans="1:58" x14ac:dyDescent="0.25">
      <c r="A198" s="3" t="s">
        <v>298</v>
      </c>
      <c r="B198" t="s">
        <v>213</v>
      </c>
      <c r="C198" t="s">
        <v>229</v>
      </c>
      <c r="H198" s="3" t="s">
        <v>298</v>
      </c>
      <c r="I198" t="s">
        <v>213</v>
      </c>
      <c r="J198" t="s">
        <v>229</v>
      </c>
      <c r="O198" s="3" t="s">
        <v>298</v>
      </c>
      <c r="P198" t="s">
        <v>213</v>
      </c>
      <c r="Q198" t="s">
        <v>229</v>
      </c>
      <c r="V198" s="3" t="s">
        <v>298</v>
      </c>
      <c r="W198" t="s">
        <v>213</v>
      </c>
      <c r="X198" t="s">
        <v>229</v>
      </c>
      <c r="AC198" s="3" t="s">
        <v>298</v>
      </c>
      <c r="AD198" t="s">
        <v>213</v>
      </c>
      <c r="AE198" t="s">
        <v>229</v>
      </c>
      <c r="AJ198" s="3" t="s">
        <v>298</v>
      </c>
      <c r="AK198" t="s">
        <v>213</v>
      </c>
      <c r="AL198" t="s">
        <v>229</v>
      </c>
      <c r="AQ198" s="3" t="s">
        <v>298</v>
      </c>
      <c r="AR198" t="s">
        <v>213</v>
      </c>
      <c r="AS198" t="s">
        <v>229</v>
      </c>
      <c r="AX198" s="3" t="s">
        <v>298</v>
      </c>
      <c r="AY198" t="s">
        <v>213</v>
      </c>
      <c r="AZ198" t="s">
        <v>229</v>
      </c>
    </row>
    <row r="199" spans="1:58" x14ac:dyDescent="0.25">
      <c r="B199">
        <f>EXP(INDEX(LINEST(LN(B195:B197),LN(A195:A197),,),1,2))</f>
        <v>0.2897128835125603</v>
      </c>
      <c r="C199">
        <f>INDEX(LINEST(LN(B195:B197),LN(A195:A197),,),1)</f>
        <v>9.0300953541226775E-2</v>
      </c>
      <c r="I199">
        <f t="shared" ref="I199" si="185">EXP(INDEX(LINEST(LN(I195:I197),LN(H195:H197),,),1,2))</f>
        <v>0.22715963685303484</v>
      </c>
      <c r="J199">
        <f t="shared" ref="J199" si="186">INDEX(LINEST(LN(I195:I197),LN(H195:H197),,),1)</f>
        <v>9.1488943376782775E-2</v>
      </c>
      <c r="P199">
        <f t="shared" ref="P199" si="187">EXP(INDEX(LINEST(LN(P195:P197),LN(O195:O197),,),1,2))</f>
        <v>0.20321575885872237</v>
      </c>
      <c r="Q199">
        <f t="shared" ref="Q199" si="188">INDEX(LINEST(LN(P195:P197),LN(O195:O197),,),1)</f>
        <v>9.2032955001795508E-2</v>
      </c>
      <c r="W199">
        <f t="shared" ref="W199" si="189">EXP(INDEX(LINEST(LN(W195:W197),LN(V195:V197),,),1,2))</f>
        <v>0.19026763944557726</v>
      </c>
      <c r="X199">
        <f t="shared" ref="X199" si="190">INDEX(LINEST(LN(W195:W197),LN(V195:V197),,),1)</f>
        <v>9.2354505770752354E-2</v>
      </c>
      <c r="AD199">
        <f t="shared" ref="AD199" si="191">EXP(INDEX(LINEST(LN(AD195:AD197),LN(AC195:AC197),,),1,2))</f>
        <v>0.1815418269490513</v>
      </c>
      <c r="AE199">
        <f t="shared" ref="AE199" si="192">INDEX(LINEST(LN(AD195:AD197),LN(AC195:AC197),,),1)</f>
        <v>9.2583791816982036E-2</v>
      </c>
      <c r="AK199">
        <f t="shared" ref="AK199" si="193">EXP(INDEX(LINEST(LN(AK195:AK197),LN(AJ195:AJ197),,),1,2))</f>
        <v>0.17538774105851812</v>
      </c>
      <c r="AL199">
        <f t="shared" ref="AL199" si="194">INDEX(LINEST(LN(AK195:AK197),LN(AJ195:AJ197),,),1)</f>
        <v>9.2752228433286343E-2</v>
      </c>
      <c r="AR199">
        <f t="shared" ref="AR199" si="195">EXP(INDEX(LINEST(LN(AR195:AR197),LN(AQ195:AQ197),,),1,2))</f>
        <v>0.17119849092022427</v>
      </c>
      <c r="AS199">
        <f t="shared" ref="AS199" si="196">INDEX(LINEST(LN(AR195:AR197),LN(AQ195:AQ197),,),1)</f>
        <v>9.2870303602927307E-2</v>
      </c>
      <c r="AY199">
        <f t="shared" ref="AY199" si="197">EXP(INDEX(LINEST(LN(AY195:AY197),LN(AX195:AX197),,),1,2))</f>
        <v>0.1677940049732021</v>
      </c>
      <c r="AZ199">
        <f t="shared" ref="AZ199" si="198">INDEX(LINEST(LN(AY195:AY197),LN(AX195:AX197),,),1)</f>
        <v>9.2968408006910308E-2</v>
      </c>
    </row>
    <row r="200" spans="1:58" x14ac:dyDescent="0.25">
      <c r="A200" s="3" t="s">
        <v>299</v>
      </c>
      <c r="B200" s="7">
        <f>MAX(B199*$B$30^C199,0.05)</f>
        <v>0.31689863454730566</v>
      </c>
      <c r="C200" t="s">
        <v>193</v>
      </c>
      <c r="H200" s="3" t="s">
        <v>299</v>
      </c>
      <c r="I200">
        <f t="shared" ref="I200" si="199">MAX(I199*$B$30^J199,0.05)</f>
        <v>0.24876895436504975</v>
      </c>
      <c r="J200" t="s">
        <v>193</v>
      </c>
      <c r="O200" s="3" t="s">
        <v>299</v>
      </c>
      <c r="P200">
        <f t="shared" ref="P200" si="200">MAX(P199*$B$30^Q199,0.05)</f>
        <v>0.22266761901363172</v>
      </c>
      <c r="Q200" t="s">
        <v>193</v>
      </c>
      <c r="V200" s="3" t="s">
        <v>299</v>
      </c>
      <c r="W200">
        <f t="shared" ref="W200" si="201">MAX(W199*$B$30^X199,0.05)</f>
        <v>0.20854669776079432</v>
      </c>
      <c r="X200" t="s">
        <v>193</v>
      </c>
      <c r="AC200" s="3" t="s">
        <v>299</v>
      </c>
      <c r="AD200">
        <f t="shared" ref="AD200" si="202">MAX(AD199*$B$30^AE199,0.05)</f>
        <v>0.1990279155514271</v>
      </c>
      <c r="AE200" t="s">
        <v>193</v>
      </c>
      <c r="AJ200" s="3" t="s">
        <v>299</v>
      </c>
      <c r="AK200">
        <f t="shared" ref="AK200" si="203">MAX(AK199*$B$30^AL199,0.05)</f>
        <v>0.19231324009930742</v>
      </c>
      <c r="AL200" t="s">
        <v>193</v>
      </c>
      <c r="AQ200" s="3" t="s">
        <v>299</v>
      </c>
      <c r="AR200">
        <f t="shared" ref="AR200" si="204">MAX(AR199*$B$30^AS199,0.05)</f>
        <v>0.18774173017386134</v>
      </c>
      <c r="AS200" t="s">
        <v>193</v>
      </c>
      <c r="AX200" s="3" t="s">
        <v>299</v>
      </c>
      <c r="AY200">
        <f t="shared" ref="AY200" si="205">MAX(AY199*$B$30^AZ199,0.05)</f>
        <v>0.18402619328107592</v>
      </c>
      <c r="AZ200" t="s">
        <v>193</v>
      </c>
    </row>
    <row r="201" spans="1:58" x14ac:dyDescent="0.25">
      <c r="A201" s="3" t="s">
        <v>300</v>
      </c>
      <c r="B201" s="4">
        <f>(34-$B$19)*(B200-0.05)^0.62*(0.37*B200*40+3.14)/100</f>
        <v>0.37974732241937692</v>
      </c>
      <c r="H201" s="3" t="s">
        <v>300</v>
      </c>
      <c r="I201" s="4">
        <f t="shared" ref="I201" si="206">(34-$B$19)*(I200-0.05)^0.62*(0.37*I200*40+3.14)/100</f>
        <v>0.27559195202106096</v>
      </c>
      <c r="O201" s="3" t="s">
        <v>300</v>
      </c>
      <c r="P201" s="4">
        <f t="shared" ref="P201" si="207">(34-$B$19)*(P200-0.05)^0.62*(0.37*P200*40+3.14)/100</f>
        <v>0.23825632557014892</v>
      </c>
      <c r="V201" s="3" t="s">
        <v>300</v>
      </c>
      <c r="W201" s="4">
        <f t="shared" ref="W201" si="208">(34-$B$19)*(W200-0.05)^0.62*(0.37*W200*40+3.14)/100</f>
        <v>0.21864196571232225</v>
      </c>
      <c r="AC201" s="3" t="s">
        <v>300</v>
      </c>
      <c r="AD201" s="4">
        <f t="shared" ref="AD201" si="209">(34-$B$19)*(AD200-0.05)^0.62*(0.37*AD200*40+3.14)/100</f>
        <v>0.20564727334327448</v>
      </c>
      <c r="AJ201" s="3" t="s">
        <v>300</v>
      </c>
      <c r="AK201" s="4">
        <f t="shared" ref="AK201" si="210">(34-$B$19)*(AK200-0.05)^0.62*(0.37*AK200*40+3.14)/100</f>
        <v>0.19658872507796063</v>
      </c>
      <c r="AQ201" s="3" t="s">
        <v>300</v>
      </c>
      <c r="AR201" s="4">
        <f t="shared" ref="AR201" si="211">(34-$B$19)*(AR200-0.05)^0.62*(0.37*AR200*40+3.14)/100</f>
        <v>0.19047178981325963</v>
      </c>
      <c r="AX201" s="3" t="s">
        <v>300</v>
      </c>
      <c r="AY201" s="4">
        <f t="shared" ref="AY201" si="212">(34-$B$19)*(AY200-0.05)^0.62*(0.37*AY200*40+3.14)/100</f>
        <v>0.18552981460400417</v>
      </c>
    </row>
    <row r="202" spans="1:58" x14ac:dyDescent="0.25">
      <c r="A202" s="3" t="s">
        <v>301</v>
      </c>
      <c r="B202" s="4">
        <f>0.5*B201^2+0.25*B201+0.03</f>
        <v>0.19704084504718733</v>
      </c>
      <c r="H202" s="3" t="s">
        <v>301</v>
      </c>
      <c r="I202" s="4">
        <f t="shared" ref="I202" si="213">0.5*I201^2+0.25*I201+0.03</f>
        <v>0.13687345001465462</v>
      </c>
      <c r="O202" s="3" t="s">
        <v>301</v>
      </c>
      <c r="P202" s="4">
        <f t="shared" ref="P202" si="214">0.5*P201^2+0.25*P201+0.03</f>
        <v>0.11794711972963162</v>
      </c>
      <c r="V202" s="3" t="s">
        <v>301</v>
      </c>
      <c r="W202" s="4">
        <f t="shared" ref="W202" si="215">0.5*W201^2+0.25*W201+0.03</f>
        <v>0.10856264601335472</v>
      </c>
      <c r="AC202" s="3" t="s">
        <v>301</v>
      </c>
      <c r="AD202" s="4">
        <f t="shared" ref="AD202" si="216">0.5*AD201^2+0.25*AD201+0.03</f>
        <v>0.10255721885258035</v>
      </c>
      <c r="AJ202" s="3" t="s">
        <v>301</v>
      </c>
      <c r="AK202" s="4">
        <f t="shared" ref="AK202" si="217">0.5*AK201^2+0.25*AK201+0.03</f>
        <v>9.8470744683379158E-2</v>
      </c>
      <c r="AQ202" s="3" t="s">
        <v>301</v>
      </c>
      <c r="AR202" s="4">
        <f t="shared" ref="AR202" si="218">0.5*AR201^2+0.25*AR201+0.03</f>
        <v>9.575769881064819E-2</v>
      </c>
      <c r="AX202" s="3" t="s">
        <v>301</v>
      </c>
      <c r="AY202" s="4">
        <f t="shared" ref="AY202" si="219">0.5*AY201^2+0.25*AY201+0.03</f>
        <v>9.3593109704499119E-2</v>
      </c>
    </row>
    <row r="203" spans="1:58" x14ac:dyDescent="0.25">
      <c r="A203" s="3" t="s">
        <v>302</v>
      </c>
      <c r="B203" t="str">
        <f>IF(B201&lt;10%,"A",IF(B201&lt;20%,"B",IF(B201&lt;30%,"C"," -")))</f>
        <v xml:space="preserve"> -</v>
      </c>
      <c r="H203" s="3" t="s">
        <v>302</v>
      </c>
      <c r="I203" t="str">
        <f t="shared" ref="I203" si="220">IF(I201&lt;10%,"A",IF(I201&lt;20%,"B",IF(I201&lt;30%,"C"," -")))</f>
        <v>C</v>
      </c>
      <c r="O203" s="3" t="s">
        <v>302</v>
      </c>
      <c r="P203" t="str">
        <f t="shared" ref="P203" si="221">IF(P201&lt;10%,"A",IF(P201&lt;20%,"B",IF(P201&lt;30%,"C"," -")))</f>
        <v>C</v>
      </c>
      <c r="V203" s="3" t="s">
        <v>302</v>
      </c>
      <c r="W203" t="str">
        <f t="shared" ref="W203" si="222">IF(W201&lt;10%,"A",IF(W201&lt;20%,"B",IF(W201&lt;30%,"C"," -")))</f>
        <v>C</v>
      </c>
      <c r="AC203" s="3" t="s">
        <v>302</v>
      </c>
      <c r="AD203" t="str">
        <f t="shared" ref="AD203" si="223">IF(AD201&lt;10%,"A",IF(AD201&lt;20%,"B",IF(AD201&lt;30%,"C"," -")))</f>
        <v>C</v>
      </c>
      <c r="AJ203" s="3" t="s">
        <v>302</v>
      </c>
      <c r="AK203" t="str">
        <f t="shared" ref="AK203" si="224">IF(AK201&lt;10%,"A",IF(AK201&lt;20%,"B",IF(AK201&lt;30%,"C"," -")))</f>
        <v>B</v>
      </c>
      <c r="AQ203" s="3" t="s">
        <v>302</v>
      </c>
      <c r="AR203" t="str">
        <f t="shared" ref="AR203" si="225">IF(AR201&lt;10%,"A",IF(AR201&lt;20%,"B",IF(AR201&lt;30%,"C"," -")))</f>
        <v>B</v>
      </c>
      <c r="AX203" s="3" t="s">
        <v>302</v>
      </c>
      <c r="AY203" t="str">
        <f t="shared" ref="AY203" si="226">IF(AY201&lt;10%,"A",IF(AY201&lt;20%,"B",IF(AY201&lt;30%,"C"," -")))</f>
        <v>B</v>
      </c>
    </row>
    <row r="204" spans="1:58" x14ac:dyDescent="0.25">
      <c r="A204" s="3" t="s">
        <v>303</v>
      </c>
      <c r="B204" s="6">
        <f>ABS(0.4527*LN(B201)+1.2387)</f>
        <v>0.80037359239562822</v>
      </c>
      <c r="H204" s="3" t="s">
        <v>303</v>
      </c>
      <c r="I204" s="6">
        <f t="shared" ref="I204" si="227">ABS(0.4527*LN(I201)+1.2387)</f>
        <v>0.65524487448636648</v>
      </c>
      <c r="O204" s="3" t="s">
        <v>303</v>
      </c>
      <c r="P204" s="6">
        <f t="shared" ref="P204" si="228">ABS(0.4527*LN(P201)+1.2387)</f>
        <v>0.58934341389755218</v>
      </c>
      <c r="V204" s="3" t="s">
        <v>303</v>
      </c>
      <c r="W204" s="6">
        <f t="shared" ref="W204" si="229">ABS(0.4527*LN(W201)+1.2387)</f>
        <v>0.55045125063800771</v>
      </c>
      <c r="AC204" s="3" t="s">
        <v>303</v>
      </c>
      <c r="AD204" s="6">
        <f t="shared" ref="AD204" si="230">ABS(0.4527*LN(AD201)+1.2387)</f>
        <v>0.52271291992036462</v>
      </c>
      <c r="AJ204" s="3" t="s">
        <v>303</v>
      </c>
      <c r="AK204" s="6">
        <f t="shared" ref="AK204" si="231">ABS(0.4527*LN(AK201)+1.2387)</f>
        <v>0.50231942804954655</v>
      </c>
      <c r="AQ204" s="3" t="s">
        <v>303</v>
      </c>
      <c r="AR204" s="6">
        <f t="shared" ref="AR204" si="232">ABS(0.4527*LN(AR201)+1.2387)</f>
        <v>0.48800969065518873</v>
      </c>
      <c r="AX204" s="3" t="s">
        <v>303</v>
      </c>
      <c r="AY204" s="6">
        <f t="shared" ref="AY204" si="233">ABS(0.4527*LN(AY201)+1.2387)</f>
        <v>0.47610888495289416</v>
      </c>
    </row>
    <row r="205" spans="1:58" x14ac:dyDescent="0.25">
      <c r="A205" s="3" t="s">
        <v>303</v>
      </c>
      <c r="B205" s="6">
        <f>IFERROR(MAX(ROUND(B204,1),0.2),0.2)</f>
        <v>0.8</v>
      </c>
      <c r="H205" s="3" t="s">
        <v>303</v>
      </c>
      <c r="I205" s="6">
        <f t="shared" ref="I205" si="234">IFERROR(MAX(ROUND(I204,1),0.2),0.2)</f>
        <v>0.7</v>
      </c>
      <c r="O205" s="3" t="s">
        <v>303</v>
      </c>
      <c r="P205" s="6">
        <f t="shared" ref="P205" si="235">IFERROR(MAX(ROUND(P204,1),0.2),0.2)</f>
        <v>0.6</v>
      </c>
      <c r="V205" s="3" t="s">
        <v>303</v>
      </c>
      <c r="W205" s="6">
        <f t="shared" ref="W205" si="236">IFERROR(MAX(ROUND(W204,1),0.2),0.2)</f>
        <v>0.6</v>
      </c>
      <c r="AC205" s="3" t="s">
        <v>303</v>
      </c>
      <c r="AD205" s="6">
        <f t="shared" ref="AD205" si="237">IFERROR(MAX(ROUND(AD204,1),0.2),0.2)</f>
        <v>0.5</v>
      </c>
      <c r="AJ205" s="3" t="s">
        <v>303</v>
      </c>
      <c r="AK205" s="6">
        <f t="shared" ref="AK205" si="238">IFERROR(MAX(ROUND(AK204,1),0.2),0.2)</f>
        <v>0.5</v>
      </c>
      <c r="AQ205" s="3" t="s">
        <v>303</v>
      </c>
      <c r="AR205" s="6">
        <f t="shared" ref="AR205" si="239">IFERROR(MAX(ROUND(AR204,1),0.2),0.2)</f>
        <v>0.5</v>
      </c>
      <c r="AX205" s="3" t="s">
        <v>303</v>
      </c>
      <c r="AY205" s="6">
        <f t="shared" ref="AY205" si="240">IFERROR(MAX(ROUND(AY204,1),0.2),0.2)</f>
        <v>0.5</v>
      </c>
    </row>
    <row r="206" spans="1:58" x14ac:dyDescent="0.25">
      <c r="A206" s="3"/>
      <c r="B206" s="6"/>
      <c r="H206" s="3"/>
      <c r="I206" s="6"/>
      <c r="O206" s="3"/>
      <c r="P206" s="6"/>
      <c r="V206" s="3"/>
      <c r="W206" s="6"/>
      <c r="AC206" s="3"/>
      <c r="AD206" s="6"/>
      <c r="AJ206" s="3"/>
      <c r="AK206" s="6"/>
      <c r="AQ206" s="3"/>
      <c r="AR206" s="6"/>
      <c r="AX206" s="3"/>
      <c r="AY206" s="6"/>
    </row>
    <row r="207" spans="1:58" x14ac:dyDescent="0.25">
      <c r="A207" s="270" t="s">
        <v>304</v>
      </c>
      <c r="B207" s="269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  <c r="N207" s="268"/>
      <c r="O207" s="268"/>
      <c r="P207" s="6"/>
      <c r="V207" s="3"/>
      <c r="W207" s="6"/>
      <c r="AC207" s="3"/>
      <c r="AD207" s="6"/>
      <c r="AJ207" s="3"/>
      <c r="AK207" s="6"/>
      <c r="AQ207" s="3"/>
      <c r="AR207" s="6"/>
      <c r="AX207" s="3"/>
      <c r="AY207" s="6"/>
    </row>
    <row r="208" spans="1:58" x14ac:dyDescent="0.25">
      <c r="A208" s="3"/>
      <c r="B208" s="6"/>
      <c r="H208" s="3"/>
      <c r="I208" s="6"/>
      <c r="O208" s="3"/>
      <c r="P208" s="6"/>
      <c r="V208" s="3"/>
      <c r="W208" s="6"/>
      <c r="AC208" s="3"/>
      <c r="AD208" s="6"/>
      <c r="AJ208" s="3"/>
      <c r="AK208" s="6"/>
      <c r="AQ208" s="3"/>
      <c r="AR208" s="6"/>
      <c r="AX208" s="3"/>
      <c r="AY208" s="6"/>
    </row>
    <row r="209" spans="1:54" x14ac:dyDescent="0.25">
      <c r="A209" s="3" t="s">
        <v>305</v>
      </c>
      <c r="B209" s="6"/>
      <c r="H209" s="3" t="s">
        <v>306</v>
      </c>
      <c r="I209" s="6"/>
      <c r="O209" s="3" t="s">
        <v>306</v>
      </c>
      <c r="P209" s="6"/>
      <c r="V209" s="3" t="s">
        <v>306</v>
      </c>
      <c r="W209" s="6"/>
      <c r="AC209" s="3" t="s">
        <v>306</v>
      </c>
      <c r="AD209" s="6"/>
      <c r="AJ209" s="3" t="s">
        <v>306</v>
      </c>
      <c r="AK209" s="6"/>
      <c r="AQ209" s="3" t="s">
        <v>306</v>
      </c>
      <c r="AR209" s="6"/>
      <c r="AX209" s="3" t="s">
        <v>306</v>
      </c>
      <c r="AY209" s="6"/>
    </row>
    <row r="210" spans="1:54" x14ac:dyDescent="0.25">
      <c r="A210" t="s">
        <v>307</v>
      </c>
      <c r="B210">
        <f>B194/$B$31</f>
        <v>654.36851461145238</v>
      </c>
      <c r="H210" t="s">
        <v>307</v>
      </c>
      <c r="I210">
        <f>I194/$B$31</f>
        <v>378.91332864039379</v>
      </c>
      <c r="O210" t="s">
        <v>307</v>
      </c>
      <c r="P210">
        <f>P194/$B$31</f>
        <v>295.04075598894963</v>
      </c>
      <c r="V210" t="s">
        <v>307</v>
      </c>
      <c r="W210">
        <f>W194/$B$31</f>
        <v>254.48210111087573</v>
      </c>
      <c r="AC210" t="s">
        <v>307</v>
      </c>
      <c r="AD210">
        <f>AD194/$B$31</f>
        <v>229.01341156121697</v>
      </c>
      <c r="AJ210" t="s">
        <v>307</v>
      </c>
      <c r="AK210">
        <f>AK194/$B$31</f>
        <v>211.94262999172008</v>
      </c>
      <c r="AQ210" t="s">
        <v>307</v>
      </c>
      <c r="AR210">
        <f>AR194/$B$31</f>
        <v>200.74033219951059</v>
      </c>
      <c r="AX210" t="s">
        <v>307</v>
      </c>
      <c r="AY210">
        <f>AY194/$B$31</f>
        <v>191.88446164756124</v>
      </c>
    </row>
    <row r="211" spans="1:54" x14ac:dyDescent="0.25">
      <c r="A211" s="3">
        <v>2.7</v>
      </c>
      <c r="B211" s="162">
        <f>$P$76*B$210^$Q$76</f>
        <v>0.42699349747261389</v>
      </c>
      <c r="C211" s="3"/>
      <c r="D211" t="s">
        <v>308</v>
      </c>
      <c r="H211" s="3">
        <v>2.7</v>
      </c>
      <c r="I211" s="162">
        <f>$P$76*I$210^$Q$76</f>
        <v>0.33565901407860016</v>
      </c>
      <c r="J211" s="3"/>
      <c r="O211" s="3">
        <v>2.7</v>
      </c>
      <c r="P211" s="162">
        <f>$P$76*P$210^$Q$76</f>
        <v>0.30063152703531576</v>
      </c>
      <c r="Q211" s="3"/>
      <c r="V211" s="3">
        <v>2.7</v>
      </c>
      <c r="W211" s="162">
        <f>$P$76*W$210^$Q$76</f>
        <v>0.28167189234070567</v>
      </c>
      <c r="X211" s="3"/>
      <c r="AC211" s="3">
        <v>2.7</v>
      </c>
      <c r="AD211" s="162">
        <f>$P$76*AD$210^$Q$76</f>
        <v>0.26888726277687913</v>
      </c>
      <c r="AE211" s="3"/>
      <c r="AJ211" s="3">
        <v>2.7</v>
      </c>
      <c r="AK211" s="162">
        <f>$P$76*AK$210^$Q$76</f>
        <v>0.25986672071919142</v>
      </c>
      <c r="AL211" s="3"/>
      <c r="AQ211" s="3">
        <v>2.7</v>
      </c>
      <c r="AR211" s="162">
        <f>$P$76*AR$210^$Q$76</f>
        <v>0.25372429516210121</v>
      </c>
      <c r="AS211" s="3"/>
      <c r="AX211" s="3">
        <v>2.7</v>
      </c>
      <c r="AY211" s="162">
        <f>$P$76*AY$210^$Q$76</f>
        <v>0.24873135278693617</v>
      </c>
      <c r="AZ211" s="3"/>
    </row>
    <row r="212" spans="1:54" x14ac:dyDescent="0.25">
      <c r="A212" s="3">
        <v>4</v>
      </c>
      <c r="B212" s="162">
        <f>$P$77*B$210^$Q$77</f>
        <v>0.45182197027134446</v>
      </c>
      <c r="C212" s="3"/>
      <c r="H212" s="3">
        <v>4</v>
      </c>
      <c r="I212" s="162">
        <f>$P$77*I$210^$Q$77</f>
        <v>0.35414963700797697</v>
      </c>
      <c r="J212" s="3"/>
      <c r="O212" s="3">
        <v>4</v>
      </c>
      <c r="P212" s="162">
        <f>$P$77*P$210^$Q$77</f>
        <v>0.31677224500486068</v>
      </c>
      <c r="Q212" s="3"/>
      <c r="V212" s="3">
        <v>4</v>
      </c>
      <c r="W212" s="162">
        <f>$P$77*W$210^$Q$77</f>
        <v>0.29656214886115112</v>
      </c>
      <c r="X212" s="3"/>
      <c r="AC212" s="3">
        <v>4</v>
      </c>
      <c r="AD212" s="162">
        <f>$P$77*AD$210^$Q$77</f>
        <v>0.28294349776748356</v>
      </c>
      <c r="AE212" s="3"/>
      <c r="AJ212" s="3">
        <v>4</v>
      </c>
      <c r="AK212" s="162">
        <f>$P$77*AK$210^$Q$77</f>
        <v>0.27333915541850162</v>
      </c>
      <c r="AL212" s="3"/>
      <c r="AQ212" s="3">
        <v>4</v>
      </c>
      <c r="AR212" s="162">
        <f>$P$77*AR$210^$Q$77</f>
        <v>0.26680148550679395</v>
      </c>
      <c r="AS212" s="3"/>
      <c r="AX212" s="3">
        <v>4</v>
      </c>
      <c r="AY212" s="162">
        <f>$P$77*AY$210^$Q$77</f>
        <v>0.26148866503713025</v>
      </c>
      <c r="AZ212" s="3"/>
    </row>
    <row r="213" spans="1:54" x14ac:dyDescent="0.25">
      <c r="A213" s="3">
        <v>10</v>
      </c>
      <c r="B213" s="162">
        <f>$P$78*B$210^$Q$78</f>
        <v>0.48208107184030569</v>
      </c>
      <c r="C213" s="3"/>
      <c r="H213" s="3">
        <v>10</v>
      </c>
      <c r="I213" s="162">
        <f>$P$78*I$210^$Q$78</f>
        <v>0.37925326530568465</v>
      </c>
      <c r="J213" s="3"/>
      <c r="O213" s="3">
        <v>10</v>
      </c>
      <c r="P213" s="162">
        <f>$P$78*P$210^$Q$78</f>
        <v>0.33979552724477541</v>
      </c>
      <c r="Q213" s="3"/>
      <c r="V213" s="3">
        <v>10</v>
      </c>
      <c r="W213" s="162">
        <f>$P$78*W$210^$Q$78</f>
        <v>0.31843189493051188</v>
      </c>
      <c r="X213" s="3"/>
      <c r="AC213" s="3">
        <v>10</v>
      </c>
      <c r="AD213" s="162">
        <f>$P$78*AD$210^$Q$78</f>
        <v>0.30402366824689558</v>
      </c>
      <c r="AE213" s="3"/>
      <c r="AJ213" s="3">
        <v>10</v>
      </c>
      <c r="AK213" s="162">
        <f>$P$78*AK$210^$Q$78</f>
        <v>0.29385624878851846</v>
      </c>
      <c r="AL213" s="3"/>
      <c r="AQ213" s="3">
        <v>10</v>
      </c>
      <c r="AR213" s="162">
        <f>$P$78*AR$210^$Q$78</f>
        <v>0.28693223166478476</v>
      </c>
      <c r="AS213" s="3"/>
      <c r="AX213" s="3">
        <v>10</v>
      </c>
      <c r="AY213" s="162">
        <f>$P$78*AY$210^$Q$78</f>
        <v>0.28130357147374735</v>
      </c>
      <c r="AZ213" s="3"/>
    </row>
    <row r="214" spans="1:54" x14ac:dyDescent="0.25">
      <c r="A214" s="3" t="s">
        <v>298</v>
      </c>
      <c r="B214" t="s">
        <v>213</v>
      </c>
      <c r="C214" t="s">
        <v>229</v>
      </c>
      <c r="H214" s="3" t="s">
        <v>298</v>
      </c>
      <c r="I214" t="s">
        <v>213</v>
      </c>
      <c r="J214" t="s">
        <v>229</v>
      </c>
      <c r="O214" s="3" t="s">
        <v>298</v>
      </c>
      <c r="P214" t="s">
        <v>213</v>
      </c>
      <c r="Q214" t="s">
        <v>229</v>
      </c>
      <c r="V214" s="3" t="s">
        <v>298</v>
      </c>
      <c r="W214" t="s">
        <v>213</v>
      </c>
      <c r="X214" t="s">
        <v>229</v>
      </c>
      <c r="AC214" s="3" t="s">
        <v>298</v>
      </c>
      <c r="AD214" t="s">
        <v>213</v>
      </c>
      <c r="AE214" t="s">
        <v>229</v>
      </c>
      <c r="AJ214" s="3" t="s">
        <v>298</v>
      </c>
      <c r="AK214" t="s">
        <v>213</v>
      </c>
      <c r="AL214" t="s">
        <v>229</v>
      </c>
      <c r="AQ214" s="3" t="s">
        <v>298</v>
      </c>
      <c r="AR214" t="s">
        <v>213</v>
      </c>
      <c r="AS214" t="s">
        <v>229</v>
      </c>
      <c r="AX214" s="3" t="s">
        <v>298</v>
      </c>
      <c r="AY214" t="s">
        <v>213</v>
      </c>
      <c r="AZ214" t="s">
        <v>229</v>
      </c>
    </row>
    <row r="215" spans="1:54" x14ac:dyDescent="0.25">
      <c r="B215">
        <f>EXP(INDEX(LINEST(LN(B211:B213),LN(A211:A213),,),1,2))</f>
        <v>0.39444315113527567</v>
      </c>
      <c r="C215">
        <f>INDEX(LINEST(LN(B211:B213),LN(A211:A213),,),1)</f>
        <v>8.8793802545363149E-2</v>
      </c>
      <c r="I215">
        <f t="shared" ref="I215" si="241">EXP(INDEX(LINEST(LN(I211:I213),LN(H211:H213),,),1,2))</f>
        <v>0.30927710871778058</v>
      </c>
      <c r="J215">
        <f t="shared" ref="J215" si="242">INDEX(LINEST(LN(I211:I213),LN(H211:H213),,),1)</f>
        <v>8.9981792380919745E-2</v>
      </c>
      <c r="P215">
        <f t="shared" ref="P215" si="243">EXP(INDEX(LINEST(LN(P211:P213),LN(O211:O213),,),1,2))</f>
        <v>0.27667759649738033</v>
      </c>
      <c r="Q215">
        <f t="shared" ref="Q215" si="244">INDEX(LINEST(LN(P211:P213),LN(O211:O213),,),1)</f>
        <v>9.0525804005932214E-2</v>
      </c>
      <c r="W215">
        <f t="shared" ref="W215" si="245">EXP(INDEX(LINEST(LN(W211:W213),LN(V211:V213),,),1,2))</f>
        <v>0.25904877391733311</v>
      </c>
      <c r="X215">
        <f t="shared" ref="X215" si="246">INDEX(LINEST(LN(W211:W213),LN(V211:V213),,),1)</f>
        <v>9.084735477488913E-2</v>
      </c>
      <c r="AD215">
        <f t="shared" ref="AD215" si="247">EXP(INDEX(LINEST(LN(AD211:AD213),LN(AC211:AC213),,),1,2))</f>
        <v>0.24716860850799591</v>
      </c>
      <c r="AE215">
        <f t="shared" ref="AE215" si="248">INDEX(LINEST(LN(AD211:AD213),LN(AC211:AC213),,),1)</f>
        <v>9.1076640821118882E-2</v>
      </c>
      <c r="AK215">
        <f t="shared" ref="AK215" si="249">EXP(INDEX(LINEST(LN(AK211:AK213),LN(AJ211:AJ213),,),1,2))</f>
        <v>0.23878984053058283</v>
      </c>
      <c r="AL215">
        <f t="shared" ref="AL215" si="250">INDEX(LINEST(LN(AK211:AK213),LN(AJ211:AJ213),,),1)</f>
        <v>9.1245077437423161E-2</v>
      </c>
      <c r="AR215">
        <f t="shared" ref="AR215" si="251">EXP(INDEX(LINEST(LN(AR211:AR213),LN(AQ211:AQ213),,),1,2))</f>
        <v>0.23308619005633385</v>
      </c>
      <c r="AS215">
        <f t="shared" ref="AS215" si="252">INDEX(LINEST(LN(AR211:AR213),LN(AQ211:AQ213),,),1)</f>
        <v>9.136315260706368E-2</v>
      </c>
      <c r="AY215">
        <f t="shared" ref="AY215" si="253">EXP(INDEX(LINEST(LN(AY211:AY213),LN(AX211:AX213),,),1,2))</f>
        <v>0.22845099348289236</v>
      </c>
      <c r="AZ215">
        <f t="shared" ref="AZ215" si="254">INDEX(LINEST(LN(AY211:AY213),LN(AX211:AX213),,),1)</f>
        <v>9.146125701104714E-2</v>
      </c>
    </row>
    <row r="216" spans="1:54" x14ac:dyDescent="0.25">
      <c r="A216" s="3" t="s">
        <v>299</v>
      </c>
      <c r="B216">
        <f t="shared" ref="B216" si="255">ROUND(B215*$B$30^C215,2)</f>
        <v>0.43</v>
      </c>
      <c r="C216" t="s">
        <v>193</v>
      </c>
      <c r="H216" s="3" t="s">
        <v>299</v>
      </c>
      <c r="I216">
        <f>ROUND(I215*$B$30^J215,2)</f>
        <v>0.34</v>
      </c>
      <c r="J216" t="s">
        <v>193</v>
      </c>
      <c r="O216" s="3" t="s">
        <v>299</v>
      </c>
      <c r="P216">
        <f t="shared" ref="P216" si="256">ROUND(P215*$B$30^Q215,2)</f>
        <v>0.3</v>
      </c>
      <c r="Q216" t="s">
        <v>193</v>
      </c>
      <c r="V216" s="3" t="s">
        <v>299</v>
      </c>
      <c r="W216">
        <f t="shared" ref="W216" si="257">ROUND(W215*$B$30^X215,2)</f>
        <v>0.28000000000000003</v>
      </c>
      <c r="X216" t="s">
        <v>193</v>
      </c>
      <c r="AC216" s="3" t="s">
        <v>299</v>
      </c>
      <c r="AD216">
        <f t="shared" ref="AD216" si="258">ROUND(AD215*$B$30^AE215,2)</f>
        <v>0.27</v>
      </c>
      <c r="AE216" t="s">
        <v>193</v>
      </c>
      <c r="AJ216" s="3" t="s">
        <v>299</v>
      </c>
      <c r="AK216">
        <f t="shared" ref="AK216" si="259">ROUND(AK215*$B$30^AL215,2)</f>
        <v>0.26</v>
      </c>
      <c r="AL216" t="s">
        <v>193</v>
      </c>
      <c r="AQ216" s="3" t="s">
        <v>299</v>
      </c>
      <c r="AR216">
        <f t="shared" ref="AR216" si="260">ROUND(AR215*$B$30^AS215,2)</f>
        <v>0.26</v>
      </c>
      <c r="AS216" t="s">
        <v>193</v>
      </c>
      <c r="AX216" s="3" t="s">
        <v>299</v>
      </c>
      <c r="AY216">
        <f t="shared" ref="AY216" si="261">ROUND(AY215*$B$30^AZ215,2)</f>
        <v>0.25</v>
      </c>
      <c r="AZ216" t="s">
        <v>193</v>
      </c>
    </row>
    <row r="217" spans="1:54" x14ac:dyDescent="0.25">
      <c r="A217" t="s">
        <v>309</v>
      </c>
      <c r="B217" s="11">
        <f xml:space="preserve"> IF(B216&lt;=0.2,95%,IF(B216&lt;=0.25,90%,IF(B216&lt;=0.29,80%,IF(B216&lt;=0.33,70%,0))))</f>
        <v>0</v>
      </c>
      <c r="H217" t="s">
        <v>309</v>
      </c>
      <c r="I217" s="11">
        <f t="shared" ref="I217" si="262" xml:space="preserve"> IF(I216&lt;=0.2,95%,IF(I216&lt;=0.25,90%,IF(I216&lt;=0.29,80%,IF(I216&lt;=0.33,70%,0))))</f>
        <v>0</v>
      </c>
      <c r="O217" t="s">
        <v>309</v>
      </c>
      <c r="P217" s="11">
        <f t="shared" ref="P217" si="263" xml:space="preserve"> IF(P216&lt;=0.2,95%,IF(P216&lt;=0.25,90%,IF(P216&lt;=0.29,80%,IF(P216&lt;=0.33,70%,0))))</f>
        <v>0.7</v>
      </c>
      <c r="V217" t="s">
        <v>309</v>
      </c>
      <c r="W217" s="11">
        <f t="shared" ref="W217" si="264" xml:space="preserve"> IF(W216&lt;=0.2,95%,IF(W216&lt;=0.25,90%,IF(W216&lt;=0.29,80%,IF(W216&lt;=0.33,70%,0))))</f>
        <v>0.8</v>
      </c>
      <c r="AC217" t="s">
        <v>309</v>
      </c>
      <c r="AD217" s="11">
        <f t="shared" ref="AD217" si="265" xml:space="preserve"> IF(AD216&lt;=0.2,95%,IF(AD216&lt;=0.25,90%,IF(AD216&lt;=0.29,80%,IF(AD216&lt;=0.33,70%,0))))</f>
        <v>0.8</v>
      </c>
      <c r="AJ217" t="s">
        <v>309</v>
      </c>
      <c r="AK217" s="11">
        <f t="shared" ref="AK217" si="266" xml:space="preserve"> IF(AK216&lt;=0.2,95%,IF(AK216&lt;=0.25,90%,IF(AK216&lt;=0.29,80%,IF(AK216&lt;=0.33,70%,0))))</f>
        <v>0.8</v>
      </c>
      <c r="AQ217" t="s">
        <v>309</v>
      </c>
      <c r="AR217" s="11">
        <f t="shared" ref="AR217" si="267" xml:space="preserve"> IF(AR216&lt;=0.2,95%,IF(AR216&lt;=0.25,90%,IF(AR216&lt;=0.29,80%,IF(AR216&lt;=0.33,70%,0))))</f>
        <v>0.8</v>
      </c>
      <c r="AX217" t="s">
        <v>309</v>
      </c>
      <c r="AY217" s="11">
        <f t="shared" ref="AY217" si="268" xml:space="preserve"> IF(AY216&lt;=0.2,95%,IF(AY216&lt;=0.25,90%,IF(AY216&lt;=0.29,80%,IF(AY216&lt;=0.33,70%,0))))</f>
        <v>0.9</v>
      </c>
    </row>
    <row r="218" spans="1:54" x14ac:dyDescent="0.25">
      <c r="A218" s="3"/>
      <c r="H218" s="3"/>
      <c r="I218" s="6"/>
      <c r="O218" s="3"/>
      <c r="P218" s="6"/>
      <c r="V218" s="3"/>
      <c r="W218" s="6"/>
      <c r="AC218" s="3"/>
      <c r="AD218" s="6"/>
      <c r="AJ218" s="3"/>
      <c r="AK218" s="6"/>
      <c r="AQ218" s="3"/>
      <c r="AR218" s="6"/>
      <c r="AX218" s="3"/>
      <c r="AY218" s="6"/>
    </row>
    <row r="219" spans="1:54" x14ac:dyDescent="0.25">
      <c r="A219" s="270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  <c r="N219" s="268"/>
      <c r="O219" s="268"/>
      <c r="P219" s="6"/>
      <c r="V219" s="3"/>
      <c r="W219" s="6"/>
      <c r="AC219" s="3"/>
      <c r="AD219" s="6"/>
      <c r="AJ219" s="3"/>
      <c r="AK219" s="6"/>
      <c r="AQ219" s="3"/>
      <c r="AR219" s="6"/>
      <c r="AX219" s="3"/>
      <c r="AY219" s="6"/>
    </row>
    <row r="220" spans="1:54" x14ac:dyDescent="0.25">
      <c r="A220" s="3"/>
      <c r="H220" s="3"/>
      <c r="I220" s="6"/>
      <c r="O220" s="3"/>
      <c r="P220" s="6"/>
      <c r="V220" s="3"/>
      <c r="W220" s="6"/>
      <c r="AC220" s="3"/>
      <c r="AD220" s="6"/>
      <c r="AJ220" s="3"/>
      <c r="AK220" s="6"/>
      <c r="AQ220" s="3"/>
      <c r="AR220" s="6"/>
      <c r="AX220" s="3"/>
      <c r="AY220" s="6"/>
    </row>
    <row r="221" spans="1:54" x14ac:dyDescent="0.25">
      <c r="A221" t="s">
        <v>310</v>
      </c>
      <c r="B221" s="7">
        <f>$B$310</f>
        <v>8.5367564472740067</v>
      </c>
      <c r="C221" t="s">
        <v>217</v>
      </c>
      <c r="H221" t="s">
        <v>310</v>
      </c>
      <c r="I221" s="7">
        <f>$B$310</f>
        <v>8.5367564472740067</v>
      </c>
      <c r="J221" t="s">
        <v>278</v>
      </c>
      <c r="O221" t="s">
        <v>310</v>
      </c>
      <c r="P221" s="7">
        <f>$B$310</f>
        <v>8.5367564472740067</v>
      </c>
      <c r="Q221" t="s">
        <v>279</v>
      </c>
      <c r="V221" t="s">
        <v>310</v>
      </c>
      <c r="W221" s="7">
        <f>$B$310</f>
        <v>8.5367564472740067</v>
      </c>
      <c r="X221" t="s">
        <v>280</v>
      </c>
      <c r="AC221" t="s">
        <v>310</v>
      </c>
      <c r="AD221" s="7">
        <f>$B$310</f>
        <v>8.5367564472740067</v>
      </c>
      <c r="AE221" t="s">
        <v>281</v>
      </c>
      <c r="AJ221" t="s">
        <v>310</v>
      </c>
      <c r="AK221" s="7">
        <f>$B$310</f>
        <v>8.5367564472740067</v>
      </c>
      <c r="AL221" t="s">
        <v>282</v>
      </c>
      <c r="AQ221" t="s">
        <v>310</v>
      </c>
      <c r="AR221" s="7">
        <f>$B$310</f>
        <v>8.5367564472740067</v>
      </c>
      <c r="AS221" t="s">
        <v>283</v>
      </c>
      <c r="AX221" t="s">
        <v>310</v>
      </c>
      <c r="AY221" s="7">
        <f>$B$310</f>
        <v>8.5367564472740067</v>
      </c>
      <c r="AZ221" t="s">
        <v>284</v>
      </c>
    </row>
    <row r="222" spans="1:54" x14ac:dyDescent="0.25">
      <c r="B222" s="7"/>
      <c r="I222" s="7"/>
      <c r="P222" s="7"/>
      <c r="W222" s="7"/>
      <c r="AD222" s="7"/>
      <c r="AK222" s="7"/>
      <c r="AR222" s="7"/>
      <c r="AY222" s="7"/>
    </row>
    <row r="223" spans="1:54" x14ac:dyDescent="0.25">
      <c r="A223" s="3" t="s">
        <v>311</v>
      </c>
      <c r="H223" s="3" t="s">
        <v>311</v>
      </c>
      <c r="O223" s="3" t="s">
        <v>311</v>
      </c>
      <c r="V223" s="3" t="s">
        <v>311</v>
      </c>
      <c r="AC223" s="3" t="s">
        <v>311</v>
      </c>
      <c r="AJ223" s="3" t="s">
        <v>311</v>
      </c>
      <c r="AQ223" s="3" t="s">
        <v>311</v>
      </c>
      <c r="AX223" s="3" t="s">
        <v>311</v>
      </c>
    </row>
    <row r="224" spans="1:54" x14ac:dyDescent="0.25">
      <c r="A224" s="3"/>
      <c r="B224" s="273" t="s">
        <v>312</v>
      </c>
      <c r="C224" t="s">
        <v>313</v>
      </c>
      <c r="D224" s="273" t="s">
        <v>314</v>
      </c>
      <c r="E224" t="s">
        <v>315</v>
      </c>
      <c r="H224" s="3"/>
      <c r="I224" s="273" t="s">
        <v>312</v>
      </c>
      <c r="J224" t="s">
        <v>313</v>
      </c>
      <c r="K224" s="273" t="s">
        <v>314</v>
      </c>
      <c r="L224" t="s">
        <v>315</v>
      </c>
      <c r="O224" s="3"/>
      <c r="P224" s="273" t="s">
        <v>312</v>
      </c>
      <c r="Q224" t="s">
        <v>313</v>
      </c>
      <c r="R224" s="273" t="s">
        <v>314</v>
      </c>
      <c r="S224" t="s">
        <v>315</v>
      </c>
      <c r="V224" s="3"/>
      <c r="W224" s="273" t="s">
        <v>312</v>
      </c>
      <c r="X224" t="s">
        <v>313</v>
      </c>
      <c r="Y224" s="273" t="s">
        <v>314</v>
      </c>
      <c r="Z224" t="s">
        <v>315</v>
      </c>
      <c r="AC224" s="3"/>
      <c r="AD224" s="273" t="s">
        <v>312</v>
      </c>
      <c r="AE224" t="s">
        <v>313</v>
      </c>
      <c r="AF224" s="273" t="s">
        <v>314</v>
      </c>
      <c r="AG224" t="s">
        <v>315</v>
      </c>
      <c r="AJ224" s="3"/>
      <c r="AK224" s="273" t="s">
        <v>312</v>
      </c>
      <c r="AL224" t="s">
        <v>313</v>
      </c>
      <c r="AM224" s="273" t="s">
        <v>314</v>
      </c>
      <c r="AN224" t="s">
        <v>315</v>
      </c>
      <c r="AQ224" s="3"/>
      <c r="AR224" s="273" t="s">
        <v>312</v>
      </c>
      <c r="AS224" t="s">
        <v>313</v>
      </c>
      <c r="AT224" s="273" t="s">
        <v>314</v>
      </c>
      <c r="AU224" t="s">
        <v>315</v>
      </c>
      <c r="AX224" s="3"/>
      <c r="AY224" s="273" t="s">
        <v>312</v>
      </c>
      <c r="AZ224" t="s">
        <v>313</v>
      </c>
      <c r="BA224" s="273" t="s">
        <v>314</v>
      </c>
      <c r="BB224" t="s">
        <v>315</v>
      </c>
    </row>
    <row r="225" spans="1:54" x14ac:dyDescent="0.25">
      <c r="A225" s="1">
        <v>0.95</v>
      </c>
      <c r="B225" s="273">
        <f>TREND($B99:$C99,B$243:C$243,$B$27,1)</f>
        <v>-2.887755102040817</v>
      </c>
      <c r="C225">
        <f>$B$27/B225 *$B$13*2.7/$B$30*12/$B$29*$B$53</f>
        <v>-43.286219081272073</v>
      </c>
      <c r="D225" s="273">
        <f>TREND($E99:$F99,B$243:C$243,$B$27,1)</f>
        <v>13.093657969843168</v>
      </c>
      <c r="E225">
        <f>D225*$B$30</f>
        <v>35.352876518576558</v>
      </c>
      <c r="H225" s="1">
        <v>0.95</v>
      </c>
      <c r="I225" s="273">
        <f>TREND($B99:$C99,I$243:J$243,$B$27,1)</f>
        <v>-0.19884169884169856</v>
      </c>
      <c r="J225">
        <f>$B$27/I225 *$B$13*2.7/$B$30*12/$B$29*$B$53</f>
        <v>-628.64077669903008</v>
      </c>
      <c r="K225" s="273">
        <f>TREND($E99:$F99,I$243:J$243,$B$27,1)</f>
        <v>8.3279731405923521</v>
      </c>
      <c r="L225">
        <f>K225*$B$30</f>
        <v>22.485527479599352</v>
      </c>
      <c r="O225" s="1">
        <v>0.95</v>
      </c>
      <c r="P225" s="273">
        <f>TREND($B99:$C99,P$243:Q$243,$B$27,1)</f>
        <v>0.61989795918367374</v>
      </c>
      <c r="Q225">
        <f>$B$27/P225 *$B$13*2.7/$B$30*12/$B$29*$B$53</f>
        <v>201.64609053497932</v>
      </c>
      <c r="R225" s="273">
        <f>TREND($E99:$F99,P$243:Q$243,$B$27,1)</f>
        <v>6.8768832086089287</v>
      </c>
      <c r="S225">
        <f>R225*$B$30</f>
        <v>18.567584663244109</v>
      </c>
      <c r="V225" s="1">
        <v>0.95</v>
      </c>
      <c r="W225" s="273">
        <f>TREND($B99:$C99,W$243:X$243,$B$27,1)</f>
        <v>1.0158197507190796</v>
      </c>
      <c r="X225">
        <f>$B$27/W225 *$B$13*2.7/$B$30*12/$B$29*$B$53</f>
        <v>123.0533270410571</v>
      </c>
      <c r="Y225" s="273">
        <f>TREND($E99:$F99,W$243:X$243,$B$27,1)</f>
        <v>6.1751728176215384</v>
      </c>
      <c r="Z225">
        <f>Y225*$B$30</f>
        <v>16.672966607578154</v>
      </c>
      <c r="AC225" s="1">
        <v>0.95</v>
      </c>
      <c r="AD225" s="273">
        <f>TREND($B99:$C99,AD$243:AE$243,$B$27,1)</f>
        <v>1.264437689969605</v>
      </c>
      <c r="AE225">
        <f>$B$27/AD225 *$B$13*2.7/$B$30*12/$B$29*$B$53</f>
        <v>98.85817307692308</v>
      </c>
      <c r="AF225" s="273">
        <f>TREND($E99:$F99,AD$243:AE$243,$B$27,1)</f>
        <v>5.7345358153453843</v>
      </c>
      <c r="AG225">
        <f>AF225*$B$30</f>
        <v>15.483246701432538</v>
      </c>
      <c r="AJ225" s="1">
        <v>0.95</v>
      </c>
      <c r="AK225" s="273">
        <f>TREND($B99:$C99,AK$243:AL$243,$B$27,1)</f>
        <v>1.4310776942355887</v>
      </c>
      <c r="AL225">
        <f>$B$27/AK225 *$B$13*2.7/$B$30*12/$B$29*$B$53</f>
        <v>87.346760070052554</v>
      </c>
      <c r="AM225" s="273">
        <f>TREND($E99:$F99,AK$243:AL$243,$B$27,1)</f>
        <v>5.4391920756281245</v>
      </c>
      <c r="AN225">
        <f>AM225*$B$30</f>
        <v>14.685818604195937</v>
      </c>
      <c r="AQ225" s="1">
        <v>0.95</v>
      </c>
      <c r="AR225" s="273">
        <f>TREND($B99:$C99,AR$243:AS$243,$B$27,1)</f>
        <v>1.5404312668463609</v>
      </c>
      <c r="AS225">
        <f>$B$27/AR225 *$B$13*2.7/$B$30*12/$B$29*$B$53</f>
        <v>81.146106736657927</v>
      </c>
      <c r="AT225" s="273">
        <f>TREND($E99:$F99,AR$243:AS$243,$B$27,1)</f>
        <v>5.2453797120929115</v>
      </c>
      <c r="AU225">
        <f>AT225*$B$30</f>
        <v>14.162525222650862</v>
      </c>
      <c r="AX225" s="1">
        <v>0.95</v>
      </c>
      <c r="AY225" s="273">
        <f>TREND($B99:$C99,AY$243:AZ$243,$B$27,1)</f>
        <v>1.62687969924812</v>
      </c>
      <c r="AZ225">
        <f>$B$27/AY225 *$B$13*2.7/$B$30*12/$B$29*$B$53</f>
        <v>76.834199884459863</v>
      </c>
      <c r="BA225" s="273">
        <f>TREND($E99:$F99,AY$243:AZ$243,$B$27,1)</f>
        <v>5.0921631814603447</v>
      </c>
      <c r="BB225">
        <f>BA225*$B$30</f>
        <v>13.748840589942931</v>
      </c>
    </row>
    <row r="226" spans="1:54" x14ac:dyDescent="0.25">
      <c r="A226" s="1">
        <v>0.9</v>
      </c>
      <c r="B226" s="273">
        <f>TREND($B100:$C100,B$243:C$243,$B$27,1)</f>
        <v>-2.3064308979591845</v>
      </c>
      <c r="C226">
        <f t="shared" ref="C226:C228" si="269">$B$27/B226 *$B$13*2.7/$B$30*12/$B$29*$B$53</f>
        <v>-54.196290949191081</v>
      </c>
      <c r="D226" s="273">
        <f>TREND($E100:$F100,B$243:C$243,$B$27,1)</f>
        <v>14.775510204081634</v>
      </c>
      <c r="E226">
        <f>D226*$B$30</f>
        <v>39.893877551020417</v>
      </c>
      <c r="H226" s="1">
        <v>0.9</v>
      </c>
      <c r="I226" s="273">
        <f>TREND($B100:$C100,I$243:J$243,$B$27,1)</f>
        <v>-0.14827673359073423</v>
      </c>
      <c r="J226">
        <f t="shared" ref="J226:J228" si="270">$B$27/I226 *$B$13*2.7/$B$30*12/$B$29*$B$53</f>
        <v>-843.01830080111256</v>
      </c>
      <c r="K226" s="273">
        <f>TREND($E100:$F100,I$243:J$243,$B$27,1)</f>
        <v>9.397683397683398</v>
      </c>
      <c r="L226">
        <f>K226*$B$30</f>
        <v>25.373745173745178</v>
      </c>
      <c r="O226" s="1">
        <v>0.9</v>
      </c>
      <c r="P226" s="273">
        <f>TREND($B100:$C100,P$243:Q$243,$B$27,1)</f>
        <v>0.50885354081632617</v>
      </c>
      <c r="Q226">
        <f t="shared" ref="Q226:Q228" si="271">$B$27/P226 *$B$13*2.7/$B$30*12/$B$29*$B$53</f>
        <v>245.65025095328858</v>
      </c>
      <c r="R226" s="273">
        <f>TREND($E100:$F100,P$243:Q$243,$B$27,1)</f>
        <v>7.7602040816326525</v>
      </c>
      <c r="S226">
        <f>R226*$B$30</f>
        <v>20.952551020408162</v>
      </c>
      <c r="V226" s="1">
        <v>0.9</v>
      </c>
      <c r="W226" s="273">
        <f>TREND($B100:$C100,W$243:X$243,$B$27,1)</f>
        <v>0.82662512176414171</v>
      </c>
      <c r="X226">
        <f t="shared" ref="X226:X228" si="272">$B$27/W226 *$B$13*2.7/$B$30*12/$B$29*$B$53</f>
        <v>151.2172769843134</v>
      </c>
      <c r="Y226" s="273">
        <f>TREND($E100:$F100,W$243:X$243,$B$27,1)</f>
        <v>6.9683604985618413</v>
      </c>
      <c r="Z226">
        <f>Y226*$B$30</f>
        <v>18.814573346116973</v>
      </c>
      <c r="AC226" s="1">
        <v>0.9</v>
      </c>
      <c r="AD226" s="273">
        <f>TREND($B100:$C100,AD$243:AE$243,$B$27,1)</f>
        <v>1.0261688632218844</v>
      </c>
      <c r="AE226">
        <f t="shared" ref="AE226:AE228" si="273">$B$27/AD226 *$B$13*2.7/$B$30*12/$B$29*$B$53</f>
        <v>121.8123103126856</v>
      </c>
      <c r="AF226" s="273">
        <f>TREND($E100:$F100,AD$243:AE$243,$B$27,1)</f>
        <v>6.4711246200607899</v>
      </c>
      <c r="AG226">
        <f>AF226*$B$30</f>
        <v>17.472036474164135</v>
      </c>
      <c r="AJ226" s="1">
        <v>0.9</v>
      </c>
      <c r="AK226" s="273">
        <f>TREND($B100:$C100,AK$243:AL$243,$B$27,1)</f>
        <v>1.1599161303258145</v>
      </c>
      <c r="AL226">
        <f t="shared" ref="AL226:AL228" si="274">$B$27/AK226 *$B$13*2.7/$B$30*12/$B$29*$B$53</f>
        <v>107.76641235680388</v>
      </c>
      <c r="AM226" s="273">
        <f>TREND($E100:$F100,AK$243:AL$243,$B$27,1)</f>
        <v>6.1378446115288225</v>
      </c>
      <c r="AN226">
        <f>AM226*$B$30</f>
        <v>16.572180451127821</v>
      </c>
      <c r="AQ226" s="1">
        <v>0.9</v>
      </c>
      <c r="AR226" s="273">
        <f>TREND($B100:$C100,AR$243:AS$243,$B$27,1)</f>
        <v>1.2476846199460918</v>
      </c>
      <c r="AS226">
        <f t="shared" ref="AS226:AS228" si="275">$B$27/AR226 *$B$13*2.7/$B$30*12/$B$29*$B$53</f>
        <v>100.18557414404999</v>
      </c>
      <c r="AT226" s="273">
        <f>TREND($E100:$F100,AR$243:AS$243,$B$27,1)</f>
        <v>5.9191374663072782</v>
      </c>
      <c r="AU226">
        <f>AT226*$B$30</f>
        <v>15.981671159029652</v>
      </c>
      <c r="AX226" s="1">
        <v>0.9</v>
      </c>
      <c r="AY226" s="273">
        <f>TREND($B100:$C100,AY$243:AZ$243,$B$27,1)</f>
        <v>1.3170691691729326</v>
      </c>
      <c r="AZ226">
        <f t="shared" ref="AZ226:AZ227" si="276">$B$27/AY226 *$B$13*2.7/$B$30*12/$B$29*$B$53</f>
        <v>94.907695757919114</v>
      </c>
      <c r="BA226" s="273">
        <f>TREND($E100:$F100,AY$243:AZ$243,$B$27,1)</f>
        <v>5.7462406015037599</v>
      </c>
      <c r="BB226">
        <f>BA226*$B$30</f>
        <v>15.514849624060153</v>
      </c>
    </row>
    <row r="227" spans="1:54" x14ac:dyDescent="0.25">
      <c r="A227" s="1">
        <v>0.8</v>
      </c>
      <c r="B227" s="273">
        <f>TREND($B101:$C101,B$243:C$243,$B$27,1)</f>
        <v>-1.5676908979591835</v>
      </c>
      <c r="C227">
        <f t="shared" si="269"/>
        <v>-79.735106048472133</v>
      </c>
      <c r="D227" s="273">
        <f>TREND($E101:$F101,B$243:C$243,$B$27,1)</f>
        <v>18.139214672558566</v>
      </c>
      <c r="E227">
        <f>D227*$B$30</f>
        <v>48.975879615908134</v>
      </c>
      <c r="H227" s="1">
        <v>0.8</v>
      </c>
      <c r="I227" s="273">
        <f>TREND($B101:$C101,I$243:J$243,$B$27,1)</f>
        <v>-0.11311781467181459</v>
      </c>
      <c r="J227">
        <f t="shared" si="270"/>
        <v>-1105.0425643622877</v>
      </c>
      <c r="K227" s="273">
        <f>TREND($E101:$F101,I$243:J$243,$B$27,1)</f>
        <v>11.537103911865493</v>
      </c>
      <c r="L227">
        <f>K227*$B$30</f>
        <v>31.150180562036834</v>
      </c>
      <c r="O227" s="1">
        <v>0.8</v>
      </c>
      <c r="P227" s="273">
        <f>TREND($B101:$C101,P$243:Q$243,$B$27,1)</f>
        <v>0.32978104081632675</v>
      </c>
      <c r="Q227">
        <f t="shared" si="271"/>
        <v>379.03937621938491</v>
      </c>
      <c r="R227" s="273">
        <f>TREND($E101:$F101,P$243:Q$243,$B$27,1)</f>
        <v>9.526845827680102</v>
      </c>
      <c r="S227">
        <f>R227*$B$30</f>
        <v>25.722483734736276</v>
      </c>
      <c r="V227" s="1">
        <v>0.8</v>
      </c>
      <c r="W227" s="273">
        <f>TREND($B101:$C101,W$243:X$243,$B$27,1)</f>
        <v>0.5439557257909875</v>
      </c>
      <c r="X227">
        <f t="shared" si="272"/>
        <v>229.79811420907933</v>
      </c>
      <c r="Y227" s="273">
        <f>TREND($E101:$F101,W$243:X$243,$B$27,1)</f>
        <v>8.554735860442447</v>
      </c>
      <c r="Z227">
        <f>Y227*$B$30</f>
        <v>23.097786823194607</v>
      </c>
      <c r="AC227" s="1">
        <v>0.8</v>
      </c>
      <c r="AD227" s="273">
        <f>TREND($B101:$C101,AD$243:AE$243,$B$27,1)</f>
        <v>0.67844609726443783</v>
      </c>
      <c r="AE227">
        <f t="shared" si="273"/>
        <v>184.24455605834044</v>
      </c>
      <c r="AF227" s="273">
        <f>TREND($E101:$F101,AD$243:AE$243,$B$27,1)</f>
        <v>7.944302229491603</v>
      </c>
      <c r="AG227">
        <f>AF227*$B$30</f>
        <v>21.449616019627328</v>
      </c>
      <c r="AJ227" s="1">
        <v>0.8</v>
      </c>
      <c r="AK227" s="273">
        <f>TREND($B101:$C101,AK$243:AL$243,$B$27,1)</f>
        <v>0.76859034085213018</v>
      </c>
      <c r="AL227">
        <f t="shared" si="274"/>
        <v>162.63540322587644</v>
      </c>
      <c r="AM227" s="273">
        <f>TREND($E101:$F101,AK$243:AL$243,$B$27,1)</f>
        <v>7.5351496833302187</v>
      </c>
      <c r="AN227">
        <f>AM227*$B$30</f>
        <v>20.344904144991592</v>
      </c>
      <c r="AQ227" s="1">
        <v>0.8</v>
      </c>
      <c r="AR227" s="273">
        <f>TREND($B101:$C101,AR$243:AS$243,$B$27,1)</f>
        <v>0.82774537466307263</v>
      </c>
      <c r="AS227">
        <f t="shared" si="275"/>
        <v>151.01262275356149</v>
      </c>
      <c r="AT227" s="273">
        <f>TREND($E101:$F101,AR$243:AS$243,$B$27,1)</f>
        <v>7.2666529747360116</v>
      </c>
      <c r="AU227">
        <f>AT227*$B$30</f>
        <v>19.619963031787233</v>
      </c>
      <c r="AX227" s="1">
        <v>0.8</v>
      </c>
      <c r="AY227" s="273">
        <f>TREND($B101:$C101,AY$243:AZ$243,$B$27,1)</f>
        <v>0.87450982706766911</v>
      </c>
      <c r="AZ227">
        <f t="shared" si="276"/>
        <v>142.93721594774894</v>
      </c>
      <c r="BA227" s="273">
        <f>TREND($E101:$F101,AY$243:AZ$243,$B$27,1)</f>
        <v>7.0543954415905912</v>
      </c>
      <c r="BB227">
        <f>BA227*$B$30</f>
        <v>19.046867692294597</v>
      </c>
    </row>
    <row r="228" spans="1:54" x14ac:dyDescent="0.25">
      <c r="A228" s="159">
        <v>0.7</v>
      </c>
      <c r="B228" s="274">
        <f>TREND($B102:$C102,B$243:C$243,$B$27,1)</f>
        <v>-1.406122448979592</v>
      </c>
      <c r="C228" s="158">
        <f t="shared" si="269"/>
        <v>-88.896952104499249</v>
      </c>
      <c r="D228" s="274">
        <f>TREND($E102:$F102,B$243:C$243,$B$27,1)</f>
        <v>21.502919141035477</v>
      </c>
      <c r="E228" s="158">
        <f>D228*$B$30</f>
        <v>58.057881680795795</v>
      </c>
      <c r="H228" s="159">
        <v>0.7</v>
      </c>
      <c r="I228" s="274">
        <f>TREND($B102:$C102,I$243:J$243,$B$27,1)</f>
        <v>-0.1154440154440155</v>
      </c>
      <c r="J228" s="158">
        <f t="shared" si="270"/>
        <v>-1082.775919732441</v>
      </c>
      <c r="K228" s="274">
        <f>TREND($E102:$F102,I$243:J$243,$B$27,1)</f>
        <v>13.676524426047575</v>
      </c>
      <c r="L228" s="158">
        <f>K228*$B$30</f>
        <v>36.926615950328454</v>
      </c>
      <c r="O228" s="159">
        <v>0.7</v>
      </c>
      <c r="P228" s="274">
        <f>TREND($B102:$C102,P$243:Q$243,$B$27,1)</f>
        <v>0.27755102040816348</v>
      </c>
      <c r="Q228" s="158">
        <f t="shared" si="271"/>
        <v>450.3676470588232</v>
      </c>
      <c r="R228" s="274">
        <f>TREND($E102:$F102,P$243:Q$243,$B$27,1)</f>
        <v>11.293487573727543</v>
      </c>
      <c r="S228" s="158">
        <f>R228*$B$30</f>
        <v>30.492416449064368</v>
      </c>
      <c r="V228" s="159">
        <v>0.7</v>
      </c>
      <c r="W228" s="274">
        <f>TREND($B102:$C102,W$243:X$243,$B$27,1)</f>
        <v>0.46759348034515802</v>
      </c>
      <c r="X228" s="158">
        <f t="shared" si="272"/>
        <v>267.32622513840488</v>
      </c>
      <c r="Y228" s="274">
        <f>TREND($E102:$F102,W$243:X$243,$B$27,1)</f>
        <v>10.141111222323048</v>
      </c>
      <c r="Z228" s="158">
        <f>Y228*$B$30</f>
        <v>27.38100030027223</v>
      </c>
      <c r="AC228" s="159">
        <v>0.7</v>
      </c>
      <c r="AD228" s="274">
        <f>TREND($B102:$C102,AD$243:AE$243,$B$27,1)</f>
        <v>0.58693009118541029</v>
      </c>
      <c r="AE228" s="158">
        <f t="shared" si="273"/>
        <v>212.97255308130505</v>
      </c>
      <c r="AF228" s="274">
        <f>TREND($E102:$F102,AD$243:AE$243,$B$27,1)</f>
        <v>9.4174798389224108</v>
      </c>
      <c r="AG228" s="158">
        <f>AF228*$B$30</f>
        <v>25.427195565090511</v>
      </c>
      <c r="AJ228" s="159">
        <v>0.7</v>
      </c>
      <c r="AK228" s="274">
        <f>TREND($B102:$C102,AK$243:AL$243,$B$27,1)</f>
        <v>0.66691729323308258</v>
      </c>
      <c r="AL228" s="158">
        <f t="shared" si="274"/>
        <v>187.42953776775653</v>
      </c>
      <c r="AM228" s="274">
        <f>TREND($E102:$F102,AK$243:AL$243,$B$27,1)</f>
        <v>8.9324547551316087</v>
      </c>
      <c r="AN228" s="158">
        <f>AM228*$B$30</f>
        <v>24.117627838855345</v>
      </c>
      <c r="AQ228" s="159">
        <v>0.7</v>
      </c>
      <c r="AR228" s="274">
        <f>TREND($B102:$C102,AR$243:AS$243,$B$27,1)</f>
        <v>0.71940700808625335</v>
      </c>
      <c r="AS228" s="158">
        <f t="shared" si="275"/>
        <v>173.7542150618209</v>
      </c>
      <c r="AT228" s="274">
        <f>TREND($E102:$F102,AR$243:AS$243,$B$27,1)</f>
        <v>8.6141684831647414</v>
      </c>
      <c r="AU228" s="158">
        <f>AT228*$B$30</f>
        <v>23.258254904544803</v>
      </c>
      <c r="AX228" s="159">
        <v>0.7</v>
      </c>
      <c r="AY228" s="274">
        <f>TREND($B102:$C102,AY$243:AZ$243,$B$27,1)</f>
        <v>0.76090225563909764</v>
      </c>
      <c r="AZ228" s="158">
        <f>$B$27/AY228 *$B$13*2.7/$B$30*12/$B$29*$B$53</f>
        <v>164.27865612648225</v>
      </c>
      <c r="BA228" s="274">
        <f>TREND($E102:$F102,AY$243:AZ$243,$B$27,1)</f>
        <v>8.3625502816774198</v>
      </c>
      <c r="BB228" s="158">
        <f>BA228*$B$30</f>
        <v>22.578885760529033</v>
      </c>
    </row>
    <row r="229" spans="1:54" x14ac:dyDescent="0.25">
      <c r="A229" t="s">
        <v>316</v>
      </c>
      <c r="B229" s="6"/>
      <c r="C229">
        <f>VLOOKUP($B$34,A225:E228,3,0)</f>
        <v>-54.196290949191081</v>
      </c>
      <c r="E229">
        <f>VLOOKUP($B$34,A225:E228,5,0)</f>
        <v>39.893877551020417</v>
      </c>
      <c r="H229" t="s">
        <v>316</v>
      </c>
      <c r="I229" s="6"/>
      <c r="J229">
        <f>VLOOKUP($B$34,H225:L228,3,0)</f>
        <v>-843.01830080111256</v>
      </c>
      <c r="L229">
        <f>VLOOKUP($B$34,H225:L228,5,0)</f>
        <v>25.373745173745178</v>
      </c>
      <c r="O229" t="s">
        <v>316</v>
      </c>
      <c r="P229" s="6"/>
      <c r="Q229">
        <f>VLOOKUP($B$34,O225:S228,3,0)</f>
        <v>245.65025095328858</v>
      </c>
      <c r="S229">
        <f>VLOOKUP($B$34,O225:S228,5,0)</f>
        <v>20.952551020408162</v>
      </c>
      <c r="V229" t="s">
        <v>316</v>
      </c>
      <c r="W229" s="6"/>
      <c r="X229">
        <f>VLOOKUP($B$34,V225:Z228,3,0)</f>
        <v>151.2172769843134</v>
      </c>
      <c r="Z229">
        <f>VLOOKUP($B$34,V225:Z228,5,0)</f>
        <v>18.814573346116973</v>
      </c>
      <c r="AC229" t="s">
        <v>316</v>
      </c>
      <c r="AD229" s="6"/>
      <c r="AE229">
        <f>VLOOKUP($B$34,AC225:AG228,3,0)</f>
        <v>121.8123103126856</v>
      </c>
      <c r="AG229">
        <f>VLOOKUP($B$34,AC225:AG228,5,0)</f>
        <v>17.472036474164135</v>
      </c>
      <c r="AJ229" t="s">
        <v>316</v>
      </c>
      <c r="AK229" s="6"/>
      <c r="AL229">
        <f>VLOOKUP($B$34,AJ225:AN228,3,0)</f>
        <v>107.76641235680388</v>
      </c>
      <c r="AN229">
        <f>VLOOKUP($B$34,AJ225:AN228,5,0)</f>
        <v>16.572180451127821</v>
      </c>
      <c r="AQ229" t="s">
        <v>316</v>
      </c>
      <c r="AR229" s="6"/>
      <c r="AS229">
        <f>VLOOKUP($B$34,AQ225:AU228,3,0)</f>
        <v>100.18557414404999</v>
      </c>
      <c r="AU229">
        <f>VLOOKUP($B$34,AQ225:AU228,5,0)</f>
        <v>15.981671159029652</v>
      </c>
      <c r="AX229" t="s">
        <v>316</v>
      </c>
      <c r="AY229" s="6"/>
      <c r="AZ229">
        <f>VLOOKUP($B$34,AX225:BB228,3,0)</f>
        <v>94.907695757919114</v>
      </c>
      <c r="BB229">
        <f>VLOOKUP($B$34,AX225:BB228,5,0)</f>
        <v>15.514849624060153</v>
      </c>
    </row>
    <row r="230" spans="1:54" x14ac:dyDescent="0.25">
      <c r="A230" t="s">
        <v>317</v>
      </c>
      <c r="B230" s="157">
        <f>ROUND(MIN(C229,E229),1)</f>
        <v>-54.2</v>
      </c>
      <c r="H230" t="s">
        <v>317</v>
      </c>
      <c r="I230" s="157">
        <f>ROUND(MIN(J229,L229),1)</f>
        <v>-843</v>
      </c>
      <c r="O230" t="s">
        <v>317</v>
      </c>
      <c r="P230" s="157">
        <f>ROUND(MIN(Q229,S229),1)</f>
        <v>21</v>
      </c>
      <c r="V230" t="s">
        <v>317</v>
      </c>
      <c r="W230" s="157">
        <f>ROUND(MIN(X229,Z229),1)</f>
        <v>18.8</v>
      </c>
      <c r="AC230" t="s">
        <v>317</v>
      </c>
      <c r="AD230" s="157">
        <f>ROUND(MIN(AE229,AG229),1)</f>
        <v>17.5</v>
      </c>
      <c r="AJ230" t="s">
        <v>317</v>
      </c>
      <c r="AK230" s="157">
        <f>ROUND(MIN(AL229,AN229),1)</f>
        <v>16.600000000000001</v>
      </c>
      <c r="AQ230" t="s">
        <v>317</v>
      </c>
      <c r="AR230" s="157">
        <f>ROUND(MIN(AS229,AU229),1)</f>
        <v>16</v>
      </c>
      <c r="AX230" t="s">
        <v>317</v>
      </c>
      <c r="AY230" s="157">
        <f>ROUND(MIN(AZ229,BB229),1)</f>
        <v>15.5</v>
      </c>
    </row>
    <row r="231" spans="1:54" x14ac:dyDescent="0.25">
      <c r="B231" s="6"/>
      <c r="I231" s="6"/>
      <c r="P231" s="6"/>
      <c r="W231" s="6"/>
      <c r="AD231" s="6"/>
      <c r="AK231" s="6"/>
      <c r="AR231" s="6"/>
      <c r="AY231" s="6"/>
    </row>
    <row r="232" spans="1:54" x14ac:dyDescent="0.25">
      <c r="A232" t="s">
        <v>318</v>
      </c>
      <c r="B232" s="6" t="s">
        <v>169</v>
      </c>
      <c r="C232" t="s">
        <v>319</v>
      </c>
      <c r="D232" t="s">
        <v>320</v>
      </c>
      <c r="H232" t="s">
        <v>318</v>
      </c>
      <c r="I232" s="6" t="s">
        <v>169</v>
      </c>
      <c r="J232" t="s">
        <v>319</v>
      </c>
      <c r="K232" t="s">
        <v>320</v>
      </c>
      <c r="O232" t="s">
        <v>318</v>
      </c>
      <c r="P232" s="6" t="s">
        <v>169</v>
      </c>
      <c r="Q232" t="s">
        <v>319</v>
      </c>
      <c r="R232" t="s">
        <v>320</v>
      </c>
      <c r="V232" t="s">
        <v>318</v>
      </c>
      <c r="W232" s="6" t="s">
        <v>169</v>
      </c>
      <c r="X232" t="s">
        <v>319</v>
      </c>
      <c r="Y232" t="s">
        <v>320</v>
      </c>
      <c r="AC232" t="s">
        <v>318</v>
      </c>
      <c r="AD232" s="6" t="s">
        <v>169</v>
      </c>
      <c r="AE232" t="s">
        <v>319</v>
      </c>
      <c r="AF232" t="s">
        <v>320</v>
      </c>
      <c r="AJ232" t="s">
        <v>318</v>
      </c>
      <c r="AK232" s="6" t="s">
        <v>169</v>
      </c>
      <c r="AL232" t="s">
        <v>319</v>
      </c>
      <c r="AM232" t="s">
        <v>320</v>
      </c>
      <c r="AQ232" t="s">
        <v>318</v>
      </c>
      <c r="AR232" s="6" t="s">
        <v>169</v>
      </c>
      <c r="AS232" t="s">
        <v>319</v>
      </c>
      <c r="AT232" t="s">
        <v>320</v>
      </c>
      <c r="AX232" t="s">
        <v>318</v>
      </c>
      <c r="AY232" s="6" t="s">
        <v>169</v>
      </c>
      <c r="AZ232" t="s">
        <v>319</v>
      </c>
      <c r="BA232" t="s">
        <v>320</v>
      </c>
    </row>
    <row r="233" spans="1:54" x14ac:dyDescent="0.25">
      <c r="B233" s="1">
        <v>0.95</v>
      </c>
      <c r="C233">
        <f>ROUND(MIN(C225,E225),1)</f>
        <v>-43.3</v>
      </c>
      <c r="D233" t="b">
        <f>$B$300&lt;=C233</f>
        <v>0</v>
      </c>
      <c r="I233" s="1">
        <v>0.95</v>
      </c>
      <c r="J233">
        <f>ROUND(MIN(J225,L225),1)</f>
        <v>-628.6</v>
      </c>
      <c r="K233" t="b">
        <f>$B$300&lt;=J233</f>
        <v>0</v>
      </c>
      <c r="P233" s="1">
        <v>0.95</v>
      </c>
      <c r="Q233">
        <f>ROUND(MIN(Q225,S225),1)</f>
        <v>18.600000000000001</v>
      </c>
      <c r="R233" t="b">
        <f>$B$300&lt;=Q233</f>
        <v>1</v>
      </c>
      <c r="W233" s="1">
        <v>0.95</v>
      </c>
      <c r="X233">
        <f>ROUND(MIN(X225,Z225),1)</f>
        <v>16.7</v>
      </c>
      <c r="Y233" t="b">
        <f>$B$300&lt;=X233</f>
        <v>1</v>
      </c>
      <c r="AD233" s="1">
        <v>0.95</v>
      </c>
      <c r="AE233">
        <f>ROUND(MIN(AE225,AG225),1)</f>
        <v>15.5</v>
      </c>
      <c r="AF233" t="b">
        <f>$B$300&lt;=AE233</f>
        <v>1</v>
      </c>
      <c r="AK233" s="1">
        <v>0.95</v>
      </c>
      <c r="AL233">
        <f>ROUND(MIN(AL225,AN225),1)</f>
        <v>14.7</v>
      </c>
      <c r="AM233" t="b">
        <f>$B$300&lt;=AL233</f>
        <v>1</v>
      </c>
      <c r="AR233" s="1">
        <v>0.95</v>
      </c>
      <c r="AS233">
        <f>ROUND(MIN(AS225,AU225),1)</f>
        <v>14.2</v>
      </c>
      <c r="AT233" t="b">
        <f>$B$300&lt;=AS233</f>
        <v>0</v>
      </c>
      <c r="AY233" s="1">
        <v>0.95</v>
      </c>
      <c r="AZ233">
        <f>ROUND(MIN(AZ225,BB225),1)</f>
        <v>13.7</v>
      </c>
      <c r="BA233" t="b">
        <f>$B$300&lt;=AZ233</f>
        <v>0</v>
      </c>
    </row>
    <row r="234" spans="1:54" x14ac:dyDescent="0.25">
      <c r="B234" s="1">
        <v>0.9</v>
      </c>
      <c r="C234">
        <f>ROUND(MIN(C226,E226),1)</f>
        <v>-54.2</v>
      </c>
      <c r="D234" t="b">
        <f>$B$300&lt;=C234</f>
        <v>0</v>
      </c>
      <c r="I234" s="1">
        <v>0.9</v>
      </c>
      <c r="J234">
        <f>ROUND(MIN(J226,L226),1)</f>
        <v>-843</v>
      </c>
      <c r="K234" t="b">
        <f>$B$300&lt;=J234</f>
        <v>0</v>
      </c>
      <c r="P234" s="1">
        <v>0.9</v>
      </c>
      <c r="Q234">
        <f>ROUND(MIN(Q226,S226),1)</f>
        <v>21</v>
      </c>
      <c r="R234" t="b">
        <f>$B$300&lt;=Q234</f>
        <v>1</v>
      </c>
      <c r="W234" s="1">
        <v>0.9</v>
      </c>
      <c r="X234">
        <f>ROUND(MIN(X226,Z226),1)</f>
        <v>18.8</v>
      </c>
      <c r="Y234" t="b">
        <f>$B$300&lt;=X234</f>
        <v>1</v>
      </c>
      <c r="AD234" s="1">
        <v>0.9</v>
      </c>
      <c r="AE234">
        <f>ROUND(MIN(AE226,AG226),1)</f>
        <v>17.5</v>
      </c>
      <c r="AF234" t="b">
        <f>$B$300&lt;=AE234</f>
        <v>1</v>
      </c>
      <c r="AK234" s="1">
        <v>0.9</v>
      </c>
      <c r="AL234">
        <f>ROUND(MIN(AL226,AN226),1)</f>
        <v>16.600000000000001</v>
      </c>
      <c r="AM234" t="b">
        <f>$B$300&lt;=AL234</f>
        <v>1</v>
      </c>
      <c r="AR234" s="1">
        <v>0.9</v>
      </c>
      <c r="AS234">
        <f>ROUND(MIN(AS226,AU226),1)</f>
        <v>16</v>
      </c>
      <c r="AT234" t="b">
        <f>$B$300&lt;=AS234</f>
        <v>1</v>
      </c>
      <c r="AY234" s="1">
        <v>0.9</v>
      </c>
      <c r="AZ234">
        <f>ROUND(MIN(AZ226,BB226),1)</f>
        <v>15.5</v>
      </c>
      <c r="BA234" t="b">
        <f>$B$300&lt;=AZ234</f>
        <v>1</v>
      </c>
    </row>
    <row r="235" spans="1:54" x14ac:dyDescent="0.25">
      <c r="B235" s="1">
        <v>0.8</v>
      </c>
      <c r="C235">
        <f>ROUND(MIN(C227,E227),1)</f>
        <v>-79.7</v>
      </c>
      <c r="D235" t="b">
        <f>$B$300&lt;=C235</f>
        <v>0</v>
      </c>
      <c r="I235" s="1">
        <v>0.8</v>
      </c>
      <c r="J235">
        <f>ROUND(MIN(J227,L227),1)</f>
        <v>-1105</v>
      </c>
      <c r="K235" t="b">
        <f>$B$300&lt;=J235</f>
        <v>0</v>
      </c>
      <c r="P235" s="1">
        <v>0.8</v>
      </c>
      <c r="Q235">
        <f>ROUND(MIN(Q227,S227),1)</f>
        <v>25.7</v>
      </c>
      <c r="R235" t="b">
        <f>$B$300&lt;=Q235</f>
        <v>1</v>
      </c>
      <c r="W235" s="1">
        <v>0.8</v>
      </c>
      <c r="X235">
        <f>ROUND(MIN(X227,Z227),1)</f>
        <v>23.1</v>
      </c>
      <c r="Y235" t="b">
        <f>$B$300&lt;=X235</f>
        <v>1</v>
      </c>
      <c r="AD235" s="1">
        <v>0.8</v>
      </c>
      <c r="AE235">
        <f>ROUND(MIN(AE227,AG227),1)</f>
        <v>21.4</v>
      </c>
      <c r="AF235" t="b">
        <f>$B$300&lt;=AE235</f>
        <v>1</v>
      </c>
      <c r="AK235" s="1">
        <v>0.8</v>
      </c>
      <c r="AL235">
        <f>ROUND(MIN(AL227,AN227),1)</f>
        <v>20.3</v>
      </c>
      <c r="AM235" t="b">
        <f>$B$300&lt;=AL235</f>
        <v>1</v>
      </c>
      <c r="AR235" s="1">
        <v>0.8</v>
      </c>
      <c r="AS235">
        <f>ROUND(MIN(AS227,AU227),1)</f>
        <v>19.600000000000001</v>
      </c>
      <c r="AT235" t="b">
        <f>$B$300&lt;=AS235</f>
        <v>1</v>
      </c>
      <c r="AY235" s="1">
        <v>0.8</v>
      </c>
      <c r="AZ235">
        <f>ROUND(MIN(AZ227,BB227),1)</f>
        <v>19</v>
      </c>
      <c r="BA235" t="b">
        <f>$B$300&lt;=AZ235</f>
        <v>1</v>
      </c>
    </row>
    <row r="236" spans="1:54" x14ac:dyDescent="0.25">
      <c r="B236" s="159">
        <v>0.7</v>
      </c>
      <c r="C236" s="158">
        <f>ROUND(MIN(C228,E228),1)</f>
        <v>-88.9</v>
      </c>
      <c r="D236" s="158" t="b">
        <f>$B$300&lt;=C236</f>
        <v>0</v>
      </c>
      <c r="I236" s="159">
        <v>0.7</v>
      </c>
      <c r="J236" s="158">
        <f>ROUND(MIN(J228,L228),1)</f>
        <v>-1082.8</v>
      </c>
      <c r="K236" s="158" t="b">
        <f>$B$300&lt;=J236</f>
        <v>0</v>
      </c>
      <c r="P236" s="159">
        <v>0.7</v>
      </c>
      <c r="Q236" s="158">
        <f>ROUND(MIN(Q228,S228),1)</f>
        <v>30.5</v>
      </c>
      <c r="R236" s="158" t="b">
        <f>$B$300&lt;=Q236</f>
        <v>1</v>
      </c>
      <c r="W236" s="159">
        <v>0.7</v>
      </c>
      <c r="X236" s="158">
        <f>ROUND(MIN(X228,Z228),1)</f>
        <v>27.4</v>
      </c>
      <c r="Y236" s="158" t="b">
        <f>$B$300&lt;=X236</f>
        <v>1</v>
      </c>
      <c r="AD236" s="159">
        <v>0.7</v>
      </c>
      <c r="AE236" s="158">
        <f>ROUND(MIN(AE228,AG228),1)</f>
        <v>25.4</v>
      </c>
      <c r="AF236" s="158" t="b">
        <f>$B$300&lt;=AE236</f>
        <v>1</v>
      </c>
      <c r="AK236" s="159">
        <v>0.7</v>
      </c>
      <c r="AL236" s="158">
        <f>ROUND(MIN(AL228,AN228),1)</f>
        <v>24.1</v>
      </c>
      <c r="AM236" s="158" t="b">
        <f>$B$300&lt;=AL236</f>
        <v>1</v>
      </c>
      <c r="AR236" s="159">
        <v>0.7</v>
      </c>
      <c r="AS236" s="158">
        <f>ROUND(MIN(AS228,AU228),1)</f>
        <v>23.3</v>
      </c>
      <c r="AT236" s="158" t="b">
        <f>$B$300&lt;=AS236</f>
        <v>1</v>
      </c>
      <c r="AY236" s="159">
        <v>0.7</v>
      </c>
      <c r="AZ236" s="158">
        <f>ROUND(MIN(AZ228,BB228),1)</f>
        <v>22.6</v>
      </c>
      <c r="BA236" s="158" t="b">
        <f>$B$300&lt;=AZ236</f>
        <v>1</v>
      </c>
    </row>
    <row r="237" spans="1:54" x14ac:dyDescent="0.25">
      <c r="B237" s="1">
        <v>0</v>
      </c>
      <c r="I237" s="1">
        <v>0</v>
      </c>
      <c r="P237" s="1">
        <v>0</v>
      </c>
      <c r="W237" s="1">
        <v>0</v>
      </c>
      <c r="AD237" s="1">
        <v>0</v>
      </c>
      <c r="AK237" s="1">
        <v>0</v>
      </c>
      <c r="AR237" s="1">
        <v>0</v>
      </c>
      <c r="AY237" s="1">
        <v>0</v>
      </c>
    </row>
    <row r="238" spans="1:54" x14ac:dyDescent="0.25">
      <c r="A238" t="s">
        <v>321</v>
      </c>
      <c r="B238" s="11">
        <f ca="1">OFFSET(B233,4-COUNTIF(D233:D236,TRUE),0)</f>
        <v>0</v>
      </c>
      <c r="H238" t="s">
        <v>321</v>
      </c>
      <c r="I238" s="11">
        <f ca="1">OFFSET(I233,4-COUNTIF(K233:K236,TRUE),0)</f>
        <v>0</v>
      </c>
      <c r="O238" t="s">
        <v>321</v>
      </c>
      <c r="P238" s="11">
        <f ca="1">OFFSET(P233,4-COUNTIF(R233:R236,TRUE),0)</f>
        <v>0.95</v>
      </c>
      <c r="V238" t="s">
        <v>321</v>
      </c>
      <c r="W238" s="11">
        <f ca="1">OFFSET(W233,4-COUNTIF(Y233:Y236,TRUE),0)</f>
        <v>0.95</v>
      </c>
      <c r="AC238" t="s">
        <v>321</v>
      </c>
      <c r="AD238" s="11">
        <f ca="1">OFFSET(AD233,4-COUNTIF(AF233:AF236,TRUE),0)</f>
        <v>0.95</v>
      </c>
      <c r="AJ238" t="s">
        <v>321</v>
      </c>
      <c r="AK238" s="11">
        <f ca="1">OFFSET(AK233,4-COUNTIF(AM233:AM236,TRUE),0)</f>
        <v>0.95</v>
      </c>
      <c r="AQ238" t="s">
        <v>321</v>
      </c>
      <c r="AR238" s="11">
        <f ca="1">OFFSET(AR233,4-COUNTIF(AT233:AT236,TRUE),0)</f>
        <v>0.9</v>
      </c>
      <c r="AX238" t="s">
        <v>321</v>
      </c>
      <c r="AY238" s="11">
        <f ca="1">OFFSET(AY233,4-COUNTIF(BA233:BA236,TRUE),0)</f>
        <v>0.9</v>
      </c>
    </row>
    <row r="239" spans="1:54" x14ac:dyDescent="0.25">
      <c r="B239" s="7"/>
      <c r="I239" s="7"/>
      <c r="P239" s="7"/>
      <c r="W239" s="7"/>
      <c r="AD239" s="7"/>
      <c r="AK239" s="7"/>
      <c r="AR239" s="7"/>
      <c r="AY239" s="7"/>
    </row>
    <row r="240" spans="1:54" x14ac:dyDescent="0.25">
      <c r="A240" s="271"/>
      <c r="B240" s="272"/>
      <c r="C240" s="272"/>
      <c r="D240" s="272"/>
      <c r="E240" s="272"/>
      <c r="F240" s="272"/>
      <c r="G240" s="272"/>
      <c r="H240" s="272"/>
      <c r="I240" s="272"/>
      <c r="J240" s="272"/>
      <c r="K240" s="272"/>
      <c r="L240" s="272"/>
      <c r="M240" s="272"/>
      <c r="N240" s="272"/>
      <c r="O240" s="272"/>
      <c r="P240" s="6"/>
      <c r="V240" s="3"/>
      <c r="W240" s="6"/>
      <c r="AC240" s="3"/>
      <c r="AD240" s="6"/>
      <c r="AJ240" s="3"/>
      <c r="AK240" s="6"/>
      <c r="AQ240" s="3"/>
      <c r="AR240" s="6"/>
      <c r="AX240" s="3"/>
      <c r="AY240" s="6"/>
    </row>
    <row r="241" spans="1:54" x14ac:dyDescent="0.25">
      <c r="O241" s="3"/>
      <c r="P241" s="6"/>
      <c r="V241" s="3"/>
      <c r="W241" s="6"/>
      <c r="AC241" s="3"/>
      <c r="AD241" s="6"/>
      <c r="AJ241" s="3"/>
      <c r="AK241" s="6"/>
      <c r="AQ241" s="3"/>
      <c r="AR241" s="6"/>
      <c r="AX241" s="3"/>
      <c r="AY241" s="6"/>
    </row>
    <row r="242" spans="1:54" x14ac:dyDescent="0.25">
      <c r="A242" s="3" t="s">
        <v>322</v>
      </c>
      <c r="B242" t="s">
        <v>323</v>
      </c>
      <c r="H242" s="3" t="s">
        <v>322</v>
      </c>
      <c r="I242" t="s">
        <v>323</v>
      </c>
      <c r="O242" s="3" t="s">
        <v>322</v>
      </c>
      <c r="P242" t="s">
        <v>323</v>
      </c>
      <c r="V242" s="3" t="s">
        <v>322</v>
      </c>
      <c r="W242" t="s">
        <v>323</v>
      </c>
      <c r="AC242" s="3" t="s">
        <v>322</v>
      </c>
      <c r="AD242" t="s">
        <v>323</v>
      </c>
      <c r="AJ242" s="3" t="s">
        <v>322</v>
      </c>
      <c r="AK242" t="s">
        <v>323</v>
      </c>
      <c r="AQ242" s="3" t="s">
        <v>322</v>
      </c>
      <c r="AR242" t="s">
        <v>323</v>
      </c>
      <c r="AX242" s="3" t="s">
        <v>322</v>
      </c>
      <c r="AY242" t="s">
        <v>323</v>
      </c>
    </row>
    <row r="243" spans="1:54" x14ac:dyDescent="0.25">
      <c r="A243" t="s">
        <v>324</v>
      </c>
      <c r="B243">
        <f>B157</f>
        <v>35</v>
      </c>
      <c r="C243">
        <f>B158</f>
        <v>10.5</v>
      </c>
      <c r="H243" t="s">
        <v>324</v>
      </c>
      <c r="I243">
        <f t="shared" ref="I243" si="277">I157</f>
        <v>74</v>
      </c>
      <c r="J243">
        <f t="shared" ref="J243" si="278">I158</f>
        <v>22.2</v>
      </c>
      <c r="O243" t="s">
        <v>324</v>
      </c>
      <c r="P243">
        <f t="shared" ref="P243" si="279">P157</f>
        <v>112</v>
      </c>
      <c r="Q243">
        <f t="shared" ref="Q243" si="280">P158</f>
        <v>33.6</v>
      </c>
      <c r="V243" t="s">
        <v>324</v>
      </c>
      <c r="W243">
        <f t="shared" ref="W243" si="281">W157</f>
        <v>149</v>
      </c>
      <c r="X243">
        <f t="shared" ref="X243" si="282">W158</f>
        <v>44.699999999999996</v>
      </c>
      <c r="AC243" t="s">
        <v>324</v>
      </c>
      <c r="AD243">
        <f t="shared" ref="AD243" si="283">AD157</f>
        <v>188</v>
      </c>
      <c r="AE243">
        <f t="shared" ref="AE243" si="284">AD158</f>
        <v>56.4</v>
      </c>
      <c r="AJ243" t="s">
        <v>324</v>
      </c>
      <c r="AK243">
        <f t="shared" ref="AK243" si="285">AK157</f>
        <v>228</v>
      </c>
      <c r="AL243">
        <f t="shared" ref="AL243" si="286">AK158</f>
        <v>68.399999999999991</v>
      </c>
      <c r="AQ243" t="s">
        <v>324</v>
      </c>
      <c r="AR243">
        <f t="shared" ref="AR243" si="287">AR157</f>
        <v>265</v>
      </c>
      <c r="AS243">
        <f t="shared" ref="AS243" si="288">AR158</f>
        <v>79.5</v>
      </c>
      <c r="AX243" t="s">
        <v>324</v>
      </c>
      <c r="AY243">
        <f t="shared" ref="AY243" si="289">AY157</f>
        <v>304</v>
      </c>
      <c r="AZ243">
        <f t="shared" ref="AZ243" si="290">AY158</f>
        <v>91.2</v>
      </c>
    </row>
    <row r="244" spans="1:54" x14ac:dyDescent="0.25">
      <c r="A244" s="3"/>
      <c r="H244" s="3"/>
      <c r="O244" s="3"/>
      <c r="V244" s="3"/>
      <c r="AC244" s="3"/>
      <c r="AJ244" s="3"/>
      <c r="AQ244" s="3"/>
      <c r="AX244" s="3"/>
    </row>
    <row r="245" spans="1:54" x14ac:dyDescent="0.25">
      <c r="A245" s="3" t="s">
        <v>265</v>
      </c>
      <c r="H245" s="3" t="s">
        <v>265</v>
      </c>
      <c r="O245" s="3" t="s">
        <v>265</v>
      </c>
      <c r="V245" s="3" t="s">
        <v>265</v>
      </c>
      <c r="AC245" s="3" t="s">
        <v>265</v>
      </c>
      <c r="AJ245" s="3" t="s">
        <v>265</v>
      </c>
      <c r="AQ245" s="3" t="s">
        <v>265</v>
      </c>
      <c r="AX245" s="3" t="s">
        <v>265</v>
      </c>
    </row>
    <row r="246" spans="1:54" x14ac:dyDescent="0.25">
      <c r="A246" s="3"/>
      <c r="B246" s="273" t="s">
        <v>312</v>
      </c>
      <c r="C246" t="s">
        <v>313</v>
      </c>
      <c r="D246" s="273" t="s">
        <v>314</v>
      </c>
      <c r="E246" t="s">
        <v>315</v>
      </c>
      <c r="H246" s="3"/>
      <c r="I246" s="273" t="s">
        <v>312</v>
      </c>
      <c r="J246" t="s">
        <v>313</v>
      </c>
      <c r="K246" s="273" t="s">
        <v>314</v>
      </c>
      <c r="L246" t="s">
        <v>315</v>
      </c>
      <c r="O246" s="3"/>
      <c r="P246" s="273" t="s">
        <v>312</v>
      </c>
      <c r="Q246" t="s">
        <v>313</v>
      </c>
      <c r="R246" s="273" t="s">
        <v>314</v>
      </c>
      <c r="S246" t="s">
        <v>315</v>
      </c>
      <c r="V246" s="3"/>
      <c r="W246" s="273" t="s">
        <v>312</v>
      </c>
      <c r="X246" t="s">
        <v>313</v>
      </c>
      <c r="Y246" s="273" t="s">
        <v>314</v>
      </c>
      <c r="Z246" t="s">
        <v>315</v>
      </c>
      <c r="AC246" s="3"/>
      <c r="AD246" s="273" t="s">
        <v>312</v>
      </c>
      <c r="AE246" t="s">
        <v>313</v>
      </c>
      <c r="AF246" s="273" t="s">
        <v>314</v>
      </c>
      <c r="AG246" t="s">
        <v>315</v>
      </c>
      <c r="AJ246" s="3"/>
      <c r="AK246" s="273" t="s">
        <v>312</v>
      </c>
      <c r="AL246" t="s">
        <v>313</v>
      </c>
      <c r="AM246" s="273" t="s">
        <v>314</v>
      </c>
      <c r="AN246" t="s">
        <v>315</v>
      </c>
      <c r="AQ246" s="3"/>
      <c r="AR246" s="273" t="s">
        <v>312</v>
      </c>
      <c r="AS246" t="s">
        <v>313</v>
      </c>
      <c r="AT246" s="273" t="s">
        <v>314</v>
      </c>
      <c r="AU246" t="s">
        <v>315</v>
      </c>
      <c r="AX246" s="3"/>
      <c r="AY246" s="273" t="s">
        <v>312</v>
      </c>
      <c r="AZ246" t="s">
        <v>313</v>
      </c>
      <c r="BA246" s="273" t="s">
        <v>314</v>
      </c>
      <c r="BB246" t="s">
        <v>315</v>
      </c>
    </row>
    <row r="247" spans="1:54" x14ac:dyDescent="0.25">
      <c r="A247" s="1">
        <v>0.95</v>
      </c>
      <c r="B247" s="273">
        <f>TREND($B90:$C90,B$243:C$243,$B$27,1)</f>
        <v>-3.6185714285714297</v>
      </c>
      <c r="C247">
        <f>$B$27/B247 *$B$13*2.7/$B$30*12/$B$29*$B$53</f>
        <v>-34.544018949861815</v>
      </c>
      <c r="D247" s="273">
        <f>TREND($E90:$F90,B$243:C$243,$B$27,1)</f>
        <v>13.093657969843168</v>
      </c>
      <c r="E247">
        <f>D247*$B$30</f>
        <v>35.352876518576558</v>
      </c>
      <c r="H247" s="1">
        <v>0.95</v>
      </c>
      <c r="I247" s="273">
        <f>TREND($B90:$C90,I$243:J$243,$B$27,1)</f>
        <v>-0.23054054054054163</v>
      </c>
      <c r="J247">
        <f>$B$27/I247 *$B$13*2.7/$B$30*12/$B$29*$B$53</f>
        <v>-542.20398593200218</v>
      </c>
      <c r="K247" s="273">
        <f>TREND($E90:$F90,I$243:J$243,$B$27,1)</f>
        <v>8.3279731405923521</v>
      </c>
      <c r="L247">
        <f t="shared" ref="L247:L250" si="291">K247*$B$30</f>
        <v>22.485527479599352</v>
      </c>
      <c r="O247" s="1">
        <v>0.95</v>
      </c>
      <c r="P247" s="273">
        <f>TREND($B90:$C90,P$243:Q$243,$B$27,1)</f>
        <v>0.80107142857142888</v>
      </c>
      <c r="Q247">
        <f>$B$27/P247 *$B$13*2.7/$B$30*12/$B$29*$B$53</f>
        <v>156.04101649576455</v>
      </c>
      <c r="R247" s="273">
        <f>TREND($E90:$F90,P$243:Q$243,$B$27,1)</f>
        <v>6.8768832086089287</v>
      </c>
      <c r="S247">
        <f t="shared" ref="S247:S250" si="292">R247*$B$30</f>
        <v>18.567584663244109</v>
      </c>
      <c r="V247" s="1">
        <v>0.95</v>
      </c>
      <c r="W247" s="273">
        <f>TREND($B90:$C90,W$243:X$243,$B$27,1)</f>
        <v>1.2999328859060402</v>
      </c>
      <c r="X247">
        <f>$B$27/W247 *$B$13*2.7/$B$30*12/$B$29*$B$53</f>
        <v>96.158810470339191</v>
      </c>
      <c r="Y247" s="273">
        <f>TREND($E90:$F90,W$243:X$243,$B$27,1)</f>
        <v>6.1751728176215384</v>
      </c>
      <c r="Z247">
        <f t="shared" ref="Z247:Z250" si="293">Y247*$B$30</f>
        <v>16.672966607578154</v>
      </c>
      <c r="AC247" s="1">
        <v>0.95</v>
      </c>
      <c r="AD247" s="273">
        <f>TREND($B90:$C90,AD$243:AE$243,$B$27,1)</f>
        <v>1.6131914893617019</v>
      </c>
      <c r="AE247">
        <f>$B$27/AD247 *$B$13*2.7/$B$30*12/$B$29*$B$53</f>
        <v>77.486151411237159</v>
      </c>
      <c r="AF247" s="273">
        <f>TREND($E90:$F90,AD$243:AE$243,$B$27,1)</f>
        <v>5.7345358153453843</v>
      </c>
      <c r="AG247">
        <f t="shared" ref="AG247:AG250" si="294">AF247*$B$30</f>
        <v>15.483246701432538</v>
      </c>
      <c r="AJ247" s="1">
        <v>0.95</v>
      </c>
      <c r="AK247" s="273">
        <f>TREND($B90:$C90,AK$243:AL$243,$B$27,1)</f>
        <v>1.8231578947368421</v>
      </c>
      <c r="AL247">
        <f>$B$27/AK247 *$B$13*2.7/$B$30*12/$B$29*$B$53</f>
        <v>68.562355658198612</v>
      </c>
      <c r="AM247" s="273">
        <f>TREND($E90:$F90,AK$243:AL$243,$B$27,1)</f>
        <v>5.4391920756281245</v>
      </c>
      <c r="AN247">
        <f t="shared" ref="AN247:AN250" si="295">AM247*$B$30</f>
        <v>14.685818604195937</v>
      </c>
      <c r="AQ247" s="1">
        <v>0.95</v>
      </c>
      <c r="AR247" s="273">
        <f>TREND($B90:$C90,AR$243:AS$243,$B$27,1)</f>
        <v>1.9609433962264151</v>
      </c>
      <c r="AS247">
        <f>$B$27/AR247 *$B$13*2.7/$B$30*12/$B$29*$B$53</f>
        <v>63.744828249783517</v>
      </c>
      <c r="AT247" s="273">
        <f>TREND($E90:$F90,AR$243:AS$243,$B$27,1)</f>
        <v>5.2453797120929115</v>
      </c>
      <c r="AU247">
        <f t="shared" ref="AU247:AU250" si="296">AT247*$B$30</f>
        <v>14.162525222650862</v>
      </c>
      <c r="AX247" s="1">
        <v>0.95</v>
      </c>
      <c r="AY247" s="273">
        <f>TREND($B90:$C90,AY$243:AZ$243,$B$27,1)</f>
        <v>2.0698684210526319</v>
      </c>
      <c r="AZ247">
        <f>$B$27/AY247 *$B$13*2.7/$B$30*12/$B$29*$B$53</f>
        <v>60.390312122560537</v>
      </c>
      <c r="BA247" s="273">
        <f>TREND($E90:$F90,AY$243:AZ$243,$B$27,1)</f>
        <v>5.0921631814603447</v>
      </c>
      <c r="BB247">
        <f t="shared" ref="BB247:BB250" si="297">BA247*$B$30</f>
        <v>13.748840589942931</v>
      </c>
    </row>
    <row r="248" spans="1:54" x14ac:dyDescent="0.25">
      <c r="A248" s="1">
        <v>0.9</v>
      </c>
      <c r="B248" s="273">
        <f>TREND($B91:$C91,B$243:C$243,$B$27,1)</f>
        <v>-2.887755102040817</v>
      </c>
      <c r="C248">
        <f t="shared" ref="C248:C250" si="298">$B$27/B248 *$B$13*2.7/$B$30*12/$B$29*$B$53</f>
        <v>-43.286219081272073</v>
      </c>
      <c r="D248" s="273">
        <f>TREND($E91:$F91,B$243:C$243,$B$27,1)</f>
        <v>14.775510204081634</v>
      </c>
      <c r="E248">
        <f t="shared" ref="E248:E250" si="299">D248*$B$30</f>
        <v>39.893877551020417</v>
      </c>
      <c r="H248" s="1">
        <v>0.9</v>
      </c>
      <c r="I248" s="273">
        <f>TREND($B91:$C91,I$243:J$243,$B$27,1)</f>
        <v>-0.19884169884169856</v>
      </c>
      <c r="J248">
        <f t="shared" ref="J248:J250" si="300">$B$27/I248 *$B$13*2.7/$B$30*12/$B$29*$B$53</f>
        <v>-628.64077669903008</v>
      </c>
      <c r="K248" s="273">
        <f>TREND($E91:$F91,I$243:J$243,$B$27,1)</f>
        <v>9.397683397683398</v>
      </c>
      <c r="L248">
        <f t="shared" si="291"/>
        <v>25.373745173745178</v>
      </c>
      <c r="O248" s="1">
        <v>0.9</v>
      </c>
      <c r="P248" s="273">
        <f>TREND($B91:$C91,P$243:Q$243,$B$27,1)</f>
        <v>0.61989795918367374</v>
      </c>
      <c r="Q248">
        <f t="shared" ref="Q248:Q250" si="301">$B$27/P248 *$B$13*2.7/$B$30*12/$B$29*$B$53</f>
        <v>201.64609053497932</v>
      </c>
      <c r="R248" s="273">
        <f>TREND($E91:$F91,P$243:Q$243,$B$27,1)</f>
        <v>7.7602040816326525</v>
      </c>
      <c r="S248">
        <f t="shared" si="292"/>
        <v>20.952551020408162</v>
      </c>
      <c r="V248" s="1">
        <v>0.9</v>
      </c>
      <c r="W248" s="273">
        <f>TREND($B91:$C91,W$243:X$243,$B$27,1)</f>
        <v>1.0158197507190796</v>
      </c>
      <c r="X248">
        <f t="shared" ref="X248:X250" si="302">$B$27/W248 *$B$13*2.7/$B$30*12/$B$29*$B$53</f>
        <v>123.0533270410571</v>
      </c>
      <c r="Y248" s="273">
        <f>TREND($E91:$F91,W$243:X$243,$B$27,1)</f>
        <v>6.9683604985618413</v>
      </c>
      <c r="Z248">
        <f t="shared" si="293"/>
        <v>18.814573346116973</v>
      </c>
      <c r="AC248" s="1">
        <v>0.9</v>
      </c>
      <c r="AD248" s="273">
        <f>TREND($B91:$C91,AD$243:AE$243,$B$27,1)</f>
        <v>1.264437689969605</v>
      </c>
      <c r="AE248">
        <f t="shared" ref="AE248:AE250" si="303">$B$27/AD248 *$B$13*2.7/$B$30*12/$B$29*$B$53</f>
        <v>98.85817307692308</v>
      </c>
      <c r="AF248" s="273">
        <f>TREND($E91:$F91,AD$243:AE$243,$B$27,1)</f>
        <v>6.4711246200607899</v>
      </c>
      <c r="AG248">
        <f t="shared" si="294"/>
        <v>17.472036474164135</v>
      </c>
      <c r="AJ248" s="1">
        <v>0.9</v>
      </c>
      <c r="AK248" s="273">
        <f>TREND($B91:$C91,AK$243:AL$243,$B$27,1)</f>
        <v>1.4310776942355887</v>
      </c>
      <c r="AL248">
        <f t="shared" ref="AL248:AL250" si="304">$B$27/AK248 *$B$13*2.7/$B$30*12/$B$29*$B$53</f>
        <v>87.346760070052554</v>
      </c>
      <c r="AM248" s="273">
        <f>TREND($E91:$F91,AK$243:AL$243,$B$27,1)</f>
        <v>6.1378446115288225</v>
      </c>
      <c r="AN248">
        <f t="shared" si="295"/>
        <v>16.572180451127821</v>
      </c>
      <c r="AQ248" s="1">
        <v>0.9</v>
      </c>
      <c r="AR248" s="273">
        <f>TREND($B91:$C91,AR$243:AS$243,$B$27,1)</f>
        <v>1.5404312668463609</v>
      </c>
      <c r="AS248">
        <f t="shared" ref="AS248:AS250" si="305">$B$27/AR248 *$B$13*2.7/$B$30*12/$B$29*$B$53</f>
        <v>81.146106736657927</v>
      </c>
      <c r="AT248" s="273">
        <f>TREND($E91:$F91,AR$243:AS$243,$B$27,1)</f>
        <v>5.9191374663072782</v>
      </c>
      <c r="AU248">
        <f t="shared" si="296"/>
        <v>15.981671159029652</v>
      </c>
      <c r="AX248" s="1">
        <v>0.9</v>
      </c>
      <c r="AY248" s="273">
        <f>TREND($B91:$C91,AY$243:AZ$243,$B$27,1)</f>
        <v>1.62687969924812</v>
      </c>
      <c r="AZ248">
        <f t="shared" ref="AZ248:AZ250" si="306">$B$27/AY248 *$B$13*2.7/$B$30*12/$B$29*$B$53</f>
        <v>76.834199884459863</v>
      </c>
      <c r="BA248" s="273">
        <f>TREND($E91:$F91,AY$243:AZ$243,$B$27,1)</f>
        <v>5.7462406015037599</v>
      </c>
      <c r="BB248">
        <f t="shared" si="297"/>
        <v>15.514849624060153</v>
      </c>
    </row>
    <row r="249" spans="1:54" x14ac:dyDescent="0.25">
      <c r="A249" s="1">
        <v>0.8</v>
      </c>
      <c r="B249" s="273">
        <f>TREND($B92:$C92,B$243:C$243,$B$27,1)</f>
        <v>-1.8081632653061224</v>
      </c>
      <c r="C249">
        <f t="shared" si="298"/>
        <v>-69.130925507900685</v>
      </c>
      <c r="D249" s="273">
        <f>TREND($E92:$F92,B$243:C$243,$B$27,1)</f>
        <v>18.139214672558566</v>
      </c>
      <c r="E249">
        <f t="shared" si="299"/>
        <v>48.975879615908134</v>
      </c>
      <c r="H249" s="1">
        <v>0.8</v>
      </c>
      <c r="I249" s="273">
        <f>TREND($B92:$C92,I$243:J$243,$B$27,1)</f>
        <v>-8.7258687258687351E-2</v>
      </c>
      <c r="J249">
        <f t="shared" si="300"/>
        <v>-1432.5221238938038</v>
      </c>
      <c r="K249" s="273">
        <f>TREND($E92:$F92,I$243:J$243,$B$27,1)</f>
        <v>11.537103911865493</v>
      </c>
      <c r="L249">
        <f t="shared" si="291"/>
        <v>31.150180562036834</v>
      </c>
      <c r="O249" s="1">
        <v>0.8</v>
      </c>
      <c r="P249" s="273">
        <f>TREND($B92:$C92,P$243:Q$243,$B$27,1)</f>
        <v>0.43673469387755137</v>
      </c>
      <c r="Q249">
        <f t="shared" si="301"/>
        <v>286.21495327102781</v>
      </c>
      <c r="R249" s="273">
        <f>TREND($E92:$F92,P$243:Q$243,$B$27,1)</f>
        <v>9.526845827680102</v>
      </c>
      <c r="S249">
        <f t="shared" si="292"/>
        <v>25.722483734736276</v>
      </c>
      <c r="V249" s="1">
        <v>0.8</v>
      </c>
      <c r="W249" s="273">
        <f>TREND($B92:$C92,W$243:X$243,$B$27,1)</f>
        <v>0.69012464046021127</v>
      </c>
      <c r="X249">
        <f t="shared" si="302"/>
        <v>181.12670186162813</v>
      </c>
      <c r="Y249" s="273">
        <f>TREND($E92:$F92,W$243:X$243,$B$27,1)</f>
        <v>8.554735860442447</v>
      </c>
      <c r="Z249">
        <f t="shared" si="293"/>
        <v>23.097786823194607</v>
      </c>
      <c r="AC249" s="1">
        <v>0.8</v>
      </c>
      <c r="AD249" s="273">
        <f>TREND($B92:$C92,AD$243:AE$243,$B$27,1)</f>
        <v>0.84924012158054718</v>
      </c>
      <c r="AE249">
        <f t="shared" si="303"/>
        <v>147.19040801717966</v>
      </c>
      <c r="AF249" s="273">
        <f>TREND($E92:$F92,AD$243:AE$243,$B$27,1)</f>
        <v>7.944302229491603</v>
      </c>
      <c r="AG249">
        <f t="shared" si="294"/>
        <v>21.449616019627328</v>
      </c>
      <c r="AJ249" s="1">
        <v>0.8</v>
      </c>
      <c r="AK249" s="273">
        <f>TREND($B92:$C92,AK$243:AL$243,$B$27,1)</f>
        <v>0.95588972431077723</v>
      </c>
      <c r="AL249">
        <f t="shared" si="304"/>
        <v>130.76822233875194</v>
      </c>
      <c r="AM249" s="273">
        <f>TREND($E92:$F92,AK$243:AL$243,$B$27,1)</f>
        <v>7.5351496833302187</v>
      </c>
      <c r="AN249">
        <f t="shared" si="295"/>
        <v>20.344904144991592</v>
      </c>
      <c r="AQ249" s="1">
        <v>0.8</v>
      </c>
      <c r="AR249" s="273">
        <f>TREND($B92:$C92,AR$243:AS$243,$B$27,1)</f>
        <v>1.0258760107816713</v>
      </c>
      <c r="AS249">
        <f t="shared" si="305"/>
        <v>121.84708355228584</v>
      </c>
      <c r="AT249" s="273">
        <f>TREND($E92:$F92,AR$243:AS$243,$B$27,1)</f>
        <v>7.2666529747360116</v>
      </c>
      <c r="AU249">
        <f t="shared" si="296"/>
        <v>19.619963031787233</v>
      </c>
      <c r="AX249" s="1">
        <v>0.8</v>
      </c>
      <c r="AY249" s="273">
        <f>TREND($B92:$C92,AY$243:AZ$243,$B$27,1)</f>
        <v>1.0812030075187971</v>
      </c>
      <c r="AZ249">
        <f t="shared" si="306"/>
        <v>115.61196105702363</v>
      </c>
      <c r="BA249" s="273">
        <f>TREND($E92:$F92,AY$243:AZ$243,$B$27,1)</f>
        <v>7.0543954415905912</v>
      </c>
      <c r="BB249">
        <f t="shared" si="297"/>
        <v>19.046867692294597</v>
      </c>
    </row>
    <row r="250" spans="1:54" x14ac:dyDescent="0.25">
      <c r="A250" s="159">
        <v>0.7</v>
      </c>
      <c r="B250" s="274">
        <f>TREND($B93:$C93,B$243:C$243,$B$27,1)</f>
        <v>-1.406122448979592</v>
      </c>
      <c r="C250" s="158">
        <f t="shared" si="298"/>
        <v>-88.896952104499249</v>
      </c>
      <c r="D250" s="274">
        <f>TREND($E93:$F93,B$243:C$243,$B$27,1)</f>
        <v>21.502919141035477</v>
      </c>
      <c r="E250" s="158">
        <f t="shared" si="299"/>
        <v>58.057881680795795</v>
      </c>
      <c r="H250" s="159">
        <v>0.7</v>
      </c>
      <c r="I250" s="274">
        <f>TREND($B93:$C93,I$243:J$243,$B$27,1)</f>
        <v>-0.1154440154440155</v>
      </c>
      <c r="J250" s="158">
        <f t="shared" si="300"/>
        <v>-1082.775919732441</v>
      </c>
      <c r="K250" s="274">
        <f>TREND($E93:$F93,I$243:J$243,$B$27,1)</f>
        <v>13.676524426047575</v>
      </c>
      <c r="L250" s="158">
        <f t="shared" si="291"/>
        <v>36.926615950328454</v>
      </c>
      <c r="O250" s="159">
        <v>0.7</v>
      </c>
      <c r="P250" s="274">
        <f>TREND($B93:$C93,P$243:Q$243,$B$27,1)</f>
        <v>0.27755102040816348</v>
      </c>
      <c r="Q250" s="158">
        <f t="shared" si="301"/>
        <v>450.3676470588232</v>
      </c>
      <c r="R250" s="274">
        <f>TREND($E93:$F93,P$243:Q$243,$B$27,1)</f>
        <v>11.293487573727543</v>
      </c>
      <c r="S250" s="158">
        <f t="shared" si="292"/>
        <v>30.492416449064368</v>
      </c>
      <c r="V250" s="159">
        <v>0.7</v>
      </c>
      <c r="W250" s="274">
        <f>TREND($B93:$C93,W$243:X$243,$B$27,1)</f>
        <v>0.46759348034515802</v>
      </c>
      <c r="X250" s="158">
        <f t="shared" si="302"/>
        <v>267.32622513840488</v>
      </c>
      <c r="Y250" s="274">
        <f>TREND($E93:$F93,W$243:X$243,$B$27,1)</f>
        <v>10.141111222323048</v>
      </c>
      <c r="Z250" s="158">
        <f t="shared" si="293"/>
        <v>27.38100030027223</v>
      </c>
      <c r="AC250" s="159">
        <v>0.7</v>
      </c>
      <c r="AD250" s="274">
        <f>TREND($B93:$C93,AD$243:AE$243,$B$27,1)</f>
        <v>0.58693009118541029</v>
      </c>
      <c r="AE250" s="158">
        <f t="shared" si="303"/>
        <v>212.97255308130505</v>
      </c>
      <c r="AF250" s="274">
        <f>TREND($E93:$F93,AD$243:AE$243,$B$27,1)</f>
        <v>9.4174798389224108</v>
      </c>
      <c r="AG250" s="158">
        <f t="shared" si="294"/>
        <v>25.427195565090511</v>
      </c>
      <c r="AJ250" s="159">
        <v>0.7</v>
      </c>
      <c r="AK250" s="274">
        <f>TREND($B93:$C93,AK$243:AL$243,$B$27,1)</f>
        <v>0.66691729323308258</v>
      </c>
      <c r="AL250" s="158">
        <f t="shared" si="304"/>
        <v>187.42953776775653</v>
      </c>
      <c r="AM250" s="274">
        <f>TREND($E93:$F93,AK$243:AL$243,$B$27,1)</f>
        <v>8.9324547551316087</v>
      </c>
      <c r="AN250" s="158">
        <f t="shared" si="295"/>
        <v>24.117627838855345</v>
      </c>
      <c r="AQ250" s="159">
        <v>0.7</v>
      </c>
      <c r="AR250" s="274">
        <f>TREND($B93:$C93,AR$243:AS$243,$B$27,1)</f>
        <v>0.71940700808625335</v>
      </c>
      <c r="AS250" s="158">
        <f t="shared" si="305"/>
        <v>173.7542150618209</v>
      </c>
      <c r="AT250" s="274">
        <f>TREND($E93:$F93,AR$243:AS$243,$B$27,1)</f>
        <v>8.6141684831647414</v>
      </c>
      <c r="AU250" s="158">
        <f t="shared" si="296"/>
        <v>23.258254904544803</v>
      </c>
      <c r="AX250" s="159">
        <v>0.7</v>
      </c>
      <c r="AY250" s="274">
        <f>TREND($B93:$C93,AY$243:AZ$243,$B$27,1)</f>
        <v>0.76090225563909764</v>
      </c>
      <c r="AZ250" s="158">
        <f t="shared" si="306"/>
        <v>164.27865612648225</v>
      </c>
      <c r="BA250" s="274">
        <f>TREND($E93:$F93,AY$243:AZ$243,$B$27,1)</f>
        <v>8.3625502816774198</v>
      </c>
      <c r="BB250" s="158">
        <f t="shared" si="297"/>
        <v>22.578885760529033</v>
      </c>
    </row>
    <row r="251" spans="1:54" x14ac:dyDescent="0.25">
      <c r="A251" t="s">
        <v>316</v>
      </c>
      <c r="B251" s="6"/>
      <c r="C251">
        <f>VLOOKUP($B$34,A247:E250,3,0)</f>
        <v>-43.286219081272073</v>
      </c>
      <c r="E251">
        <f>VLOOKUP($B$34,A247:E250,5,0)</f>
        <v>39.893877551020417</v>
      </c>
      <c r="H251" t="s">
        <v>316</v>
      </c>
      <c r="I251" s="6"/>
      <c r="J251">
        <f t="shared" ref="J251" si="307">VLOOKUP($B$34,H247:L250,3,0)</f>
        <v>-628.64077669903008</v>
      </c>
      <c r="L251">
        <f t="shared" ref="L251" si="308">VLOOKUP($B$34,H247:L250,5,0)</f>
        <v>25.373745173745178</v>
      </c>
      <c r="O251" t="s">
        <v>316</v>
      </c>
      <c r="P251" s="6"/>
      <c r="Q251">
        <f t="shared" ref="Q251" si="309">VLOOKUP($B$34,O247:S250,3,0)</f>
        <v>201.64609053497932</v>
      </c>
      <c r="S251">
        <f t="shared" ref="S251" si="310">VLOOKUP($B$34,O247:S250,5,0)</f>
        <v>20.952551020408162</v>
      </c>
      <c r="V251" t="s">
        <v>316</v>
      </c>
      <c r="W251" s="6"/>
      <c r="X251">
        <f t="shared" ref="X251" si="311">VLOOKUP($B$34,V247:Z250,3,0)</f>
        <v>123.0533270410571</v>
      </c>
      <c r="Z251">
        <f t="shared" ref="Z251" si="312">VLOOKUP($B$34,V247:Z250,5,0)</f>
        <v>18.814573346116973</v>
      </c>
      <c r="AC251" t="s">
        <v>316</v>
      </c>
      <c r="AD251" s="6"/>
      <c r="AE251">
        <f t="shared" ref="AE251" si="313">VLOOKUP($B$34,AC247:AG250,3,0)</f>
        <v>98.85817307692308</v>
      </c>
      <c r="AG251">
        <f t="shared" ref="AG251" si="314">VLOOKUP($B$34,AC247:AG250,5,0)</f>
        <v>17.472036474164135</v>
      </c>
      <c r="AJ251" t="s">
        <v>316</v>
      </c>
      <c r="AK251" s="6"/>
      <c r="AL251">
        <f t="shared" ref="AL251" si="315">VLOOKUP($B$34,AJ247:AN250,3,0)</f>
        <v>87.346760070052554</v>
      </c>
      <c r="AN251">
        <f t="shared" ref="AN251" si="316">VLOOKUP($B$34,AJ247:AN250,5,0)</f>
        <v>16.572180451127821</v>
      </c>
      <c r="AQ251" t="s">
        <v>316</v>
      </c>
      <c r="AR251" s="6"/>
      <c r="AS251">
        <f t="shared" ref="AS251" si="317">VLOOKUP($B$34,AQ247:AU250,3,0)</f>
        <v>81.146106736657927</v>
      </c>
      <c r="AU251">
        <f t="shared" ref="AU251" si="318">VLOOKUP($B$34,AQ247:AU250,5,0)</f>
        <v>15.981671159029652</v>
      </c>
      <c r="AX251" t="s">
        <v>316</v>
      </c>
      <c r="AY251" s="6"/>
      <c r="AZ251">
        <f t="shared" ref="AZ251" si="319">VLOOKUP($B$34,AX247:BB250,3,0)</f>
        <v>76.834199884459863</v>
      </c>
      <c r="BB251">
        <f t="shared" ref="BB251" si="320">VLOOKUP($B$34,AX247:BB250,5,0)</f>
        <v>15.514849624060153</v>
      </c>
    </row>
    <row r="252" spans="1:54" x14ac:dyDescent="0.25">
      <c r="A252" t="s">
        <v>317</v>
      </c>
      <c r="B252" s="157">
        <f>ROUND(MIN(C251,E251),1)</f>
        <v>-43.3</v>
      </c>
      <c r="H252" t="s">
        <v>317</v>
      </c>
      <c r="I252" s="157">
        <f t="shared" ref="I252" si="321">ROUND(MIN(J251,L251),1)</f>
        <v>-628.6</v>
      </c>
      <c r="O252" t="s">
        <v>317</v>
      </c>
      <c r="P252" s="157">
        <f t="shared" ref="P252" si="322">ROUND(MIN(Q251,S251),1)</f>
        <v>21</v>
      </c>
      <c r="V252" t="s">
        <v>317</v>
      </c>
      <c r="W252" s="157">
        <f t="shared" ref="W252" si="323">ROUND(MIN(X251,Z251),1)</f>
        <v>18.8</v>
      </c>
      <c r="AC252" t="s">
        <v>317</v>
      </c>
      <c r="AD252" s="157">
        <f t="shared" ref="AD252" si="324">ROUND(MIN(AE251,AG251),1)</f>
        <v>17.5</v>
      </c>
      <c r="AJ252" t="s">
        <v>317</v>
      </c>
      <c r="AK252" s="157">
        <f t="shared" ref="AK252" si="325">ROUND(MIN(AL251,AN251),1)</f>
        <v>16.600000000000001</v>
      </c>
      <c r="AQ252" t="s">
        <v>317</v>
      </c>
      <c r="AR252" s="157">
        <f t="shared" ref="AR252" si="326">ROUND(MIN(AS251,AU251),1)</f>
        <v>16</v>
      </c>
      <c r="AX252" t="s">
        <v>317</v>
      </c>
      <c r="AY252" s="157">
        <f t="shared" ref="AY252" si="327">ROUND(MIN(AZ251,BB251),1)</f>
        <v>15.5</v>
      </c>
    </row>
    <row r="253" spans="1:54" x14ac:dyDescent="0.25">
      <c r="B253" s="6"/>
      <c r="I253" s="6"/>
      <c r="P253" s="6"/>
      <c r="W253" s="6"/>
      <c r="AD253" s="6"/>
      <c r="AK253" s="6"/>
      <c r="AR253" s="6"/>
      <c r="AY253" s="6"/>
    </row>
    <row r="254" spans="1:54" x14ac:dyDescent="0.25">
      <c r="A254" t="s">
        <v>318</v>
      </c>
      <c r="B254" s="6" t="s">
        <v>169</v>
      </c>
      <c r="C254" t="s">
        <v>319</v>
      </c>
      <c r="D254" t="s">
        <v>320</v>
      </c>
      <c r="H254" t="s">
        <v>318</v>
      </c>
      <c r="I254" s="6" t="s">
        <v>169</v>
      </c>
      <c r="J254" t="s">
        <v>319</v>
      </c>
      <c r="K254" t="s">
        <v>320</v>
      </c>
      <c r="O254" t="s">
        <v>318</v>
      </c>
      <c r="P254" s="6" t="s">
        <v>169</v>
      </c>
      <c r="Q254" t="s">
        <v>319</v>
      </c>
      <c r="R254" t="s">
        <v>320</v>
      </c>
      <c r="V254" t="s">
        <v>318</v>
      </c>
      <c r="W254" s="6" t="s">
        <v>169</v>
      </c>
      <c r="X254" t="s">
        <v>319</v>
      </c>
      <c r="Y254" t="s">
        <v>320</v>
      </c>
      <c r="AC254" t="s">
        <v>318</v>
      </c>
      <c r="AD254" s="6" t="s">
        <v>169</v>
      </c>
      <c r="AE254" t="s">
        <v>319</v>
      </c>
      <c r="AF254" t="s">
        <v>320</v>
      </c>
      <c r="AJ254" t="s">
        <v>318</v>
      </c>
      <c r="AK254" s="6" t="s">
        <v>169</v>
      </c>
      <c r="AL254" t="s">
        <v>319</v>
      </c>
      <c r="AM254" t="s">
        <v>320</v>
      </c>
      <c r="AQ254" t="s">
        <v>318</v>
      </c>
      <c r="AR254" s="6" t="s">
        <v>169</v>
      </c>
      <c r="AS254" t="s">
        <v>319</v>
      </c>
      <c r="AT254" t="s">
        <v>320</v>
      </c>
      <c r="AX254" t="s">
        <v>318</v>
      </c>
      <c r="AY254" s="6" t="s">
        <v>169</v>
      </c>
      <c r="AZ254" t="s">
        <v>319</v>
      </c>
      <c r="BA254" t="s">
        <v>320</v>
      </c>
    </row>
    <row r="255" spans="1:54" x14ac:dyDescent="0.25">
      <c r="B255" s="1">
        <v>0.95</v>
      </c>
      <c r="C255">
        <f>ROUND(MIN(C247,E247),1)</f>
        <v>-34.5</v>
      </c>
      <c r="D255" t="b">
        <f>$B$300&lt;=C255</f>
        <v>0</v>
      </c>
      <c r="I255" s="1">
        <v>0.95</v>
      </c>
      <c r="J255">
        <f t="shared" ref="J255:J258" si="328">ROUND(MIN(J247,L247),1)</f>
        <v>-542.20000000000005</v>
      </c>
      <c r="K255" t="b">
        <f>$B$300&lt;=J255</f>
        <v>0</v>
      </c>
      <c r="P255" s="1">
        <v>0.95</v>
      </c>
      <c r="Q255">
        <f t="shared" ref="Q255:Q258" si="329">ROUND(MIN(Q247,S247),1)</f>
        <v>18.600000000000001</v>
      </c>
      <c r="R255" t="b">
        <f>$B$300&lt;=Q255</f>
        <v>1</v>
      </c>
      <c r="W255" s="1">
        <v>0.95</v>
      </c>
      <c r="X255">
        <f t="shared" ref="X255:X258" si="330">ROUND(MIN(X247,Z247),1)</f>
        <v>16.7</v>
      </c>
      <c r="Y255" t="b">
        <f>$B$300&lt;=X255</f>
        <v>1</v>
      </c>
      <c r="AD255" s="1">
        <v>0.95</v>
      </c>
      <c r="AE255">
        <f t="shared" ref="AE255:AE258" si="331">ROUND(MIN(AE247,AG247),1)</f>
        <v>15.5</v>
      </c>
      <c r="AF255" t="b">
        <f>$B$300&lt;=AE255</f>
        <v>1</v>
      </c>
      <c r="AK255" s="1">
        <v>0.95</v>
      </c>
      <c r="AL255">
        <f t="shared" ref="AL255:AL258" si="332">ROUND(MIN(AL247,AN247),1)</f>
        <v>14.7</v>
      </c>
      <c r="AM255" t="b">
        <f>$B$300&lt;=AL255</f>
        <v>1</v>
      </c>
      <c r="AR255" s="1">
        <v>0.95</v>
      </c>
      <c r="AS255">
        <f t="shared" ref="AS255:AS258" si="333">ROUND(MIN(AS247,AU247),1)</f>
        <v>14.2</v>
      </c>
      <c r="AT255" t="b">
        <f>$B$300&lt;=AS255</f>
        <v>0</v>
      </c>
      <c r="AY255" s="1">
        <v>0.95</v>
      </c>
      <c r="AZ255">
        <f t="shared" ref="AZ255:AZ258" si="334">ROUND(MIN(AZ247,BB247),1)</f>
        <v>13.7</v>
      </c>
      <c r="BA255" t="b">
        <f>$B$300&lt;=AZ255</f>
        <v>0</v>
      </c>
    </row>
    <row r="256" spans="1:54" x14ac:dyDescent="0.25">
      <c r="B256" s="1">
        <v>0.9</v>
      </c>
      <c r="C256">
        <f>ROUND(MIN(C248,E248),1)</f>
        <v>-43.3</v>
      </c>
      <c r="D256" t="b">
        <f>$B$300&lt;=C256</f>
        <v>0</v>
      </c>
      <c r="I256" s="1">
        <v>0.9</v>
      </c>
      <c r="J256">
        <f t="shared" si="328"/>
        <v>-628.6</v>
      </c>
      <c r="K256" t="b">
        <f>$B$300&lt;=J256</f>
        <v>0</v>
      </c>
      <c r="P256" s="1">
        <v>0.9</v>
      </c>
      <c r="Q256">
        <f t="shared" si="329"/>
        <v>21</v>
      </c>
      <c r="R256" t="b">
        <f>$B$300&lt;=Q256</f>
        <v>1</v>
      </c>
      <c r="W256" s="1">
        <v>0.9</v>
      </c>
      <c r="X256">
        <f t="shared" si="330"/>
        <v>18.8</v>
      </c>
      <c r="Y256" t="b">
        <f>$B$300&lt;=X256</f>
        <v>1</v>
      </c>
      <c r="AD256" s="1">
        <v>0.9</v>
      </c>
      <c r="AE256">
        <f t="shared" si="331"/>
        <v>17.5</v>
      </c>
      <c r="AF256" t="b">
        <f>$B$300&lt;=AE256</f>
        <v>1</v>
      </c>
      <c r="AK256" s="1">
        <v>0.9</v>
      </c>
      <c r="AL256">
        <f t="shared" si="332"/>
        <v>16.600000000000001</v>
      </c>
      <c r="AM256" t="b">
        <f>$B$300&lt;=AL256</f>
        <v>1</v>
      </c>
      <c r="AR256" s="1">
        <v>0.9</v>
      </c>
      <c r="AS256">
        <f t="shared" si="333"/>
        <v>16</v>
      </c>
      <c r="AT256" t="b">
        <f>$B$300&lt;=AS256</f>
        <v>1</v>
      </c>
      <c r="AY256" s="1">
        <v>0.9</v>
      </c>
      <c r="AZ256">
        <f t="shared" si="334"/>
        <v>15.5</v>
      </c>
      <c r="BA256" t="b">
        <f>$B$300&lt;=AZ256</f>
        <v>1</v>
      </c>
    </row>
    <row r="257" spans="1:56" x14ac:dyDescent="0.25">
      <c r="B257" s="1">
        <v>0.8</v>
      </c>
      <c r="C257">
        <f>ROUND(MIN(C249,E249),1)</f>
        <v>-69.099999999999994</v>
      </c>
      <c r="D257" t="b">
        <f>$B$300&lt;=C257</f>
        <v>0</v>
      </c>
      <c r="I257" s="1">
        <v>0.8</v>
      </c>
      <c r="J257">
        <f t="shared" si="328"/>
        <v>-1432.5</v>
      </c>
      <c r="K257" t="b">
        <f>$B$300&lt;=J257</f>
        <v>0</v>
      </c>
      <c r="P257" s="1">
        <v>0.8</v>
      </c>
      <c r="Q257">
        <f t="shared" si="329"/>
        <v>25.7</v>
      </c>
      <c r="R257" t="b">
        <f>$B$300&lt;=Q257</f>
        <v>1</v>
      </c>
      <c r="W257" s="1">
        <v>0.8</v>
      </c>
      <c r="X257">
        <f t="shared" si="330"/>
        <v>23.1</v>
      </c>
      <c r="Y257" t="b">
        <f>$B$300&lt;=X257</f>
        <v>1</v>
      </c>
      <c r="AD257" s="1">
        <v>0.8</v>
      </c>
      <c r="AE257">
        <f t="shared" si="331"/>
        <v>21.4</v>
      </c>
      <c r="AF257" t="b">
        <f>$B$300&lt;=AE257</f>
        <v>1</v>
      </c>
      <c r="AK257" s="1">
        <v>0.8</v>
      </c>
      <c r="AL257">
        <f t="shared" si="332"/>
        <v>20.3</v>
      </c>
      <c r="AM257" t="b">
        <f>$B$300&lt;=AL257</f>
        <v>1</v>
      </c>
      <c r="AR257" s="1">
        <v>0.8</v>
      </c>
      <c r="AS257">
        <f t="shared" si="333"/>
        <v>19.600000000000001</v>
      </c>
      <c r="AT257" t="b">
        <f>$B$300&lt;=AS257</f>
        <v>1</v>
      </c>
      <c r="AY257" s="1">
        <v>0.8</v>
      </c>
      <c r="AZ257">
        <f t="shared" si="334"/>
        <v>19</v>
      </c>
      <c r="BA257" t="b">
        <f>$B$300&lt;=AZ257</f>
        <v>1</v>
      </c>
    </row>
    <row r="258" spans="1:56" x14ac:dyDescent="0.25">
      <c r="B258" s="159">
        <v>0.7</v>
      </c>
      <c r="C258" s="158">
        <f>ROUND(MIN(C250,E250),1)</f>
        <v>-88.9</v>
      </c>
      <c r="D258" s="158" t="b">
        <f>$B$300&lt;=C258</f>
        <v>0</v>
      </c>
      <c r="I258" s="159">
        <v>0.7</v>
      </c>
      <c r="J258" s="158">
        <f t="shared" si="328"/>
        <v>-1082.8</v>
      </c>
      <c r="K258" s="158" t="b">
        <f>$B$300&lt;=J258</f>
        <v>0</v>
      </c>
      <c r="P258" s="159">
        <v>0.7</v>
      </c>
      <c r="Q258" s="158">
        <f t="shared" si="329"/>
        <v>30.5</v>
      </c>
      <c r="R258" s="158" t="b">
        <f>$B$300&lt;=Q258</f>
        <v>1</v>
      </c>
      <c r="W258" s="159">
        <v>0.7</v>
      </c>
      <c r="X258" s="158">
        <f t="shared" si="330"/>
        <v>27.4</v>
      </c>
      <c r="Y258" s="158" t="b">
        <f>$B$300&lt;=X258</f>
        <v>1</v>
      </c>
      <c r="AD258" s="159">
        <v>0.7</v>
      </c>
      <c r="AE258" s="158">
        <f t="shared" si="331"/>
        <v>25.4</v>
      </c>
      <c r="AF258" s="158" t="b">
        <f>$B$300&lt;=AE258</f>
        <v>1</v>
      </c>
      <c r="AK258" s="159">
        <v>0.7</v>
      </c>
      <c r="AL258" s="158">
        <f t="shared" si="332"/>
        <v>24.1</v>
      </c>
      <c r="AM258" s="158" t="b">
        <f>$B$300&lt;=AL258</f>
        <v>1</v>
      </c>
      <c r="AR258" s="159">
        <v>0.7</v>
      </c>
      <c r="AS258" s="158">
        <f t="shared" si="333"/>
        <v>23.3</v>
      </c>
      <c r="AT258" s="158" t="b">
        <f>$B$300&lt;=AS258</f>
        <v>1</v>
      </c>
      <c r="AY258" s="159">
        <v>0.7</v>
      </c>
      <c r="AZ258" s="158">
        <f t="shared" si="334"/>
        <v>22.6</v>
      </c>
      <c r="BA258" s="158" t="b">
        <f>$B$300&lt;=AZ258</f>
        <v>1</v>
      </c>
    </row>
    <row r="259" spans="1:56" x14ac:dyDescent="0.25">
      <c r="B259" s="1">
        <v>0</v>
      </c>
      <c r="I259" s="1">
        <v>0</v>
      </c>
      <c r="P259" s="1">
        <v>0</v>
      </c>
      <c r="W259" s="1">
        <v>0</v>
      </c>
      <c r="AD259" s="1">
        <v>0</v>
      </c>
      <c r="AK259" s="1">
        <v>0</v>
      </c>
      <c r="AR259" s="1">
        <v>0</v>
      </c>
      <c r="AY259" s="1">
        <v>0</v>
      </c>
    </row>
    <row r="260" spans="1:56" x14ac:dyDescent="0.25">
      <c r="A260" t="s">
        <v>321</v>
      </c>
      <c r="B260" s="11">
        <f ca="1">OFFSET(B255,4-COUNTIF(D255:D258,TRUE),0)</f>
        <v>0</v>
      </c>
      <c r="H260" t="s">
        <v>321</v>
      </c>
      <c r="I260" s="11">
        <f ca="1">OFFSET(I255,4-COUNTIF(K255:K258,TRUE),0)</f>
        <v>0</v>
      </c>
      <c r="O260" t="s">
        <v>321</v>
      </c>
      <c r="P260" s="11">
        <f ca="1">OFFSET(P255,4-COUNTIF(R255:R258,TRUE),0)</f>
        <v>0.95</v>
      </c>
      <c r="V260" t="s">
        <v>321</v>
      </c>
      <c r="W260" s="11">
        <f ca="1">OFFSET(W255,4-COUNTIF(Y255:Y258,TRUE),0)</f>
        <v>0.95</v>
      </c>
      <c r="AC260" t="s">
        <v>321</v>
      </c>
      <c r="AD260" s="11">
        <f ca="1">OFFSET(AD255,4-COUNTIF(AF255:AF258,TRUE),0)</f>
        <v>0.95</v>
      </c>
      <c r="AJ260" t="s">
        <v>321</v>
      </c>
      <c r="AK260" s="11">
        <f ca="1">OFFSET(AK255,4-COUNTIF(AM255:AM258,TRUE),0)</f>
        <v>0.95</v>
      </c>
      <c r="AQ260" t="s">
        <v>321</v>
      </c>
      <c r="AR260" s="11">
        <f ca="1">OFFSET(AR255,4-COUNTIF(AT255:AT258,TRUE),0)</f>
        <v>0.9</v>
      </c>
      <c r="AX260" t="s">
        <v>321</v>
      </c>
      <c r="AY260" s="11">
        <f ca="1">OFFSET(AY255,4-COUNTIF(BA255:BA258,TRUE),0)</f>
        <v>0.9</v>
      </c>
    </row>
    <row r="261" spans="1:56" x14ac:dyDescent="0.25">
      <c r="B261" s="6"/>
      <c r="H261" s="3"/>
      <c r="I261" s="6"/>
      <c r="O261" s="3"/>
      <c r="P261" s="6"/>
      <c r="V261" s="3"/>
      <c r="W261" s="6"/>
      <c r="AC261" s="3"/>
      <c r="AD261" s="6"/>
      <c r="AJ261" s="3"/>
      <c r="AK261" s="6"/>
      <c r="AQ261" s="3"/>
      <c r="AR261" s="6"/>
      <c r="AX261" s="3"/>
      <c r="AY261" s="6"/>
    </row>
    <row r="262" spans="1:56" x14ac:dyDescent="0.25">
      <c r="B262" s="6"/>
      <c r="I262" s="6"/>
      <c r="P262" s="6"/>
      <c r="W262" s="6"/>
      <c r="AD262" s="6"/>
      <c r="AK262" s="6"/>
      <c r="AR262" s="6"/>
      <c r="AY262" s="6"/>
    </row>
    <row r="263" spans="1:56" x14ac:dyDescent="0.25">
      <c r="A263" s="3" t="s">
        <v>325</v>
      </c>
      <c r="B263" s="1">
        <f ca="1">MIN(B217,B238)</f>
        <v>0</v>
      </c>
      <c r="H263" s="3" t="s">
        <v>325</v>
      </c>
      <c r="I263" s="1">
        <f ca="1">MIN(I217,I238)</f>
        <v>0</v>
      </c>
      <c r="O263" s="3" t="s">
        <v>325</v>
      </c>
      <c r="P263" s="1">
        <f ca="1">MIN(P217,P238)</f>
        <v>0.7</v>
      </c>
      <c r="V263" s="3" t="s">
        <v>325</v>
      </c>
      <c r="W263" s="1">
        <f ca="1">MIN(W217,W238)</f>
        <v>0.8</v>
      </c>
      <c r="AC263" s="3" t="s">
        <v>325</v>
      </c>
      <c r="AD263" s="1">
        <f ca="1">MIN(AD217,AD238)</f>
        <v>0.8</v>
      </c>
      <c r="AJ263" s="3" t="s">
        <v>325</v>
      </c>
      <c r="AK263" s="1">
        <f ca="1">MIN(AK217,AK238)</f>
        <v>0.8</v>
      </c>
      <c r="AQ263" s="3" t="s">
        <v>325</v>
      </c>
      <c r="AR263" s="1">
        <f ca="1">MIN(AR217,AR238)</f>
        <v>0.8</v>
      </c>
      <c r="AX263" s="3" t="s">
        <v>325</v>
      </c>
      <c r="AY263" s="1">
        <f ca="1">MIN(AY217,AY238)</f>
        <v>0.9</v>
      </c>
    </row>
    <row r="264" spans="1:56" x14ac:dyDescent="0.25">
      <c r="A264" s="3" t="s">
        <v>326</v>
      </c>
      <c r="B264" s="1">
        <f ca="1">MIN(B217,B260)</f>
        <v>0</v>
      </c>
      <c r="H264" s="3" t="s">
        <v>326</v>
      </c>
      <c r="I264" s="1">
        <f ca="1">MIN(I217,I260)</f>
        <v>0</v>
      </c>
      <c r="O264" s="3" t="s">
        <v>326</v>
      </c>
      <c r="P264" s="1">
        <f ca="1">MIN(P217,P260)</f>
        <v>0.7</v>
      </c>
      <c r="V264" s="3" t="s">
        <v>326</v>
      </c>
      <c r="W264" s="1">
        <f ca="1">MIN(W217,W260)</f>
        <v>0.8</v>
      </c>
      <c r="AC264" s="3" t="s">
        <v>326</v>
      </c>
      <c r="AD264" s="1">
        <f ca="1">MIN(AD217,AD260)</f>
        <v>0.8</v>
      </c>
      <c r="AJ264" s="3" t="s">
        <v>326</v>
      </c>
      <c r="AK264" s="1">
        <f ca="1">MIN(AK217,AK260)</f>
        <v>0.8</v>
      </c>
      <c r="AQ264" s="3" t="s">
        <v>326</v>
      </c>
      <c r="AR264" s="1">
        <f ca="1">MIN(AR217,AR260)</f>
        <v>0.8</v>
      </c>
      <c r="AX264" s="3" t="s">
        <v>326</v>
      </c>
      <c r="AY264" s="1">
        <f ca="1">MIN(AY217,AY260)</f>
        <v>0.9</v>
      </c>
    </row>
    <row r="265" spans="1:56" x14ac:dyDescent="0.25">
      <c r="A265" s="3"/>
      <c r="B265" s="6"/>
      <c r="D265" s="5"/>
      <c r="E265" s="5"/>
      <c r="F265" s="5"/>
      <c r="H265" s="3"/>
      <c r="I265" s="6"/>
      <c r="K265" s="5"/>
      <c r="L265" s="5"/>
      <c r="M265" s="5"/>
      <c r="O265" s="3"/>
      <c r="P265" s="6"/>
      <c r="R265" s="5"/>
      <c r="S265" s="5"/>
      <c r="T265" s="5"/>
      <c r="V265" s="3"/>
      <c r="W265" s="6"/>
      <c r="Y265" s="5"/>
      <c r="Z265" s="5"/>
      <c r="AA265" s="5"/>
      <c r="AC265" s="3"/>
      <c r="AD265" s="6"/>
      <c r="AF265" s="5"/>
      <c r="AG265" s="5"/>
      <c r="AH265" s="5"/>
      <c r="AJ265" s="3"/>
      <c r="AK265" s="6"/>
      <c r="AM265" s="5"/>
      <c r="AN265" s="5"/>
      <c r="AO265" s="5"/>
      <c r="AQ265" s="3"/>
      <c r="AR265" s="6"/>
      <c r="AT265" s="5"/>
      <c r="AU265" s="5"/>
      <c r="AV265" s="5"/>
      <c r="AX265" s="3"/>
      <c r="AY265" s="6"/>
      <c r="BA265" s="5"/>
      <c r="BB265" s="5"/>
      <c r="BC265" s="5"/>
    </row>
    <row r="266" spans="1:56" x14ac:dyDescent="0.25">
      <c r="A266" s="278" t="s">
        <v>234</v>
      </c>
      <c r="B266" s="279"/>
      <c r="C266" s="280"/>
      <c r="D266" s="280"/>
      <c r="E266" s="280"/>
      <c r="F266" s="281"/>
      <c r="G266" s="280"/>
      <c r="H266" s="278" t="s">
        <v>234</v>
      </c>
      <c r="I266" s="279"/>
      <c r="J266" s="280"/>
      <c r="K266" s="280"/>
      <c r="L266" s="280"/>
      <c r="M266" s="281"/>
      <c r="N266" s="280"/>
      <c r="O266" s="278" t="s">
        <v>234</v>
      </c>
      <c r="P266" s="279"/>
      <c r="Q266" s="280"/>
      <c r="R266" s="280"/>
      <c r="S266" s="280"/>
      <c r="T266" s="5"/>
      <c r="V266" s="3" t="s">
        <v>234</v>
      </c>
      <c r="W266" s="7"/>
      <c r="AA266" s="5"/>
      <c r="AC266" s="3" t="s">
        <v>234</v>
      </c>
      <c r="AD266" s="7"/>
      <c r="AH266" s="5"/>
      <c r="AJ266" s="3" t="s">
        <v>234</v>
      </c>
      <c r="AK266" s="7"/>
      <c r="AQ266" s="3" t="s">
        <v>234</v>
      </c>
      <c r="AR266" s="7"/>
      <c r="AX266" s="3" t="s">
        <v>234</v>
      </c>
      <c r="AY266" s="7"/>
    </row>
    <row r="267" spans="1:56" x14ac:dyDescent="0.25">
      <c r="A267" s="8"/>
      <c r="B267" s="9"/>
      <c r="F267" s="5"/>
      <c r="H267" s="8"/>
      <c r="I267" s="9"/>
      <c r="M267" s="5"/>
      <c r="O267" s="8"/>
      <c r="P267" s="9"/>
      <c r="T267" s="5"/>
      <c r="V267" s="8"/>
      <c r="W267" s="9"/>
      <c r="AA267" s="5"/>
      <c r="AC267" s="8"/>
      <c r="AD267" s="9"/>
      <c r="AH267" s="5"/>
      <c r="AJ267" s="8"/>
      <c r="AK267" s="9"/>
      <c r="AQ267" s="8"/>
      <c r="AR267" s="9"/>
      <c r="AX267" s="8"/>
      <c r="AY267" s="9"/>
    </row>
    <row r="268" spans="1:56" x14ac:dyDescent="0.25">
      <c r="A268" t="s">
        <v>328</v>
      </c>
      <c r="B268" s="6">
        <f>$B$25^2*D268+$B$25*E268+F268</f>
        <v>5.5284999999999975</v>
      </c>
      <c r="D268" s="13">
        <f>-0.000743</f>
        <v>-7.4299999999999995E-4</v>
      </c>
      <c r="E268" s="13">
        <f>0.2132</f>
        <v>0.2132</v>
      </c>
      <c r="F268" s="13">
        <f>-1.334</f>
        <v>-1.3340000000000001</v>
      </c>
      <c r="H268" t="s">
        <v>328</v>
      </c>
      <c r="I268" s="6">
        <f>$B$25^2*K268+$B$25*L268+M268</f>
        <v>13.902749999999997</v>
      </c>
      <c r="K268" s="13">
        <v>-3.7409999999999999E-4</v>
      </c>
      <c r="L268" s="12">
        <f>0.1538</f>
        <v>0.15379999999999999</v>
      </c>
      <c r="M268" s="12">
        <f>-1.166</f>
        <v>-1.1659999999999999</v>
      </c>
      <c r="O268" t="s">
        <v>328</v>
      </c>
      <c r="P268" s="6">
        <f>$B$25^2*R268+$B$25*S268+T268</f>
        <v>14.360750000000003</v>
      </c>
      <c r="R268" s="13">
        <f>-0.0002393</f>
        <v>-2.3929999999999999E-4</v>
      </c>
      <c r="S268" s="13">
        <f>0.1218</f>
        <v>0.12180000000000001</v>
      </c>
      <c r="T268" s="13">
        <v>-1.133</v>
      </c>
      <c r="V268" t="s">
        <v>328</v>
      </c>
      <c r="W268" s="6">
        <f>$B$25^2*Y268+$B$25*Z268+AA268</f>
        <v>14.106500000000002</v>
      </c>
      <c r="Y268" s="13">
        <v>-1.794E-4</v>
      </c>
      <c r="Z268" s="13">
        <v>0.10580000000000001</v>
      </c>
      <c r="AA268" s="13">
        <v>-1.131</v>
      </c>
      <c r="AC268" t="s">
        <v>328</v>
      </c>
      <c r="AD268" s="6">
        <f>$B$25^2*AF268+$B$25*AG268+AH268</f>
        <v>13.515999999999998</v>
      </c>
      <c r="AF268" s="13">
        <v>-1.4239999999999999E-4</v>
      </c>
      <c r="AG268" s="13">
        <v>9.4899999999999998E-2</v>
      </c>
      <c r="AH268" s="13">
        <v>-1.3089999999999999</v>
      </c>
      <c r="AJ268" t="s">
        <v>328</v>
      </c>
      <c r="AK268" s="6">
        <f>$B$25^2*AM268+$B$25*AN268+AO268</f>
        <v>12.864750000000001</v>
      </c>
      <c r="AM268" s="13">
        <v>-1.049E-4</v>
      </c>
      <c r="AN268" s="13">
        <v>8.2280000000000006E-2</v>
      </c>
      <c r="AO268" s="13">
        <v>-1.149</v>
      </c>
      <c r="AQ268" t="s">
        <v>328</v>
      </c>
      <c r="AR268" s="6">
        <f>$B$25^2*AT268+$B$25*AU268+AV268</f>
        <v>11.802499999999998</v>
      </c>
      <c r="AT268" s="13">
        <v>-1.1959999999999999E-4</v>
      </c>
      <c r="AU268" s="13">
        <v>8.4129999999999996E-2</v>
      </c>
      <c r="AV268" s="13">
        <v>-1.7549999999999999</v>
      </c>
      <c r="AX268" t="s">
        <v>328</v>
      </c>
      <c r="AY268" s="6">
        <f>$B$25^2*BA268+$B$25*BB268+BC268</f>
        <v>11.081500000000002</v>
      </c>
      <c r="BA268" s="13">
        <v>-1.1519999999999999E-4</v>
      </c>
      <c r="BB268" s="13">
        <v>8.1170000000000006E-2</v>
      </c>
      <c r="BC268" s="13">
        <v>-2.0110000000000001</v>
      </c>
    </row>
    <row r="269" spans="1:56" x14ac:dyDescent="0.25">
      <c r="A269" t="s">
        <v>329</v>
      </c>
      <c r="B269">
        <f>$B$114</f>
        <v>0.65159255861242893</v>
      </c>
      <c r="G269" s="5"/>
      <c r="H269" t="s">
        <v>329</v>
      </c>
      <c r="I269">
        <f t="shared" ref="I269" si="335">$B$114</f>
        <v>0.65159255861242893</v>
      </c>
      <c r="N269" s="5"/>
      <c r="O269" t="s">
        <v>329</v>
      </c>
      <c r="P269">
        <f t="shared" ref="P269" si="336">$B$114</f>
        <v>0.65159255861242893</v>
      </c>
      <c r="U269" s="5"/>
      <c r="V269" t="s">
        <v>329</v>
      </c>
      <c r="W269">
        <f t="shared" ref="W269" si="337">$B$114</f>
        <v>0.65159255861242893</v>
      </c>
      <c r="AB269" s="5"/>
      <c r="AC269" t="s">
        <v>329</v>
      </c>
      <c r="AD269">
        <f t="shared" ref="AD269" si="338">$B$114</f>
        <v>0.65159255861242893</v>
      </c>
      <c r="AI269" s="5"/>
      <c r="AJ269" t="s">
        <v>329</v>
      </c>
      <c r="AK269">
        <f t="shared" ref="AK269" si="339">$B$114</f>
        <v>0.65159255861242893</v>
      </c>
      <c r="AP269" s="5"/>
      <c r="AQ269" t="s">
        <v>329</v>
      </c>
      <c r="AR269">
        <f t="shared" ref="AR269" si="340">$B$114</f>
        <v>0.65159255861242893</v>
      </c>
      <c r="AW269" s="5"/>
      <c r="AX269" t="s">
        <v>329</v>
      </c>
      <c r="AY269">
        <f t="shared" ref="AY269" si="341">$B$114</f>
        <v>0.65159255861242893</v>
      </c>
      <c r="BD269" s="5"/>
    </row>
    <row r="270" spans="1:56" x14ac:dyDescent="0.25">
      <c r="A270" t="s">
        <v>330</v>
      </c>
      <c r="B270">
        <f>B268*B269</f>
        <v>3.6023294602888116</v>
      </c>
      <c r="H270" t="s">
        <v>330</v>
      </c>
      <c r="I270">
        <f>I268*I269</f>
        <v>9.0589284442489451</v>
      </c>
      <c r="O270" t="s">
        <v>330</v>
      </c>
      <c r="P270">
        <f>P268*P269</f>
        <v>9.3573578360934402</v>
      </c>
      <c r="V270" t="s">
        <v>330</v>
      </c>
      <c r="W270">
        <f>W268*W269</f>
        <v>9.1916904280662308</v>
      </c>
      <c r="AC270" t="s">
        <v>330</v>
      </c>
      <c r="AD270">
        <f>AD268*AD269</f>
        <v>8.8069250222055881</v>
      </c>
      <c r="AJ270" t="s">
        <v>330</v>
      </c>
      <c r="AK270">
        <f>AK268*AK269</f>
        <v>8.3825753684092454</v>
      </c>
      <c r="AQ270" t="s">
        <v>330</v>
      </c>
      <c r="AR270">
        <f>AR268*AR269</f>
        <v>7.6904211730231911</v>
      </c>
      <c r="AX270" t="s">
        <v>330</v>
      </c>
      <c r="AY270">
        <f>AY268*AY269</f>
        <v>7.2206229382636327</v>
      </c>
    </row>
    <row r="271" spans="1:56" x14ac:dyDescent="0.25">
      <c r="A271" t="s">
        <v>331</v>
      </c>
      <c r="B271">
        <f>B270*E271</f>
        <v>8.0051765784195812</v>
      </c>
      <c r="E271">
        <f>20/9</f>
        <v>2.2222222222222223</v>
      </c>
      <c r="H271" t="s">
        <v>331</v>
      </c>
      <c r="I271">
        <f>I270*L271+M271</f>
        <v>20.128939003121154</v>
      </c>
      <c r="L271">
        <v>2.222</v>
      </c>
      <c r="O271" t="s">
        <v>331</v>
      </c>
      <c r="P271">
        <f>P270*S271+T271</f>
        <v>20.792049111799624</v>
      </c>
      <c r="S271">
        <v>2.222</v>
      </c>
      <c r="V271" t="s">
        <v>331</v>
      </c>
      <c r="W271">
        <f>W270*Z271+AA271</f>
        <v>20.423936131163163</v>
      </c>
      <c r="Z271">
        <v>2.222</v>
      </c>
      <c r="AC271" t="s">
        <v>331</v>
      </c>
      <c r="AD271">
        <f>AD270*AG271+AH271</f>
        <v>19.568987399340816</v>
      </c>
      <c r="AG271">
        <v>2.222</v>
      </c>
      <c r="AJ271" t="s">
        <v>331</v>
      </c>
      <c r="AK271">
        <f>AK270*AN271+AO271</f>
        <v>18.626082468605343</v>
      </c>
      <c r="AN271">
        <v>2.222</v>
      </c>
      <c r="AQ271" t="s">
        <v>331</v>
      </c>
      <c r="AR271">
        <f>AR270*AU271+AV271</f>
        <v>17.08811584645753</v>
      </c>
      <c r="AU271">
        <v>2.222</v>
      </c>
      <c r="AX271" t="s">
        <v>331</v>
      </c>
      <c r="AY271">
        <f>AY270*BB271+BC271</f>
        <v>16.044224168821792</v>
      </c>
      <c r="BB271">
        <v>2.222</v>
      </c>
    </row>
    <row r="273" spans="1:69" x14ac:dyDescent="0.25">
      <c r="A273" t="s">
        <v>332</v>
      </c>
      <c r="B273" s="6">
        <f>B271*($A$288*$B$311^2+$B$288*$B$311+$C$288)*$B$38*$B$36</f>
        <v>7.8696601550025003</v>
      </c>
      <c r="H273" t="s">
        <v>332</v>
      </c>
      <c r="I273" s="6">
        <f>I271*($A$288*$B$311^2+$B$288*$B$311+$C$288)*$B$38*$B$36</f>
        <v>19.788184268461436</v>
      </c>
      <c r="O273" t="s">
        <v>332</v>
      </c>
      <c r="P273" s="6">
        <f>P271*($A$288*$B$311^2+$B$288*$B$311+$C$288)*$B$38*$B$36</f>
        <v>20.440068852083773</v>
      </c>
      <c r="V273" t="s">
        <v>332</v>
      </c>
      <c r="W273" s="6">
        <f>W271*($A$288*$B$311^2+$B$288*$B$311+$C$288)*$B$38*$B$36</f>
        <v>20.078187508446266</v>
      </c>
      <c r="AC273" t="s">
        <v>332</v>
      </c>
      <c r="AD273" s="6">
        <f>AD271*($A$288*$B$311^2+$B$288*$B$311+$C$288)*$B$38*$B$36</f>
        <v>19.237711860784721</v>
      </c>
      <c r="AJ273" t="s">
        <v>332</v>
      </c>
      <c r="AK273" s="6">
        <f>AK271*($A$288*$B$311^2+$B$288*$B$311+$C$288)*$B$38*$B$36</f>
        <v>18.310768989422186</v>
      </c>
      <c r="AQ273" t="s">
        <v>332</v>
      </c>
      <c r="AR273" s="6">
        <f>AR271*($A$288*$B$311^2+$B$288*$B$311+$C$288)*$B$38*$B$36</f>
        <v>16.798837987341791</v>
      </c>
      <c r="AX273" t="s">
        <v>332</v>
      </c>
      <c r="AY273" s="6">
        <f>AY271*($A$288*$B$311^2+$B$288*$B$311+$C$288)*$B$38*$B$36</f>
        <v>15.77261793321145</v>
      </c>
      <c r="BF273" s="6"/>
    </row>
    <row r="274" spans="1:69" x14ac:dyDescent="0.25">
      <c r="A274" t="s">
        <v>333</v>
      </c>
      <c r="B274" s="6">
        <f>2*B273</f>
        <v>15.739320310005001</v>
      </c>
      <c r="D274" s="5"/>
      <c r="E274" s="5"/>
      <c r="F274" s="5"/>
      <c r="H274" t="s">
        <v>333</v>
      </c>
      <c r="I274" s="6">
        <f t="shared" ref="I274" si="342">2*I273</f>
        <v>39.576368536922871</v>
      </c>
      <c r="K274" s="5"/>
      <c r="L274" s="5"/>
      <c r="M274" s="5"/>
      <c r="O274" t="s">
        <v>333</v>
      </c>
      <c r="P274" s="6">
        <f t="shared" ref="P274" si="343">2*P273</f>
        <v>40.880137704167545</v>
      </c>
      <c r="R274" s="5"/>
      <c r="S274" s="5"/>
      <c r="T274" s="5"/>
      <c r="V274" t="s">
        <v>333</v>
      </c>
      <c r="W274" s="6">
        <f t="shared" ref="W274" si="344">2*W273</f>
        <v>40.156375016892532</v>
      </c>
      <c r="Y274" s="5"/>
      <c r="Z274" s="5"/>
      <c r="AA274" s="5"/>
      <c r="AC274" t="s">
        <v>333</v>
      </c>
      <c r="AD274" s="6">
        <f t="shared" ref="AD274" si="345">2*AD273</f>
        <v>38.475423721569442</v>
      </c>
      <c r="AF274" s="5"/>
      <c r="AG274" s="5"/>
      <c r="AH274" s="5"/>
      <c r="AJ274" t="s">
        <v>333</v>
      </c>
      <c r="AK274" s="6">
        <f t="shared" ref="AK274" si="346">2*AK273</f>
        <v>36.621537978844373</v>
      </c>
      <c r="AM274" s="5"/>
      <c r="AN274" s="5"/>
      <c r="AO274" s="5"/>
      <c r="AQ274" t="s">
        <v>333</v>
      </c>
      <c r="AR274" s="6">
        <f t="shared" ref="AR274" si="347">2*AR273</f>
        <v>33.597675974683582</v>
      </c>
      <c r="AT274" s="5"/>
      <c r="AU274" s="5"/>
      <c r="AV274" s="5"/>
      <c r="AX274" t="s">
        <v>333</v>
      </c>
      <c r="AY274" s="6">
        <f t="shared" ref="AY274" si="348">2*AY273</f>
        <v>31.5452358664229</v>
      </c>
      <c r="BA274" s="5"/>
      <c r="BB274" s="5"/>
      <c r="BC274" s="5"/>
    </row>
    <row r="275" spans="1:69" x14ac:dyDescent="0.25">
      <c r="A275" t="s">
        <v>334</v>
      </c>
      <c r="B275" s="6">
        <f>B274*1.5</f>
        <v>23.608980465007502</v>
      </c>
      <c r="D275" s="5"/>
      <c r="E275" s="5"/>
      <c r="F275" s="5"/>
      <c r="H275" t="s">
        <v>334</v>
      </c>
      <c r="I275" s="6">
        <f t="shared" ref="I275" si="349">I274*1.5</f>
        <v>59.364552805384307</v>
      </c>
      <c r="K275" s="5"/>
      <c r="L275" s="5"/>
      <c r="M275" s="5"/>
      <c r="O275" t="s">
        <v>334</v>
      </c>
      <c r="P275" s="6">
        <f t="shared" ref="P275" si="350">P274*1.5</f>
        <v>61.320206556251321</v>
      </c>
      <c r="R275" s="5"/>
      <c r="S275" s="5"/>
      <c r="T275" s="5"/>
      <c r="V275" t="s">
        <v>334</v>
      </c>
      <c r="W275" s="6">
        <f t="shared" ref="W275" si="351">W274*1.5</f>
        <v>60.234562525338802</v>
      </c>
      <c r="Y275" s="5"/>
      <c r="Z275" s="5"/>
      <c r="AA275" s="5"/>
      <c r="AC275" t="s">
        <v>334</v>
      </c>
      <c r="AD275" s="6">
        <f t="shared" ref="AD275" si="352">AD274*1.5</f>
        <v>57.713135582354163</v>
      </c>
      <c r="AF275" s="5"/>
      <c r="AG275" s="5"/>
      <c r="AH275" s="5"/>
      <c r="AJ275" t="s">
        <v>334</v>
      </c>
      <c r="AK275" s="6">
        <f t="shared" ref="AK275" si="353">AK274*1.5</f>
        <v>54.932306968266559</v>
      </c>
      <c r="AM275" s="5"/>
      <c r="AN275" s="5"/>
      <c r="AO275" s="5"/>
      <c r="AQ275" t="s">
        <v>334</v>
      </c>
      <c r="AR275" s="6">
        <f t="shared" ref="AR275" si="354">AR274*1.5</f>
        <v>50.396513962025374</v>
      </c>
      <c r="AT275" s="5"/>
      <c r="AU275" s="5"/>
      <c r="AV275" s="5"/>
      <c r="AX275" t="s">
        <v>334</v>
      </c>
      <c r="AY275" s="6">
        <f t="shared" ref="AY275" si="355">AY274*1.5</f>
        <v>47.317853799634349</v>
      </c>
      <c r="BA275" s="5"/>
      <c r="BB275" s="5"/>
      <c r="BC275" s="5"/>
    </row>
    <row r="276" spans="1:69" x14ac:dyDescent="0.25">
      <c r="A276" t="s">
        <v>335</v>
      </c>
      <c r="B276" s="6">
        <f>2*B274</f>
        <v>31.478640620010001</v>
      </c>
      <c r="D276" s="5"/>
      <c r="E276" s="5"/>
      <c r="F276" s="5"/>
      <c r="H276" t="s">
        <v>335</v>
      </c>
      <c r="I276" s="6">
        <f t="shared" ref="I276" si="356">2*I274</f>
        <v>79.152737073845742</v>
      </c>
      <c r="K276" s="5"/>
      <c r="L276" s="5"/>
      <c r="M276" s="5"/>
      <c r="O276" t="s">
        <v>335</v>
      </c>
      <c r="P276" s="6">
        <f t="shared" ref="P276" si="357">2*P274</f>
        <v>81.76027540833509</v>
      </c>
      <c r="R276" s="5"/>
      <c r="S276" s="5"/>
      <c r="T276" s="5"/>
      <c r="V276" t="s">
        <v>335</v>
      </c>
      <c r="W276" s="6">
        <f t="shared" ref="W276" si="358">2*W274</f>
        <v>80.312750033785065</v>
      </c>
      <c r="Y276" s="5"/>
      <c r="Z276" s="5"/>
      <c r="AA276" s="5"/>
      <c r="AC276" t="s">
        <v>335</v>
      </c>
      <c r="AD276" s="6">
        <f t="shared" ref="AD276" si="359">2*AD274</f>
        <v>76.950847443138883</v>
      </c>
      <c r="AF276" s="5"/>
      <c r="AG276" s="5"/>
      <c r="AH276" s="5"/>
      <c r="AJ276" t="s">
        <v>335</v>
      </c>
      <c r="AK276" s="6">
        <f t="shared" ref="AK276" si="360">2*AK274</f>
        <v>73.243075957688745</v>
      </c>
      <c r="AM276" s="5"/>
      <c r="AN276" s="5"/>
      <c r="AO276" s="5"/>
      <c r="AQ276" t="s">
        <v>335</v>
      </c>
      <c r="AR276" s="6">
        <f t="shared" ref="AR276" si="361">2*AR274</f>
        <v>67.195351949367165</v>
      </c>
      <c r="AT276" s="5"/>
      <c r="AU276" s="5"/>
      <c r="AV276" s="5"/>
      <c r="AX276" t="s">
        <v>335</v>
      </c>
      <c r="AY276" s="6">
        <f t="shared" ref="AY276" si="362">2*AY274</f>
        <v>63.090471732845799</v>
      </c>
      <c r="BA276" s="5"/>
      <c r="BB276" s="5"/>
      <c r="BC276" s="5"/>
    </row>
    <row r="277" spans="1:69" x14ac:dyDescent="0.25">
      <c r="I277" s="6"/>
      <c r="P277" s="6"/>
      <c r="W277" s="6"/>
      <c r="AD277" s="6"/>
      <c r="AK277" s="6"/>
    </row>
    <row r="278" spans="1:69" x14ac:dyDescent="0.25">
      <c r="A278" s="3" t="s">
        <v>561</v>
      </c>
      <c r="H278" s="3" t="s">
        <v>561</v>
      </c>
      <c r="O278" s="3" t="s">
        <v>561</v>
      </c>
      <c r="V278" s="3" t="s">
        <v>561</v>
      </c>
      <c r="AC278" s="3" t="s">
        <v>561</v>
      </c>
      <c r="AJ278" s="3" t="s">
        <v>561</v>
      </c>
      <c r="AQ278" s="3" t="s">
        <v>561</v>
      </c>
      <c r="AX278" s="3" t="s">
        <v>561</v>
      </c>
    </row>
    <row r="279" spans="1:69" x14ac:dyDescent="0.25">
      <c r="A279" t="s">
        <v>564</v>
      </c>
      <c r="B279">
        <v>1.2</v>
      </c>
      <c r="H279" t="s">
        <v>564</v>
      </c>
      <c r="I279">
        <v>1.03</v>
      </c>
      <c r="O279" t="s">
        <v>564</v>
      </c>
      <c r="P279">
        <v>0.97</v>
      </c>
      <c r="V279" t="s">
        <v>564</v>
      </c>
      <c r="W279">
        <v>0.92</v>
      </c>
      <c r="AC279" t="s">
        <v>564</v>
      </c>
      <c r="AD279">
        <v>0.88</v>
      </c>
      <c r="AJ279" t="s">
        <v>564</v>
      </c>
      <c r="AK279">
        <v>0.85</v>
      </c>
      <c r="AQ279" t="s">
        <v>564</v>
      </c>
      <c r="AR279">
        <v>0.83</v>
      </c>
      <c r="AX279" t="s">
        <v>564</v>
      </c>
      <c r="AY279">
        <v>0.81</v>
      </c>
    </row>
    <row r="280" spans="1:69" x14ac:dyDescent="0.25">
      <c r="A280" t="s">
        <v>565</v>
      </c>
      <c r="B280">
        <f>B124*$B$121</f>
        <v>1.2999999999999999E-2</v>
      </c>
      <c r="H280" t="s">
        <v>565</v>
      </c>
      <c r="I280">
        <f t="shared" ref="I280" si="363">I124*$B$121</f>
        <v>2.5999999999999999E-2</v>
      </c>
      <c r="O280" t="s">
        <v>565</v>
      </c>
      <c r="P280">
        <f t="shared" ref="P280" si="364">P124*$B$121</f>
        <v>3.9E-2</v>
      </c>
      <c r="V280" t="s">
        <v>565</v>
      </c>
      <c r="W280">
        <f t="shared" ref="W280" si="365">W124*$B$121</f>
        <v>5.1999999999999998E-2</v>
      </c>
      <c r="AC280" t="s">
        <v>565</v>
      </c>
      <c r="AD280">
        <f t="shared" ref="AD280" si="366">AD124*$B$121</f>
        <v>6.5000000000000002E-2</v>
      </c>
      <c r="AJ280" t="s">
        <v>565</v>
      </c>
      <c r="AK280">
        <f t="shared" ref="AK280" si="367">AK124*$B$121</f>
        <v>7.8E-2</v>
      </c>
      <c r="AQ280" t="s">
        <v>565</v>
      </c>
      <c r="AR280">
        <f t="shared" ref="AR280" si="368">AR124*$B$121</f>
        <v>9.0999999999999998E-2</v>
      </c>
      <c r="AX280" t="s">
        <v>565</v>
      </c>
      <c r="AY280">
        <f t="shared" ref="AY280" si="369">AY124*$B$121</f>
        <v>0.104</v>
      </c>
    </row>
    <row r="281" spans="1:69" x14ac:dyDescent="0.25">
      <c r="A281" t="s">
        <v>566</v>
      </c>
      <c r="B281">
        <f>($B$25/1000)^2*((19.2*B279)/($B$30*B280))^(3/2)</f>
        <v>1051.0976249769819</v>
      </c>
      <c r="C281" t="s">
        <v>507</v>
      </c>
      <c r="H281" t="s">
        <v>566</v>
      </c>
      <c r="I281">
        <f t="shared" ref="I281" si="370">($B$25/1000)^2*((19.2*I279)/($B$30*I280))^(3/2)</f>
        <v>295.51670058128644</v>
      </c>
      <c r="J281" t="s">
        <v>507</v>
      </c>
      <c r="O281" t="s">
        <v>566</v>
      </c>
      <c r="P281">
        <f t="shared" ref="P281" si="371">($B$25/1000)^2*((19.2*P279)/($B$30*P280))^(3/2)</f>
        <v>147.01000928679784</v>
      </c>
      <c r="Q281" t="s">
        <v>507</v>
      </c>
      <c r="V281" t="s">
        <v>566</v>
      </c>
      <c r="W281">
        <f t="shared" ref="W281" si="372">($B$25/1000)^2*((19.2*W279)/($B$30*W280))^(3/2)</f>
        <v>88.19885349345904</v>
      </c>
      <c r="X281" t="s">
        <v>507</v>
      </c>
      <c r="AC281" t="s">
        <v>566</v>
      </c>
      <c r="AD281">
        <f t="shared" ref="AD281" si="373">($B$25/1000)^2*((19.2*AD279)/($B$30*AD280))^(3/2)</f>
        <v>59.039162397674367</v>
      </c>
      <c r="AE281" t="s">
        <v>507</v>
      </c>
      <c r="AJ281" t="s">
        <v>566</v>
      </c>
      <c r="AK281">
        <f t="shared" ref="AK281" si="374">($B$25/1000)^2*((19.2*AK279)/($B$30*AK280))^(3/2)</f>
        <v>42.635631377587565</v>
      </c>
      <c r="AL281" t="s">
        <v>507</v>
      </c>
      <c r="AQ281" t="s">
        <v>566</v>
      </c>
      <c r="AR281">
        <f t="shared" ref="AR281" si="375">($B$25/1000)^2*((19.2*AR279)/($B$30*AR280))^(3/2)</f>
        <v>32.646848528695386</v>
      </c>
      <c r="AS281" t="s">
        <v>507</v>
      </c>
      <c r="AX281" t="s">
        <v>566</v>
      </c>
      <c r="AY281">
        <f t="shared" ref="AY281" si="376">($B$25/1000)^2*((19.2*AY279)/($B$30*AY280))^(3/2)</f>
        <v>25.761060260835606</v>
      </c>
      <c r="AZ281" t="s">
        <v>507</v>
      </c>
    </row>
    <row r="282" spans="1:69" x14ac:dyDescent="0.25">
      <c r="A282" t="s">
        <v>567</v>
      </c>
      <c r="B282">
        <f>B281*$B$36</f>
        <v>1051.0976249769819</v>
      </c>
      <c r="C282" t="s">
        <v>507</v>
      </c>
      <c r="H282" t="s">
        <v>567</v>
      </c>
      <c r="I282">
        <f t="shared" ref="I282" si="377">I281*$B$36</f>
        <v>295.51670058128644</v>
      </c>
      <c r="J282" t="s">
        <v>507</v>
      </c>
      <c r="O282" t="s">
        <v>567</v>
      </c>
      <c r="P282">
        <f t="shared" ref="P282" si="378">P281*$B$36</f>
        <v>147.01000928679784</v>
      </c>
      <c r="Q282" t="s">
        <v>507</v>
      </c>
      <c r="V282" t="s">
        <v>567</v>
      </c>
      <c r="W282">
        <f t="shared" ref="W282" si="379">W281*$B$36</f>
        <v>88.19885349345904</v>
      </c>
      <c r="X282" t="s">
        <v>507</v>
      </c>
      <c r="AC282" t="s">
        <v>567</v>
      </c>
      <c r="AD282">
        <f t="shared" ref="AD282" si="380">AD281*$B$36</f>
        <v>59.039162397674367</v>
      </c>
      <c r="AE282" t="s">
        <v>507</v>
      </c>
      <c r="AJ282" t="s">
        <v>567</v>
      </c>
      <c r="AK282">
        <f t="shared" ref="AK282" si="381">AK281*$B$36</f>
        <v>42.635631377587565</v>
      </c>
      <c r="AL282" t="s">
        <v>507</v>
      </c>
      <c r="AQ282" t="s">
        <v>567</v>
      </c>
      <c r="AR282">
        <f t="shared" ref="AR282" si="382">AR281*$B$36</f>
        <v>32.646848528695386</v>
      </c>
      <c r="AS282" t="s">
        <v>507</v>
      </c>
      <c r="AX282" t="s">
        <v>567</v>
      </c>
      <c r="AY282">
        <f t="shared" ref="AY282" si="383">AY281*$B$36</f>
        <v>25.761060260835606</v>
      </c>
      <c r="AZ282" t="s">
        <v>507</v>
      </c>
    </row>
    <row r="283" spans="1:69" x14ac:dyDescent="0.25">
      <c r="A283" t="s">
        <v>569</v>
      </c>
      <c r="B283">
        <f>IF(B275&gt;B282,B275,B282)</f>
        <v>1051.0976249769819</v>
      </c>
      <c r="C283" t="s">
        <v>507</v>
      </c>
      <c r="H283" t="s">
        <v>569</v>
      </c>
      <c r="I283">
        <f>IF(I275&gt;I282,I275,I282)</f>
        <v>295.51670058128644</v>
      </c>
      <c r="O283" t="s">
        <v>569</v>
      </c>
      <c r="P283">
        <f>IF(P275&gt;P282,P275,P282)</f>
        <v>147.01000928679784</v>
      </c>
      <c r="V283" t="s">
        <v>569</v>
      </c>
      <c r="W283">
        <f>IF(W275&gt;W282,W275,W282)</f>
        <v>88.19885349345904</v>
      </c>
      <c r="AC283" t="s">
        <v>569</v>
      </c>
      <c r="AD283">
        <f>IF(AD275&gt;AD282,AD275,AD282)</f>
        <v>59.039162397674367</v>
      </c>
      <c r="AJ283" t="s">
        <v>569</v>
      </c>
      <c r="AK283">
        <f>IF(AK275&gt;AK282,AK275,AK282)</f>
        <v>54.932306968266559</v>
      </c>
      <c r="AQ283" t="s">
        <v>569</v>
      </c>
      <c r="AR283">
        <f>IF(AR275&gt;AR282,AR275,AR282)</f>
        <v>50.396513962025374</v>
      </c>
      <c r="AX283" t="s">
        <v>569</v>
      </c>
      <c r="AY283">
        <f>IF(AY275&gt;AY282,AY275,AY282)</f>
        <v>47.317853799634349</v>
      </c>
    </row>
    <row r="284" spans="1:69" x14ac:dyDescent="0.25">
      <c r="I284" s="6"/>
      <c r="P284" s="6"/>
      <c r="W284" s="6"/>
      <c r="AD284" s="6"/>
      <c r="AK284" s="6"/>
    </row>
    <row r="285" spans="1:69" x14ac:dyDescent="0.25">
      <c r="I285" s="6"/>
      <c r="P285" s="6"/>
      <c r="W285" s="6"/>
      <c r="AD285" s="6"/>
      <c r="AK285" s="6"/>
    </row>
    <row r="286" spans="1:69" x14ac:dyDescent="0.25">
      <c r="A286" t="str">
        <f>A123</f>
        <v>1Slot</v>
      </c>
      <c r="H286" t="str">
        <f>H123</f>
        <v>2Slot</v>
      </c>
      <c r="I286" s="7"/>
      <c r="K286" s="5"/>
      <c r="L286" s="5"/>
      <c r="M286" s="5"/>
      <c r="O286" t="str">
        <f>O123</f>
        <v>3Slot</v>
      </c>
      <c r="P286" s="7"/>
      <c r="R286" s="5"/>
      <c r="S286" s="5"/>
      <c r="T286" s="5"/>
      <c r="V286" t="str">
        <f>V123</f>
        <v>4Slot</v>
      </c>
      <c r="W286" s="7"/>
      <c r="Y286" s="5"/>
      <c r="Z286" s="5"/>
      <c r="AA286" s="5"/>
      <c r="AC286" t="str">
        <f>AC123</f>
        <v>5Slot</v>
      </c>
      <c r="AD286" s="7"/>
      <c r="AF286" s="5"/>
      <c r="AG286" s="5"/>
      <c r="AH286" s="5"/>
      <c r="AJ286" t="str">
        <f>AJ123</f>
        <v>6Slot</v>
      </c>
      <c r="AK286" s="7"/>
      <c r="AM286" s="5"/>
      <c r="AN286" s="5"/>
      <c r="AO286" s="5"/>
      <c r="AQ286" t="str">
        <f>AQ123</f>
        <v>7Slot</v>
      </c>
      <c r="AX286" t="str">
        <f>AX123</f>
        <v>8Slot</v>
      </c>
    </row>
    <row r="287" spans="1:69" x14ac:dyDescent="0.25">
      <c r="A287" s="3" t="s">
        <v>336</v>
      </c>
      <c r="N287" s="6"/>
      <c r="P287" s="5"/>
      <c r="Q287" s="5"/>
      <c r="R287" s="5"/>
      <c r="S287" s="5"/>
      <c r="U287" s="11"/>
      <c r="Z287" s="6"/>
      <c r="AB287" s="5"/>
      <c r="AC287" s="5"/>
      <c r="AD287" s="5"/>
      <c r="AE287" s="5"/>
      <c r="AG287" s="11"/>
      <c r="AL287" s="6"/>
      <c r="AN287" s="5"/>
      <c r="AO287" s="5"/>
      <c r="AP287" s="5"/>
      <c r="AQ287" s="5"/>
      <c r="AS287" s="11"/>
      <c r="AX287" s="6"/>
      <c r="AZ287" s="5"/>
      <c r="BA287" s="5"/>
      <c r="BB287" s="5"/>
      <c r="BC287" s="5"/>
      <c r="BE287" s="11"/>
      <c r="BJ287" s="6"/>
      <c r="BL287" s="5"/>
      <c r="BM287" s="5"/>
      <c r="BN287" s="5"/>
      <c r="BO287" s="5"/>
      <c r="BQ287" s="11"/>
    </row>
    <row r="288" spans="1:69" x14ac:dyDescent="0.25">
      <c r="A288" s="5">
        <v>-4.5100000000000001E-3</v>
      </c>
      <c r="B288" s="5">
        <v>9.5170000000000005E-2</v>
      </c>
      <c r="C288" s="5">
        <v>0.49930000000000002</v>
      </c>
      <c r="E288" s="6"/>
      <c r="N288" s="6"/>
      <c r="R288" s="5"/>
      <c r="U288" s="11"/>
      <c r="Z288" s="6"/>
      <c r="AD288" s="5"/>
      <c r="AG288" s="11"/>
      <c r="AL288" s="6"/>
      <c r="AP288" s="5"/>
      <c r="AS288" s="11"/>
      <c r="AX288" s="6"/>
      <c r="BB288" s="5"/>
      <c r="BE288" s="11"/>
      <c r="BJ288" s="6"/>
      <c r="BN288" s="5"/>
      <c r="BQ288" s="11"/>
    </row>
    <row r="289" spans="1:69" x14ac:dyDescent="0.25">
      <c r="A289" s="3" t="s">
        <v>183</v>
      </c>
      <c r="B289" s="3">
        <v>1</v>
      </c>
      <c r="C289" s="3">
        <v>2</v>
      </c>
      <c r="D289" s="3">
        <v>3</v>
      </c>
      <c r="E289" s="3">
        <v>4</v>
      </c>
      <c r="F289" s="3">
        <v>5</v>
      </c>
      <c r="G289" s="3">
        <v>6</v>
      </c>
      <c r="H289" s="3">
        <v>7</v>
      </c>
      <c r="I289" s="3">
        <v>8</v>
      </c>
      <c r="U289" s="11"/>
      <c r="AG289" s="11"/>
      <c r="AS289" s="11"/>
      <c r="BE289" s="11"/>
      <c r="BQ289" s="11"/>
    </row>
    <row r="290" spans="1:69" x14ac:dyDescent="0.25">
      <c r="A290" t="s">
        <v>203</v>
      </c>
      <c r="B290">
        <f t="shared" ref="B290:I291" si="384">B336</f>
        <v>-43.286219081272073</v>
      </c>
      <c r="C290">
        <f t="shared" si="384"/>
        <v>-628.64077669903008</v>
      </c>
      <c r="D290">
        <f t="shared" si="384"/>
        <v>20.952551020408162</v>
      </c>
      <c r="E290">
        <f t="shared" si="384"/>
        <v>18.814573346116973</v>
      </c>
      <c r="F290">
        <f t="shared" si="384"/>
        <v>17.472036474164135</v>
      </c>
      <c r="G290">
        <f t="shared" si="384"/>
        <v>16.572180451127821</v>
      </c>
      <c r="H290">
        <f t="shared" si="384"/>
        <v>15.981671159029652</v>
      </c>
      <c r="I290">
        <f t="shared" si="384"/>
        <v>15.514849624060153</v>
      </c>
    </row>
    <row r="291" spans="1:69" x14ac:dyDescent="0.25">
      <c r="A291" t="s">
        <v>220</v>
      </c>
      <c r="B291">
        <f t="shared" si="384"/>
        <v>-11.769034949898746</v>
      </c>
      <c r="C291">
        <f t="shared" si="384"/>
        <v>94.601784652798287</v>
      </c>
      <c r="D291">
        <f t="shared" si="384"/>
        <v>25.213600109044606</v>
      </c>
      <c r="E291">
        <f t="shared" si="384"/>
        <v>18.612071760863486</v>
      </c>
      <c r="F291">
        <f t="shared" si="384"/>
        <v>15.984099053587812</v>
      </c>
      <c r="G291">
        <f t="shared" si="384"/>
        <v>14.602156655304624</v>
      </c>
      <c r="H291">
        <f t="shared" si="384"/>
        <v>13.818174530140682</v>
      </c>
      <c r="I291">
        <f t="shared" si="384"/>
        <v>13.255559453691216</v>
      </c>
    </row>
    <row r="292" spans="1:69" x14ac:dyDescent="0.25">
      <c r="A292" t="s">
        <v>337</v>
      </c>
      <c r="B292" s="11" t="b">
        <f t="shared" ref="B292:I292" si="385">NOT(B386)</f>
        <v>0</v>
      </c>
      <c r="C292" s="11" t="b">
        <f t="shared" si="385"/>
        <v>0</v>
      </c>
      <c r="D292" s="11" t="b">
        <f t="shared" si="385"/>
        <v>0</v>
      </c>
      <c r="E292" s="11" t="b">
        <f t="shared" si="385"/>
        <v>0</v>
      </c>
      <c r="F292" s="11" t="b">
        <f t="shared" si="385"/>
        <v>0</v>
      </c>
      <c r="G292" s="11" t="b">
        <f t="shared" si="385"/>
        <v>0</v>
      </c>
      <c r="H292" s="11" t="b">
        <f t="shared" si="385"/>
        <v>1</v>
      </c>
      <c r="I292" s="11" t="b">
        <f t="shared" si="385"/>
        <v>1</v>
      </c>
    </row>
    <row r="293" spans="1:69" x14ac:dyDescent="0.25">
      <c r="A293" t="s">
        <v>338</v>
      </c>
      <c r="B293" t="str">
        <f>IF(B$292,B290,"")</f>
        <v/>
      </c>
      <c r="C293" t="str">
        <f t="shared" ref="C293:G293" si="386">IF(C$292,C290,"")</f>
        <v/>
      </c>
      <c r="D293" t="str">
        <f t="shared" si="386"/>
        <v/>
      </c>
      <c r="E293" t="str">
        <f t="shared" si="386"/>
        <v/>
      </c>
      <c r="F293" t="str">
        <f t="shared" si="386"/>
        <v/>
      </c>
      <c r="G293" t="str">
        <f t="shared" si="386"/>
        <v/>
      </c>
      <c r="H293">
        <f t="shared" ref="H293:I293" si="387">IF(H$292,H290,"")</f>
        <v>15.981671159029652</v>
      </c>
      <c r="I293">
        <f t="shared" si="387"/>
        <v>15.514849624060153</v>
      </c>
      <c r="J293">
        <f>AVERAGE(B293:I293)</f>
        <v>15.748260391544903</v>
      </c>
    </row>
    <row r="294" spans="1:69" x14ac:dyDescent="0.25">
      <c r="A294" t="s">
        <v>339</v>
      </c>
      <c r="B294" t="str">
        <f>IF(B$292,B291,"")</f>
        <v/>
      </c>
      <c r="C294" t="str">
        <f t="shared" ref="C294:G294" si="388">IF(C$292,C291,"")</f>
        <v/>
      </c>
      <c r="D294" t="str">
        <f t="shared" si="388"/>
        <v/>
      </c>
      <c r="E294" t="str">
        <f t="shared" si="388"/>
        <v/>
      </c>
      <c r="F294" t="str">
        <f t="shared" si="388"/>
        <v/>
      </c>
      <c r="G294" t="str">
        <f t="shared" si="388"/>
        <v/>
      </c>
      <c r="H294">
        <f t="shared" ref="H294:I294" si="389">IF(H$292,H291,"")</f>
        <v>13.818174530140682</v>
      </c>
      <c r="I294">
        <f t="shared" si="389"/>
        <v>13.255559453691216</v>
      </c>
      <c r="J294">
        <f>AVERAGE(B294:I294)</f>
        <v>13.53686699191595</v>
      </c>
    </row>
    <row r="295" spans="1:69" x14ac:dyDescent="0.25">
      <c r="A295" t="s">
        <v>340</v>
      </c>
      <c r="B295" t="str">
        <f>IF(B290&lt;0,"",B290)</f>
        <v/>
      </c>
      <c r="C295" t="str">
        <f t="shared" ref="C295:I295" si="390">IF(C290&lt;0,"",C290)</f>
        <v/>
      </c>
      <c r="D295">
        <f t="shared" si="390"/>
        <v>20.952551020408162</v>
      </c>
      <c r="E295">
        <f t="shared" si="390"/>
        <v>18.814573346116973</v>
      </c>
      <c r="F295">
        <f t="shared" si="390"/>
        <v>17.472036474164135</v>
      </c>
      <c r="G295">
        <f t="shared" si="390"/>
        <v>16.572180451127821</v>
      </c>
      <c r="H295">
        <f t="shared" si="390"/>
        <v>15.981671159029652</v>
      </c>
      <c r="I295">
        <f t="shared" si="390"/>
        <v>15.514849624060153</v>
      </c>
      <c r="J295">
        <f>AVERAGE(B295:I295)</f>
        <v>17.551310345817814</v>
      </c>
    </row>
    <row r="296" spans="1:69" x14ac:dyDescent="0.25">
      <c r="A296" t="s">
        <v>340</v>
      </c>
      <c r="B296" t="str">
        <f>IF(B291&lt;0,"",B291)</f>
        <v/>
      </c>
      <c r="C296">
        <f t="shared" ref="C296:I296" si="391">IF(C291&lt;0,"",C291)</f>
        <v>94.601784652798287</v>
      </c>
      <c r="D296">
        <f t="shared" si="391"/>
        <v>25.213600109044606</v>
      </c>
      <c r="E296">
        <f t="shared" si="391"/>
        <v>18.612071760863486</v>
      </c>
      <c r="F296">
        <f t="shared" si="391"/>
        <v>15.984099053587812</v>
      </c>
      <c r="G296">
        <f t="shared" si="391"/>
        <v>14.602156655304624</v>
      </c>
      <c r="H296">
        <f t="shared" si="391"/>
        <v>13.818174530140682</v>
      </c>
      <c r="I296">
        <f t="shared" si="391"/>
        <v>13.255559453691216</v>
      </c>
      <c r="J296">
        <f>AVERAGE(B296:I296)</f>
        <v>28.0124923164901</v>
      </c>
    </row>
    <row r="297" spans="1:69" x14ac:dyDescent="0.25">
      <c r="A297" t="s">
        <v>341</v>
      </c>
      <c r="B297">
        <f>IFERROR(AVERAGE(J293:J294),AVERAGE(J295:J296))</f>
        <v>14.642563691730427</v>
      </c>
    </row>
    <row r="298" spans="1:69" x14ac:dyDescent="0.25">
      <c r="B298" s="6"/>
    </row>
    <row r="299" spans="1:69" x14ac:dyDescent="0.25">
      <c r="A299" s="3" t="s">
        <v>342</v>
      </c>
      <c r="B299" s="6"/>
    </row>
    <row r="300" spans="1:69" x14ac:dyDescent="0.25">
      <c r="A300" t="s">
        <v>319</v>
      </c>
      <c r="B300">
        <f>IF(B21=1,B297,IF(B21=2,B20,B8/B15*$B$13))</f>
        <v>14.642563691730427</v>
      </c>
    </row>
    <row r="302" spans="1:69" x14ac:dyDescent="0.25">
      <c r="B302" s="6"/>
    </row>
    <row r="303" spans="1:69" x14ac:dyDescent="0.25">
      <c r="A303" t="s">
        <v>274</v>
      </c>
      <c r="B303" s="6">
        <f>$B$25*$B$31/$B$15</f>
        <v>25</v>
      </c>
    </row>
    <row r="304" spans="1:69" x14ac:dyDescent="0.25">
      <c r="A304" t="s">
        <v>343</v>
      </c>
      <c r="B304" s="6">
        <f>$B$27*$B$31/$B$15</f>
        <v>25</v>
      </c>
      <c r="C304" t="s">
        <v>344</v>
      </c>
    </row>
    <row r="305" spans="1:62" x14ac:dyDescent="0.25">
      <c r="A305" t="s">
        <v>275</v>
      </c>
      <c r="B305">
        <f>IF($B$21=1,B297,IF($B$21=2,$B$20,B303))</f>
        <v>14.642563691730427</v>
      </c>
      <c r="C305" t="s">
        <v>31</v>
      </c>
    </row>
    <row r="307" spans="1:62" x14ac:dyDescent="0.25">
      <c r="A307" t="s">
        <v>345</v>
      </c>
      <c r="B307">
        <f>B305/$B$31</f>
        <v>29.285127383460853</v>
      </c>
      <c r="C307" t="s">
        <v>191</v>
      </c>
    </row>
    <row r="308" spans="1:62" x14ac:dyDescent="0.25">
      <c r="A308" t="s">
        <v>346</v>
      </c>
      <c r="B308">
        <f>IF($B$21=3,$B$15,$B$25/B307)</f>
        <v>8.5367564472740067</v>
      </c>
      <c r="C308" t="s">
        <v>217</v>
      </c>
    </row>
    <row r="309" spans="1:62" x14ac:dyDescent="0.25">
      <c r="A309" t="s">
        <v>347</v>
      </c>
      <c r="B309">
        <f>B308*B4</f>
        <v>8.5367564472740067</v>
      </c>
      <c r="C309" t="str">
        <f>C4</f>
        <v>L/s/m²</v>
      </c>
    </row>
    <row r="310" spans="1:62" x14ac:dyDescent="0.25">
      <c r="A310" t="s">
        <v>348</v>
      </c>
      <c r="B310" s="107">
        <f>IF($B$21=3,$B$15*$B$9/100,$B$27/B307)</f>
        <v>8.5367564472740067</v>
      </c>
      <c r="C310" t="s">
        <v>217</v>
      </c>
    </row>
    <row r="311" spans="1:62" x14ac:dyDescent="0.25">
      <c r="A311" t="s">
        <v>327</v>
      </c>
      <c r="B311">
        <f>IF($B$308&gt;10,10,IF($B$308&lt;2,2,$B$308))</f>
        <v>8.5367564472740067</v>
      </c>
      <c r="C311" t="s">
        <v>217</v>
      </c>
    </row>
    <row r="312" spans="1:62" x14ac:dyDescent="0.25">
      <c r="B312" s="6"/>
    </row>
    <row r="313" spans="1:62" x14ac:dyDescent="0.25">
      <c r="A313" s="3" t="s">
        <v>349</v>
      </c>
      <c r="B313" t="s">
        <v>350</v>
      </c>
      <c r="C313" t="s">
        <v>351</v>
      </c>
    </row>
    <row r="314" spans="1:62" x14ac:dyDescent="0.25">
      <c r="A314">
        <v>1</v>
      </c>
      <c r="B314" t="s">
        <v>228</v>
      </c>
      <c r="C314" t="s">
        <v>352</v>
      </c>
      <c r="D314" t="str">
        <f>IF($B$32=2,B314,C314)</f>
        <v>A</v>
      </c>
    </row>
    <row r="315" spans="1:62" x14ac:dyDescent="0.25">
      <c r="A315">
        <v>2</v>
      </c>
      <c r="B315" t="s">
        <v>229</v>
      </c>
      <c r="C315" t="s">
        <v>353</v>
      </c>
      <c r="D315" t="str">
        <f t="shared" ref="D315:D316" si="392">IF($B$32=2,B315,C315)</f>
        <v>B</v>
      </c>
    </row>
    <row r="316" spans="1:62" x14ac:dyDescent="0.25">
      <c r="A316">
        <v>3</v>
      </c>
      <c r="B316" t="s">
        <v>173</v>
      </c>
      <c r="C316" t="s">
        <v>354</v>
      </c>
      <c r="D316" t="str">
        <f t="shared" si="392"/>
        <v>C</v>
      </c>
    </row>
    <row r="317" spans="1:62" x14ac:dyDescent="0.25">
      <c r="D317" t="str">
        <f>IF($B$30&lt;=2.7,D314,IF($B$30&lt;=3,D315,D316))</f>
        <v>A</v>
      </c>
    </row>
    <row r="318" spans="1:62" x14ac:dyDescent="0.25">
      <c r="N318" s="4"/>
      <c r="Z318" s="4"/>
      <c r="AL318" s="4"/>
      <c r="AX318" s="4"/>
      <c r="BJ318" s="4"/>
    </row>
    <row r="319" spans="1:62" ht="20.25" thickBot="1" x14ac:dyDescent="0.35">
      <c r="A319" s="2" t="s">
        <v>355</v>
      </c>
    </row>
    <row r="320" spans="1:62" ht="15.75" thickTop="1" x14ac:dyDescent="0.25">
      <c r="A320" s="3" t="s">
        <v>245</v>
      </c>
      <c r="B320" s="3">
        <v>1</v>
      </c>
      <c r="C320" s="3">
        <v>2</v>
      </c>
      <c r="D320" s="3">
        <v>3</v>
      </c>
      <c r="E320" s="3">
        <v>4</v>
      </c>
      <c r="F320" s="3">
        <v>5</v>
      </c>
      <c r="G320" s="3">
        <v>6</v>
      </c>
      <c r="H320" s="3">
        <v>7</v>
      </c>
      <c r="I320" s="3">
        <v>8</v>
      </c>
    </row>
    <row r="321" spans="1:62" x14ac:dyDescent="0.25">
      <c r="A321" s="3" t="s">
        <v>356</v>
      </c>
      <c r="B321">
        <f>$B$25</f>
        <v>250</v>
      </c>
      <c r="C321">
        <f t="shared" ref="C321:I321" si="393">$B$25</f>
        <v>250</v>
      </c>
      <c r="D321">
        <f t="shared" si="393"/>
        <v>250</v>
      </c>
      <c r="E321">
        <f t="shared" si="393"/>
        <v>250</v>
      </c>
      <c r="F321">
        <f t="shared" si="393"/>
        <v>250</v>
      </c>
      <c r="G321">
        <f t="shared" si="393"/>
        <v>250</v>
      </c>
      <c r="H321">
        <f t="shared" si="393"/>
        <v>250</v>
      </c>
      <c r="I321">
        <f t="shared" si="393"/>
        <v>250</v>
      </c>
      <c r="N321" s="6"/>
      <c r="Z321" s="6"/>
      <c r="AL321" s="6"/>
      <c r="AX321" s="6"/>
      <c r="BJ321" s="6"/>
    </row>
    <row r="322" spans="1:62" x14ac:dyDescent="0.25">
      <c r="A322" s="3" t="s">
        <v>357</v>
      </c>
      <c r="B322">
        <f>B130</f>
        <v>33.576681972021731</v>
      </c>
      <c r="C322">
        <f>I130</f>
        <v>70.686566475410444</v>
      </c>
      <c r="D322">
        <f>P130</f>
        <v>108.76455166134237</v>
      </c>
      <c r="E322">
        <f>W130</f>
        <v>143.64498084261001</v>
      </c>
      <c r="F322">
        <f>AD130</f>
        <v>185.94332477080894</v>
      </c>
      <c r="G322">
        <f>AK130</f>
        <v>228.92783818243558</v>
      </c>
      <c r="H322">
        <f>AR130</f>
        <v>262.34797446156671</v>
      </c>
      <c r="I322">
        <f>AY130</f>
        <v>308.0190076887182</v>
      </c>
      <c r="N322" s="6"/>
      <c r="Z322" s="6"/>
      <c r="AL322" s="6"/>
      <c r="AX322" s="6"/>
      <c r="BJ322" s="6"/>
    </row>
    <row r="323" spans="1:62" x14ac:dyDescent="0.25">
      <c r="A323" s="3" t="s">
        <v>358</v>
      </c>
      <c r="B323">
        <f>$B$27</f>
        <v>250</v>
      </c>
      <c r="C323">
        <f t="shared" ref="C323:I323" si="394">$B$27</f>
        <v>250</v>
      </c>
      <c r="D323">
        <f t="shared" si="394"/>
        <v>250</v>
      </c>
      <c r="E323">
        <f t="shared" si="394"/>
        <v>250</v>
      </c>
      <c r="F323">
        <f t="shared" si="394"/>
        <v>250</v>
      </c>
      <c r="G323">
        <f t="shared" si="394"/>
        <v>250</v>
      </c>
      <c r="H323">
        <f t="shared" si="394"/>
        <v>250</v>
      </c>
      <c r="I323">
        <f t="shared" si="394"/>
        <v>250</v>
      </c>
      <c r="N323" s="6"/>
      <c r="Z323" s="6"/>
      <c r="AL323" s="6"/>
      <c r="AX323" s="6"/>
      <c r="BJ323" s="6"/>
    </row>
    <row r="324" spans="1:62" x14ac:dyDescent="0.25">
      <c r="A324" s="3" t="s">
        <v>359</v>
      </c>
      <c r="B324" s="6">
        <f>B131</f>
        <v>7.5777222831138378</v>
      </c>
      <c r="C324" s="6">
        <f>I131</f>
        <v>16.021469970012113</v>
      </c>
      <c r="D324" s="6">
        <f>P131</f>
        <v>24.248711305964282</v>
      </c>
      <c r="E324" s="6">
        <f>W131</f>
        <v>32.259446290970338</v>
      </c>
      <c r="F324" s="6">
        <f>AD131</f>
        <v>40.703193977868615</v>
      </c>
      <c r="G324" s="6">
        <f>AK131</f>
        <v>49.363448015712997</v>
      </c>
      <c r="H324">
        <f>AR131</f>
        <v>57.374183000719057</v>
      </c>
      <c r="I324">
        <f>AY131</f>
        <v>65.817930687617334</v>
      </c>
    </row>
    <row r="325" spans="1:62" x14ac:dyDescent="0.25">
      <c r="A325" s="3" t="s">
        <v>78</v>
      </c>
      <c r="B325" s="11">
        <f>$B$26</f>
        <v>1</v>
      </c>
      <c r="C325" s="11">
        <f t="shared" ref="C325:I325" si="395">$B$26</f>
        <v>1</v>
      </c>
      <c r="D325" s="11">
        <f t="shared" si="395"/>
        <v>1</v>
      </c>
      <c r="E325" s="11">
        <f t="shared" si="395"/>
        <v>1</v>
      </c>
      <c r="F325" s="11">
        <f t="shared" si="395"/>
        <v>1</v>
      </c>
      <c r="G325" s="11">
        <f t="shared" si="395"/>
        <v>1</v>
      </c>
      <c r="H325" s="11">
        <f t="shared" si="395"/>
        <v>1</v>
      </c>
      <c r="I325" s="11">
        <f t="shared" si="395"/>
        <v>1</v>
      </c>
    </row>
    <row r="326" spans="1:62" x14ac:dyDescent="0.25">
      <c r="A326" s="3" t="s">
        <v>79</v>
      </c>
      <c r="B326" s="14">
        <f>B132</f>
        <v>3.0310889132455353E-2</v>
      </c>
      <c r="C326" s="14">
        <f>I132</f>
        <v>6.4085879880048449E-2</v>
      </c>
      <c r="D326" s="14">
        <f>P132</f>
        <v>9.6994845223857123E-2</v>
      </c>
      <c r="E326" s="14">
        <f>W132</f>
        <v>0.12903778516388134</v>
      </c>
      <c r="F326" s="14">
        <f>AD132</f>
        <v>0.16281277591147447</v>
      </c>
      <c r="G326" s="14">
        <f>AK132</f>
        <v>0.19745379206285199</v>
      </c>
      <c r="H326">
        <f>AR132</f>
        <v>0.22949673200287624</v>
      </c>
      <c r="I326">
        <f>AY132</f>
        <v>0.26327172275046934</v>
      </c>
    </row>
    <row r="327" spans="1:62" x14ac:dyDescent="0.25">
      <c r="A327" s="3" t="s">
        <v>360</v>
      </c>
      <c r="B327">
        <f>B128</f>
        <v>1663.128162295161</v>
      </c>
      <c r="C327">
        <f>I128</f>
        <v>375.25587346470343</v>
      </c>
      <c r="D327">
        <f>P128</f>
        <v>158.49899911916717</v>
      </c>
      <c r="E327">
        <f>W128</f>
        <v>90.869964962085078</v>
      </c>
      <c r="F327">
        <f>AD128</f>
        <v>54.230060360093752</v>
      </c>
      <c r="G327">
        <f>AK128</f>
        <v>35.777011268715896</v>
      </c>
      <c r="H327">
        <f>AR128</f>
        <v>27.242429845460499</v>
      </c>
      <c r="I327">
        <f>AY128</f>
        <v>19.762698143023041</v>
      </c>
    </row>
    <row r="328" spans="1:62" x14ac:dyDescent="0.25">
      <c r="A328" s="3" t="s">
        <v>361</v>
      </c>
      <c r="B328">
        <f>B129</f>
        <v>1670.7897950088563</v>
      </c>
      <c r="C328">
        <f>I129</f>
        <v>382.9175061783987</v>
      </c>
      <c r="D328">
        <f>P129</f>
        <v>166.16063183286246</v>
      </c>
      <c r="E328">
        <f>W129</f>
        <v>98.531597675780375</v>
      </c>
      <c r="F328">
        <f>AD129</f>
        <v>61.89169307378905</v>
      </c>
      <c r="G328">
        <f>AK129</f>
        <v>43.438643982411193</v>
      </c>
      <c r="H328">
        <f>AR129</f>
        <v>34.904062559155797</v>
      </c>
      <c r="I328">
        <f>AY129</f>
        <v>27.424330856718335</v>
      </c>
    </row>
    <row r="329" spans="1:62" x14ac:dyDescent="0.25">
      <c r="A329" s="3" t="s">
        <v>362</v>
      </c>
      <c r="B329">
        <f>$B$10</f>
        <v>30</v>
      </c>
      <c r="C329">
        <f t="shared" ref="C329:I329" si="396">$B$10</f>
        <v>30</v>
      </c>
      <c r="D329">
        <f t="shared" si="396"/>
        <v>30</v>
      </c>
      <c r="E329">
        <f t="shared" si="396"/>
        <v>30</v>
      </c>
      <c r="F329">
        <f t="shared" si="396"/>
        <v>30</v>
      </c>
      <c r="G329">
        <f t="shared" si="396"/>
        <v>30</v>
      </c>
      <c r="H329">
        <f t="shared" si="396"/>
        <v>30</v>
      </c>
      <c r="I329">
        <f t="shared" si="396"/>
        <v>30</v>
      </c>
    </row>
    <row r="330" spans="1:62" x14ac:dyDescent="0.25">
      <c r="A330" s="3" t="s">
        <v>363</v>
      </c>
      <c r="B330" s="6">
        <f>B137</f>
        <v>65.058727973708542</v>
      </c>
      <c r="C330" s="6">
        <f>I137</f>
        <v>61.254080698015166</v>
      </c>
      <c r="D330" s="6">
        <f>P137</f>
        <v>56.784401447178062</v>
      </c>
      <c r="E330" s="6">
        <f>W137</f>
        <v>50.95447631616328</v>
      </c>
      <c r="F330" s="6">
        <f>AD137</f>
        <v>45.902912481079106</v>
      </c>
      <c r="G330" s="6">
        <f>AK137</f>
        <v>42.581796943042526</v>
      </c>
      <c r="H330" s="6">
        <f>AR137</f>
        <v>39.350949513243933</v>
      </c>
      <c r="I330" s="6">
        <f>AY137</f>
        <v>35.337091625122241</v>
      </c>
    </row>
    <row r="331" spans="1:62" x14ac:dyDescent="0.25">
      <c r="A331" s="3" t="s">
        <v>364</v>
      </c>
      <c r="B331" s="6">
        <f>B138</f>
        <v>50.058727973708542</v>
      </c>
      <c r="C331" s="6">
        <f>I138</f>
        <v>46.254080698015166</v>
      </c>
      <c r="D331" s="6">
        <f>P138</f>
        <v>41.784401447178062</v>
      </c>
      <c r="E331" s="6">
        <f>W138</f>
        <v>35.95447631616328</v>
      </c>
      <c r="F331" s="6">
        <f>AD138</f>
        <v>30.902912481079106</v>
      </c>
      <c r="G331" s="6">
        <f>AK138</f>
        <v>27.581796943042526</v>
      </c>
      <c r="H331" s="6">
        <f>AR138</f>
        <v>24.350949513243933</v>
      </c>
      <c r="I331" s="6">
        <f>AY138</f>
        <v>20.337091625122241</v>
      </c>
    </row>
    <row r="332" spans="1:62" x14ac:dyDescent="0.25">
      <c r="A332" s="3" t="s">
        <v>365</v>
      </c>
      <c r="B332" s="6">
        <f>B275</f>
        <v>23.608980465007502</v>
      </c>
      <c r="C332" s="6">
        <f>I275</f>
        <v>59.364552805384307</v>
      </c>
      <c r="D332" s="6">
        <f>P275</f>
        <v>61.320206556251321</v>
      </c>
      <c r="E332" s="6">
        <f>W275</f>
        <v>60.234562525338802</v>
      </c>
      <c r="F332" s="6">
        <f>AD275</f>
        <v>57.713135582354163</v>
      </c>
      <c r="G332" s="6">
        <f>AK275</f>
        <v>54.932306968266559</v>
      </c>
      <c r="H332" s="6">
        <f>AR275</f>
        <v>50.396513962025374</v>
      </c>
      <c r="I332" s="6">
        <f>AY275</f>
        <v>47.317853799634349</v>
      </c>
    </row>
    <row r="333" spans="1:62" x14ac:dyDescent="0.25">
      <c r="A333" s="3" t="s">
        <v>366</v>
      </c>
      <c r="B333" s="6">
        <f>B274</f>
        <v>15.739320310005001</v>
      </c>
      <c r="C333" s="6">
        <f>I274</f>
        <v>39.576368536922871</v>
      </c>
      <c r="D333" s="6">
        <f>P274</f>
        <v>40.880137704167545</v>
      </c>
      <c r="E333" s="6">
        <f>W274</f>
        <v>40.156375016892532</v>
      </c>
      <c r="F333" s="6">
        <f>AD274</f>
        <v>38.475423721569442</v>
      </c>
      <c r="G333" s="6">
        <f>AK274</f>
        <v>36.621537978844373</v>
      </c>
      <c r="H333" s="6">
        <f>AR274</f>
        <v>33.597675974683582</v>
      </c>
      <c r="I333" s="6">
        <f>AY274</f>
        <v>31.5452358664229</v>
      </c>
    </row>
    <row r="334" spans="1:62" x14ac:dyDescent="0.25">
      <c r="A334" s="3" t="s">
        <v>367</v>
      </c>
      <c r="B334" s="6">
        <f>B283</f>
        <v>1051.0976249769819</v>
      </c>
      <c r="C334" s="6">
        <f>I283</f>
        <v>295.51670058128644</v>
      </c>
      <c r="D334" s="6">
        <f>P283</f>
        <v>147.01000928679784</v>
      </c>
      <c r="E334" s="6">
        <f>W283</f>
        <v>88.19885349345904</v>
      </c>
      <c r="F334" s="6">
        <f>AD283</f>
        <v>59.039162397674367</v>
      </c>
      <c r="G334" s="6">
        <f>AK283</f>
        <v>54.932306968266559</v>
      </c>
      <c r="H334" s="6">
        <f>AR283</f>
        <v>50.396513962025374</v>
      </c>
      <c r="I334" s="6">
        <f>AY283</f>
        <v>47.317853799634349</v>
      </c>
    </row>
    <row r="335" spans="1:62" x14ac:dyDescent="0.25">
      <c r="A335" s="3" t="s">
        <v>368</v>
      </c>
      <c r="B335">
        <f>B178</f>
        <v>-54.196290949191074</v>
      </c>
      <c r="C335">
        <f>I178</f>
        <v>-843.01830080111245</v>
      </c>
      <c r="D335">
        <f>P178</f>
        <v>20.952551020408162</v>
      </c>
      <c r="E335">
        <f>W178</f>
        <v>18.814573346116973</v>
      </c>
      <c r="F335">
        <f>AD178</f>
        <v>17.472036474164135</v>
      </c>
      <c r="G335">
        <f>AK178</f>
        <v>16.572180451127821</v>
      </c>
      <c r="H335">
        <f>AR178</f>
        <v>15.981671159029652</v>
      </c>
      <c r="I335">
        <f>AY178</f>
        <v>15.514849624060153</v>
      </c>
    </row>
    <row r="336" spans="1:62" x14ac:dyDescent="0.25">
      <c r="A336" s="3" t="s">
        <v>369</v>
      </c>
      <c r="B336">
        <f>B170</f>
        <v>-43.286219081272073</v>
      </c>
      <c r="C336">
        <f>I170</f>
        <v>-628.64077669903008</v>
      </c>
      <c r="D336">
        <f>P170</f>
        <v>20.952551020408162</v>
      </c>
      <c r="E336">
        <f>W170</f>
        <v>18.814573346116973</v>
      </c>
      <c r="F336">
        <f>AD170</f>
        <v>17.472036474164135</v>
      </c>
      <c r="G336">
        <f>AK170</f>
        <v>16.572180451127821</v>
      </c>
      <c r="H336">
        <f>AR170</f>
        <v>15.981671159029652</v>
      </c>
      <c r="I336">
        <f>AY170</f>
        <v>15.514849624060153</v>
      </c>
    </row>
    <row r="337" spans="1:14" x14ac:dyDescent="0.25">
      <c r="A337" s="3" t="s">
        <v>370</v>
      </c>
      <c r="B337">
        <f>B162</f>
        <v>-11.769034949898746</v>
      </c>
      <c r="C337">
        <f>I162</f>
        <v>94.601784652798287</v>
      </c>
      <c r="D337">
        <f>P162</f>
        <v>25.213600109044606</v>
      </c>
      <c r="E337">
        <f>W162</f>
        <v>18.612071760863486</v>
      </c>
      <c r="F337">
        <f>AD162</f>
        <v>15.984099053587812</v>
      </c>
      <c r="G337">
        <f>AK162</f>
        <v>14.602156655304624</v>
      </c>
      <c r="H337">
        <f>AR162</f>
        <v>13.818174530140682</v>
      </c>
      <c r="I337">
        <f>AY162</f>
        <v>13.255559453691216</v>
      </c>
    </row>
    <row r="338" spans="1:14" x14ac:dyDescent="0.25">
      <c r="A338" s="3" t="s">
        <v>260</v>
      </c>
      <c r="B338">
        <f>B143</f>
        <v>2.6932912464547374</v>
      </c>
      <c r="C338">
        <f>I143</f>
        <v>2.7531421630426203</v>
      </c>
      <c r="D338">
        <f>P143</f>
        <v>2.8129930796305036</v>
      </c>
      <c r="E338">
        <f>W143</f>
        <v>2.8728439962183865</v>
      </c>
      <c r="F338">
        <f>AD143</f>
        <v>2.9326949128062698</v>
      </c>
      <c r="G338">
        <f>AK143</f>
        <v>2.9925458293941527</v>
      </c>
      <c r="H338">
        <f>AR143</f>
        <v>3.0523967459820356</v>
      </c>
      <c r="I338">
        <f>AY143</f>
        <v>3.1122476625699189</v>
      </c>
    </row>
    <row r="339" spans="1:14" x14ac:dyDescent="0.25">
      <c r="A339" s="3" t="s">
        <v>125</v>
      </c>
      <c r="B339" t="str">
        <f>B151</f>
        <v>A</v>
      </c>
      <c r="C339" t="str">
        <f>I151</f>
        <v>A</v>
      </c>
      <c r="D339" t="str">
        <f>P151</f>
        <v>A</v>
      </c>
      <c r="E339" t="str">
        <f>W151</f>
        <v>A</v>
      </c>
      <c r="F339" t="str">
        <f>AD151</f>
        <v>A</v>
      </c>
      <c r="G339" t="str">
        <f>AK151</f>
        <v>A</v>
      </c>
      <c r="H339" t="str">
        <f>AR151</f>
        <v>A</v>
      </c>
      <c r="I339" t="str">
        <f>AY151</f>
        <v>A</v>
      </c>
    </row>
    <row r="340" spans="1:14" x14ac:dyDescent="0.25">
      <c r="A340" s="3" t="s">
        <v>371</v>
      </c>
      <c r="B340" s="4">
        <f>B200</f>
        <v>0.31689863454730566</v>
      </c>
      <c r="C340" s="107">
        <f>I200</f>
        <v>0.24876895436504975</v>
      </c>
      <c r="D340" s="107">
        <f>P200</f>
        <v>0.22266761901363172</v>
      </c>
      <c r="E340" s="107">
        <f>W200</f>
        <v>0.20854669776079432</v>
      </c>
      <c r="F340" s="107">
        <f>AD200</f>
        <v>0.1990279155514271</v>
      </c>
      <c r="G340" s="107">
        <f>AK200</f>
        <v>0.19231324009930742</v>
      </c>
      <c r="H340">
        <f>AR200</f>
        <v>0.18774173017386134</v>
      </c>
      <c r="I340">
        <f>AY200</f>
        <v>0.18402619328107592</v>
      </c>
    </row>
    <row r="341" spans="1:14" x14ac:dyDescent="0.25">
      <c r="A341" s="3" t="s">
        <v>300</v>
      </c>
      <c r="B341" s="4">
        <f>B201</f>
        <v>0.37974732241937692</v>
      </c>
      <c r="C341" s="107">
        <f>I201</f>
        <v>0.27559195202106096</v>
      </c>
      <c r="D341" s="107">
        <f>P201</f>
        <v>0.23825632557014892</v>
      </c>
      <c r="E341" s="107">
        <f>W201</f>
        <v>0.21864196571232225</v>
      </c>
      <c r="F341" s="107">
        <f>AD201</f>
        <v>0.20564727334327448</v>
      </c>
      <c r="G341" s="107">
        <f>AK201</f>
        <v>0.19658872507796063</v>
      </c>
      <c r="H341">
        <f>AR201</f>
        <v>0.19047178981325963</v>
      </c>
      <c r="I341">
        <f>AY201</f>
        <v>0.18552981460400417</v>
      </c>
      <c r="J341" s="4"/>
      <c r="K341" s="4"/>
      <c r="L341" s="4"/>
      <c r="M341" s="4"/>
      <c r="N341" s="4"/>
    </row>
    <row r="342" spans="1:14" x14ac:dyDescent="0.25">
      <c r="A342" s="3" t="s">
        <v>301</v>
      </c>
      <c r="B342" s="4">
        <f>B202</f>
        <v>0.19704084504718733</v>
      </c>
      <c r="C342" s="107">
        <f>I202</f>
        <v>0.13687345001465462</v>
      </c>
      <c r="D342" s="107">
        <f>P202</f>
        <v>0.11794711972963162</v>
      </c>
      <c r="E342" s="107">
        <f>W202</f>
        <v>0.10856264601335472</v>
      </c>
      <c r="F342" s="107">
        <f>AD202</f>
        <v>0.10255721885258035</v>
      </c>
      <c r="G342" s="107">
        <f>AK202</f>
        <v>9.8470744683379158E-2</v>
      </c>
      <c r="H342">
        <f>AR202</f>
        <v>9.575769881064819E-2</v>
      </c>
      <c r="I342">
        <f>AY202</f>
        <v>9.3593109704499119E-2</v>
      </c>
    </row>
    <row r="343" spans="1:14" x14ac:dyDescent="0.25">
      <c r="A343" s="3" t="s">
        <v>302</v>
      </c>
      <c r="B343" s="4" t="str">
        <f>B203</f>
        <v xml:space="preserve"> -</v>
      </c>
      <c r="C343" s="107" t="str">
        <f>I203</f>
        <v>C</v>
      </c>
      <c r="D343" s="107" t="str">
        <f>P203</f>
        <v>C</v>
      </c>
      <c r="E343" s="107" t="str">
        <f>W203</f>
        <v>C</v>
      </c>
      <c r="F343" s="107" t="str">
        <f>AD203</f>
        <v>C</v>
      </c>
      <c r="G343" s="107" t="str">
        <f>AK203</f>
        <v>B</v>
      </c>
      <c r="H343" t="str">
        <f>AR203</f>
        <v>B</v>
      </c>
      <c r="I343" t="str">
        <f>AY203</f>
        <v>B</v>
      </c>
      <c r="N343" s="11"/>
    </row>
    <row r="344" spans="1:14" x14ac:dyDescent="0.25">
      <c r="A344" s="3" t="s">
        <v>303</v>
      </c>
      <c r="B344" s="157">
        <f>B205</f>
        <v>0.8</v>
      </c>
      <c r="C344" s="157">
        <f>I205</f>
        <v>0.7</v>
      </c>
      <c r="D344" s="157">
        <f>P205</f>
        <v>0.6</v>
      </c>
      <c r="E344" s="157">
        <f>W205</f>
        <v>0.6</v>
      </c>
      <c r="F344" s="157">
        <f>AD205</f>
        <v>0.5</v>
      </c>
      <c r="G344" s="157">
        <f>AK205</f>
        <v>0.5</v>
      </c>
      <c r="H344">
        <f>AR205</f>
        <v>0.5</v>
      </c>
      <c r="I344">
        <f>AY205</f>
        <v>0.5</v>
      </c>
      <c r="N344" s="11"/>
    </row>
    <row r="345" spans="1:14" x14ac:dyDescent="0.25">
      <c r="A345" s="3" t="s">
        <v>372</v>
      </c>
      <c r="B345" s="157" t="str">
        <f>"DN"&amp;$B$45</f>
        <v>DN300</v>
      </c>
      <c r="C345" s="157" t="str">
        <f t="shared" ref="C345:I345" si="397">"DN"&amp;$B$45</f>
        <v>DN300</v>
      </c>
      <c r="D345" s="157" t="str">
        <f t="shared" si="397"/>
        <v>DN300</v>
      </c>
      <c r="E345" s="157" t="str">
        <f t="shared" si="397"/>
        <v>DN300</v>
      </c>
      <c r="F345" s="157" t="str">
        <f t="shared" si="397"/>
        <v>DN300</v>
      </c>
      <c r="G345" s="157" t="str">
        <f t="shared" si="397"/>
        <v>DN300</v>
      </c>
      <c r="H345" s="157" t="str">
        <f t="shared" si="397"/>
        <v>DN300</v>
      </c>
      <c r="I345" s="157" t="str">
        <f t="shared" si="397"/>
        <v>DN300</v>
      </c>
      <c r="J345" s="157"/>
      <c r="N345" s="11"/>
    </row>
    <row r="346" spans="1:14" x14ac:dyDescent="0.25">
      <c r="A346" s="3" t="s">
        <v>373</v>
      </c>
      <c r="B346" s="11">
        <f ca="1">B263</f>
        <v>0</v>
      </c>
      <c r="C346" s="11">
        <f ca="1">I263</f>
        <v>0</v>
      </c>
      <c r="D346" s="11">
        <f ca="1">P263</f>
        <v>0.7</v>
      </c>
      <c r="E346" s="11">
        <f ca="1">W263</f>
        <v>0.8</v>
      </c>
      <c r="F346" s="11">
        <f ca="1">AD263</f>
        <v>0.8</v>
      </c>
      <c r="G346" s="11">
        <f ca="1">AK263</f>
        <v>0.8</v>
      </c>
      <c r="H346" s="11">
        <f ca="1">AR263</f>
        <v>0.8</v>
      </c>
      <c r="I346" s="11">
        <f ca="1">AY263</f>
        <v>0.9</v>
      </c>
      <c r="J346" s="157"/>
      <c r="N346" s="11"/>
    </row>
    <row r="347" spans="1:14" x14ac:dyDescent="0.25">
      <c r="A347" s="3" t="s">
        <v>374</v>
      </c>
      <c r="B347" s="11">
        <f ca="1">B264</f>
        <v>0</v>
      </c>
      <c r="C347" s="11">
        <f ca="1">I264</f>
        <v>0</v>
      </c>
      <c r="D347" s="11">
        <f ca="1">P264</f>
        <v>0.7</v>
      </c>
      <c r="E347" s="11">
        <f ca="1">W264</f>
        <v>0.8</v>
      </c>
      <c r="F347" s="11">
        <f ca="1">AD264</f>
        <v>0.8</v>
      </c>
      <c r="G347" s="11">
        <f ca="1">AK264</f>
        <v>0.8</v>
      </c>
      <c r="H347" s="11">
        <f ca="1">AR264</f>
        <v>0.8</v>
      </c>
      <c r="I347" s="11">
        <f ca="1">AY264</f>
        <v>0.9</v>
      </c>
      <c r="J347" s="157"/>
      <c r="N347" s="11"/>
    </row>
    <row r="348" spans="1:14" x14ac:dyDescent="0.25">
      <c r="A348" s="3"/>
      <c r="B348" s="6">
        <f>B268</f>
        <v>5.5284999999999975</v>
      </c>
      <c r="C348" s="6">
        <f>I268</f>
        <v>13.902749999999997</v>
      </c>
      <c r="D348" s="6">
        <f>P268</f>
        <v>14.360750000000003</v>
      </c>
      <c r="E348" s="6">
        <f>W268</f>
        <v>14.106500000000002</v>
      </c>
      <c r="F348" s="6">
        <f>AD268</f>
        <v>13.515999999999998</v>
      </c>
      <c r="G348" s="6">
        <f>AK268</f>
        <v>12.864750000000001</v>
      </c>
      <c r="H348" s="6">
        <f>AR268</f>
        <v>11.802499999999998</v>
      </c>
      <c r="I348" s="6">
        <f>AY268</f>
        <v>11.081500000000002</v>
      </c>
      <c r="N348" s="11"/>
    </row>
    <row r="349" spans="1:14" ht="20.25" thickBot="1" x14ac:dyDescent="0.35">
      <c r="A349" s="2" t="s">
        <v>375</v>
      </c>
      <c r="B349" s="4"/>
      <c r="C349" s="4"/>
      <c r="D349" s="4"/>
      <c r="E349" s="4"/>
      <c r="F349" s="4"/>
      <c r="G349" s="4"/>
      <c r="N349" s="11"/>
    </row>
    <row r="350" spans="1:14" ht="15.75" thickTop="1" x14ac:dyDescent="0.25">
      <c r="A350" s="3" t="s">
        <v>245</v>
      </c>
      <c r="B350" s="3">
        <v>1</v>
      </c>
      <c r="C350" s="3">
        <v>2</v>
      </c>
      <c r="D350" s="3">
        <v>3</v>
      </c>
      <c r="E350" s="3">
        <v>4</v>
      </c>
      <c r="F350" s="3">
        <v>5</v>
      </c>
      <c r="G350" s="3">
        <v>6</v>
      </c>
      <c r="H350" s="3">
        <v>7</v>
      </c>
      <c r="I350" s="3">
        <v>8</v>
      </c>
      <c r="N350" s="11"/>
    </row>
    <row r="351" spans="1:14" x14ac:dyDescent="0.25">
      <c r="A351" s="3" t="str">
        <f>"Selected Airflow "&amp;C3</f>
        <v>Selected Airflow [L/s/m]</v>
      </c>
      <c r="B351">
        <f t="shared" ref="B351:I353" si="398">ROUND(B321*$B$4,0)</f>
        <v>250</v>
      </c>
      <c r="C351">
        <f t="shared" si="398"/>
        <v>250</v>
      </c>
      <c r="D351">
        <f t="shared" si="398"/>
        <v>250</v>
      </c>
      <c r="E351">
        <f t="shared" si="398"/>
        <v>250</v>
      </c>
      <c r="F351">
        <f t="shared" si="398"/>
        <v>250</v>
      </c>
      <c r="G351">
        <f t="shared" si="398"/>
        <v>250</v>
      </c>
      <c r="H351">
        <f t="shared" si="398"/>
        <v>250</v>
      </c>
      <c r="I351">
        <f t="shared" si="398"/>
        <v>250</v>
      </c>
      <c r="N351" s="11"/>
    </row>
    <row r="352" spans="1:14" x14ac:dyDescent="0.25">
      <c r="A352" s="3" t="str">
        <f>"Airflow @ Max Static Pressure"&amp;C3</f>
        <v>Airflow @ Max Static Pressure[L/s/m]</v>
      </c>
      <c r="B352">
        <f t="shared" si="398"/>
        <v>34</v>
      </c>
      <c r="C352">
        <f t="shared" si="398"/>
        <v>71</v>
      </c>
      <c r="D352">
        <f t="shared" si="398"/>
        <v>109</v>
      </c>
      <c r="E352">
        <f t="shared" si="398"/>
        <v>144</v>
      </c>
      <c r="F352">
        <f t="shared" si="398"/>
        <v>186</v>
      </c>
      <c r="G352">
        <f t="shared" si="398"/>
        <v>229</v>
      </c>
      <c r="H352">
        <f t="shared" si="398"/>
        <v>262</v>
      </c>
      <c r="I352">
        <f t="shared" si="398"/>
        <v>308</v>
      </c>
      <c r="N352" s="11"/>
    </row>
    <row r="353" spans="1:14" x14ac:dyDescent="0.25">
      <c r="A353" s="3" t="str">
        <f>"Min Selected Airflow "&amp;C3</f>
        <v>Min Selected Airflow [L/s/m]</v>
      </c>
      <c r="B353">
        <f t="shared" si="398"/>
        <v>250</v>
      </c>
      <c r="C353">
        <f t="shared" si="398"/>
        <v>250</v>
      </c>
      <c r="D353">
        <f t="shared" si="398"/>
        <v>250</v>
      </c>
      <c r="E353">
        <f t="shared" si="398"/>
        <v>250</v>
      </c>
      <c r="F353">
        <f t="shared" si="398"/>
        <v>250</v>
      </c>
      <c r="G353">
        <f t="shared" si="398"/>
        <v>250</v>
      </c>
      <c r="H353">
        <f t="shared" si="398"/>
        <v>250</v>
      </c>
      <c r="I353">
        <f t="shared" si="398"/>
        <v>250</v>
      </c>
      <c r="N353" s="11"/>
    </row>
    <row r="354" spans="1:14" x14ac:dyDescent="0.25">
      <c r="A354" s="3" t="str">
        <f>"Min Permissible Airflow @ "&amp;B11&amp;" K"</f>
        <v>Min Permissible Airflow @ -12 K</v>
      </c>
      <c r="B354">
        <f t="shared" ref="B354:I354" si="399">ROUND(B324*$B$4,1)</f>
        <v>7.6</v>
      </c>
      <c r="C354">
        <f t="shared" si="399"/>
        <v>16</v>
      </c>
      <c r="D354">
        <f t="shared" si="399"/>
        <v>24.2</v>
      </c>
      <c r="E354">
        <f t="shared" si="399"/>
        <v>32.299999999999997</v>
      </c>
      <c r="F354">
        <f t="shared" si="399"/>
        <v>40.700000000000003</v>
      </c>
      <c r="G354">
        <f t="shared" si="399"/>
        <v>49.4</v>
      </c>
      <c r="H354">
        <f t="shared" si="399"/>
        <v>57.4</v>
      </c>
      <c r="I354">
        <f t="shared" si="399"/>
        <v>65.8</v>
      </c>
      <c r="N354" s="11"/>
    </row>
    <row r="355" spans="1:14" x14ac:dyDescent="0.25">
      <c r="A355" s="3" t="s">
        <v>78</v>
      </c>
      <c r="B355">
        <f t="shared" ref="B355:I355" si="400">B325</f>
        <v>1</v>
      </c>
      <c r="C355">
        <f t="shared" si="400"/>
        <v>1</v>
      </c>
      <c r="D355">
        <f t="shared" si="400"/>
        <v>1</v>
      </c>
      <c r="E355">
        <f t="shared" si="400"/>
        <v>1</v>
      </c>
      <c r="F355">
        <f t="shared" si="400"/>
        <v>1</v>
      </c>
      <c r="G355">
        <f t="shared" si="400"/>
        <v>1</v>
      </c>
      <c r="H355">
        <f t="shared" si="400"/>
        <v>1</v>
      </c>
      <c r="I355">
        <f t="shared" si="400"/>
        <v>1</v>
      </c>
      <c r="N355" s="11"/>
    </row>
    <row r="356" spans="1:14" x14ac:dyDescent="0.25">
      <c r="A356" s="3" t="s">
        <v>79</v>
      </c>
      <c r="B356" s="178">
        <f t="shared" ref="B356:I356" si="401">ROUND(B326,2)</f>
        <v>0.03</v>
      </c>
      <c r="C356" s="178">
        <f t="shared" si="401"/>
        <v>0.06</v>
      </c>
      <c r="D356" s="178">
        <f t="shared" si="401"/>
        <v>0.1</v>
      </c>
      <c r="E356" s="178">
        <f t="shared" si="401"/>
        <v>0.13</v>
      </c>
      <c r="F356" s="178">
        <f t="shared" si="401"/>
        <v>0.16</v>
      </c>
      <c r="G356" s="178">
        <f t="shared" si="401"/>
        <v>0.2</v>
      </c>
      <c r="H356" s="178">
        <f t="shared" si="401"/>
        <v>0.23</v>
      </c>
      <c r="I356" s="178">
        <f t="shared" si="401"/>
        <v>0.26</v>
      </c>
      <c r="N356" s="11"/>
    </row>
    <row r="357" spans="1:14" x14ac:dyDescent="0.25">
      <c r="A357" s="3" t="s">
        <v>360</v>
      </c>
      <c r="B357">
        <f t="shared" ref="B357:I358" si="402">IF(B327&gt;4.5,ROUND(B327,1),"&lt; 4.5")</f>
        <v>1663.1</v>
      </c>
      <c r="C357">
        <f t="shared" si="402"/>
        <v>375.3</v>
      </c>
      <c r="D357">
        <f t="shared" si="402"/>
        <v>158.5</v>
      </c>
      <c r="E357">
        <f t="shared" si="402"/>
        <v>90.9</v>
      </c>
      <c r="F357">
        <f t="shared" si="402"/>
        <v>54.2</v>
      </c>
      <c r="G357">
        <f t="shared" si="402"/>
        <v>35.799999999999997</v>
      </c>
      <c r="H357">
        <f t="shared" si="402"/>
        <v>27.2</v>
      </c>
      <c r="I357">
        <f t="shared" si="402"/>
        <v>19.8</v>
      </c>
      <c r="N357" s="11"/>
    </row>
    <row r="358" spans="1:14" x14ac:dyDescent="0.25">
      <c r="A358" s="3" t="s">
        <v>361</v>
      </c>
      <c r="B358">
        <f t="shared" si="402"/>
        <v>1670.8</v>
      </c>
      <c r="C358">
        <f t="shared" si="402"/>
        <v>382.9</v>
      </c>
      <c r="D358">
        <f t="shared" si="402"/>
        <v>166.2</v>
      </c>
      <c r="E358">
        <f t="shared" si="402"/>
        <v>98.5</v>
      </c>
      <c r="F358">
        <f t="shared" si="402"/>
        <v>61.9</v>
      </c>
      <c r="G358">
        <f t="shared" si="402"/>
        <v>43.4</v>
      </c>
      <c r="H358">
        <f t="shared" si="402"/>
        <v>34.9</v>
      </c>
      <c r="I358">
        <f t="shared" si="402"/>
        <v>27.4</v>
      </c>
      <c r="N358" s="11"/>
    </row>
    <row r="359" spans="1:14" x14ac:dyDescent="0.25">
      <c r="A359" s="3" t="s">
        <v>362</v>
      </c>
      <c r="B359">
        <f t="shared" ref="B359:I359" si="403">B329</f>
        <v>30</v>
      </c>
      <c r="C359">
        <f t="shared" si="403"/>
        <v>30</v>
      </c>
      <c r="D359">
        <f t="shared" si="403"/>
        <v>30</v>
      </c>
      <c r="E359">
        <f t="shared" si="403"/>
        <v>30</v>
      </c>
      <c r="F359">
        <f t="shared" si="403"/>
        <v>30</v>
      </c>
      <c r="G359">
        <f t="shared" si="403"/>
        <v>30</v>
      </c>
      <c r="H359">
        <f t="shared" si="403"/>
        <v>30</v>
      </c>
      <c r="I359">
        <f t="shared" si="403"/>
        <v>30</v>
      </c>
      <c r="N359" s="11"/>
    </row>
    <row r="360" spans="1:14" x14ac:dyDescent="0.25">
      <c r="A360" s="3" t="s">
        <v>363</v>
      </c>
      <c r="B360">
        <f t="shared" ref="B360:I360" si="404">IF(B330&gt;=15,ROUND(B330,1),"&lt; 15")</f>
        <v>65.099999999999994</v>
      </c>
      <c r="C360">
        <f t="shared" si="404"/>
        <v>61.3</v>
      </c>
      <c r="D360">
        <f t="shared" si="404"/>
        <v>56.8</v>
      </c>
      <c r="E360">
        <f t="shared" si="404"/>
        <v>51</v>
      </c>
      <c r="F360">
        <f t="shared" si="404"/>
        <v>45.9</v>
      </c>
      <c r="G360">
        <f t="shared" si="404"/>
        <v>42.6</v>
      </c>
      <c r="H360">
        <f t="shared" si="404"/>
        <v>39.4</v>
      </c>
      <c r="I360">
        <f t="shared" si="404"/>
        <v>35.299999999999997</v>
      </c>
      <c r="N360" s="11"/>
    </row>
    <row r="361" spans="1:14" x14ac:dyDescent="0.25">
      <c r="A361" s="3" t="s">
        <v>364</v>
      </c>
      <c r="B361">
        <f t="shared" ref="B361:I361" si="405">IF(B331&gt;=10,ROUND(B331,1),"&lt; 10")</f>
        <v>50.1</v>
      </c>
      <c r="C361">
        <f t="shared" si="405"/>
        <v>46.3</v>
      </c>
      <c r="D361">
        <f t="shared" si="405"/>
        <v>41.8</v>
      </c>
      <c r="E361">
        <f t="shared" si="405"/>
        <v>36</v>
      </c>
      <c r="F361">
        <f t="shared" si="405"/>
        <v>30.9</v>
      </c>
      <c r="G361">
        <f t="shared" si="405"/>
        <v>27.6</v>
      </c>
      <c r="H361">
        <f t="shared" si="405"/>
        <v>24.4</v>
      </c>
      <c r="I361">
        <f t="shared" si="405"/>
        <v>20.3</v>
      </c>
      <c r="N361" s="11"/>
    </row>
    <row r="362" spans="1:14" ht="15.75" x14ac:dyDescent="0.25">
      <c r="A362" s="79" t="str">
        <f>"Centre Zone: Setting '"&amp;B369&amp;"'"</f>
        <v>Centre Zone: Setting 'A'</v>
      </c>
      <c r="B362" s="6">
        <f>IFERROR(MIN(ROUND(B332,1),10),"≈ 0.0")</f>
        <v>10</v>
      </c>
      <c r="C362" s="6">
        <f t="shared" ref="C362:I362" si="406">IFERROR(MIN(ROUND(C332,1),10),"≈ 0.0")</f>
        <v>10</v>
      </c>
      <c r="D362" s="6">
        <f t="shared" si="406"/>
        <v>10</v>
      </c>
      <c r="E362" s="6">
        <f t="shared" si="406"/>
        <v>10</v>
      </c>
      <c r="F362" s="6">
        <f t="shared" si="406"/>
        <v>10</v>
      </c>
      <c r="G362" s="6">
        <f t="shared" si="406"/>
        <v>10</v>
      </c>
      <c r="H362" s="6">
        <f t="shared" si="406"/>
        <v>10</v>
      </c>
      <c r="I362" s="6">
        <f t="shared" si="406"/>
        <v>10</v>
      </c>
      <c r="J362" t="s">
        <v>376</v>
      </c>
      <c r="N362" s="11"/>
    </row>
    <row r="363" spans="1:14" ht="15.75" x14ac:dyDescent="0.25">
      <c r="A363" s="79" t="str">
        <f>"Perimeter Zone: Setting '" &amp; B369 &amp;"'"</f>
        <v>Perimeter Zone: Setting 'A'</v>
      </c>
      <c r="B363" s="6">
        <f>IFERROR(MIN(ROUND(B333,1),10),"≈ 0.0")</f>
        <v>10</v>
      </c>
      <c r="C363" s="6">
        <f t="shared" ref="C363:I363" si="407">IFERROR(MIN(ROUND(C333,1),10),"≈ 0.0")</f>
        <v>10</v>
      </c>
      <c r="D363" s="6">
        <f t="shared" si="407"/>
        <v>10</v>
      </c>
      <c r="E363" s="6">
        <f t="shared" si="407"/>
        <v>10</v>
      </c>
      <c r="F363" s="6">
        <f t="shared" si="407"/>
        <v>10</v>
      </c>
      <c r="G363" s="6">
        <f t="shared" si="407"/>
        <v>10</v>
      </c>
      <c r="H363" s="6">
        <f t="shared" si="407"/>
        <v>10</v>
      </c>
      <c r="I363" s="6">
        <f t="shared" si="407"/>
        <v>10</v>
      </c>
      <c r="J363" t="s">
        <v>377</v>
      </c>
      <c r="N363" s="11"/>
    </row>
    <row r="364" spans="1:14" x14ac:dyDescent="0.25">
      <c r="A364" s="3" t="s">
        <v>378</v>
      </c>
      <c r="B364" s="6">
        <f t="shared" ref="B364:I364" si="408">IFERROR(MIN(ROUND(B334,1),15),"≈ 0.0")</f>
        <v>15</v>
      </c>
      <c r="C364" s="6">
        <f t="shared" si="408"/>
        <v>15</v>
      </c>
      <c r="D364" s="6">
        <f t="shared" si="408"/>
        <v>15</v>
      </c>
      <c r="E364" s="6">
        <f t="shared" si="408"/>
        <v>15</v>
      </c>
      <c r="F364" s="6">
        <f t="shared" si="408"/>
        <v>15</v>
      </c>
      <c r="G364" s="6">
        <f t="shared" si="408"/>
        <v>15</v>
      </c>
      <c r="H364" s="6">
        <f t="shared" si="408"/>
        <v>15</v>
      </c>
      <c r="I364" s="6">
        <f t="shared" si="408"/>
        <v>15</v>
      </c>
      <c r="J364" t="s">
        <v>379</v>
      </c>
      <c r="N364" s="11"/>
    </row>
    <row r="365" spans="1:14" x14ac:dyDescent="0.25">
      <c r="A365" s="3" t="s">
        <v>368</v>
      </c>
      <c r="B365" t="str">
        <f t="shared" ref="B365:I366" si="409">IF(B335&lt;0,"",ROUND(B335,1))</f>
        <v/>
      </c>
      <c r="C365" t="str">
        <f t="shared" si="409"/>
        <v/>
      </c>
      <c r="D365">
        <f t="shared" si="409"/>
        <v>21</v>
      </c>
      <c r="E365">
        <f t="shared" si="409"/>
        <v>18.8</v>
      </c>
      <c r="F365">
        <f t="shared" si="409"/>
        <v>17.5</v>
      </c>
      <c r="G365">
        <f t="shared" si="409"/>
        <v>16.600000000000001</v>
      </c>
      <c r="H365">
        <f t="shared" si="409"/>
        <v>16</v>
      </c>
      <c r="I365">
        <f t="shared" si="409"/>
        <v>15.5</v>
      </c>
      <c r="N365" s="11"/>
    </row>
    <row r="366" spans="1:14" x14ac:dyDescent="0.25">
      <c r="A366" s="3" t="s">
        <v>369</v>
      </c>
      <c r="B366" t="str">
        <f t="shared" si="409"/>
        <v/>
      </c>
      <c r="C366" t="str">
        <f t="shared" si="409"/>
        <v/>
      </c>
      <c r="D366">
        <f t="shared" si="409"/>
        <v>21</v>
      </c>
      <c r="E366">
        <f t="shared" si="409"/>
        <v>18.8</v>
      </c>
      <c r="F366">
        <f t="shared" si="409"/>
        <v>17.5</v>
      </c>
      <c r="G366">
        <f t="shared" si="409"/>
        <v>16.600000000000001</v>
      </c>
      <c r="H366">
        <f t="shared" si="409"/>
        <v>16</v>
      </c>
      <c r="I366">
        <f t="shared" si="409"/>
        <v>15.5</v>
      </c>
      <c r="N366" s="11"/>
    </row>
    <row r="367" spans="1:14" x14ac:dyDescent="0.25">
      <c r="A367" s="3" t="s">
        <v>370</v>
      </c>
      <c r="B367" t="str">
        <f>IF(B337&lt;0,"",ROUND(B337,1))</f>
        <v/>
      </c>
      <c r="C367">
        <f t="shared" ref="C367:I367" si="410">IF(C337&lt;0,"",ROUND(C337,1))</f>
        <v>94.6</v>
      </c>
      <c r="D367">
        <f t="shared" si="410"/>
        <v>25.2</v>
      </c>
      <c r="E367">
        <f t="shared" si="410"/>
        <v>18.600000000000001</v>
      </c>
      <c r="F367">
        <f t="shared" si="410"/>
        <v>16</v>
      </c>
      <c r="G367">
        <f t="shared" si="410"/>
        <v>14.6</v>
      </c>
      <c r="H367">
        <f t="shared" si="410"/>
        <v>13.8</v>
      </c>
      <c r="I367">
        <f t="shared" si="410"/>
        <v>13.3</v>
      </c>
    </row>
    <row r="368" spans="1:14" x14ac:dyDescent="0.25">
      <c r="A368" s="3" t="s">
        <v>260</v>
      </c>
      <c r="B368">
        <f t="shared" ref="B368:I368" si="411">ROUND(B338,1)</f>
        <v>2.7</v>
      </c>
      <c r="C368">
        <f t="shared" si="411"/>
        <v>2.8</v>
      </c>
      <c r="D368">
        <f t="shared" si="411"/>
        <v>2.8</v>
      </c>
      <c r="E368">
        <f t="shared" si="411"/>
        <v>2.9</v>
      </c>
      <c r="F368">
        <f t="shared" si="411"/>
        <v>2.9</v>
      </c>
      <c r="G368">
        <f t="shared" si="411"/>
        <v>3</v>
      </c>
      <c r="H368">
        <f t="shared" si="411"/>
        <v>3.1</v>
      </c>
      <c r="I368">
        <f t="shared" si="411"/>
        <v>3.1</v>
      </c>
    </row>
    <row r="369" spans="1:11" x14ac:dyDescent="0.25">
      <c r="A369" s="3" t="s">
        <v>125</v>
      </c>
      <c r="B369" t="str">
        <f t="shared" ref="B369:I369" si="412">B339</f>
        <v>A</v>
      </c>
      <c r="C369" t="str">
        <f t="shared" si="412"/>
        <v>A</v>
      </c>
      <c r="D369" t="str">
        <f t="shared" si="412"/>
        <v>A</v>
      </c>
      <c r="E369" t="str">
        <f t="shared" si="412"/>
        <v>A</v>
      </c>
      <c r="F369" t="str">
        <f t="shared" si="412"/>
        <v>A</v>
      </c>
      <c r="G369" t="str">
        <f t="shared" si="412"/>
        <v>A</v>
      </c>
      <c r="H369" t="str">
        <f t="shared" si="412"/>
        <v>A</v>
      </c>
      <c r="I369" t="str">
        <f t="shared" si="412"/>
        <v>A</v>
      </c>
    </row>
    <row r="370" spans="1:11" x14ac:dyDescent="0.25">
      <c r="A370" s="3" t="s">
        <v>371</v>
      </c>
      <c r="B370" s="6">
        <f t="shared" ref="B370:I370" si="413">ROUND(B340,2)</f>
        <v>0.32</v>
      </c>
      <c r="C370" s="6">
        <f t="shared" si="413"/>
        <v>0.25</v>
      </c>
      <c r="D370" s="6">
        <f t="shared" si="413"/>
        <v>0.22</v>
      </c>
      <c r="E370" s="6">
        <f t="shared" si="413"/>
        <v>0.21</v>
      </c>
      <c r="F370" s="6">
        <f t="shared" si="413"/>
        <v>0.2</v>
      </c>
      <c r="G370" s="6">
        <f t="shared" si="413"/>
        <v>0.19</v>
      </c>
      <c r="H370" s="6">
        <f t="shared" si="413"/>
        <v>0.19</v>
      </c>
      <c r="I370" s="6">
        <f t="shared" si="413"/>
        <v>0.18</v>
      </c>
    </row>
    <row r="371" spans="1:11" x14ac:dyDescent="0.25">
      <c r="A371" s="3" t="s">
        <v>300</v>
      </c>
      <c r="B371" s="4">
        <f t="shared" ref="B371:I372" si="414">ROUND(B341,3)</f>
        <v>0.38</v>
      </c>
      <c r="C371" s="4">
        <f t="shared" si="414"/>
        <v>0.27600000000000002</v>
      </c>
      <c r="D371" s="4">
        <f t="shared" si="414"/>
        <v>0.23799999999999999</v>
      </c>
      <c r="E371" s="4">
        <f t="shared" si="414"/>
        <v>0.219</v>
      </c>
      <c r="F371" s="4">
        <f t="shared" si="414"/>
        <v>0.20599999999999999</v>
      </c>
      <c r="G371" s="4">
        <f t="shared" si="414"/>
        <v>0.19700000000000001</v>
      </c>
      <c r="H371" s="4">
        <f t="shared" si="414"/>
        <v>0.19</v>
      </c>
      <c r="I371" s="4">
        <f t="shared" si="414"/>
        <v>0.186</v>
      </c>
    </row>
    <row r="372" spans="1:11" x14ac:dyDescent="0.25">
      <c r="A372" s="3" t="s">
        <v>301</v>
      </c>
      <c r="B372" s="4">
        <f t="shared" si="414"/>
        <v>0.19700000000000001</v>
      </c>
      <c r="C372" s="4">
        <f t="shared" si="414"/>
        <v>0.13700000000000001</v>
      </c>
      <c r="D372" s="4">
        <f t="shared" si="414"/>
        <v>0.11799999999999999</v>
      </c>
      <c r="E372" s="4">
        <f t="shared" si="414"/>
        <v>0.109</v>
      </c>
      <c r="F372" s="4">
        <f t="shared" si="414"/>
        <v>0.10299999999999999</v>
      </c>
      <c r="G372" s="4">
        <f t="shared" si="414"/>
        <v>9.8000000000000004E-2</v>
      </c>
      <c r="H372" s="4">
        <f t="shared" si="414"/>
        <v>9.6000000000000002E-2</v>
      </c>
      <c r="I372" s="4">
        <f t="shared" si="414"/>
        <v>9.4E-2</v>
      </c>
    </row>
    <row r="373" spans="1:11" x14ac:dyDescent="0.25">
      <c r="A373" s="3" t="s">
        <v>303</v>
      </c>
      <c r="B373" s="157">
        <f t="shared" ref="B373:I373" si="415">ROUND(B344, 1)</f>
        <v>0.8</v>
      </c>
      <c r="C373" s="157">
        <f t="shared" si="415"/>
        <v>0.7</v>
      </c>
      <c r="D373" s="157">
        <f t="shared" si="415"/>
        <v>0.6</v>
      </c>
      <c r="E373" s="157">
        <f t="shared" si="415"/>
        <v>0.6</v>
      </c>
      <c r="F373" s="157">
        <f t="shared" si="415"/>
        <v>0.5</v>
      </c>
      <c r="G373" s="157">
        <f t="shared" si="415"/>
        <v>0.5</v>
      </c>
      <c r="H373" s="157">
        <f t="shared" si="415"/>
        <v>0.5</v>
      </c>
      <c r="I373" s="157">
        <f t="shared" si="415"/>
        <v>0.5</v>
      </c>
    </row>
    <row r="374" spans="1:11" x14ac:dyDescent="0.25">
      <c r="A374" s="3" t="s">
        <v>302</v>
      </c>
      <c r="B374" s="4" t="str">
        <f t="shared" ref="B374:I374" si="416">B343</f>
        <v xml:space="preserve"> -</v>
      </c>
      <c r="C374" s="4" t="str">
        <f t="shared" si="416"/>
        <v>C</v>
      </c>
      <c r="D374" s="4" t="str">
        <f t="shared" si="416"/>
        <v>C</v>
      </c>
      <c r="E374" s="4" t="str">
        <f t="shared" si="416"/>
        <v>C</v>
      </c>
      <c r="F374" s="4" t="str">
        <f t="shared" si="416"/>
        <v>C</v>
      </c>
      <c r="G374" s="4" t="str">
        <f t="shared" si="416"/>
        <v>B</v>
      </c>
      <c r="H374" s="4" t="str">
        <f t="shared" si="416"/>
        <v>B</v>
      </c>
      <c r="I374" s="4" t="str">
        <f t="shared" si="416"/>
        <v>B</v>
      </c>
    </row>
    <row r="375" spans="1:11" x14ac:dyDescent="0.25">
      <c r="A375" s="3" t="s">
        <v>372</v>
      </c>
      <c r="B375" s="4" t="str">
        <f t="shared" ref="B375:I375" si="417">B345</f>
        <v>DN300</v>
      </c>
      <c r="C375" s="4" t="str">
        <f t="shared" si="417"/>
        <v>DN300</v>
      </c>
      <c r="D375" s="4" t="str">
        <f t="shared" si="417"/>
        <v>DN300</v>
      </c>
      <c r="E375" s="4" t="str">
        <f t="shared" si="417"/>
        <v>DN300</v>
      </c>
      <c r="F375" s="4" t="str">
        <f t="shared" si="417"/>
        <v>DN300</v>
      </c>
      <c r="G375" s="4" t="str">
        <f t="shared" si="417"/>
        <v>DN300</v>
      </c>
      <c r="H375" s="4" t="str">
        <f t="shared" si="417"/>
        <v>DN300</v>
      </c>
      <c r="I375" s="4" t="str">
        <f t="shared" si="417"/>
        <v>DN300</v>
      </c>
    </row>
    <row r="376" spans="1:11" x14ac:dyDescent="0.25">
      <c r="A376" s="3" t="s">
        <v>373</v>
      </c>
      <c r="B376" s="1">
        <f ca="1">B346</f>
        <v>0</v>
      </c>
      <c r="C376" s="1">
        <f t="shared" ref="C376:I377" ca="1" si="418">C346</f>
        <v>0</v>
      </c>
      <c r="D376" s="1">
        <f t="shared" ca="1" si="418"/>
        <v>0.7</v>
      </c>
      <c r="E376" s="1">
        <f t="shared" ca="1" si="418"/>
        <v>0.8</v>
      </c>
      <c r="F376" s="1">
        <f t="shared" ca="1" si="418"/>
        <v>0.8</v>
      </c>
      <c r="G376" s="1">
        <f t="shared" ca="1" si="418"/>
        <v>0.8</v>
      </c>
      <c r="H376" s="1">
        <f t="shared" ca="1" si="418"/>
        <v>0.8</v>
      </c>
      <c r="I376" s="1">
        <f t="shared" ca="1" si="418"/>
        <v>0.9</v>
      </c>
    </row>
    <row r="377" spans="1:11" x14ac:dyDescent="0.25">
      <c r="A377" s="3" t="s">
        <v>374</v>
      </c>
      <c r="B377" s="1">
        <f ca="1">B347</f>
        <v>0</v>
      </c>
      <c r="C377" s="1">
        <f t="shared" ca="1" si="418"/>
        <v>0</v>
      </c>
      <c r="D377" s="1">
        <f t="shared" ca="1" si="418"/>
        <v>0.7</v>
      </c>
      <c r="E377" s="1">
        <f t="shared" ca="1" si="418"/>
        <v>0.8</v>
      </c>
      <c r="F377" s="1">
        <f t="shared" ca="1" si="418"/>
        <v>0.8</v>
      </c>
      <c r="G377" s="1">
        <f t="shared" ca="1" si="418"/>
        <v>0.8</v>
      </c>
      <c r="H377" s="1">
        <f t="shared" ca="1" si="418"/>
        <v>0.8</v>
      </c>
      <c r="I377" s="1">
        <f t="shared" ca="1" si="418"/>
        <v>0.9</v>
      </c>
    </row>
    <row r="378" spans="1:11" x14ac:dyDescent="0.25">
      <c r="A378" s="3"/>
      <c r="B378" s="4"/>
      <c r="C378" s="4"/>
      <c r="D378" s="4"/>
      <c r="E378" s="4"/>
      <c r="F378" s="4"/>
      <c r="G378" s="4"/>
    </row>
    <row r="379" spans="1:11" x14ac:dyDescent="0.25">
      <c r="A379" s="3" t="s">
        <v>380</v>
      </c>
      <c r="B379" s="4"/>
      <c r="C379" s="4"/>
      <c r="D379" s="4"/>
      <c r="E379" s="4"/>
      <c r="F379" s="4"/>
      <c r="G379" s="4"/>
    </row>
    <row r="380" spans="1:11" x14ac:dyDescent="0.25">
      <c r="A380" t="s">
        <v>381</v>
      </c>
      <c r="B380" s="4" t="b">
        <f t="shared" ref="B380:I380" si="419">ROUND(B351,1)&gt;ROUND(B352,1)</f>
        <v>1</v>
      </c>
      <c r="C380" s="4" t="b">
        <f t="shared" si="419"/>
        <v>1</v>
      </c>
      <c r="D380" s="4" t="b">
        <f t="shared" si="419"/>
        <v>1</v>
      </c>
      <c r="E380" s="4" t="b">
        <f t="shared" si="419"/>
        <v>1</v>
      </c>
      <c r="F380" s="4" t="b">
        <f t="shared" si="419"/>
        <v>1</v>
      </c>
      <c r="G380" s="4" t="b">
        <f t="shared" si="419"/>
        <v>1</v>
      </c>
      <c r="H380" s="4" t="b">
        <f t="shared" si="419"/>
        <v>0</v>
      </c>
      <c r="I380" s="4" t="b">
        <f t="shared" si="419"/>
        <v>0</v>
      </c>
      <c r="K380" t="s">
        <v>382</v>
      </c>
    </row>
    <row r="381" spans="1:11" x14ac:dyDescent="0.25">
      <c r="A381" t="s">
        <v>383</v>
      </c>
      <c r="B381" s="4" t="b">
        <f t="shared" ref="B381:I381" si="420">ROUND(B353,1)&lt;ROUND(B354,1)</f>
        <v>0</v>
      </c>
      <c r="C381" s="4" t="b">
        <f t="shared" si="420"/>
        <v>0</v>
      </c>
      <c r="D381" s="4" t="b">
        <f t="shared" si="420"/>
        <v>0</v>
      </c>
      <c r="E381" s="4" t="b">
        <f t="shared" si="420"/>
        <v>0</v>
      </c>
      <c r="F381" s="4" t="b">
        <f t="shared" si="420"/>
        <v>0</v>
      </c>
      <c r="G381" s="4" t="b">
        <f t="shared" si="420"/>
        <v>0</v>
      </c>
      <c r="H381" s="4" t="b">
        <f t="shared" si="420"/>
        <v>0</v>
      </c>
      <c r="I381" s="4" t="b">
        <f t="shared" si="420"/>
        <v>0</v>
      </c>
    </row>
    <row r="382" spans="1:11" x14ac:dyDescent="0.25">
      <c r="A382" t="s">
        <v>384</v>
      </c>
      <c r="B382" s="4" t="b">
        <f>B367&gt;B365</f>
        <v>0</v>
      </c>
      <c r="C382" s="4" t="b">
        <f t="shared" ref="C382:I382" si="421">C367&gt;C365</f>
        <v>0</v>
      </c>
      <c r="D382" s="4" t="b">
        <f t="shared" si="421"/>
        <v>1</v>
      </c>
      <c r="E382" s="4" t="b">
        <f t="shared" si="421"/>
        <v>0</v>
      </c>
      <c r="F382" s="4" t="b">
        <f t="shared" si="421"/>
        <v>0</v>
      </c>
      <c r="G382" s="4" t="b">
        <f t="shared" si="421"/>
        <v>0</v>
      </c>
      <c r="H382" s="4" t="b">
        <f t="shared" si="421"/>
        <v>0</v>
      </c>
      <c r="I382" s="4" t="b">
        <f t="shared" si="421"/>
        <v>0</v>
      </c>
      <c r="K382" t="s">
        <v>385</v>
      </c>
    </row>
    <row r="383" spans="1:11" x14ac:dyDescent="0.25">
      <c r="A383" t="s">
        <v>386</v>
      </c>
      <c r="B383" s="4" t="b">
        <f>B367&gt;B366</f>
        <v>0</v>
      </c>
      <c r="C383" s="4" t="b">
        <f t="shared" ref="C383:I383" si="422">C367&gt;C366</f>
        <v>0</v>
      </c>
      <c r="D383" s="4" t="b">
        <f t="shared" si="422"/>
        <v>1</v>
      </c>
      <c r="E383" s="4" t="b">
        <f t="shared" si="422"/>
        <v>0</v>
      </c>
      <c r="F383" s="4" t="b">
        <f t="shared" si="422"/>
        <v>0</v>
      </c>
      <c r="G383" s="4" t="b">
        <f t="shared" si="422"/>
        <v>0</v>
      </c>
      <c r="H383" s="4" t="b">
        <f t="shared" si="422"/>
        <v>0</v>
      </c>
      <c r="I383" s="4" t="b">
        <f t="shared" si="422"/>
        <v>0</v>
      </c>
      <c r="J383" t="b">
        <f>OR(B383:I383)</f>
        <v>1</v>
      </c>
    </row>
    <row r="384" spans="1:11" x14ac:dyDescent="0.25">
      <c r="A384" t="s">
        <v>387</v>
      </c>
      <c r="B384" s="4" t="b">
        <f>$B$300&lt;B367</f>
        <v>1</v>
      </c>
      <c r="C384" s="4" t="b">
        <f t="shared" ref="C384:I384" si="423">$B$300&lt;C367</f>
        <v>1</v>
      </c>
      <c r="D384" s="4" t="b">
        <f t="shared" si="423"/>
        <v>1</v>
      </c>
      <c r="E384" s="4" t="b">
        <f t="shared" si="423"/>
        <v>1</v>
      </c>
      <c r="F384" s="4" t="b">
        <f t="shared" si="423"/>
        <v>1</v>
      </c>
      <c r="G384" s="4" t="b">
        <f t="shared" si="423"/>
        <v>0</v>
      </c>
      <c r="H384" s="4" t="b">
        <f t="shared" si="423"/>
        <v>0</v>
      </c>
      <c r="I384" s="4" t="b">
        <f t="shared" si="423"/>
        <v>0</v>
      </c>
    </row>
    <row r="385" spans="1:9" x14ac:dyDescent="0.25">
      <c r="A385" s="3"/>
      <c r="B385" s="4"/>
      <c r="C385" s="4"/>
      <c r="D385" s="4"/>
      <c r="E385" s="4"/>
      <c r="F385" s="4"/>
      <c r="G385" s="4"/>
      <c r="H385" s="4"/>
      <c r="I385" s="4"/>
    </row>
    <row r="386" spans="1:9" x14ac:dyDescent="0.25">
      <c r="A386" t="s">
        <v>388</v>
      </c>
      <c r="B386" s="4" t="b">
        <f>OR(B380:B382)</f>
        <v>1</v>
      </c>
      <c r="C386" s="4" t="b">
        <f t="shared" ref="C386:I386" si="424">OR(C380:C382)</f>
        <v>1</v>
      </c>
      <c r="D386" s="4" t="b">
        <f t="shared" si="424"/>
        <v>1</v>
      </c>
      <c r="E386" s="4" t="b">
        <f t="shared" si="424"/>
        <v>1</v>
      </c>
      <c r="F386" s="4" t="b">
        <f t="shared" si="424"/>
        <v>1</v>
      </c>
      <c r="G386" s="4" t="b">
        <f t="shared" si="424"/>
        <v>1</v>
      </c>
      <c r="H386" s="4" t="b">
        <f t="shared" si="424"/>
        <v>0</v>
      </c>
      <c r="I386" s="4" t="b">
        <f t="shared" si="424"/>
        <v>0</v>
      </c>
    </row>
    <row r="387" spans="1:9" x14ac:dyDescent="0.25">
      <c r="A387" s="3"/>
      <c r="B387" s="4"/>
      <c r="C387" s="4"/>
      <c r="D387" s="4"/>
      <c r="E387" s="4"/>
      <c r="F387" s="4"/>
      <c r="G387" s="4"/>
    </row>
    <row r="388" spans="1:9" x14ac:dyDescent="0.25">
      <c r="A388" s="3"/>
      <c r="B388" s="4"/>
      <c r="C388" s="4"/>
      <c r="D388" s="4"/>
      <c r="E388" s="4"/>
      <c r="F388" s="4"/>
      <c r="G388" s="4"/>
    </row>
    <row r="390" spans="1:9" ht="18" thickBot="1" x14ac:dyDescent="0.35">
      <c r="A390" s="106" t="s">
        <v>182</v>
      </c>
    </row>
    <row r="391" spans="1:9" ht="15.75" thickTop="1" x14ac:dyDescent="0.25"/>
    <row r="392" spans="1:9" x14ac:dyDescent="0.25">
      <c r="A392" s="3" t="s">
        <v>389</v>
      </c>
      <c r="B392">
        <f>IF(B3=1,30,108)</f>
        <v>30</v>
      </c>
    </row>
    <row r="393" spans="1:9" x14ac:dyDescent="0.25">
      <c r="A393" s="3"/>
    </row>
    <row r="394" spans="1:9" x14ac:dyDescent="0.25">
      <c r="A394" s="3"/>
    </row>
    <row r="395" spans="1:9" x14ac:dyDescent="0.25">
      <c r="A395" s="3"/>
    </row>
    <row r="396" spans="1:9" x14ac:dyDescent="0.25">
      <c r="A396" s="3"/>
    </row>
  </sheetData>
  <sheetProtection selectLockedCells="1" selectUnlockedCells="1"/>
  <phoneticPr fontId="66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B1:Z74"/>
  <sheetViews>
    <sheetView topLeftCell="A16" workbookViewId="0">
      <selection activeCell="F13" sqref="F13"/>
    </sheetView>
  </sheetViews>
  <sheetFormatPr defaultRowHeight="15" x14ac:dyDescent="0.25"/>
  <cols>
    <col min="2" max="2" width="3.42578125" customWidth="1"/>
    <col min="7" max="8" width="9" customWidth="1"/>
    <col min="14" max="14" width="1.85546875" customWidth="1"/>
    <col min="26" max="26" width="3.42578125" customWidth="1"/>
  </cols>
  <sheetData>
    <row r="1" spans="2:26" ht="13.5" customHeight="1" x14ac:dyDescent="0.25">
      <c r="B1" s="52"/>
      <c r="C1" s="53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5"/>
    </row>
    <row r="2" spans="2:26" ht="21" x14ac:dyDescent="0.35">
      <c r="B2" s="56"/>
      <c r="C2" s="32"/>
      <c r="D2" s="33" t="s">
        <v>0</v>
      </c>
      <c r="E2" s="31"/>
      <c r="F2" s="31"/>
      <c r="G2" s="31"/>
      <c r="H2" s="34"/>
      <c r="I2" s="34"/>
      <c r="J2" s="34"/>
      <c r="K2" s="34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57"/>
    </row>
    <row r="3" spans="2:26" ht="25.5" customHeight="1" x14ac:dyDescent="0.35">
      <c r="B3" s="56"/>
      <c r="C3" s="32"/>
      <c r="D3" s="35" t="s">
        <v>390</v>
      </c>
      <c r="E3" s="31"/>
      <c r="F3" s="31"/>
      <c r="G3" s="31"/>
      <c r="H3" s="34"/>
      <c r="I3" s="34"/>
      <c r="J3" s="34"/>
      <c r="K3" s="34"/>
      <c r="L3" s="31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57"/>
    </row>
    <row r="4" spans="2:26" ht="13.5" customHeight="1" x14ac:dyDescent="0.3">
      <c r="B4" s="56"/>
      <c r="C4" s="32"/>
      <c r="D4" s="36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58"/>
    </row>
    <row r="5" spans="2:26" ht="19.5" x14ac:dyDescent="0.3">
      <c r="B5" s="59"/>
      <c r="C5" s="73"/>
      <c r="D5" s="73"/>
      <c r="E5" s="73"/>
      <c r="F5" s="73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60"/>
    </row>
    <row r="6" spans="2:26" ht="20.25" thickBot="1" x14ac:dyDescent="0.35">
      <c r="B6" s="59"/>
      <c r="C6" s="305" t="s">
        <v>391</v>
      </c>
      <c r="D6" s="305"/>
      <c r="E6" s="305"/>
      <c r="F6" s="305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60"/>
    </row>
    <row r="7" spans="2:26" ht="20.25" thickTop="1" x14ac:dyDescent="0.3">
      <c r="B7" s="59"/>
      <c r="C7" s="73"/>
      <c r="D7" s="73"/>
      <c r="E7" s="73"/>
      <c r="F7" s="73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60"/>
    </row>
    <row r="8" spans="2:26" ht="19.5" x14ac:dyDescent="0.3">
      <c r="B8" s="59"/>
      <c r="C8" s="74" t="s">
        <v>392</v>
      </c>
      <c r="D8" s="73"/>
      <c r="E8" s="73"/>
      <c r="F8" s="73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60"/>
    </row>
    <row r="9" spans="2:26" ht="19.5" x14ac:dyDescent="0.3">
      <c r="B9" s="59"/>
      <c r="C9" s="73"/>
      <c r="D9" s="73"/>
      <c r="E9" s="73"/>
      <c r="F9" s="73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60"/>
    </row>
    <row r="10" spans="2:26" ht="19.5" x14ac:dyDescent="0.3">
      <c r="B10" s="59"/>
      <c r="C10" s="74" t="s">
        <v>393</v>
      </c>
      <c r="D10" s="73"/>
      <c r="E10" s="73"/>
      <c r="F10" s="73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60"/>
    </row>
    <row r="11" spans="2:26" ht="19.5" x14ac:dyDescent="0.3">
      <c r="B11" s="59"/>
      <c r="C11" s="74"/>
      <c r="D11" s="73"/>
      <c r="E11" s="73"/>
      <c r="F11" s="73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60"/>
    </row>
    <row r="12" spans="2:26" ht="19.5" x14ac:dyDescent="0.3">
      <c r="B12" s="59"/>
      <c r="C12" s="74" t="s">
        <v>394</v>
      </c>
      <c r="D12" s="73"/>
      <c r="E12" s="73"/>
      <c r="F12" s="73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60"/>
    </row>
    <row r="13" spans="2:26" ht="19.5" x14ac:dyDescent="0.3">
      <c r="B13" s="59"/>
      <c r="C13" s="73"/>
      <c r="D13" s="73"/>
      <c r="E13" s="73"/>
      <c r="F13" s="73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60"/>
    </row>
    <row r="14" spans="2:26" ht="19.5" x14ac:dyDescent="0.3">
      <c r="B14" s="59"/>
      <c r="C14" s="74" t="s">
        <v>395</v>
      </c>
      <c r="D14" s="73"/>
      <c r="E14" s="73"/>
      <c r="F14" s="73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60"/>
    </row>
    <row r="15" spans="2:26" ht="19.5" x14ac:dyDescent="0.3">
      <c r="B15" s="59"/>
      <c r="C15" s="73"/>
      <c r="D15" s="73"/>
      <c r="E15" s="73"/>
      <c r="F15" s="73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60"/>
    </row>
    <row r="16" spans="2:26" ht="20.25" thickBot="1" x14ac:dyDescent="0.35">
      <c r="B16" s="59"/>
      <c r="C16" s="305" t="s">
        <v>4</v>
      </c>
      <c r="D16" s="305"/>
      <c r="E16" s="305"/>
      <c r="F16" s="305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60"/>
    </row>
    <row r="17" spans="2:26" ht="15.75" thickTop="1" x14ac:dyDescent="0.25">
      <c r="B17" s="59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60"/>
    </row>
    <row r="18" spans="2:26" ht="18.75" x14ac:dyDescent="0.35">
      <c r="B18" s="59"/>
      <c r="C18" s="314" t="s">
        <v>396</v>
      </c>
      <c r="D18" s="314"/>
      <c r="E18" s="314"/>
      <c r="F18" s="61" t="s">
        <v>397</v>
      </c>
      <c r="G18" s="62" t="s">
        <v>398</v>
      </c>
      <c r="H18" s="63" t="s">
        <v>399</v>
      </c>
      <c r="I18" s="17"/>
      <c r="J18" s="17"/>
      <c r="K18" s="17"/>
      <c r="L18" s="17" t="s">
        <v>400</v>
      </c>
      <c r="M18" s="17"/>
      <c r="N18" s="18" t="s">
        <v>401</v>
      </c>
      <c r="O18" s="156" t="s">
        <v>402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60"/>
    </row>
    <row r="19" spans="2:26" ht="18.75" x14ac:dyDescent="0.35">
      <c r="B19" s="59"/>
      <c r="C19" s="62"/>
      <c r="D19" s="62"/>
      <c r="E19" s="62"/>
      <c r="F19" s="62"/>
      <c r="G19" s="64" t="s">
        <v>403</v>
      </c>
      <c r="H19" s="17"/>
      <c r="I19" s="17"/>
      <c r="J19" s="17"/>
      <c r="K19" s="65"/>
      <c r="L19" s="17"/>
      <c r="M19" s="17"/>
      <c r="N19" s="17"/>
      <c r="O19" s="156" t="s">
        <v>404</v>
      </c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60"/>
    </row>
    <row r="20" spans="2:26" ht="18.75" x14ac:dyDescent="0.35">
      <c r="B20" s="59"/>
      <c r="C20" s="62"/>
      <c r="D20" s="62"/>
      <c r="E20" s="62"/>
      <c r="F20" s="62"/>
      <c r="G20" s="61" t="s">
        <v>405</v>
      </c>
      <c r="H20" s="17"/>
      <c r="I20" s="17"/>
      <c r="J20" s="17"/>
      <c r="K20" s="65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60"/>
    </row>
    <row r="21" spans="2:26" ht="15.75" x14ac:dyDescent="0.25">
      <c r="B21" s="59"/>
      <c r="C21" s="62"/>
      <c r="D21" s="62"/>
      <c r="E21" s="62"/>
      <c r="F21" s="62"/>
      <c r="G21" s="61"/>
      <c r="H21" s="17"/>
      <c r="I21" s="17"/>
      <c r="J21" s="17"/>
      <c r="K21" s="65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60"/>
    </row>
    <row r="22" spans="2:26" ht="15.75" x14ac:dyDescent="0.25">
      <c r="B22" s="59"/>
      <c r="C22" s="62"/>
      <c r="D22" s="62"/>
      <c r="E22" s="62"/>
      <c r="F22" s="62"/>
      <c r="G22" s="61"/>
      <c r="H22" s="17"/>
      <c r="I22" s="17"/>
      <c r="J22" s="17"/>
      <c r="K22" s="65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60"/>
    </row>
    <row r="23" spans="2:26" ht="20.25" thickBot="1" x14ac:dyDescent="0.35">
      <c r="B23" s="59"/>
      <c r="C23" s="305" t="s">
        <v>406</v>
      </c>
      <c r="D23" s="305"/>
      <c r="E23" s="305"/>
      <c r="F23" s="305"/>
      <c r="G23" s="61"/>
      <c r="H23" s="17"/>
      <c r="I23" s="17"/>
      <c r="J23" s="17"/>
      <c r="K23" s="65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60"/>
    </row>
    <row r="24" spans="2:26" ht="16.5" thickTop="1" x14ac:dyDescent="0.25">
      <c r="B24" s="59"/>
      <c r="C24" s="62"/>
      <c r="D24" s="62"/>
      <c r="E24" s="62"/>
      <c r="F24" s="62"/>
      <c r="G24" s="61"/>
      <c r="H24" s="17"/>
      <c r="I24" s="17"/>
      <c r="J24" s="17"/>
      <c r="K24" s="65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60"/>
    </row>
    <row r="25" spans="2:26" ht="15.75" x14ac:dyDescent="0.25">
      <c r="B25" s="59"/>
      <c r="C25" s="62"/>
      <c r="D25" s="62"/>
      <c r="E25" s="62"/>
      <c r="F25" s="62"/>
      <c r="G25" s="61"/>
      <c r="H25" s="215" t="s">
        <v>407</v>
      </c>
      <c r="I25" s="17"/>
      <c r="J25" s="17"/>
      <c r="K25" s="65"/>
      <c r="L25" s="17"/>
      <c r="M25" s="17"/>
      <c r="N25" s="17"/>
      <c r="O25" s="17"/>
      <c r="P25" s="17"/>
      <c r="Q25" s="17"/>
      <c r="R25" s="17"/>
      <c r="S25" s="215" t="s">
        <v>408</v>
      </c>
      <c r="T25" s="17"/>
      <c r="U25" s="17"/>
      <c r="V25" s="17"/>
      <c r="W25" s="17"/>
      <c r="X25" s="17"/>
      <c r="Y25" s="17"/>
      <c r="Z25" s="60"/>
    </row>
    <row r="26" spans="2:26" ht="15.75" x14ac:dyDescent="0.25">
      <c r="B26" s="59"/>
      <c r="C26" s="62"/>
      <c r="D26" s="62"/>
      <c r="E26" s="62"/>
      <c r="F26" s="62"/>
      <c r="G26" s="61"/>
      <c r="H26" s="17"/>
      <c r="I26" s="17"/>
      <c r="J26" s="17"/>
      <c r="K26" s="65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60"/>
    </row>
    <row r="27" spans="2:26" ht="15.75" x14ac:dyDescent="0.25">
      <c r="B27" s="59"/>
      <c r="C27" s="62"/>
      <c r="D27" s="62"/>
      <c r="E27" s="62"/>
      <c r="F27" s="62"/>
      <c r="G27" s="61"/>
      <c r="H27" s="17"/>
      <c r="I27" s="17"/>
      <c r="J27" s="17"/>
      <c r="K27" s="65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60"/>
    </row>
    <row r="28" spans="2:26" ht="15.75" x14ac:dyDescent="0.25">
      <c r="B28" s="59"/>
      <c r="C28" s="62"/>
      <c r="D28" s="62"/>
      <c r="E28" s="62"/>
      <c r="F28" s="62"/>
      <c r="G28" s="61"/>
      <c r="H28" s="17"/>
      <c r="I28" s="17"/>
      <c r="J28" s="17"/>
      <c r="K28" s="65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60"/>
    </row>
    <row r="29" spans="2:26" ht="15.75" x14ac:dyDescent="0.25">
      <c r="B29" s="59"/>
      <c r="C29" s="62"/>
      <c r="D29" s="62"/>
      <c r="E29" s="62"/>
      <c r="F29" s="62"/>
      <c r="G29" s="61"/>
      <c r="H29" s="17"/>
      <c r="I29" s="17"/>
      <c r="J29" s="17"/>
      <c r="K29" s="65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60"/>
    </row>
    <row r="30" spans="2:26" ht="15.75" x14ac:dyDescent="0.25">
      <c r="B30" s="59"/>
      <c r="C30" s="62"/>
      <c r="D30" s="62"/>
      <c r="E30" s="62"/>
      <c r="F30" s="62"/>
      <c r="G30" s="61"/>
      <c r="H30" s="17"/>
      <c r="I30" s="17"/>
      <c r="J30" s="17"/>
      <c r="K30" s="65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60"/>
    </row>
    <row r="31" spans="2:26" ht="15.75" x14ac:dyDescent="0.25">
      <c r="B31" s="59"/>
      <c r="C31" s="62"/>
      <c r="D31" s="62"/>
      <c r="E31" s="62"/>
      <c r="F31" s="62"/>
      <c r="G31" s="61"/>
      <c r="H31" s="17"/>
      <c r="I31" s="17"/>
      <c r="J31" s="17"/>
      <c r="K31" s="65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60"/>
    </row>
    <row r="32" spans="2:26" ht="15.75" x14ac:dyDescent="0.25">
      <c r="B32" s="59"/>
      <c r="C32" s="62"/>
      <c r="D32" s="62"/>
      <c r="E32" s="62"/>
      <c r="F32" s="62"/>
      <c r="G32" s="61"/>
      <c r="H32" s="17"/>
      <c r="I32" s="17"/>
      <c r="J32" s="17"/>
      <c r="K32" s="65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60"/>
    </row>
    <row r="33" spans="2:26" ht="15.75" x14ac:dyDescent="0.25">
      <c r="B33" s="59"/>
      <c r="C33" s="62"/>
      <c r="D33" s="62"/>
      <c r="E33" s="62"/>
      <c r="F33" s="62"/>
      <c r="G33" s="61"/>
      <c r="H33" s="17"/>
      <c r="I33" s="17"/>
      <c r="J33" s="17"/>
      <c r="K33" s="65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60"/>
    </row>
    <row r="34" spans="2:26" ht="15.75" x14ac:dyDescent="0.25">
      <c r="B34" s="59"/>
      <c r="C34" s="62"/>
      <c r="D34" s="62"/>
      <c r="E34" s="62"/>
      <c r="F34" s="62"/>
      <c r="G34" s="61"/>
      <c r="H34" s="17"/>
      <c r="I34" s="17"/>
      <c r="J34" s="17"/>
      <c r="K34" s="65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60"/>
    </row>
    <row r="35" spans="2:26" ht="15.75" x14ac:dyDescent="0.25">
      <c r="B35" s="59"/>
      <c r="C35" s="62"/>
      <c r="D35" s="62"/>
      <c r="E35" s="62"/>
      <c r="F35" s="62"/>
      <c r="G35" s="61"/>
      <c r="H35" s="17"/>
      <c r="I35" s="17"/>
      <c r="J35" s="17"/>
      <c r="K35" s="65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60"/>
    </row>
    <row r="36" spans="2:26" ht="15.75" x14ac:dyDescent="0.25">
      <c r="B36" s="59"/>
      <c r="C36" s="62"/>
      <c r="D36" s="62"/>
      <c r="E36" s="62"/>
      <c r="F36" s="62"/>
      <c r="G36" s="61"/>
      <c r="H36" s="17"/>
      <c r="I36" s="17"/>
      <c r="J36" s="17"/>
      <c r="K36" s="65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60"/>
    </row>
    <row r="37" spans="2:26" ht="15.75" x14ac:dyDescent="0.25">
      <c r="B37" s="59"/>
      <c r="C37" s="62"/>
      <c r="D37" s="62"/>
      <c r="E37" s="62"/>
      <c r="F37" s="62"/>
      <c r="G37" s="61"/>
      <c r="H37" s="17"/>
      <c r="I37" s="17"/>
      <c r="J37" s="17"/>
      <c r="K37" s="65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60"/>
    </row>
    <row r="38" spans="2:26" ht="15.75" x14ac:dyDescent="0.25">
      <c r="B38" s="59"/>
      <c r="C38" s="62"/>
      <c r="D38" s="62"/>
      <c r="E38" s="62"/>
      <c r="F38" s="62"/>
      <c r="G38" s="61"/>
      <c r="H38" s="17"/>
      <c r="I38" s="17"/>
      <c r="J38" s="17"/>
      <c r="K38" s="65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60"/>
    </row>
    <row r="39" spans="2:26" ht="15.75" x14ac:dyDescent="0.25">
      <c r="B39" s="59"/>
      <c r="C39" s="62"/>
      <c r="D39" s="62"/>
      <c r="E39" s="62"/>
      <c r="F39" s="62"/>
      <c r="G39" s="61"/>
      <c r="H39" s="17"/>
      <c r="I39" s="17"/>
      <c r="J39" s="17"/>
      <c r="K39" s="65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60"/>
    </row>
    <row r="40" spans="2:26" ht="15.75" x14ac:dyDescent="0.25">
      <c r="B40" s="59"/>
      <c r="C40" s="62"/>
      <c r="D40" s="62"/>
      <c r="E40" s="62"/>
      <c r="F40" s="62"/>
      <c r="G40" s="61"/>
      <c r="H40" s="17"/>
      <c r="I40" s="17"/>
      <c r="J40" s="17"/>
      <c r="K40" s="65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60"/>
    </row>
    <row r="41" spans="2:26" ht="15.75" x14ac:dyDescent="0.25">
      <c r="B41" s="59"/>
      <c r="C41" s="62"/>
      <c r="D41" s="62"/>
      <c r="E41" s="62"/>
      <c r="F41" s="62"/>
      <c r="G41" s="61"/>
      <c r="H41" s="17"/>
      <c r="I41" s="17"/>
      <c r="J41" s="17"/>
      <c r="K41" s="65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60"/>
    </row>
    <row r="42" spans="2:26" ht="15.75" x14ac:dyDescent="0.25">
      <c r="B42" s="59"/>
      <c r="C42" s="62"/>
      <c r="D42" s="62"/>
      <c r="E42" s="62"/>
      <c r="F42" s="62"/>
      <c r="G42" s="61"/>
      <c r="H42" s="17"/>
      <c r="I42" s="17"/>
      <c r="J42" s="17"/>
      <c r="K42" s="65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60"/>
    </row>
    <row r="43" spans="2:26" ht="15.75" x14ac:dyDescent="0.25">
      <c r="B43" s="59"/>
      <c r="C43" s="62"/>
      <c r="D43" s="62"/>
      <c r="E43" s="62"/>
      <c r="F43" s="62"/>
      <c r="G43" s="61"/>
      <c r="H43" s="17"/>
      <c r="I43" s="17"/>
      <c r="J43" s="17"/>
      <c r="K43" s="65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60"/>
    </row>
    <row r="44" spans="2:26" ht="15.75" x14ac:dyDescent="0.25">
      <c r="B44" s="59"/>
      <c r="C44" s="62"/>
      <c r="D44" s="62"/>
      <c r="E44" s="62"/>
      <c r="F44" s="62"/>
      <c r="G44" s="61"/>
      <c r="H44" s="17"/>
      <c r="I44" s="17"/>
      <c r="J44" s="17"/>
      <c r="K44" s="65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60"/>
    </row>
    <row r="45" spans="2:26" ht="15.75" x14ac:dyDescent="0.25">
      <c r="B45" s="59"/>
      <c r="C45" s="62"/>
      <c r="D45" s="62"/>
      <c r="E45" s="62"/>
      <c r="F45" s="62"/>
      <c r="G45" s="61"/>
      <c r="H45" s="17"/>
      <c r="I45" s="17"/>
      <c r="J45" s="17"/>
      <c r="K45" s="65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60"/>
    </row>
    <row r="46" spans="2:26" ht="15.75" x14ac:dyDescent="0.25">
      <c r="B46" s="59"/>
      <c r="C46" s="62"/>
      <c r="D46" s="62"/>
      <c r="E46" s="62"/>
      <c r="F46" s="62"/>
      <c r="G46" s="61"/>
      <c r="H46" s="17"/>
      <c r="I46" s="17"/>
      <c r="J46" s="17"/>
      <c r="K46" s="65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60"/>
    </row>
    <row r="47" spans="2:26" ht="15.75" x14ac:dyDescent="0.25">
      <c r="B47" s="59"/>
      <c r="C47" s="62"/>
      <c r="D47" s="62"/>
      <c r="E47" s="62"/>
      <c r="F47" s="62"/>
      <c r="G47" s="61"/>
      <c r="H47" s="17"/>
      <c r="I47" s="17"/>
      <c r="J47" s="17"/>
      <c r="K47" s="65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60"/>
    </row>
    <row r="48" spans="2:26" ht="15.75" x14ac:dyDescent="0.25">
      <c r="B48" s="59"/>
      <c r="C48" s="62"/>
      <c r="D48" s="62"/>
      <c r="E48" s="62"/>
      <c r="F48" s="62"/>
      <c r="G48" s="61"/>
      <c r="H48" s="17"/>
      <c r="I48" s="17"/>
      <c r="J48" s="17"/>
      <c r="K48" s="65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60"/>
    </row>
    <row r="49" spans="2:26" ht="15.75" x14ac:dyDescent="0.25">
      <c r="B49" s="59"/>
      <c r="C49" s="62"/>
      <c r="D49" s="62"/>
      <c r="E49" s="62"/>
      <c r="F49" s="62"/>
      <c r="G49" s="61"/>
      <c r="H49" s="17"/>
      <c r="I49" s="17"/>
      <c r="J49" s="17"/>
      <c r="K49" s="65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60"/>
    </row>
    <row r="50" spans="2:26" ht="15.75" x14ac:dyDescent="0.25">
      <c r="B50" s="59"/>
      <c r="C50" s="62"/>
      <c r="D50" s="62"/>
      <c r="E50" s="62"/>
      <c r="F50" s="62"/>
      <c r="G50" s="61"/>
      <c r="H50" s="17"/>
      <c r="I50" s="17"/>
      <c r="J50" s="17"/>
      <c r="K50" s="65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60"/>
    </row>
    <row r="51" spans="2:26" ht="15.75" x14ac:dyDescent="0.25">
      <c r="B51" s="59"/>
      <c r="C51" s="62"/>
      <c r="D51" s="62"/>
      <c r="E51" s="62"/>
      <c r="F51" s="62"/>
      <c r="G51" s="61"/>
      <c r="H51" s="17"/>
      <c r="I51" s="17"/>
      <c r="J51" s="17"/>
      <c r="K51" s="65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60"/>
    </row>
    <row r="52" spans="2:26" ht="15.75" x14ac:dyDescent="0.25">
      <c r="B52" s="59"/>
      <c r="C52" s="62"/>
      <c r="D52" s="62"/>
      <c r="E52" s="62"/>
      <c r="F52" s="62"/>
      <c r="G52" s="61"/>
      <c r="H52" s="17"/>
      <c r="I52" s="17"/>
      <c r="J52" s="17"/>
      <c r="K52" s="65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60"/>
    </row>
    <row r="53" spans="2:26" ht="15.75" x14ac:dyDescent="0.25">
      <c r="B53" s="59"/>
      <c r="C53" s="62"/>
      <c r="D53" s="62"/>
      <c r="E53" s="62"/>
      <c r="F53" s="62"/>
      <c r="G53" s="61"/>
      <c r="H53" s="17"/>
      <c r="I53" s="17"/>
      <c r="J53" s="17"/>
      <c r="K53" s="65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60"/>
    </row>
    <row r="54" spans="2:26" ht="15.75" x14ac:dyDescent="0.25">
      <c r="B54" s="59"/>
      <c r="C54" s="62"/>
      <c r="D54" s="62"/>
      <c r="E54" s="62"/>
      <c r="F54" s="62"/>
      <c r="G54" s="61"/>
      <c r="H54" s="17"/>
      <c r="I54" s="17"/>
      <c r="J54" s="17"/>
      <c r="K54" s="65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60"/>
    </row>
    <row r="55" spans="2:26" ht="15.75" x14ac:dyDescent="0.25">
      <c r="B55" s="59"/>
      <c r="C55" s="62"/>
      <c r="D55" s="62"/>
      <c r="E55" s="62"/>
      <c r="F55" s="62"/>
      <c r="G55" s="61"/>
      <c r="H55" s="17"/>
      <c r="I55" s="17"/>
      <c r="J55" s="17"/>
      <c r="K55" s="65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60"/>
    </row>
    <row r="56" spans="2:26" ht="20.25" thickBot="1" x14ac:dyDescent="0.35">
      <c r="B56" s="59"/>
      <c r="C56" s="305" t="s">
        <v>409</v>
      </c>
      <c r="D56" s="305"/>
      <c r="E56" s="305"/>
      <c r="F56" s="305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60"/>
    </row>
    <row r="57" spans="2:26" ht="15" customHeight="1" thickTop="1" x14ac:dyDescent="0.25">
      <c r="B57" s="59"/>
      <c r="C57" s="17"/>
      <c r="D57" s="17"/>
      <c r="E57" s="17"/>
      <c r="F57" s="17"/>
      <c r="G57" s="17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17"/>
      <c r="S57" s="17"/>
      <c r="T57" s="17"/>
      <c r="U57" s="17"/>
      <c r="V57" s="17"/>
      <c r="W57" s="17"/>
      <c r="X57" s="17"/>
      <c r="Y57" s="17"/>
      <c r="Z57" s="60"/>
    </row>
    <row r="58" spans="2:26" ht="15" customHeight="1" x14ac:dyDescent="0.25">
      <c r="B58" s="59"/>
      <c r="C58" s="68" t="s">
        <v>228</v>
      </c>
      <c r="D58" s="17" t="s">
        <v>410</v>
      </c>
      <c r="E58" s="17"/>
      <c r="F58" s="17"/>
      <c r="G58" s="17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17"/>
      <c r="S58" s="17"/>
      <c r="T58" s="17"/>
      <c r="U58" s="17"/>
      <c r="V58" s="17"/>
      <c r="W58" s="17"/>
      <c r="X58" s="17"/>
      <c r="Y58" s="17"/>
      <c r="Z58" s="60"/>
    </row>
    <row r="59" spans="2:26" ht="15" customHeight="1" x14ac:dyDescent="0.25">
      <c r="B59" s="59"/>
      <c r="C59" s="68" t="s">
        <v>229</v>
      </c>
      <c r="D59" s="17" t="s">
        <v>411</v>
      </c>
      <c r="E59" s="17"/>
      <c r="F59" s="17"/>
      <c r="G59" s="17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17"/>
      <c r="S59" s="17"/>
      <c r="T59" s="17"/>
      <c r="U59" s="17"/>
      <c r="V59" s="17"/>
      <c r="W59" s="17"/>
      <c r="X59" s="17"/>
      <c r="Y59" s="17"/>
      <c r="Z59" s="60"/>
    </row>
    <row r="60" spans="2:26" ht="15" customHeight="1" x14ac:dyDescent="0.25">
      <c r="B60" s="59"/>
      <c r="C60" s="68" t="s">
        <v>173</v>
      </c>
      <c r="D60" s="65" t="s">
        <v>412</v>
      </c>
      <c r="E60" s="17"/>
      <c r="F60" s="17"/>
      <c r="G60" s="17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17"/>
      <c r="S60" s="17"/>
      <c r="T60" s="17"/>
      <c r="U60" s="17"/>
      <c r="V60" s="17"/>
      <c r="W60" s="17"/>
      <c r="X60" s="17"/>
      <c r="Y60" s="17"/>
      <c r="Z60" s="60"/>
    </row>
    <row r="61" spans="2:26" ht="15" customHeight="1" x14ac:dyDescent="0.25">
      <c r="B61" s="59"/>
      <c r="C61" s="68" t="s">
        <v>413</v>
      </c>
      <c r="D61" s="65" t="s">
        <v>414</v>
      </c>
      <c r="E61" s="17"/>
      <c r="F61" s="17"/>
      <c r="G61" s="17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17"/>
      <c r="S61" s="17"/>
      <c r="T61" s="17"/>
      <c r="U61" s="17"/>
      <c r="V61" s="17"/>
      <c r="W61" s="17"/>
      <c r="X61" s="17"/>
      <c r="Y61" s="17"/>
      <c r="Z61" s="60"/>
    </row>
    <row r="62" spans="2:26" ht="15" customHeight="1" x14ac:dyDescent="0.25">
      <c r="B62" s="59"/>
      <c r="C62" s="68" t="s">
        <v>415</v>
      </c>
      <c r="D62" s="65" t="s">
        <v>416</v>
      </c>
      <c r="E62" s="17"/>
      <c r="F62" s="17"/>
      <c r="G62" s="17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17"/>
      <c r="S62" s="17"/>
      <c r="T62" s="17"/>
      <c r="U62" s="17"/>
      <c r="V62" s="17"/>
      <c r="W62" s="17"/>
      <c r="X62" s="17"/>
      <c r="Y62" s="17"/>
      <c r="Z62" s="60"/>
    </row>
    <row r="63" spans="2:26" x14ac:dyDescent="0.25">
      <c r="B63" s="59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69"/>
      <c r="R63" s="17"/>
      <c r="S63" s="17"/>
      <c r="T63" s="17"/>
      <c r="U63" s="17"/>
      <c r="V63" s="17"/>
      <c r="W63" s="17"/>
      <c r="X63" s="17"/>
      <c r="Y63" s="17"/>
      <c r="Z63" s="60"/>
    </row>
    <row r="64" spans="2:26" ht="20.25" thickBot="1" x14ac:dyDescent="0.35">
      <c r="B64" s="59"/>
      <c r="C64" s="305" t="s">
        <v>417</v>
      </c>
      <c r="D64" s="305"/>
      <c r="E64" s="305"/>
      <c r="F64" s="305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69"/>
      <c r="R64" s="17"/>
      <c r="S64" s="17"/>
      <c r="T64" s="17"/>
      <c r="U64" s="17"/>
      <c r="V64" s="17"/>
      <c r="W64" s="17"/>
      <c r="X64" s="17"/>
      <c r="Y64" s="17"/>
      <c r="Z64" s="60"/>
    </row>
    <row r="65" spans="2:26" ht="16.5" thickTop="1" x14ac:dyDescent="0.25">
      <c r="B65" s="59"/>
      <c r="C65" s="62" t="s">
        <v>418</v>
      </c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60"/>
    </row>
    <row r="66" spans="2:26" x14ac:dyDescent="0.25">
      <c r="B66" s="70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2"/>
    </row>
    <row r="74" spans="2:26" x14ac:dyDescent="0.25">
      <c r="D74" s="313"/>
      <c r="E74" s="313"/>
      <c r="F74" s="313"/>
      <c r="G74" s="313"/>
    </row>
  </sheetData>
  <sheetProtection algorithmName="SHA-512" hashValue="hY/lZ3GOegwfOl8NFOjk+B2/VkdnHn74/6M6GBGPkRaoDiGBQlogTeDqK+2/c6NTPfT7rbyJLVXdLiq57i35sg==" saltValue="sBCV56M2QbDr1ySpxpMtTw==" spinCount="100000" sheet="1" selectLockedCells="1" selectUnlockedCells="1"/>
  <mergeCells count="7">
    <mergeCell ref="C6:F6"/>
    <mergeCell ref="D74:G74"/>
    <mergeCell ref="C16:F16"/>
    <mergeCell ref="C18:E18"/>
    <mergeCell ref="C56:F56"/>
    <mergeCell ref="C64:F64"/>
    <mergeCell ref="C23:F23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2" r:id="rId4">
          <objectPr defaultSize="0" r:id="rId5">
            <anchor moveWithCells="1">
              <from>
                <xdr:col>5</xdr:col>
                <xdr:colOff>304800</xdr:colOff>
                <xdr:row>25</xdr:row>
                <xdr:rowOff>142875</xdr:rowOff>
              </from>
              <to>
                <xdr:col>11</xdr:col>
                <xdr:colOff>38100</xdr:colOff>
                <xdr:row>39</xdr:row>
                <xdr:rowOff>142875</xdr:rowOff>
              </to>
            </anchor>
          </objectPr>
        </oleObject>
      </mc:Choice>
      <mc:Fallback>
        <oleObject progId="Visio.Drawing.15" shapeId="7174" r:id="rId4"/>
      </mc:Fallback>
    </mc:AlternateContent>
    <mc:AlternateContent xmlns:mc="http://schemas.openxmlformats.org/markup-compatibility/2006">
      <mc:Choice Requires="x14">
        <oleObject progId="Visio.Drawing.15" shapeId="3" r:id="rId6">
          <objectPr defaultSize="0" autoPict="0" r:id="rId7">
            <anchor moveWithCells="1">
              <from>
                <xdr:col>5</xdr:col>
                <xdr:colOff>333375</xdr:colOff>
                <xdr:row>40</xdr:row>
                <xdr:rowOff>123825</xdr:rowOff>
              </from>
              <to>
                <xdr:col>11</xdr:col>
                <xdr:colOff>66675</xdr:colOff>
                <xdr:row>53</xdr:row>
                <xdr:rowOff>161925</xdr:rowOff>
              </to>
            </anchor>
          </objectPr>
        </oleObject>
      </mc:Choice>
      <mc:Fallback>
        <oleObject progId="Visio.Drawing.15" shapeId="7175" r:id="rId6"/>
      </mc:Fallback>
    </mc:AlternateContent>
    <mc:AlternateContent xmlns:mc="http://schemas.openxmlformats.org/markup-compatibility/2006">
      <mc:Choice Requires="x14">
        <oleObject progId="Visio.Drawing.15" shapeId="4" r:id="rId8">
          <objectPr defaultSize="0" autoPict="0" r:id="rId9">
            <anchor moveWithCells="1">
              <from>
                <xdr:col>15</xdr:col>
                <xdr:colOff>638175</xdr:colOff>
                <xdr:row>40</xdr:row>
                <xdr:rowOff>104775</xdr:rowOff>
              </from>
              <to>
                <xdr:col>21</xdr:col>
                <xdr:colOff>304800</xdr:colOff>
                <xdr:row>53</xdr:row>
                <xdr:rowOff>123825</xdr:rowOff>
              </to>
            </anchor>
          </objectPr>
        </oleObject>
      </mc:Choice>
      <mc:Fallback>
        <oleObject progId="Visio.Drawing.15" shapeId="7176" r:id="rId8"/>
      </mc:Fallback>
    </mc:AlternateContent>
    <mc:AlternateContent xmlns:mc="http://schemas.openxmlformats.org/markup-compatibility/2006">
      <mc:Choice Requires="x14">
        <oleObject progId="Visio.Drawing.15" shapeId="5" r:id="rId10">
          <objectPr defaultSize="0" autoPict="0" r:id="rId11">
            <anchor moveWithCells="1">
              <from>
                <xdr:col>15</xdr:col>
                <xdr:colOff>619125</xdr:colOff>
                <xdr:row>25</xdr:row>
                <xdr:rowOff>76200</xdr:rowOff>
              </from>
              <to>
                <xdr:col>21</xdr:col>
                <xdr:colOff>371475</xdr:colOff>
                <xdr:row>39</xdr:row>
                <xdr:rowOff>114300</xdr:rowOff>
              </to>
            </anchor>
          </objectPr>
        </oleObject>
      </mc:Choice>
      <mc:Fallback>
        <oleObject progId="Visio.Drawing.15" shapeId="7178" r:id="rId10"/>
      </mc:Fallback>
    </mc:AlternateContent>
    <mc:AlternateContent xmlns:mc="http://schemas.openxmlformats.org/markup-compatibility/2006">
      <mc:Choice Requires="x14">
        <oleObject progId="Visio.Drawing.15" shapeId="6" r:id="rId12">
          <objectPr defaultSize="0" r:id="rId13">
            <anchor moveWithCells="1">
              <from>
                <xdr:col>15</xdr:col>
                <xdr:colOff>314325</xdr:colOff>
                <xdr:row>13</xdr:row>
                <xdr:rowOff>142875</xdr:rowOff>
              </from>
              <to>
                <xdr:col>22</xdr:col>
                <xdr:colOff>142875</xdr:colOff>
                <xdr:row>23</xdr:row>
                <xdr:rowOff>85725</xdr:rowOff>
              </to>
            </anchor>
          </objectPr>
        </oleObject>
      </mc:Choice>
      <mc:Fallback>
        <oleObject progId="Visio.Drawing.15" shapeId="7180" r:id="rId12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B1:Z61"/>
  <sheetViews>
    <sheetView workbookViewId="0">
      <selection activeCell="E60" sqref="E60"/>
    </sheetView>
  </sheetViews>
  <sheetFormatPr defaultColWidth="9" defaultRowHeight="15" x14ac:dyDescent="0.25"/>
  <cols>
    <col min="2" max="2" width="3.42578125" customWidth="1"/>
    <col min="7" max="8" width="9" customWidth="1"/>
    <col min="14" max="14" width="1.85546875" customWidth="1"/>
    <col min="26" max="26" width="3.42578125" customWidth="1"/>
  </cols>
  <sheetData>
    <row r="1" spans="2:26" ht="13.5" customHeight="1" x14ac:dyDescent="0.25">
      <c r="B1" s="52"/>
      <c r="C1" s="53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5"/>
    </row>
    <row r="2" spans="2:26" ht="21" x14ac:dyDescent="0.35">
      <c r="B2" s="56"/>
      <c r="C2" s="32"/>
      <c r="D2" s="33" t="s">
        <v>0</v>
      </c>
      <c r="E2" s="31"/>
      <c r="F2" s="31"/>
      <c r="G2" s="31"/>
      <c r="H2" s="34"/>
      <c r="I2" s="34"/>
      <c r="J2" s="34"/>
      <c r="K2" s="34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57"/>
    </row>
    <row r="3" spans="2:26" ht="25.5" customHeight="1" x14ac:dyDescent="0.35">
      <c r="B3" s="56"/>
      <c r="C3" s="32"/>
      <c r="D3" s="35" t="s">
        <v>390</v>
      </c>
      <c r="E3" s="31"/>
      <c r="F3" s="31"/>
      <c r="G3" s="31"/>
      <c r="H3" s="34"/>
      <c r="I3" s="34"/>
      <c r="J3" s="34"/>
      <c r="K3" s="34"/>
      <c r="L3" s="31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57"/>
    </row>
    <row r="4" spans="2:26" ht="13.5" customHeight="1" x14ac:dyDescent="0.3">
      <c r="B4" s="56"/>
      <c r="C4" s="32"/>
      <c r="D4" s="36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58"/>
    </row>
    <row r="5" spans="2:26" ht="19.5" x14ac:dyDescent="0.3">
      <c r="B5" s="59"/>
      <c r="C5" s="73"/>
      <c r="D5" s="73"/>
      <c r="E5" s="73"/>
      <c r="F5" s="73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60"/>
    </row>
    <row r="6" spans="2:26" ht="20.25" thickBot="1" x14ac:dyDescent="0.35">
      <c r="B6" s="59"/>
      <c r="C6" s="305" t="s">
        <v>391</v>
      </c>
      <c r="D6" s="305"/>
      <c r="E6" s="305"/>
      <c r="F6" s="305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60"/>
    </row>
    <row r="7" spans="2:26" ht="20.25" thickTop="1" x14ac:dyDescent="0.3">
      <c r="B7" s="59"/>
      <c r="C7" s="73"/>
      <c r="D7" s="73"/>
      <c r="E7" s="73"/>
      <c r="F7" s="73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60"/>
    </row>
    <row r="8" spans="2:26" ht="19.5" x14ac:dyDescent="0.3">
      <c r="B8" s="59"/>
      <c r="C8" s="74" t="s">
        <v>419</v>
      </c>
      <c r="D8" s="73"/>
      <c r="E8" s="73"/>
      <c r="F8" s="73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60"/>
    </row>
    <row r="9" spans="2:26" ht="19.5" x14ac:dyDescent="0.3">
      <c r="B9" s="59"/>
      <c r="C9" s="73"/>
      <c r="D9" s="73"/>
      <c r="E9" s="73"/>
      <c r="F9" s="73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60"/>
    </row>
    <row r="10" spans="2:26" ht="19.5" x14ac:dyDescent="0.3">
      <c r="B10" s="59"/>
      <c r="C10" s="74" t="s">
        <v>393</v>
      </c>
      <c r="D10" s="73"/>
      <c r="E10" s="73"/>
      <c r="F10" s="73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60"/>
    </row>
    <row r="11" spans="2:26" ht="19.5" x14ac:dyDescent="0.3">
      <c r="B11" s="59"/>
      <c r="C11" s="74"/>
      <c r="D11" s="73"/>
      <c r="E11" s="73"/>
      <c r="F11" s="73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60"/>
    </row>
    <row r="12" spans="2:26" ht="19.5" x14ac:dyDescent="0.3">
      <c r="B12" s="59"/>
      <c r="C12" s="74" t="s">
        <v>394</v>
      </c>
      <c r="D12" s="73"/>
      <c r="E12" s="73"/>
      <c r="F12" s="73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60"/>
    </row>
    <row r="13" spans="2:26" ht="19.5" x14ac:dyDescent="0.3">
      <c r="B13" s="59"/>
      <c r="C13" s="73"/>
      <c r="D13" s="73"/>
      <c r="E13" s="73"/>
      <c r="F13" s="73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60"/>
    </row>
    <row r="14" spans="2:26" ht="19.5" x14ac:dyDescent="0.3">
      <c r="B14" s="59"/>
      <c r="C14" s="74" t="s">
        <v>395</v>
      </c>
      <c r="D14" s="73"/>
      <c r="E14" s="73"/>
      <c r="F14" s="73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60"/>
    </row>
    <row r="15" spans="2:26" ht="19.5" x14ac:dyDescent="0.3">
      <c r="B15" s="59"/>
      <c r="C15" s="73"/>
      <c r="D15" s="73"/>
      <c r="E15" s="73"/>
      <c r="F15" s="73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60"/>
    </row>
    <row r="16" spans="2:26" ht="20.25" thickBot="1" x14ac:dyDescent="0.35">
      <c r="B16" s="59"/>
      <c r="C16" s="305" t="s">
        <v>4</v>
      </c>
      <c r="D16" s="305"/>
      <c r="E16" s="305"/>
      <c r="F16" s="305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60"/>
    </row>
    <row r="17" spans="2:26" ht="15.75" thickTop="1" x14ac:dyDescent="0.25">
      <c r="B17" s="59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60"/>
    </row>
    <row r="18" spans="2:26" ht="18.75" x14ac:dyDescent="0.35">
      <c r="B18" s="59"/>
      <c r="C18" s="314" t="s">
        <v>396</v>
      </c>
      <c r="D18" s="314"/>
      <c r="E18" s="314"/>
      <c r="F18" s="61" t="s">
        <v>397</v>
      </c>
      <c r="G18" s="62" t="s">
        <v>398</v>
      </c>
      <c r="H18" s="63" t="s">
        <v>399</v>
      </c>
      <c r="I18" s="17"/>
      <c r="J18" s="17"/>
      <c r="K18" s="17"/>
      <c r="L18" s="17"/>
      <c r="M18" s="17"/>
      <c r="N18" s="17"/>
      <c r="O18" s="17" t="s">
        <v>400</v>
      </c>
      <c r="P18" s="17"/>
      <c r="Q18" s="18" t="s">
        <v>401</v>
      </c>
      <c r="R18" s="156" t="s">
        <v>402</v>
      </c>
      <c r="S18" s="17"/>
      <c r="T18" s="17"/>
      <c r="U18" s="17"/>
      <c r="V18" s="17"/>
      <c r="W18" s="17"/>
      <c r="X18" s="17"/>
      <c r="Y18" s="17"/>
      <c r="Z18" s="60"/>
    </row>
    <row r="19" spans="2:26" ht="18.75" x14ac:dyDescent="0.35">
      <c r="B19" s="59"/>
      <c r="C19" s="62"/>
      <c r="D19" s="62"/>
      <c r="E19" s="62"/>
      <c r="F19" s="62"/>
      <c r="G19" s="64" t="s">
        <v>403</v>
      </c>
      <c r="H19" s="17"/>
      <c r="I19" s="17"/>
      <c r="J19" s="17"/>
      <c r="K19" s="17"/>
      <c r="L19" s="17"/>
      <c r="M19" s="65"/>
      <c r="N19" s="65"/>
      <c r="O19" s="17"/>
      <c r="P19" s="17"/>
      <c r="Q19" s="17"/>
      <c r="R19" s="156" t="s">
        <v>404</v>
      </c>
      <c r="S19" s="17"/>
      <c r="T19" s="17"/>
      <c r="U19" s="17"/>
      <c r="V19" s="17"/>
      <c r="W19" s="17"/>
      <c r="X19" s="17"/>
      <c r="Y19" s="17"/>
      <c r="Z19" s="60"/>
    </row>
    <row r="20" spans="2:26" ht="18.75" x14ac:dyDescent="0.35">
      <c r="B20" s="59"/>
      <c r="C20" s="62"/>
      <c r="D20" s="62"/>
      <c r="E20" s="62"/>
      <c r="F20" s="62"/>
      <c r="G20" s="61" t="s">
        <v>405</v>
      </c>
      <c r="H20" s="17"/>
      <c r="I20" s="17"/>
      <c r="J20" s="17"/>
      <c r="K20" s="17"/>
      <c r="L20" s="17"/>
      <c r="M20" s="65"/>
      <c r="N20" s="65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60"/>
    </row>
    <row r="21" spans="2:26" ht="15.75" x14ac:dyDescent="0.25">
      <c r="B21" s="59"/>
      <c r="C21" s="62"/>
      <c r="D21" s="62"/>
      <c r="E21" s="62"/>
      <c r="F21" s="62"/>
      <c r="G21" s="61"/>
      <c r="H21" s="17"/>
      <c r="I21" s="17"/>
      <c r="J21" s="17"/>
      <c r="K21" s="17"/>
      <c r="L21" s="17"/>
      <c r="M21" s="65"/>
      <c r="N21" s="65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60"/>
    </row>
    <row r="22" spans="2:26" ht="20.25" thickBot="1" x14ac:dyDescent="0.35">
      <c r="B22" s="59"/>
      <c r="C22" s="305" t="s">
        <v>420</v>
      </c>
      <c r="D22" s="305"/>
      <c r="E22" s="305"/>
      <c r="F22" s="305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60"/>
    </row>
    <row r="23" spans="2:26" ht="15.75" thickTop="1" x14ac:dyDescent="0.25">
      <c r="B23" s="5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60"/>
    </row>
    <row r="24" spans="2:26" ht="15.75" x14ac:dyDescent="0.25">
      <c r="B24" s="59"/>
      <c r="C24" s="17"/>
      <c r="D24" s="66" t="str">
        <f>IF('LMC-ADequations'!B14=2,"For 2-Way Blow", "For 2-Way Blow (not selected)")</f>
        <v>For 2-Way Blow</v>
      </c>
      <c r="E24" s="17"/>
      <c r="F24" s="66">
        <f>'LMC-AD'!$E$9</f>
        <v>250</v>
      </c>
      <c r="G24" s="66" t="str">
        <f>'LMC-ADequations'!$D$3</f>
        <v>L/s/m</v>
      </c>
      <c r="H24" s="17"/>
      <c r="I24" s="17"/>
      <c r="J24" s="17"/>
      <c r="K24" s="17"/>
      <c r="L24" s="17"/>
      <c r="M24" s="17"/>
      <c r="N24" s="17"/>
      <c r="O24" s="17"/>
      <c r="P24" s="66" t="str">
        <f>IF('LMC-ADequations'!B14=1,"For 1-Way Blow", "For 1-Way Blow (not selected)")</f>
        <v>For 1-Way Blow (not selected)</v>
      </c>
      <c r="Q24" s="17"/>
      <c r="R24" s="17"/>
      <c r="S24" s="17"/>
      <c r="T24" s="66">
        <f>'LMC-AD'!$E$9</f>
        <v>250</v>
      </c>
      <c r="U24" s="66" t="str">
        <f>'LMC-ADequations'!$D$3</f>
        <v>L/s/m</v>
      </c>
      <c r="V24" s="17"/>
      <c r="W24" s="17"/>
      <c r="X24" s="17"/>
      <c r="Y24" s="17"/>
      <c r="Z24" s="60"/>
    </row>
    <row r="25" spans="2:26" x14ac:dyDescent="0.25">
      <c r="B25" s="59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60"/>
    </row>
    <row r="26" spans="2:26" x14ac:dyDescent="0.25">
      <c r="B26" s="59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17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60"/>
    </row>
    <row r="27" spans="2:26" x14ac:dyDescent="0.25">
      <c r="B27" s="59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17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60"/>
    </row>
    <row r="28" spans="2:26" x14ac:dyDescent="0.25">
      <c r="B28" s="59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17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60"/>
    </row>
    <row r="29" spans="2:26" x14ac:dyDescent="0.25">
      <c r="B29" s="59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17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60"/>
    </row>
    <row r="30" spans="2:26" x14ac:dyDescent="0.25">
      <c r="B30" s="59"/>
      <c r="C30" s="51"/>
      <c r="D30" s="51" t="s">
        <v>173</v>
      </c>
      <c r="E30" s="51" t="e">
        <f>ROUND('LMC-AD'!F62,1)&amp;" ≤ C ≤ "&amp;ROUND('LMC-AD'!#REF!,1)</f>
        <v>#VALUE!</v>
      </c>
      <c r="F30" s="51"/>
      <c r="G30" s="51"/>
      <c r="H30" s="51"/>
      <c r="I30" s="51"/>
      <c r="J30" s="51"/>
      <c r="K30" s="51"/>
      <c r="L30" s="51"/>
      <c r="M30" s="51"/>
      <c r="N30" s="17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60"/>
    </row>
    <row r="31" spans="2:26" x14ac:dyDescent="0.25">
      <c r="B31" s="59"/>
      <c r="C31" s="51"/>
      <c r="D31" s="51" t="s">
        <v>421</v>
      </c>
      <c r="E31" s="51" t="e">
        <f>ROUND('LMC-AD'!F62/2,1)&amp;" ≤ Cwall ≤ "&amp;ROUND('LMC-AD'!#REF!/2,1)</f>
        <v>#VALUE!</v>
      </c>
      <c r="F31" s="51"/>
      <c r="G31" s="51"/>
      <c r="H31" s="51"/>
      <c r="I31" s="51"/>
      <c r="J31" s="51"/>
      <c r="K31" s="51"/>
      <c r="L31" s="51"/>
      <c r="M31" s="51"/>
      <c r="N31" s="17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60"/>
    </row>
    <row r="32" spans="2:26" x14ac:dyDescent="0.25">
      <c r="B32" s="59"/>
      <c r="C32" s="51"/>
      <c r="D32" s="51" t="s">
        <v>422</v>
      </c>
      <c r="E32" s="51"/>
      <c r="F32" s="51"/>
      <c r="G32" s="51"/>
      <c r="H32" s="51"/>
      <c r="I32" s="51"/>
      <c r="J32" s="51"/>
      <c r="K32" s="51"/>
      <c r="L32" s="51"/>
      <c r="M32" s="51"/>
      <c r="N32" s="17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60"/>
    </row>
    <row r="33" spans="2:26" x14ac:dyDescent="0.25">
      <c r="B33" s="59"/>
      <c r="C33" s="51"/>
      <c r="D33" s="51" t="s">
        <v>423</v>
      </c>
      <c r="E33" s="51"/>
      <c r="F33" s="51"/>
      <c r="G33" s="51"/>
      <c r="H33" s="51"/>
      <c r="I33" s="51"/>
      <c r="J33" s="51"/>
      <c r="K33" s="51"/>
      <c r="L33" s="51"/>
      <c r="M33" s="51"/>
      <c r="N33" s="17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60"/>
    </row>
    <row r="34" spans="2:26" x14ac:dyDescent="0.25">
      <c r="B34" s="59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17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60"/>
    </row>
    <row r="35" spans="2:26" x14ac:dyDescent="0.25">
      <c r="B35" s="59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17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60"/>
    </row>
    <row r="36" spans="2:26" x14ac:dyDescent="0.25">
      <c r="B36" s="59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17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60"/>
    </row>
    <row r="37" spans="2:26" x14ac:dyDescent="0.25">
      <c r="B37" s="59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17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60"/>
    </row>
    <row r="38" spans="2:26" x14ac:dyDescent="0.25">
      <c r="B38" s="59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17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60"/>
    </row>
    <row r="39" spans="2:26" x14ac:dyDescent="0.25">
      <c r="B39" s="59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17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60"/>
    </row>
    <row r="40" spans="2:26" x14ac:dyDescent="0.25">
      <c r="B40" s="59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17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60"/>
    </row>
    <row r="41" spans="2:26" x14ac:dyDescent="0.25">
      <c r="B41" s="59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17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60"/>
    </row>
    <row r="42" spans="2:26" x14ac:dyDescent="0.25">
      <c r="B42" s="59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17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60"/>
    </row>
    <row r="43" spans="2:26" x14ac:dyDescent="0.25">
      <c r="B43" s="59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67" t="s">
        <v>424</v>
      </c>
      <c r="W43" s="17"/>
      <c r="X43" s="17"/>
      <c r="Y43" s="17"/>
      <c r="Z43" s="60"/>
    </row>
    <row r="44" spans="2:26" ht="20.25" thickBot="1" x14ac:dyDescent="0.35">
      <c r="B44" s="59"/>
      <c r="C44" s="305" t="s">
        <v>409</v>
      </c>
      <c r="D44" s="305"/>
      <c r="E44" s="305"/>
      <c r="F44" s="305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60"/>
    </row>
    <row r="45" spans="2:26" ht="15" customHeight="1" thickTop="1" x14ac:dyDescent="0.25">
      <c r="B45" s="59"/>
      <c r="C45" s="17"/>
      <c r="D45" s="17"/>
      <c r="E45" s="17"/>
      <c r="F45" s="17"/>
      <c r="G45" s="17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17"/>
      <c r="S45" s="17"/>
      <c r="T45" s="17"/>
      <c r="U45" s="17"/>
      <c r="V45" s="17"/>
      <c r="W45" s="17"/>
      <c r="X45" s="17"/>
      <c r="Y45" s="17"/>
      <c r="Z45" s="60"/>
    </row>
    <row r="46" spans="2:26" ht="15" customHeight="1" x14ac:dyDescent="0.25">
      <c r="B46" s="59"/>
      <c r="C46" s="68" t="s">
        <v>228</v>
      </c>
      <c r="D46" s="17" t="s">
        <v>410</v>
      </c>
      <c r="E46" s="17"/>
      <c r="F46" s="17"/>
      <c r="G46" s="17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17"/>
      <c r="S46" s="17"/>
      <c r="T46" s="17"/>
      <c r="U46" s="17"/>
      <c r="V46" s="17"/>
      <c r="W46" s="17"/>
      <c r="X46" s="17"/>
      <c r="Y46" s="17"/>
      <c r="Z46" s="60"/>
    </row>
    <row r="47" spans="2:26" ht="15" customHeight="1" x14ac:dyDescent="0.25">
      <c r="B47" s="59"/>
      <c r="C47" s="68" t="s">
        <v>229</v>
      </c>
      <c r="D47" s="17" t="s">
        <v>411</v>
      </c>
      <c r="E47" s="17"/>
      <c r="F47" s="17"/>
      <c r="G47" s="17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17"/>
      <c r="S47" s="17"/>
      <c r="T47" s="17"/>
      <c r="U47" s="17"/>
      <c r="V47" s="17"/>
      <c r="W47" s="17"/>
      <c r="X47" s="17"/>
      <c r="Y47" s="17"/>
      <c r="Z47" s="60"/>
    </row>
    <row r="48" spans="2:26" ht="15" customHeight="1" x14ac:dyDescent="0.25">
      <c r="B48" s="59"/>
      <c r="C48" s="68" t="s">
        <v>173</v>
      </c>
      <c r="D48" s="65" t="s">
        <v>412</v>
      </c>
      <c r="E48" s="17"/>
      <c r="F48" s="17"/>
      <c r="G48" s="17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17"/>
      <c r="S48" s="17"/>
      <c r="T48" s="17"/>
      <c r="U48" s="17"/>
      <c r="V48" s="17"/>
      <c r="W48" s="17"/>
      <c r="X48" s="17"/>
      <c r="Y48" s="17"/>
      <c r="Z48" s="60"/>
    </row>
    <row r="49" spans="2:26" ht="15" customHeight="1" x14ac:dyDescent="0.25">
      <c r="B49" s="59"/>
      <c r="C49" s="68" t="s">
        <v>413</v>
      </c>
      <c r="D49" s="65" t="s">
        <v>414</v>
      </c>
      <c r="E49" s="17"/>
      <c r="F49" s="17"/>
      <c r="G49" s="17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17"/>
      <c r="S49" s="17"/>
      <c r="T49" s="17"/>
      <c r="U49" s="17"/>
      <c r="V49" s="17"/>
      <c r="W49" s="17"/>
      <c r="X49" s="17"/>
      <c r="Y49" s="17"/>
      <c r="Z49" s="60"/>
    </row>
    <row r="50" spans="2:26" x14ac:dyDescent="0.25">
      <c r="B50" s="59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69"/>
      <c r="R50" s="17"/>
      <c r="S50" s="17"/>
      <c r="T50" s="17"/>
      <c r="U50" s="17"/>
      <c r="V50" s="17"/>
      <c r="W50" s="17"/>
      <c r="X50" s="17"/>
      <c r="Y50" s="17"/>
      <c r="Z50" s="60"/>
    </row>
    <row r="51" spans="2:26" ht="20.25" thickBot="1" x14ac:dyDescent="0.35">
      <c r="B51" s="59"/>
      <c r="C51" s="305" t="s">
        <v>417</v>
      </c>
      <c r="D51" s="305"/>
      <c r="E51" s="305"/>
      <c r="F51" s="305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69"/>
      <c r="R51" s="17"/>
      <c r="S51" s="17"/>
      <c r="T51" s="17"/>
      <c r="U51" s="17"/>
      <c r="V51" s="17"/>
      <c r="W51" s="17"/>
      <c r="X51" s="17"/>
      <c r="Y51" s="17"/>
      <c r="Z51" s="60"/>
    </row>
    <row r="52" spans="2:26" ht="16.5" thickTop="1" x14ac:dyDescent="0.25">
      <c r="B52" s="59"/>
      <c r="C52" s="62" t="s">
        <v>418</v>
      </c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60"/>
    </row>
    <row r="53" spans="2:26" x14ac:dyDescent="0.25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2"/>
    </row>
    <row r="61" spans="2:26" x14ac:dyDescent="0.25">
      <c r="D61" s="313"/>
      <c r="E61" s="313"/>
      <c r="F61" s="313"/>
      <c r="G61" s="313"/>
    </row>
  </sheetData>
  <sheetProtection selectLockedCells="1" selectUnlockedCells="1"/>
  <mergeCells count="7">
    <mergeCell ref="D61:G61"/>
    <mergeCell ref="C6:F6"/>
    <mergeCell ref="C16:F16"/>
    <mergeCell ref="C18:E18"/>
    <mergeCell ref="C22:F22"/>
    <mergeCell ref="C44:F44"/>
    <mergeCell ref="C51:F51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9A74BE2-6FB8-4842-8C91-AC144344AB11}">
            <xm:f>'LMC-ADequations'!$B$14=1</xm:f>
            <x14:dxf>
              <font>
                <color theme="1" tint="0.499984740745262"/>
              </font>
            </x14:dxf>
          </x14:cfRule>
          <xm:sqref>D24</xm:sqref>
        </x14:conditionalFormatting>
        <x14:conditionalFormatting xmlns:xm="http://schemas.microsoft.com/office/excel/2006/main">
          <x14:cfRule type="expression" priority="1" id="{D7528AAD-2B56-446C-BF83-173D8350D683}">
            <xm:f>'LMC-ADequations'!$B$14=2</xm:f>
            <x14:dxf>
              <font>
                <color theme="1" tint="0.499984740745262"/>
              </font>
            </x14:dxf>
          </x14:cfRule>
          <xm:sqref>P24 T24:U24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1:Y34"/>
  <sheetViews>
    <sheetView workbookViewId="0">
      <selection activeCell="K25" sqref="K25"/>
    </sheetView>
  </sheetViews>
  <sheetFormatPr defaultRowHeight="15" x14ac:dyDescent="0.25"/>
  <cols>
    <col min="9" max="9" width="9" customWidth="1"/>
    <col min="10" max="10" width="23.42578125" customWidth="1"/>
  </cols>
  <sheetData>
    <row r="1" spans="2:25" x14ac:dyDescent="0.25">
      <c r="B1" s="52"/>
      <c r="C1" s="53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5"/>
    </row>
    <row r="2" spans="2:25" ht="21" x14ac:dyDescent="0.35">
      <c r="B2" s="56"/>
      <c r="C2" s="32"/>
      <c r="D2" s="33" t="s">
        <v>0</v>
      </c>
      <c r="E2" s="31"/>
      <c r="F2" s="31"/>
      <c r="G2" s="31"/>
      <c r="H2" s="34"/>
      <c r="I2" s="34"/>
      <c r="J2" s="34"/>
      <c r="K2" s="34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57"/>
    </row>
    <row r="3" spans="2:25" ht="21" x14ac:dyDescent="0.35">
      <c r="B3" s="56"/>
      <c r="C3" s="32"/>
      <c r="D3" s="35" t="s">
        <v>425</v>
      </c>
      <c r="E3" s="31"/>
      <c r="F3" s="31"/>
      <c r="G3" s="31"/>
      <c r="H3" s="34"/>
      <c r="I3" s="34"/>
      <c r="J3" s="34"/>
      <c r="K3" s="34"/>
      <c r="L3" s="31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57"/>
    </row>
    <row r="4" spans="2:25" ht="22.5" x14ac:dyDescent="0.3">
      <c r="B4" s="56"/>
      <c r="C4" s="32"/>
      <c r="D4" s="36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58"/>
    </row>
    <row r="5" spans="2:25" ht="19.5" x14ac:dyDescent="0.3">
      <c r="B5" s="59"/>
      <c r="C5" s="73"/>
      <c r="D5" s="73"/>
      <c r="E5" s="73"/>
      <c r="F5" s="73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60"/>
    </row>
    <row r="6" spans="2:25" ht="20.25" thickBot="1" x14ac:dyDescent="0.35">
      <c r="B6" s="59"/>
      <c r="C6" s="305" t="s">
        <v>426</v>
      </c>
      <c r="D6" s="305"/>
      <c r="E6" s="305"/>
      <c r="F6" s="305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60"/>
    </row>
    <row r="7" spans="2:25" ht="20.25" thickTop="1" x14ac:dyDescent="0.3">
      <c r="B7" s="59"/>
      <c r="C7" s="73"/>
      <c r="D7" s="73"/>
      <c r="E7" s="73"/>
      <c r="F7" s="73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60"/>
    </row>
    <row r="8" spans="2:25" ht="19.5" x14ac:dyDescent="0.3">
      <c r="B8" s="59"/>
      <c r="C8" s="74"/>
      <c r="D8" s="73"/>
      <c r="E8" s="73"/>
      <c r="F8" s="73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60"/>
    </row>
    <row r="9" spans="2:25" ht="19.5" x14ac:dyDescent="0.3">
      <c r="B9" s="59"/>
      <c r="C9" s="73"/>
      <c r="D9" s="73"/>
      <c r="E9" s="73"/>
      <c r="F9" s="73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60"/>
    </row>
    <row r="10" spans="2:25" ht="19.5" x14ac:dyDescent="0.3">
      <c r="B10" s="59"/>
      <c r="C10" s="74"/>
      <c r="D10" s="73"/>
      <c r="E10" s="73"/>
      <c r="F10" s="73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60"/>
    </row>
    <row r="11" spans="2:25" ht="19.5" x14ac:dyDescent="0.3">
      <c r="B11" s="59"/>
      <c r="C11" s="74"/>
      <c r="D11" s="73"/>
      <c r="E11" s="73"/>
      <c r="F11" s="73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60"/>
    </row>
    <row r="12" spans="2:25" ht="19.5" x14ac:dyDescent="0.3">
      <c r="B12" s="59"/>
      <c r="C12" s="74"/>
      <c r="D12" s="73"/>
      <c r="E12" s="73"/>
      <c r="F12" s="73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60"/>
    </row>
    <row r="13" spans="2:25" ht="19.5" x14ac:dyDescent="0.3">
      <c r="B13" s="59"/>
      <c r="C13" s="73"/>
      <c r="D13" s="73"/>
      <c r="E13" s="73"/>
      <c r="F13" s="73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60"/>
    </row>
    <row r="14" spans="2:25" ht="19.5" x14ac:dyDescent="0.3">
      <c r="B14" s="59"/>
      <c r="C14" s="74"/>
      <c r="D14" s="73"/>
      <c r="E14" s="73"/>
      <c r="F14" s="73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60"/>
    </row>
    <row r="15" spans="2:25" ht="19.5" x14ac:dyDescent="0.3">
      <c r="B15" s="59"/>
      <c r="C15" s="73"/>
      <c r="D15" s="73"/>
      <c r="E15" s="73"/>
      <c r="F15" s="73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60"/>
    </row>
    <row r="16" spans="2:25" ht="19.5" x14ac:dyDescent="0.3">
      <c r="B16" s="59"/>
      <c r="C16" s="74"/>
      <c r="D16" s="73"/>
      <c r="E16" s="73"/>
      <c r="F16" s="73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60"/>
    </row>
    <row r="17" spans="2:25" ht="19.5" x14ac:dyDescent="0.3">
      <c r="B17" s="59"/>
      <c r="C17" s="73"/>
      <c r="D17" s="73"/>
      <c r="E17" s="73"/>
      <c r="F17" s="73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60"/>
    </row>
    <row r="18" spans="2:25" ht="19.5" x14ac:dyDescent="0.3">
      <c r="B18" s="59"/>
      <c r="C18" s="74"/>
      <c r="D18" s="73"/>
      <c r="E18" s="73"/>
      <c r="F18" s="73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60"/>
    </row>
    <row r="19" spans="2:25" ht="19.5" x14ac:dyDescent="0.3">
      <c r="B19" s="59"/>
      <c r="C19" s="74"/>
      <c r="D19" s="73"/>
      <c r="E19" s="73"/>
      <c r="F19" s="73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60"/>
    </row>
    <row r="20" spans="2:25" ht="19.5" x14ac:dyDescent="0.3">
      <c r="B20" s="59"/>
      <c r="C20" s="74"/>
      <c r="D20" s="73"/>
      <c r="E20" s="73"/>
      <c r="F20" s="73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60"/>
    </row>
    <row r="21" spans="2:25" ht="19.5" x14ac:dyDescent="0.3">
      <c r="B21" s="59"/>
      <c r="C21" s="73"/>
      <c r="D21" s="73"/>
      <c r="E21" s="73"/>
      <c r="F21" s="73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60"/>
    </row>
    <row r="22" spans="2:25" ht="19.5" x14ac:dyDescent="0.3">
      <c r="B22" s="59"/>
      <c r="C22" s="74"/>
      <c r="D22" s="73"/>
      <c r="E22" s="73"/>
      <c r="F22" s="73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60"/>
    </row>
    <row r="23" spans="2:25" ht="19.5" x14ac:dyDescent="0.3">
      <c r="B23" s="59"/>
      <c r="C23" s="73"/>
      <c r="D23" s="73"/>
      <c r="E23" s="73"/>
      <c r="F23" s="73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60"/>
    </row>
    <row r="24" spans="2:25" ht="19.5" x14ac:dyDescent="0.3">
      <c r="B24" s="59"/>
      <c r="C24" s="74"/>
      <c r="D24" s="73"/>
      <c r="E24" s="73"/>
      <c r="F24" s="73"/>
      <c r="G24" s="17"/>
      <c r="H24" s="17"/>
      <c r="I24" s="89"/>
      <c r="J24" s="90"/>
      <c r="K24" s="90"/>
      <c r="L24" s="91"/>
      <c r="M24" s="92" t="s">
        <v>57</v>
      </c>
      <c r="N24" s="92" t="s">
        <v>58</v>
      </c>
      <c r="O24" s="92" t="s">
        <v>59</v>
      </c>
      <c r="P24" s="92" t="s">
        <v>60</v>
      </c>
      <c r="Q24" s="92" t="s">
        <v>61</v>
      </c>
      <c r="R24" s="92" t="s">
        <v>62</v>
      </c>
      <c r="S24" s="92" t="s">
        <v>63</v>
      </c>
      <c r="T24" s="92" t="s">
        <v>64</v>
      </c>
      <c r="U24" s="17"/>
      <c r="V24" s="17"/>
      <c r="W24" s="17"/>
      <c r="X24" s="17"/>
      <c r="Y24" s="60"/>
    </row>
    <row r="25" spans="2:25" ht="20.25" customHeight="1" x14ac:dyDescent="0.3">
      <c r="B25" s="59"/>
      <c r="C25" s="73"/>
      <c r="D25" s="73"/>
      <c r="E25" s="73"/>
      <c r="F25" s="73"/>
      <c r="G25" s="17"/>
      <c r="H25" s="100" t="s">
        <v>427</v>
      </c>
      <c r="I25" s="98"/>
      <c r="J25" s="98"/>
      <c r="K25" s="98"/>
      <c r="L25" s="98"/>
      <c r="M25" s="93">
        <v>31</v>
      </c>
      <c r="N25" s="93">
        <v>59</v>
      </c>
      <c r="O25" s="93">
        <v>87</v>
      </c>
      <c r="P25" s="93">
        <v>115</v>
      </c>
      <c r="Q25" s="93">
        <v>143</v>
      </c>
      <c r="R25" s="93">
        <v>171</v>
      </c>
      <c r="S25" s="93">
        <v>199</v>
      </c>
      <c r="T25" s="93">
        <v>227</v>
      </c>
      <c r="U25" s="215" t="s">
        <v>189</v>
      </c>
      <c r="V25" s="17"/>
      <c r="W25" s="17"/>
      <c r="X25" s="17"/>
      <c r="Y25" s="60"/>
    </row>
    <row r="26" spans="2:25" ht="20.25" customHeight="1" x14ac:dyDescent="0.3">
      <c r="B26" s="59"/>
      <c r="C26" s="74"/>
      <c r="D26" s="73"/>
      <c r="E26" s="88"/>
      <c r="F26" s="73"/>
      <c r="G26" s="73"/>
      <c r="H26" s="98" t="s">
        <v>428</v>
      </c>
      <c r="I26" s="17"/>
      <c r="J26" s="98"/>
      <c r="K26" s="98"/>
      <c r="L26" s="99"/>
      <c r="M26" s="94">
        <v>48</v>
      </c>
      <c r="N26" s="94">
        <v>76</v>
      </c>
      <c r="O26" s="94">
        <v>104</v>
      </c>
      <c r="P26" s="94">
        <v>132</v>
      </c>
      <c r="Q26" s="94">
        <v>160</v>
      </c>
      <c r="R26" s="94">
        <v>188</v>
      </c>
      <c r="S26" s="94">
        <v>216</v>
      </c>
      <c r="T26" s="94">
        <v>244</v>
      </c>
      <c r="U26" s="215" t="s">
        <v>189</v>
      </c>
      <c r="V26" s="17"/>
      <c r="W26" s="17"/>
      <c r="X26" s="17"/>
      <c r="Y26" s="60"/>
    </row>
    <row r="27" spans="2:25" ht="20.25" customHeight="1" x14ac:dyDescent="0.3">
      <c r="B27" s="59"/>
      <c r="C27" s="74"/>
      <c r="D27" s="73"/>
      <c r="E27" s="24"/>
      <c r="F27" s="24"/>
      <c r="G27" s="24"/>
      <c r="H27" s="98" t="s">
        <v>429</v>
      </c>
      <c r="I27" s="17"/>
      <c r="J27" s="98"/>
      <c r="K27" s="98"/>
      <c r="L27" s="99"/>
      <c r="M27" s="94">
        <v>27</v>
      </c>
      <c r="N27" s="94">
        <v>55</v>
      </c>
      <c r="O27" s="94">
        <v>83</v>
      </c>
      <c r="P27" s="94">
        <v>111</v>
      </c>
      <c r="Q27" s="94">
        <v>139</v>
      </c>
      <c r="R27" s="94">
        <v>167</v>
      </c>
      <c r="S27" s="94">
        <v>195</v>
      </c>
      <c r="T27" s="94">
        <v>223</v>
      </c>
      <c r="U27" s="215" t="s">
        <v>189</v>
      </c>
      <c r="V27" s="17"/>
      <c r="W27" s="17"/>
      <c r="X27" s="17"/>
      <c r="Y27" s="60"/>
    </row>
    <row r="28" spans="2:25" ht="20.25" customHeight="1" x14ac:dyDescent="0.3">
      <c r="B28" s="59"/>
      <c r="C28" s="74"/>
      <c r="D28" s="73"/>
      <c r="E28" s="24"/>
      <c r="F28" s="24"/>
      <c r="G28" s="24"/>
      <c r="H28" s="98" t="s">
        <v>430</v>
      </c>
      <c r="I28" s="17"/>
      <c r="J28" s="98"/>
      <c r="K28" s="98"/>
      <c r="L28" s="99"/>
      <c r="M28" s="316" t="s">
        <v>431</v>
      </c>
      <c r="N28" s="317"/>
      <c r="O28" s="317"/>
      <c r="P28" s="317"/>
      <c r="Q28" s="317"/>
      <c r="R28" s="317"/>
      <c r="S28" s="317"/>
      <c r="T28" s="318"/>
      <c r="U28" s="215" t="s">
        <v>189</v>
      </c>
      <c r="V28" s="17"/>
      <c r="W28" s="17"/>
      <c r="X28" s="17"/>
      <c r="Y28" s="60"/>
    </row>
    <row r="29" spans="2:25" ht="20.25" customHeight="1" x14ac:dyDescent="0.3">
      <c r="B29" s="59"/>
      <c r="C29" s="74"/>
      <c r="D29" s="73"/>
      <c r="E29" s="24"/>
      <c r="F29" s="24"/>
      <c r="G29" s="24"/>
      <c r="H29" s="98" t="s">
        <v>432</v>
      </c>
      <c r="I29" s="17"/>
      <c r="J29" s="98"/>
      <c r="K29" s="98"/>
      <c r="L29" s="99"/>
      <c r="M29" s="94">
        <v>81</v>
      </c>
      <c r="N29" s="94">
        <v>109</v>
      </c>
      <c r="O29" s="94">
        <v>137</v>
      </c>
      <c r="P29" s="94">
        <v>165</v>
      </c>
      <c r="Q29" s="94">
        <v>193</v>
      </c>
      <c r="R29" s="94">
        <v>221</v>
      </c>
      <c r="S29" s="94">
        <v>249</v>
      </c>
      <c r="T29" s="94">
        <v>277</v>
      </c>
      <c r="U29" s="215" t="s">
        <v>189</v>
      </c>
      <c r="V29" s="17"/>
      <c r="W29" s="17"/>
      <c r="X29" s="17"/>
      <c r="Y29" s="60"/>
    </row>
    <row r="30" spans="2:25" ht="20.25" customHeight="1" x14ac:dyDescent="0.3">
      <c r="B30" s="59"/>
      <c r="C30" s="74"/>
      <c r="D30" s="73"/>
      <c r="E30" s="24"/>
      <c r="F30" s="24"/>
      <c r="G30" s="24"/>
      <c r="H30" s="98" t="s">
        <v>433</v>
      </c>
      <c r="I30" s="17"/>
      <c r="J30" s="98"/>
      <c r="K30" s="98"/>
      <c r="L30" s="99"/>
      <c r="M30" s="94">
        <v>124</v>
      </c>
      <c r="N30" s="94">
        <v>179</v>
      </c>
      <c r="O30" s="94">
        <v>224</v>
      </c>
      <c r="P30" s="94">
        <v>249</v>
      </c>
      <c r="Q30" s="94">
        <v>299</v>
      </c>
      <c r="R30" s="94">
        <v>299</v>
      </c>
      <c r="S30" s="94">
        <v>314</v>
      </c>
      <c r="T30" s="94">
        <v>349</v>
      </c>
      <c r="U30" s="215" t="s">
        <v>189</v>
      </c>
      <c r="V30" s="17"/>
      <c r="W30" s="17"/>
      <c r="X30" s="17"/>
      <c r="Y30" s="60"/>
    </row>
    <row r="31" spans="2:25" ht="20.25" customHeight="1" x14ac:dyDescent="0.3">
      <c r="B31" s="59"/>
      <c r="C31" s="74"/>
      <c r="D31" s="73"/>
      <c r="E31" s="24"/>
      <c r="F31" s="24"/>
      <c r="G31" s="24"/>
      <c r="H31" s="98" t="s">
        <v>434</v>
      </c>
      <c r="I31" s="17"/>
      <c r="J31" s="98"/>
      <c r="K31" s="98"/>
      <c r="L31" s="99"/>
      <c r="M31" s="94">
        <v>149</v>
      </c>
      <c r="N31" s="94">
        <v>199</v>
      </c>
      <c r="O31" s="94">
        <v>224</v>
      </c>
      <c r="P31" s="94">
        <v>299</v>
      </c>
      <c r="Q31" s="94">
        <v>299</v>
      </c>
      <c r="R31" s="94">
        <v>314</v>
      </c>
      <c r="S31" s="94">
        <v>349</v>
      </c>
      <c r="T31" s="94">
        <v>399</v>
      </c>
      <c r="U31" s="215" t="s">
        <v>189</v>
      </c>
      <c r="V31" s="17"/>
      <c r="W31" s="17"/>
      <c r="X31" s="17"/>
      <c r="Y31" s="60"/>
    </row>
    <row r="32" spans="2:25" ht="20.25" customHeight="1" x14ac:dyDescent="0.3">
      <c r="B32" s="59"/>
      <c r="C32" s="74"/>
      <c r="D32" s="73"/>
      <c r="E32" s="24"/>
      <c r="F32" s="24"/>
      <c r="G32" s="24"/>
      <c r="H32" s="101" t="s">
        <v>435</v>
      </c>
      <c r="I32" s="89"/>
      <c r="J32" s="101"/>
      <c r="K32" s="101"/>
      <c r="L32" s="102"/>
      <c r="M32" s="95">
        <v>149</v>
      </c>
      <c r="N32" s="95">
        <v>224</v>
      </c>
      <c r="O32" s="95">
        <v>249</v>
      </c>
      <c r="P32" s="95">
        <v>299</v>
      </c>
      <c r="Q32" s="95">
        <v>314</v>
      </c>
      <c r="R32" s="95">
        <v>349</v>
      </c>
      <c r="S32" s="95">
        <v>399</v>
      </c>
      <c r="T32" s="95" t="s">
        <v>436</v>
      </c>
      <c r="U32" s="215" t="s">
        <v>189</v>
      </c>
      <c r="V32" s="17"/>
      <c r="W32" s="17"/>
      <c r="X32" s="17"/>
      <c r="Y32" s="60"/>
    </row>
    <row r="33" spans="2:25" ht="19.5" x14ac:dyDescent="0.3">
      <c r="B33" s="59"/>
      <c r="C33" s="74"/>
      <c r="D33" s="73"/>
      <c r="E33" s="24"/>
      <c r="F33" s="24"/>
      <c r="G33" s="24"/>
      <c r="H33" s="24"/>
      <c r="I33" s="17"/>
      <c r="J33" s="24"/>
      <c r="K33" s="24"/>
      <c r="L33" s="135" t="s">
        <v>98</v>
      </c>
      <c r="M33" s="230" t="s">
        <v>437</v>
      </c>
      <c r="N33" s="96"/>
      <c r="O33" s="96"/>
      <c r="P33" s="96"/>
      <c r="Q33" s="96"/>
      <c r="R33" s="96"/>
      <c r="S33" s="96"/>
      <c r="T33" s="18"/>
      <c r="U33" s="17"/>
      <c r="V33" s="17"/>
      <c r="W33" s="17"/>
      <c r="X33" s="17"/>
      <c r="Y33" s="60"/>
    </row>
    <row r="34" spans="2:25" ht="19.5" x14ac:dyDescent="0.3">
      <c r="B34" s="70"/>
      <c r="C34" s="97"/>
      <c r="D34" s="97"/>
      <c r="E34" s="315"/>
      <c r="F34" s="315"/>
      <c r="G34" s="315"/>
      <c r="H34" s="315"/>
      <c r="I34" s="71"/>
      <c r="J34" s="71"/>
      <c r="K34" s="71"/>
      <c r="L34" s="267" t="s">
        <v>98</v>
      </c>
      <c r="M34" s="266" t="s">
        <v>438</v>
      </c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2"/>
    </row>
  </sheetData>
  <sheetProtection algorithmName="SHA-512" hashValue="lLblh8mCieaF4J0anx34O/uNGzu6WhDsmtPN2TdPd8m1Fo95pH+YIUp7ogUW9VJte/34Eyhrstjn8BQQ6eLhbg==" saltValue="6fdcwFbwnf4HwUVRtyIstw==" spinCount="100000" sheet="1" selectLockedCells="1"/>
  <mergeCells count="3">
    <mergeCell ref="E34:H34"/>
    <mergeCell ref="C6:F6"/>
    <mergeCell ref="M28:T28"/>
  </mergeCells>
  <phoneticPr fontId="66" type="noConversion"/>
  <conditionalFormatting sqref="M24:M32 R29:T32 N29:N33">
    <cfRule type="expression" dxfId="3" priority="48">
      <formula>OR(#REF!&gt;#REF!,#REF!&lt;#REF!)</formula>
    </cfRule>
  </conditionalFormatting>
  <conditionalFormatting sqref="N24:T27 H26:H32 O29:Q34 J33:J34">
    <cfRule type="expression" dxfId="2" priority="47">
      <formula>OR(#REF!&gt;#REF!,#REF!&lt;#REF!)</formula>
    </cfRule>
  </conditionalFormatting>
  <conditionalFormatting sqref="R33:S34">
    <cfRule type="expression" dxfId="1" priority="52">
      <formula>OR(#REF!&gt;#REF!,#REF!&lt;#REF!)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D14"/>
  <sheetViews>
    <sheetView topLeftCell="A10" zoomScale="130" zoomScaleNormal="130" workbookViewId="0">
      <selection activeCell="B12" sqref="B12"/>
    </sheetView>
  </sheetViews>
  <sheetFormatPr defaultRowHeight="15" x14ac:dyDescent="0.25"/>
  <cols>
    <col min="1" max="1" width="46.42578125" style="167" customWidth="1"/>
    <col min="2" max="2" width="51.42578125" customWidth="1"/>
    <col min="3" max="3" width="22" customWidth="1"/>
    <col min="4" max="4" width="22.140625" customWidth="1"/>
  </cols>
  <sheetData>
    <row r="1" spans="1:4" ht="166.35" customHeight="1" x14ac:dyDescent="0.25">
      <c r="A1" s="19"/>
    </row>
    <row r="2" spans="1:4" ht="166.35" customHeight="1" x14ac:dyDescent="0.25">
      <c r="A2" s="19"/>
    </row>
    <row r="3" spans="1:4" ht="166.35" customHeight="1" x14ac:dyDescent="0.25">
      <c r="A3" s="19"/>
    </row>
    <row r="4" spans="1:4" ht="166.35" customHeight="1" x14ac:dyDescent="0.25">
      <c r="A4" s="19"/>
    </row>
    <row r="5" spans="1:4" x14ac:dyDescent="0.25">
      <c r="A5" s="19"/>
    </row>
    <row r="6" spans="1:4" ht="144" customHeight="1" x14ac:dyDescent="0.25">
      <c r="A6" s="181"/>
    </row>
    <row r="7" spans="1:4" ht="144" customHeight="1" x14ac:dyDescent="0.25">
      <c r="A7" s="181"/>
    </row>
    <row r="8" spans="1:4" x14ac:dyDescent="0.25">
      <c r="A8" s="19"/>
    </row>
    <row r="9" spans="1:4" x14ac:dyDescent="0.25">
      <c r="A9" s="19"/>
    </row>
    <row r="10" spans="1:4" ht="219.95" customHeight="1" x14ac:dyDescent="0.25"/>
    <row r="11" spans="1:4" ht="219.95" customHeight="1" x14ac:dyDescent="0.25"/>
    <row r="12" spans="1:4" ht="74.25" customHeight="1" x14ac:dyDescent="0.25">
      <c r="A12"/>
      <c r="D12" s="289"/>
    </row>
    <row r="13" spans="1:4" ht="74.25" customHeight="1" x14ac:dyDescent="0.25">
      <c r="A13"/>
      <c r="D13" s="289"/>
    </row>
    <row r="14" spans="1:4" ht="74.25" customHeight="1" x14ac:dyDescent="0.25">
      <c r="A14"/>
      <c r="D14" s="289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Visio.Drawing.15" shapeId="9226" r:id="rId3">
          <object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1</xdr:col>
                <xdr:colOff>0</xdr:colOff>
                <xdr:row>2</xdr:row>
                <xdr:rowOff>2085975</xdr:rowOff>
              </to>
            </anchor>
          </objectPr>
        </oleObject>
      </mc:Choice>
      <mc:Fallback>
        <oleObject progId="Visio.Drawing.15" shapeId="9226" r:id="rId3"/>
      </mc:Fallback>
    </mc:AlternateContent>
    <mc:AlternateContent xmlns:mc="http://schemas.openxmlformats.org/markup-compatibility/2006">
      <mc:Choice Requires="x14">
        <oleObject progId="Visio.Drawing.15" shapeId="9228" r:id="rId5">
          <objectPr defaultSize="0" r:id="rId6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0</xdr:colOff>
                <xdr:row>3</xdr:row>
                <xdr:rowOff>2085975</xdr:rowOff>
              </to>
            </anchor>
          </objectPr>
        </oleObject>
      </mc:Choice>
      <mc:Fallback>
        <oleObject progId="Visio.Drawing.15" shapeId="9228" r:id="rId5"/>
      </mc:Fallback>
    </mc:AlternateContent>
    <mc:AlternateContent xmlns:mc="http://schemas.openxmlformats.org/markup-compatibility/2006">
      <mc:Choice Requires="x14">
        <oleObject progId="Visio.Drawing.15" shapeId="9230" r:id="rId7">
          <objectPr defaultSize="0" r:id="rId8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1</xdr:col>
                <xdr:colOff>0</xdr:colOff>
                <xdr:row>1</xdr:row>
                <xdr:rowOff>2085975</xdr:rowOff>
              </to>
            </anchor>
          </objectPr>
        </oleObject>
      </mc:Choice>
      <mc:Fallback>
        <oleObject progId="Visio.Drawing.15" shapeId="9230" r:id="rId7"/>
      </mc:Fallback>
    </mc:AlternateContent>
    <mc:AlternateContent xmlns:mc="http://schemas.openxmlformats.org/markup-compatibility/2006">
      <mc:Choice Requires="x14">
        <oleObject progId="Visio.Drawing.15" shapeId="9231" r:id="rId9">
          <objectPr defaultSize="0" r:id="rId10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0</xdr:row>
                <xdr:rowOff>2085975</xdr:rowOff>
              </to>
            </anchor>
          </objectPr>
        </oleObject>
      </mc:Choice>
      <mc:Fallback>
        <oleObject progId="Visio.Drawing.15" shapeId="9231" r:id="rId9"/>
      </mc:Fallback>
    </mc:AlternateContent>
    <mc:AlternateContent xmlns:mc="http://schemas.openxmlformats.org/markup-compatibility/2006">
      <mc:Choice Requires="x14">
        <oleObject progId="Visio.Drawing.15" shapeId="9238" r:id="rId11">
          <objectPr defaultSize="0" r:id="rId12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1</xdr:col>
                <xdr:colOff>0</xdr:colOff>
                <xdr:row>5</xdr:row>
                <xdr:rowOff>1800225</xdr:rowOff>
              </to>
            </anchor>
          </objectPr>
        </oleObject>
      </mc:Choice>
      <mc:Fallback>
        <oleObject progId="Visio.Drawing.15" shapeId="9238" r:id="rId11"/>
      </mc:Fallback>
    </mc:AlternateContent>
    <mc:AlternateContent xmlns:mc="http://schemas.openxmlformats.org/markup-compatibility/2006">
      <mc:Choice Requires="x14">
        <oleObject progId="Visio.Drawing.15" shapeId="9239" r:id="rId13">
          <objectPr defaultSize="0" r:id="rId14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1</xdr:col>
                <xdr:colOff>0</xdr:colOff>
                <xdr:row>6</xdr:row>
                <xdr:rowOff>1800225</xdr:rowOff>
              </to>
            </anchor>
          </objectPr>
        </oleObject>
      </mc:Choice>
      <mc:Fallback>
        <oleObject progId="Visio.Drawing.15" shapeId="9239" r:id="rId13"/>
      </mc:Fallback>
    </mc:AlternateContent>
    <mc:AlternateContent xmlns:mc="http://schemas.openxmlformats.org/markup-compatibility/2006">
      <mc:Choice Requires="x14">
        <oleObject progId="Visio.Drawing.15" shapeId="9246" r:id="rId15">
          <objectPr defaultSize="0" r:id="rId16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2</xdr:col>
                <xdr:colOff>0</xdr:colOff>
                <xdr:row>10</xdr:row>
                <xdr:rowOff>28575</xdr:rowOff>
              </to>
            </anchor>
          </objectPr>
        </oleObject>
      </mc:Choice>
      <mc:Fallback>
        <oleObject progId="Visio.Drawing.15" shapeId="9246" r:id="rId15"/>
      </mc:Fallback>
    </mc:AlternateContent>
    <mc:AlternateContent xmlns:mc="http://schemas.openxmlformats.org/markup-compatibility/2006">
      <mc:Choice Requires="x14">
        <oleObject progId="Visio.Drawing.15" shapeId="9247" r:id="rId17">
          <objectPr defaultSize="0" r:id="rId18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2</xdr:col>
                <xdr:colOff>9525</xdr:colOff>
                <xdr:row>11</xdr:row>
                <xdr:rowOff>28575</xdr:rowOff>
              </to>
            </anchor>
          </objectPr>
        </oleObject>
      </mc:Choice>
      <mc:Fallback>
        <oleObject progId="Visio.Drawing.15" shapeId="9247" r:id="rId17"/>
      </mc:Fallback>
    </mc:AlternateContent>
    <mc:AlternateContent xmlns:mc="http://schemas.openxmlformats.org/markup-compatibility/2006">
      <mc:Choice Requires="x14">
        <oleObject progId="Visio.Drawing.15" shapeId="9264" r:id="rId19">
          <objectPr defaultSize="0" r:id="rId20">
            <anchor moveWithCells="1">
              <from>
                <xdr:col>3</xdr:col>
                <xdr:colOff>0</xdr:colOff>
                <xdr:row>11</xdr:row>
                <xdr:rowOff>0</xdr:rowOff>
              </from>
              <to>
                <xdr:col>3</xdr:col>
                <xdr:colOff>1457325</xdr:colOff>
                <xdr:row>11</xdr:row>
                <xdr:rowOff>942975</xdr:rowOff>
              </to>
            </anchor>
          </objectPr>
        </oleObject>
      </mc:Choice>
      <mc:Fallback>
        <oleObject progId="Visio.Drawing.15" shapeId="9264" r:id="rId19"/>
      </mc:Fallback>
    </mc:AlternateContent>
    <mc:AlternateContent xmlns:mc="http://schemas.openxmlformats.org/markup-compatibility/2006">
      <mc:Choice Requires="x14">
        <oleObject progId="Visio.Drawing.15" shapeId="9265" r:id="rId21">
          <objectPr defaultSize="0" r:id="rId22">
            <anchor moveWithCells="1">
              <from>
                <xdr:col>3</xdr:col>
                <xdr:colOff>0</xdr:colOff>
                <xdr:row>12</xdr:row>
                <xdr:rowOff>0</xdr:rowOff>
              </from>
              <to>
                <xdr:col>3</xdr:col>
                <xdr:colOff>1447800</xdr:colOff>
                <xdr:row>13</xdr:row>
                <xdr:rowOff>28575</xdr:rowOff>
              </to>
            </anchor>
          </objectPr>
        </oleObject>
      </mc:Choice>
      <mc:Fallback>
        <oleObject progId="Visio.Drawing.15" shapeId="9265" r:id="rId21"/>
      </mc:Fallback>
    </mc:AlternateContent>
    <mc:AlternateContent xmlns:mc="http://schemas.openxmlformats.org/markup-compatibility/2006">
      <mc:Choice Requires="x14">
        <oleObject progId="Visio.Drawing.15" shapeId="9266" r:id="rId23">
          <objectPr defaultSize="0" r:id="rId24">
            <anchor moveWithCells="1">
              <from>
                <xdr:col>3</xdr:col>
                <xdr:colOff>0</xdr:colOff>
                <xdr:row>13</xdr:row>
                <xdr:rowOff>0</xdr:rowOff>
              </from>
              <to>
                <xdr:col>3</xdr:col>
                <xdr:colOff>1447800</xdr:colOff>
                <xdr:row>13</xdr:row>
                <xdr:rowOff>942975</xdr:rowOff>
              </to>
            </anchor>
          </objectPr>
        </oleObject>
      </mc:Choice>
      <mc:Fallback>
        <oleObject progId="Visio.Drawing.15" shapeId="9266" r:id="rId2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K175"/>
  <sheetViews>
    <sheetView topLeftCell="A3" zoomScaleNormal="100" workbookViewId="0">
      <selection activeCell="D49" sqref="D49"/>
    </sheetView>
  </sheetViews>
  <sheetFormatPr defaultRowHeight="15" x14ac:dyDescent="0.25"/>
  <cols>
    <col min="1" max="1" width="14.42578125" customWidth="1"/>
    <col min="2" max="2" width="20.42578125" customWidth="1"/>
    <col min="3" max="3" width="8.5703125" customWidth="1"/>
    <col min="4" max="4" width="11.5703125" customWidth="1"/>
    <col min="5" max="5" width="22.42578125" customWidth="1"/>
    <col min="6" max="6" width="11.5703125" customWidth="1"/>
    <col min="7" max="7" width="13.42578125" customWidth="1"/>
    <col min="8" max="8" width="9.42578125" customWidth="1"/>
    <col min="9" max="9" width="11.85546875" customWidth="1"/>
    <col min="10" max="11" width="11" customWidth="1"/>
    <col min="16" max="16" width="38" customWidth="1"/>
  </cols>
  <sheetData>
    <row r="1" spans="1:7" x14ac:dyDescent="0.25">
      <c r="A1" t="s">
        <v>169</v>
      </c>
    </row>
    <row r="2" spans="1:7" x14ac:dyDescent="0.25">
      <c r="A2" s="1">
        <v>0.95</v>
      </c>
      <c r="B2">
        <v>0.2</v>
      </c>
    </row>
    <row r="3" spans="1:7" x14ac:dyDescent="0.25">
      <c r="A3" s="1">
        <v>0.9</v>
      </c>
      <c r="B3">
        <v>0.25</v>
      </c>
    </row>
    <row r="4" spans="1:7" x14ac:dyDescent="0.25">
      <c r="A4" s="1">
        <v>0.8</v>
      </c>
      <c r="B4">
        <v>0.28999999999999998</v>
      </c>
    </row>
    <row r="5" spans="1:7" x14ac:dyDescent="0.25">
      <c r="A5" s="1">
        <v>0.7</v>
      </c>
      <c r="B5">
        <v>0.33</v>
      </c>
      <c r="E5">
        <v>1</v>
      </c>
      <c r="F5" t="s">
        <v>462</v>
      </c>
      <c r="G5" t="s">
        <v>463</v>
      </c>
    </row>
    <row r="6" spans="1:7" x14ac:dyDescent="0.25">
      <c r="A6" s="1"/>
      <c r="E6">
        <v>2</v>
      </c>
      <c r="F6" t="s">
        <v>464</v>
      </c>
      <c r="G6" t="s">
        <v>465</v>
      </c>
    </row>
    <row r="7" spans="1:7" x14ac:dyDescent="0.25">
      <c r="A7" t="s">
        <v>466</v>
      </c>
      <c r="B7" s="75" t="str">
        <f>VLOOKUP(C7,E5:F25,2,0)</f>
        <v>F1195</v>
      </c>
      <c r="C7" s="26">
        <v>2</v>
      </c>
      <c r="D7" t="str">
        <f>IF(C7=1,G5,G6)</f>
        <v>Face</v>
      </c>
      <c r="E7">
        <v>3</v>
      </c>
      <c r="F7" t="s">
        <v>467</v>
      </c>
      <c r="G7" t="str">
        <f>IF(C7=1,"neck length","face length")</f>
        <v>face length</v>
      </c>
    </row>
    <row r="8" spans="1:7" x14ac:dyDescent="0.25">
      <c r="A8" t="s">
        <v>468</v>
      </c>
      <c r="B8" s="76">
        <f>IF(C8=9,"&lt;slots&gt;",C8)</f>
        <v>0</v>
      </c>
      <c r="C8" s="26">
        <v>0</v>
      </c>
    </row>
    <row r="9" spans="1:7" x14ac:dyDescent="0.25">
      <c r="B9" s="76"/>
      <c r="C9" s="26"/>
    </row>
    <row r="10" spans="1:7" x14ac:dyDescent="0.25">
      <c r="A10" s="3" t="s">
        <v>587</v>
      </c>
      <c r="B10" s="76"/>
      <c r="C10" s="26"/>
    </row>
    <row r="11" spans="1:7" x14ac:dyDescent="0.25">
      <c r="A11" t="s">
        <v>592</v>
      </c>
      <c r="B11" s="76">
        <v>1</v>
      </c>
      <c r="C11" s="26"/>
    </row>
    <row r="12" spans="1:7" x14ac:dyDescent="0.25">
      <c r="A12" t="s">
        <v>588</v>
      </c>
      <c r="B12" s="291" t="s">
        <v>589</v>
      </c>
      <c r="C12" t="s">
        <v>593</v>
      </c>
      <c r="D12" t="str">
        <f>""</f>
        <v/>
      </c>
      <c r="E12" t="s">
        <v>444</v>
      </c>
      <c r="F12" t="str">
        <f>""</f>
        <v/>
      </c>
    </row>
    <row r="13" spans="1:7" x14ac:dyDescent="0.25">
      <c r="B13" s="291" t="s">
        <v>590</v>
      </c>
      <c r="C13" t="s">
        <v>594</v>
      </c>
      <c r="D13" s="292" t="s">
        <v>591</v>
      </c>
      <c r="E13" t="s">
        <v>605</v>
      </c>
      <c r="F13" t="s">
        <v>606</v>
      </c>
    </row>
    <row r="14" spans="1:7" x14ac:dyDescent="0.25">
      <c r="A14" t="s">
        <v>208</v>
      </c>
      <c r="B14" s="291" t="str">
        <f>IF($B$11=1, B12,B13)</f>
        <v>Supply</v>
      </c>
      <c r="C14" s="291" t="str">
        <f>IF($B$11=1, C12,C13)</f>
        <v>AD</v>
      </c>
      <c r="D14" s="291" t="str">
        <f>IF($B$11=1, D12,D13)</f>
        <v/>
      </c>
      <c r="E14" s="291" t="str">
        <f>IF($B$11=1, E12,E13)</f>
        <v>Linear Multistream Adjustable Diffuser</v>
      </c>
      <c r="F14" s="291" t="str">
        <f>IF($B$11=1, F12,F13)</f>
        <v/>
      </c>
    </row>
    <row r="15" spans="1:7" x14ac:dyDescent="0.25">
      <c r="B15" s="76"/>
      <c r="C15" s="26"/>
    </row>
    <row r="16" spans="1:7" x14ac:dyDescent="0.25">
      <c r="A16" s="3" t="s">
        <v>469</v>
      </c>
      <c r="B16" s="76">
        <f>'LMC-ADequations'!B32</f>
        <v>2</v>
      </c>
      <c r="C16" s="26"/>
    </row>
    <row r="17" spans="1:11" x14ac:dyDescent="0.25">
      <c r="B17" s="76"/>
      <c r="C17" s="26"/>
      <c r="K17" s="132"/>
    </row>
    <row r="18" spans="1:11" x14ac:dyDescent="0.25">
      <c r="B18" s="76">
        <v>1</v>
      </c>
      <c r="C18" s="26">
        <v>2</v>
      </c>
      <c r="D18">
        <v>3</v>
      </c>
      <c r="E18" s="76">
        <v>4</v>
      </c>
      <c r="F18" s="26">
        <v>5</v>
      </c>
      <c r="G18">
        <v>6</v>
      </c>
      <c r="H18" s="76">
        <v>7</v>
      </c>
    </row>
    <row r="19" spans="1:11" x14ac:dyDescent="0.25">
      <c r="A19" t="s">
        <v>470</v>
      </c>
      <c r="B19" s="76" t="s">
        <v>128</v>
      </c>
      <c r="C19" s="26" t="s">
        <v>352</v>
      </c>
      <c r="D19" t="s">
        <v>353</v>
      </c>
      <c r="E19" t="s">
        <v>354</v>
      </c>
      <c r="F19" t="s">
        <v>471</v>
      </c>
      <c r="G19" t="s">
        <v>472</v>
      </c>
      <c r="H19" t="s">
        <v>129</v>
      </c>
    </row>
    <row r="20" spans="1:11" x14ac:dyDescent="0.25">
      <c r="A20" t="s">
        <v>473</v>
      </c>
      <c r="B20" s="76" t="s">
        <v>128</v>
      </c>
      <c r="C20" s="26" t="s">
        <v>474</v>
      </c>
      <c r="D20" t="s">
        <v>475</v>
      </c>
      <c r="E20" t="s">
        <v>476</v>
      </c>
      <c r="F20" t="s">
        <v>477</v>
      </c>
      <c r="G20" t="s">
        <v>478</v>
      </c>
      <c r="H20" t="s">
        <v>129</v>
      </c>
    </row>
    <row r="21" spans="1:11" x14ac:dyDescent="0.25">
      <c r="A21" t="str">
        <f>IF($B$16=2,A20,A19)</f>
        <v>2way text</v>
      </c>
      <c r="B21" s="75" t="str">
        <f t="shared" ref="B21:H21" si="0">IF($B$16=2,B20,B19)</f>
        <v>recommended</v>
      </c>
      <c r="C21" t="str">
        <f t="shared" si="0"/>
        <v>A* (0 to -15°)</v>
      </c>
      <c r="D21" t="str">
        <f t="shared" si="0"/>
        <v>B (0 to -30°)</v>
      </c>
      <c r="E21" t="str">
        <f t="shared" si="0"/>
        <v>C (≈ -45°)</v>
      </c>
      <c r="F21" t="str">
        <f t="shared" si="0"/>
        <v>D (≈ -60°)</v>
      </c>
      <c r="G21" t="str">
        <f t="shared" si="0"/>
        <v>E (vertical)</v>
      </c>
      <c r="H21" t="str">
        <f t="shared" si="0"/>
        <v>custom</v>
      </c>
    </row>
    <row r="22" spans="1:11" x14ac:dyDescent="0.25">
      <c r="A22" t="s">
        <v>479</v>
      </c>
      <c r="C22" t="str">
        <f>C19</f>
        <v>AB</v>
      </c>
      <c r="D22" t="str">
        <f t="shared" ref="D22:F22" si="1">D19</f>
        <v>AC</v>
      </c>
      <c r="E22" t="str">
        <f t="shared" si="1"/>
        <v>BC</v>
      </c>
      <c r="F22" t="str">
        <f t="shared" si="1"/>
        <v>BD</v>
      </c>
      <c r="G22" t="s">
        <v>480</v>
      </c>
      <c r="H22" t="s">
        <v>481</v>
      </c>
    </row>
    <row r="23" spans="1:11" x14ac:dyDescent="0.25">
      <c r="A23" t="s">
        <v>482</v>
      </c>
      <c r="C23" t="s">
        <v>228</v>
      </c>
      <c r="D23" t="s">
        <v>229</v>
      </c>
      <c r="E23" t="s">
        <v>173</v>
      </c>
      <c r="F23" t="s">
        <v>413</v>
      </c>
      <c r="G23" t="s">
        <v>415</v>
      </c>
      <c r="H23" t="s">
        <v>481</v>
      </c>
    </row>
    <row r="24" spans="1:11" x14ac:dyDescent="0.25">
      <c r="A24" t="s">
        <v>483</v>
      </c>
      <c r="B24" s="76" t="str">
        <f ca="1">C115</f>
        <v>Air Pattern Setting</v>
      </c>
      <c r="C24" s="26" t="str">
        <f>IF($B$16=1,C22,C23)</f>
        <v>A</v>
      </c>
      <c r="D24" s="26" t="str">
        <f t="shared" ref="D24:G24" si="2">IF($B$16=1,D22,D23)</f>
        <v>B</v>
      </c>
      <c r="E24" s="26" t="str">
        <f t="shared" si="2"/>
        <v>C</v>
      </c>
      <c r="F24" s="26" t="str">
        <f t="shared" si="2"/>
        <v>D</v>
      </c>
      <c r="G24" s="26" t="str">
        <f t="shared" si="2"/>
        <v>E</v>
      </c>
      <c r="H24" t="s">
        <v>481</v>
      </c>
    </row>
    <row r="25" spans="1:11" x14ac:dyDescent="0.25">
      <c r="C25" s="26"/>
    </row>
    <row r="26" spans="1:11" x14ac:dyDescent="0.25">
      <c r="A26" t="s">
        <v>484</v>
      </c>
      <c r="B26" s="75" t="str">
        <f ca="1">IF(C26=1,B24,HLOOKUP(C26,C18:H24,7,0))</f>
        <v>Air Pattern Setting</v>
      </c>
      <c r="C26" s="26">
        <v>1</v>
      </c>
    </row>
    <row r="27" spans="1:11" x14ac:dyDescent="0.25">
      <c r="B27" s="75"/>
      <c r="C27" s="26"/>
    </row>
    <row r="28" spans="1:11" x14ac:dyDescent="0.25">
      <c r="A28" t="s">
        <v>485</v>
      </c>
      <c r="B28" s="75" t="str">
        <f>IF(C28=1,"RAL9003",IF(C28=2,"RAL9005","&lt;colour&gt;"))</f>
        <v>RAL9003</v>
      </c>
      <c r="C28" s="26">
        <v>1</v>
      </c>
      <c r="D28" t="str">
        <f>'LMC-AD'!$I$80</f>
        <v>RAL9005 (jet black)</v>
      </c>
    </row>
    <row r="29" spans="1:11" x14ac:dyDescent="0.25">
      <c r="A29" t="s">
        <v>486</v>
      </c>
      <c r="B29" s="75" t="str">
        <f>IF(C29=1,"B","W")</f>
        <v>B</v>
      </c>
      <c r="C29" s="26">
        <v>1</v>
      </c>
    </row>
    <row r="30" spans="1:11" x14ac:dyDescent="0.25">
      <c r="B30" s="75"/>
      <c r="C30" s="26"/>
    </row>
    <row r="31" spans="1:11" x14ac:dyDescent="0.25">
      <c r="A31" s="3" t="s">
        <v>130</v>
      </c>
      <c r="C31" t="s">
        <v>487</v>
      </c>
      <c r="D31" t="s">
        <v>460</v>
      </c>
    </row>
    <row r="32" spans="1:11" x14ac:dyDescent="0.25">
      <c r="A32" s="3"/>
      <c r="B32">
        <v>1</v>
      </c>
      <c r="C32" t="s">
        <v>488</v>
      </c>
      <c r="D32" t="s">
        <v>489</v>
      </c>
    </row>
    <row r="33" spans="1:4" x14ac:dyDescent="0.25">
      <c r="A33" s="3"/>
      <c r="B33">
        <v>2</v>
      </c>
      <c r="C33" t="s">
        <v>490</v>
      </c>
      <c r="D33" t="s">
        <v>491</v>
      </c>
    </row>
    <row r="34" spans="1:4" x14ac:dyDescent="0.25">
      <c r="A34" t="s">
        <v>208</v>
      </c>
      <c r="B34">
        <v>1</v>
      </c>
      <c r="C34" s="3" t="str">
        <f>VLOOKUP(B34,B32:D33,2,0)</f>
        <v>SF</v>
      </c>
      <c r="D34" s="3" t="str">
        <f>VLOOKUP(B34,B32:D33,3,0)</f>
        <v>with side flanges</v>
      </c>
    </row>
    <row r="37" spans="1:4" x14ac:dyDescent="0.25">
      <c r="A37" s="3" t="s">
        <v>133</v>
      </c>
    </row>
    <row r="38" spans="1:4" x14ac:dyDescent="0.25">
      <c r="A38" s="3"/>
      <c r="C38" t="s">
        <v>487</v>
      </c>
      <c r="D38" t="s">
        <v>460</v>
      </c>
    </row>
    <row r="39" spans="1:4" x14ac:dyDescent="0.25">
      <c r="B39">
        <v>1</v>
      </c>
      <c r="C39" t="s">
        <v>492</v>
      </c>
      <c r="D39" t="s">
        <v>493</v>
      </c>
    </row>
    <row r="40" spans="1:4" x14ac:dyDescent="0.25">
      <c r="B40">
        <v>2</v>
      </c>
      <c r="C40" t="s">
        <v>494</v>
      </c>
      <c r="D40" t="s">
        <v>495</v>
      </c>
    </row>
    <row r="41" spans="1:4" x14ac:dyDescent="0.25">
      <c r="B41">
        <v>3</v>
      </c>
      <c r="C41" t="s">
        <v>496</v>
      </c>
      <c r="D41" t="s">
        <v>497</v>
      </c>
    </row>
    <row r="42" spans="1:4" x14ac:dyDescent="0.25">
      <c r="B42" s="194">
        <v>4</v>
      </c>
      <c r="C42" t="s">
        <v>498</v>
      </c>
      <c r="D42" t="s">
        <v>499</v>
      </c>
    </row>
    <row r="43" spans="1:4" x14ac:dyDescent="0.25">
      <c r="A43" t="s">
        <v>208</v>
      </c>
      <c r="B43">
        <v>1</v>
      </c>
      <c r="C43" s="3" t="str">
        <f>VLOOKUP(B43,B39:D42,2,0)</f>
        <v>E2</v>
      </c>
      <c r="D43" s="3" t="str">
        <f>VLOOKUP(B43,B39:D42,3,0)</f>
        <v>with two end flanges</v>
      </c>
    </row>
    <row r="45" spans="1:4" x14ac:dyDescent="0.25">
      <c r="A45" s="3" t="s">
        <v>138</v>
      </c>
      <c r="C45" t="s">
        <v>487</v>
      </c>
      <c r="D45" t="s">
        <v>460</v>
      </c>
    </row>
    <row r="46" spans="1:4" x14ac:dyDescent="0.25">
      <c r="B46">
        <v>1</v>
      </c>
      <c r="C46" t="s">
        <v>500</v>
      </c>
      <c r="D46" t="s">
        <v>501</v>
      </c>
    </row>
    <row r="47" spans="1:4" x14ac:dyDescent="0.25">
      <c r="B47">
        <v>2</v>
      </c>
      <c r="C47" t="s">
        <v>502</v>
      </c>
      <c r="D47" t="s">
        <v>503</v>
      </c>
    </row>
    <row r="48" spans="1:4" x14ac:dyDescent="0.25">
      <c r="B48">
        <v>3</v>
      </c>
      <c r="C48" t="s">
        <v>599</v>
      </c>
      <c r="D48" t="s">
        <v>601</v>
      </c>
    </row>
    <row r="49" spans="1:4" x14ac:dyDescent="0.25">
      <c r="A49" t="s">
        <v>208</v>
      </c>
      <c r="B49">
        <v>1</v>
      </c>
      <c r="C49" s="3" t="str">
        <f>VLOOKUP(B49,B46:D48,2,0)</f>
        <v>F0</v>
      </c>
      <c r="D49" s="3" t="str">
        <f>VLOOKUP(B49,B46:D48,3,0)</f>
        <v>fixing by others; without accessories</v>
      </c>
    </row>
    <row r="51" spans="1:4" x14ac:dyDescent="0.25">
      <c r="A51" s="3" t="s">
        <v>504</v>
      </c>
    </row>
    <row r="52" spans="1:4" x14ac:dyDescent="0.25">
      <c r="B52">
        <v>1</v>
      </c>
      <c r="C52" t="s">
        <v>505</v>
      </c>
      <c r="D52" t="s">
        <v>506</v>
      </c>
    </row>
    <row r="53" spans="1:4" x14ac:dyDescent="0.25">
      <c r="B53">
        <v>2</v>
      </c>
      <c r="C53" t="s">
        <v>507</v>
      </c>
      <c r="D53" t="s">
        <v>150</v>
      </c>
    </row>
    <row r="54" spans="1:4" x14ac:dyDescent="0.25">
      <c r="B54">
        <v>3</v>
      </c>
      <c r="C54" t="s">
        <v>508</v>
      </c>
      <c r="D54" t="s">
        <v>151</v>
      </c>
    </row>
    <row r="55" spans="1:4" x14ac:dyDescent="0.25">
      <c r="A55" t="s">
        <v>208</v>
      </c>
      <c r="B55">
        <v>1</v>
      </c>
      <c r="C55" s="3" t="str">
        <f>VLOOKUP(B55,B52:D54,2,0)</f>
        <v>K0</v>
      </c>
      <c r="D55" s="3" t="str">
        <f>VLOOKUP(B55,B52:D54,3,0)</f>
        <v>no connection box</v>
      </c>
    </row>
    <row r="56" spans="1:4" x14ac:dyDescent="0.25">
      <c r="C56" s="3"/>
      <c r="D56" s="3"/>
    </row>
    <row r="57" spans="1:4" x14ac:dyDescent="0.25">
      <c r="B57">
        <v>0</v>
      </c>
      <c r="C57" s="3" t="s">
        <v>509</v>
      </c>
      <c r="D57" s="3" t="s">
        <v>509</v>
      </c>
    </row>
    <row r="58" spans="1:4" x14ac:dyDescent="0.25">
      <c r="B58">
        <v>1</v>
      </c>
      <c r="C58" t="s">
        <v>510</v>
      </c>
      <c r="D58" t="s">
        <v>152</v>
      </c>
    </row>
    <row r="59" spans="1:4" x14ac:dyDescent="0.25">
      <c r="B59">
        <v>2</v>
      </c>
      <c r="C59" t="s">
        <v>511</v>
      </c>
      <c r="D59" t="s">
        <v>153</v>
      </c>
    </row>
    <row r="60" spans="1:4" x14ac:dyDescent="0.25">
      <c r="A60" t="s">
        <v>208</v>
      </c>
      <c r="B60">
        <v>1</v>
      </c>
    </row>
    <row r="61" spans="1:4" x14ac:dyDescent="0.25">
      <c r="B61">
        <f>IF(B55=1,0,B60)</f>
        <v>0</v>
      </c>
      <c r="C61" s="3" t="str">
        <f>VLOOKUP(B61,B57:D59,2,0)</f>
        <v xml:space="preserve"> </v>
      </c>
      <c r="D61" s="3" t="str">
        <f>VLOOKUP(B61,B57:D59,3,0)</f>
        <v xml:space="preserve"> </v>
      </c>
    </row>
    <row r="62" spans="1:4" x14ac:dyDescent="0.25">
      <c r="A62" s="3" t="s">
        <v>208</v>
      </c>
      <c r="C62" t="str">
        <f>C55&amp;C61</f>
        <v xml:space="preserve">K0 </v>
      </c>
      <c r="D62" t="str">
        <f>D55&amp;" "&amp;D61</f>
        <v xml:space="preserve">no connection box  </v>
      </c>
    </row>
    <row r="65" spans="1:11" x14ac:dyDescent="0.25">
      <c r="A65" t="s">
        <v>512</v>
      </c>
    </row>
    <row r="66" spans="1:11" x14ac:dyDescent="0.25">
      <c r="B66" t="s">
        <v>513</v>
      </c>
      <c r="C66" t="s">
        <v>468</v>
      </c>
      <c r="D66" t="s">
        <v>514</v>
      </c>
      <c r="E66" t="s">
        <v>515</v>
      </c>
      <c r="F66" t="s">
        <v>516</v>
      </c>
      <c r="G66" t="s">
        <v>517</v>
      </c>
      <c r="H66" t="s">
        <v>518</v>
      </c>
      <c r="I66" t="s">
        <v>519</v>
      </c>
      <c r="J66" t="s">
        <v>520</v>
      </c>
      <c r="K66" t="s">
        <v>521</v>
      </c>
    </row>
    <row r="67" spans="1:11" x14ac:dyDescent="0.25">
      <c r="A67" t="str">
        <f>"SMARTEMP LMC-"&amp;C14&amp;"-"</f>
        <v>SMARTEMP LMC-AD-</v>
      </c>
      <c r="B67" t="str">
        <f>B7&amp;"-"</f>
        <v>F1195-</v>
      </c>
      <c r="C67" t="str">
        <f>B8&amp;"-"</f>
        <v>0-</v>
      </c>
      <c r="D67">
        <f>B16</f>
        <v>2</v>
      </c>
      <c r="E67" t="str">
        <f ca="1">B26&amp;"-"</f>
        <v>Air Pattern Setting-</v>
      </c>
      <c r="F67" t="str">
        <f>C34&amp;"-"</f>
        <v>SF-</v>
      </c>
      <c r="G67" t="str">
        <f>C43&amp;"-"</f>
        <v>E2-</v>
      </c>
      <c r="H67" t="str">
        <f>C49&amp;"-"</f>
        <v>F0-</v>
      </c>
      <c r="I67" t="str">
        <f>B28&amp;"-"</f>
        <v>RAL9003-</v>
      </c>
      <c r="J67" t="str">
        <f>B29&amp;"-"</f>
        <v>B-</v>
      </c>
      <c r="K67" t="str">
        <f>C62</f>
        <v xml:space="preserve">K0 </v>
      </c>
    </row>
    <row r="70" spans="1:11" x14ac:dyDescent="0.25">
      <c r="A70" s="293" t="s">
        <v>603</v>
      </c>
      <c r="B70" t="str">
        <f>IF(OR(B8=0,C7=0),"Please select length and number of slots",CONCATENATE(A67,B67,C67,D67,E67,F67,G67,H67,I67,J67,K67))</f>
        <v>Please select length and number of slots</v>
      </c>
    </row>
    <row r="71" spans="1:11" x14ac:dyDescent="0.25">
      <c r="A71" s="293" t="s">
        <v>604</v>
      </c>
      <c r="B71" t="str">
        <f>IF(OR(B8=0,C7=0),"Please select length and number of slots",CONCATENATE(A67,B67,C67,F67,G67,H67,I67,J67,K67))</f>
        <v>Please select length and number of slots</v>
      </c>
    </row>
    <row r="72" spans="1:11" x14ac:dyDescent="0.25">
      <c r="A72" s="293" t="s">
        <v>602</v>
      </c>
      <c r="B72" t="str">
        <f>IF($B$11=1,B70,B71)</f>
        <v>Please select length and number of slots</v>
      </c>
    </row>
    <row r="73" spans="1:11" x14ac:dyDescent="0.25">
      <c r="A73" t="s">
        <v>588</v>
      </c>
      <c r="B73" t="str">
        <f>"SMARTEMP LMC-"&amp;C14</f>
        <v>SMARTEMP LMC-AD</v>
      </c>
    </row>
    <row r="75" spans="1:11" x14ac:dyDescent="0.25">
      <c r="A75" t="s">
        <v>522</v>
      </c>
    </row>
    <row r="78" spans="1:11" x14ac:dyDescent="0.25">
      <c r="A78" s="3" t="s">
        <v>447</v>
      </c>
    </row>
    <row r="79" spans="1:11" x14ac:dyDescent="0.25">
      <c r="A79" t="s">
        <v>466</v>
      </c>
      <c r="B79" t="str">
        <f>IF(C7=3,"Custom Face Length",IF(C7=0,"please select a length",D7&amp;" "&amp;RIGHT(B7,4)&amp;" mm"))</f>
        <v>Face 1195 mm</v>
      </c>
    </row>
    <row r="80" spans="1:11" x14ac:dyDescent="0.25">
      <c r="A80" t="s">
        <v>245</v>
      </c>
      <c r="B80" t="str">
        <f>IF(C8=9,"Custom Slots",IF(C8=0,"please select number of",B8))</f>
        <v>please select number of</v>
      </c>
    </row>
    <row r="81" spans="1:4" x14ac:dyDescent="0.25">
      <c r="A81" t="s">
        <v>523</v>
      </c>
      <c r="B81" t="str">
        <f>B79&amp;" × "&amp;B80&amp;" slots"</f>
        <v>Face 1195 mm × please select number of slots</v>
      </c>
    </row>
    <row r="82" spans="1:4" x14ac:dyDescent="0.25">
      <c r="A82" t="s">
        <v>524</v>
      </c>
      <c r="B82" t="str">
        <f>'LMC-ADequations'!B14&amp;"-way blow"</f>
        <v>2-way blow</v>
      </c>
    </row>
    <row r="83" spans="1:4" x14ac:dyDescent="0.25">
      <c r="A83" t="s">
        <v>525</v>
      </c>
      <c r="B83" t="str">
        <f>IF('LMC-ADequations'!B18=1,"Closed Ceiling","Freely Suspended")</f>
        <v>Closed Ceiling</v>
      </c>
    </row>
    <row r="87" spans="1:4" x14ac:dyDescent="0.25">
      <c r="A87" s="3" t="s">
        <v>460</v>
      </c>
      <c r="B87" t="str">
        <f>C87&amp;" with "&amp;D87</f>
        <v>1195 mm face length with (number of slots not selected)</v>
      </c>
      <c r="C87" t="str">
        <f>IF(C7=3, "custom face length", RIGHT(B7,4)&amp;" mm "&amp;G7)</f>
        <v>1195 mm face length</v>
      </c>
      <c r="D87" t="str">
        <f>IF(C8=0,"(number of slots not selected)",B8&amp;" slots")</f>
        <v>(number of slots not selected)</v>
      </c>
    </row>
    <row r="88" spans="1:4" x14ac:dyDescent="0.25">
      <c r="B88" t="str">
        <f ca="1">IF(B11=1,'LMC-ADequations'!B14&amp;"-way blow with discharge direction '"&amp;B26&amp;"'",E14)</f>
        <v>2-way blow with discharge direction 'Air Pattern Setting'</v>
      </c>
    </row>
    <row r="89" spans="1:4" x14ac:dyDescent="0.25">
      <c r="B89" t="str">
        <f>D34</f>
        <v>with side flanges</v>
      </c>
    </row>
    <row r="90" spans="1:4" x14ac:dyDescent="0.25">
      <c r="B90" t="str">
        <f>D43</f>
        <v>with two end flanges</v>
      </c>
    </row>
    <row r="91" spans="1:4" x14ac:dyDescent="0.25">
      <c r="B91" t="str">
        <f>D49</f>
        <v>fixing by others; without accessories</v>
      </c>
    </row>
    <row r="92" spans="1:4" x14ac:dyDescent="0.25">
      <c r="B92" t="str">
        <f>"profile powder coated to "&amp;C92&amp;" with "&amp;D92&amp; " barrels"</f>
        <v>profile powder coated to RAL9003 with black barrels</v>
      </c>
      <c r="C92" t="str">
        <f>IF(C28=3,"custom colour",B28)</f>
        <v>RAL9003</v>
      </c>
      <c r="D92" t="str">
        <f>IF(C29=1,"black","white")</f>
        <v>black</v>
      </c>
    </row>
    <row r="93" spans="1:4" x14ac:dyDescent="0.25">
      <c r="B93" t="str">
        <f>D62</f>
        <v xml:space="preserve">no connection box  </v>
      </c>
    </row>
    <row r="95" spans="1:4" x14ac:dyDescent="0.25">
      <c r="D95" t="s">
        <v>526</v>
      </c>
    </row>
    <row r="96" spans="1:4" x14ac:dyDescent="0.25">
      <c r="A96">
        <v>0</v>
      </c>
      <c r="B96" t="s">
        <v>245</v>
      </c>
      <c r="C96" t="str">
        <f ca="1">OFFSET('LMC-ADequations'!$B$350,data!A96,data!$C$8-1)</f>
        <v>Slots</v>
      </c>
    </row>
    <row r="97" spans="1:4" x14ac:dyDescent="0.25">
      <c r="A97">
        <v>1</v>
      </c>
      <c r="B97" t="s">
        <v>527</v>
      </c>
      <c r="C97" t="str">
        <f ca="1">OFFSET('LMC-ADequations'!$B$350,data!A97,data!$C$8-1)</f>
        <v>Selected Airflow [L/s/m]</v>
      </c>
    </row>
    <row r="98" spans="1:4" x14ac:dyDescent="0.25">
      <c r="A98">
        <v>2</v>
      </c>
      <c r="B98" t="s">
        <v>528</v>
      </c>
      <c r="C98" t="str">
        <f ca="1">OFFSET('LMC-ADequations'!$B$350,data!A98,data!$C$8-1)</f>
        <v>Airflow @ Max Static Pressure[L/s/m]</v>
      </c>
    </row>
    <row r="99" spans="1:4" x14ac:dyDescent="0.25">
      <c r="A99">
        <v>3</v>
      </c>
      <c r="B99" t="s">
        <v>529</v>
      </c>
      <c r="C99" t="str">
        <f ca="1">OFFSET('LMC-ADequations'!$B$350,data!A99,data!$C$8-1)</f>
        <v>Min Selected Airflow [L/s/m]</v>
      </c>
    </row>
    <row r="100" spans="1:4" ht="14.45" customHeight="1" x14ac:dyDescent="0.25">
      <c r="A100">
        <v>4</v>
      </c>
      <c r="B100" t="s">
        <v>530</v>
      </c>
      <c r="C100" t="str">
        <f ca="1">OFFSET('LMC-ADequations'!$B$350,data!A100,data!$C$8-1)</f>
        <v>Min Permissible Airflow @ -12 K</v>
      </c>
    </row>
    <row r="101" spans="1:4" ht="14.45" customHeight="1" x14ac:dyDescent="0.25">
      <c r="A101">
        <v>5</v>
      </c>
      <c r="B101" t="s">
        <v>78</v>
      </c>
      <c r="C101" t="str">
        <f ca="1">OFFSET('LMC-ADequations'!$B$350,data!A101,data!$C$8-1)</f>
        <v>Min % Turndown to</v>
      </c>
      <c r="D101" t="e">
        <f ca="1">C101*100</f>
        <v>#VALUE!</v>
      </c>
    </row>
    <row r="102" spans="1:4" x14ac:dyDescent="0.25">
      <c r="A102">
        <v>6</v>
      </c>
      <c r="B102" t="s">
        <v>79</v>
      </c>
      <c r="C102" t="str">
        <f ca="1">OFFSET('LMC-ADequations'!$B$350,data!A102,data!$C$8-1)</f>
        <v>Min Permissible % Turndown to</v>
      </c>
    </row>
    <row r="103" spans="1:4" x14ac:dyDescent="0.25">
      <c r="A103">
        <v>7</v>
      </c>
      <c r="B103" t="s">
        <v>360</v>
      </c>
      <c r="C103" t="str">
        <f ca="1">OFFSET('LMC-ADequations'!$B$350,data!A103,data!$C$8-1)</f>
        <v>Max Static Pressure (Pa)</v>
      </c>
    </row>
    <row r="104" spans="1:4" x14ac:dyDescent="0.25">
      <c r="A104">
        <v>8</v>
      </c>
      <c r="B104" t="s">
        <v>361</v>
      </c>
      <c r="C104" t="str">
        <f ca="1">OFFSET('LMC-ADequations'!$B$350,data!A104,data!$C$8-1)</f>
        <v>Max Total Pressure (Pa)</v>
      </c>
    </row>
    <row r="105" spans="1:4" x14ac:dyDescent="0.25">
      <c r="A105">
        <v>9</v>
      </c>
      <c r="B105" t="s">
        <v>362</v>
      </c>
      <c r="C105" t="str">
        <f ca="1">OFFSET('LMC-ADequations'!$B$350,data!A105,data!$C$8-1)</f>
        <v>Max Permissible Pressure (Pa)</v>
      </c>
    </row>
    <row r="106" spans="1:4" x14ac:dyDescent="0.25">
      <c r="A106">
        <v>10</v>
      </c>
      <c r="B106" t="s">
        <v>363</v>
      </c>
      <c r="C106" t="str">
        <f ca="1">OFFSET('LMC-ADequations'!$B$350,data!A106,data!$C$8-1)</f>
        <v>Sound Power Level (dBA)</v>
      </c>
    </row>
    <row r="107" spans="1:4" x14ac:dyDescent="0.25">
      <c r="A107">
        <v>11</v>
      </c>
      <c r="B107" t="s">
        <v>364</v>
      </c>
      <c r="C107" t="str">
        <f ca="1">OFFSET('LMC-ADequations'!$B$350,data!A107,data!$C$8-1)</f>
        <v>Sound Pressure Level (NC)</v>
      </c>
    </row>
    <row r="108" spans="1:4" x14ac:dyDescent="0.25">
      <c r="A108">
        <v>12</v>
      </c>
      <c r="B108" t="s">
        <v>376</v>
      </c>
      <c r="C108" t="str">
        <f ca="1">OFFSET('LMC-ADequations'!$B$350,data!A108,data!$C$8-1)</f>
        <v>Centre Zone: Setting 'A'</v>
      </c>
    </row>
    <row r="109" spans="1:4" x14ac:dyDescent="0.25">
      <c r="A109">
        <v>13</v>
      </c>
      <c r="B109" t="s">
        <v>377</v>
      </c>
      <c r="C109" t="str">
        <f ca="1">OFFSET('LMC-ADequations'!$B$350,data!A109,data!$C$8-1)</f>
        <v>Perimeter Zone: Setting 'A'</v>
      </c>
    </row>
    <row r="110" spans="1:4" x14ac:dyDescent="0.25">
      <c r="A110">
        <v>14</v>
      </c>
      <c r="B110" t="s">
        <v>379</v>
      </c>
      <c r="C110" t="str">
        <f ca="1">OFFSET('LMC-ADequations'!$B$350,data!A110,data!$C$8-1)</f>
        <v>Max Permissible ΔT (heating) E (K)</v>
      </c>
    </row>
    <row r="111" spans="1:4" x14ac:dyDescent="0.25">
      <c r="A111">
        <v>15</v>
      </c>
      <c r="B111" t="s">
        <v>531</v>
      </c>
      <c r="C111" t="str">
        <f ca="1">OFFSET('LMC-ADequations'!$B$350,data!A111,data!$C$8-1)</f>
        <v>Max Coverage Dist Centre Zone</v>
      </c>
    </row>
    <row r="112" spans="1:4" x14ac:dyDescent="0.25">
      <c r="A112">
        <v>16</v>
      </c>
      <c r="B112" t="s">
        <v>532</v>
      </c>
      <c r="C112" t="str">
        <f ca="1">OFFSET('LMC-ADequations'!$B$350,data!A112,data!$C$8-1)</f>
        <v>Max C/L Distance (m) Perimeter</v>
      </c>
    </row>
    <row r="113" spans="1:4" x14ac:dyDescent="0.25">
      <c r="A113">
        <v>17</v>
      </c>
      <c r="B113" t="s">
        <v>370</v>
      </c>
      <c r="C113" t="str">
        <f ca="1">OFFSET('LMC-ADequations'!$B$350,data!A113,data!$C$8-1)</f>
        <v>Min C/L Distance (m)</v>
      </c>
    </row>
    <row r="114" spans="1:4" x14ac:dyDescent="0.25">
      <c r="A114">
        <v>18</v>
      </c>
      <c r="B114" t="s">
        <v>260</v>
      </c>
      <c r="C114" t="str">
        <f ca="1">OFFSET('LMC-ADequations'!$B$350,data!A114,data!$C$8-1)</f>
        <v>Min Diffuser Height (m)</v>
      </c>
    </row>
    <row r="115" spans="1:4" x14ac:dyDescent="0.25">
      <c r="A115">
        <v>19</v>
      </c>
      <c r="B115" t="s">
        <v>125</v>
      </c>
      <c r="C115" t="str">
        <f ca="1">OFFSET('LMC-ADequations'!$B$350,data!A115,data!$C$8-1)</f>
        <v>Air Pattern Setting</v>
      </c>
    </row>
    <row r="116" spans="1:4" x14ac:dyDescent="0.25">
      <c r="A116">
        <v>20</v>
      </c>
      <c r="B116" t="s">
        <v>371</v>
      </c>
      <c r="C116" t="str">
        <f ca="1">OFFSET('LMC-ADequations'!$B$350,data!A116,data!$C$8-1)</f>
        <v>Mean Room Air V</v>
      </c>
    </row>
    <row r="117" spans="1:4" x14ac:dyDescent="0.25">
      <c r="A117">
        <v>21</v>
      </c>
      <c r="B117" t="s">
        <v>300</v>
      </c>
      <c r="C117" t="str">
        <f ca="1">OFFSET('LMC-ADequations'!$B$350,data!A117,data!$C$8-1)</f>
        <v>Draught Rating</v>
      </c>
    </row>
    <row r="118" spans="1:4" x14ac:dyDescent="0.25">
      <c r="A118">
        <v>22</v>
      </c>
      <c r="B118" t="s">
        <v>301</v>
      </c>
      <c r="C118" t="str">
        <f ca="1">OFFSET('LMC-ADequations'!$B$350,data!A118,data!$C$8-1)</f>
        <v>PPD</v>
      </c>
    </row>
    <row r="119" spans="1:4" x14ac:dyDescent="0.25">
      <c r="A119">
        <v>23</v>
      </c>
      <c r="B119" t="s">
        <v>303</v>
      </c>
      <c r="C119" t="str">
        <f ca="1">OFFSET('LMC-ADequations'!$B$350,data!A119,data!$C$8-1)</f>
        <v>PMV</v>
      </c>
    </row>
    <row r="120" spans="1:4" x14ac:dyDescent="0.25">
      <c r="A120">
        <v>24</v>
      </c>
      <c r="B120" t="s">
        <v>302</v>
      </c>
      <c r="C120" t="str">
        <f ca="1">OFFSET('LMC-ADequations'!$B$350,data!A120,data!$C$8-1)</f>
        <v>PPD Class</v>
      </c>
    </row>
    <row r="121" spans="1:4" x14ac:dyDescent="0.25">
      <c r="A121">
        <v>25</v>
      </c>
      <c r="B121" t="s">
        <v>372</v>
      </c>
      <c r="C121" t="str">
        <f ca="1">OFFSET('LMC-ADequations'!$B$350,data!A121,data!$C$8-1)</f>
        <v>Nominal Spigot Size</v>
      </c>
    </row>
    <row r="122" spans="1:4" x14ac:dyDescent="0.25">
      <c r="A122">
        <v>26</v>
      </c>
      <c r="B122" t="s">
        <v>373</v>
      </c>
      <c r="C122" s="11" t="str">
        <f ca="1">OFFSET('LMC-ADequations'!$B$350,data!A122,data!$C$8-1)</f>
        <v>ADPI actual (centre)</v>
      </c>
      <c r="D122" t="e">
        <f ca="1">IF(C122=0,"N/A for centre zones","≥ "&amp;C122*100&amp;"% (for centre zones)")</f>
        <v>#VALUE!</v>
      </c>
    </row>
    <row r="123" spans="1:4" x14ac:dyDescent="0.25">
      <c r="A123">
        <v>27</v>
      </c>
      <c r="B123" t="s">
        <v>374</v>
      </c>
      <c r="C123" s="11" t="str">
        <f ca="1">OFFSET('LMC-ADequations'!$B$350,data!A123,data!$C$8-1)</f>
        <v>ADPI actual (perim)</v>
      </c>
      <c r="D123" t="e">
        <f ca="1">IF(C123=0,"N/A for perimeter zones","≥ "&amp;C123*100&amp;"% (for perimeter zones)")</f>
        <v>#VALUE!</v>
      </c>
    </row>
    <row r="124" spans="1:4" x14ac:dyDescent="0.25">
      <c r="C124" s="11"/>
    </row>
    <row r="126" spans="1:4" x14ac:dyDescent="0.25">
      <c r="A126" t="s">
        <v>533</v>
      </c>
      <c r="B126">
        <f>'LMC-AD'!E15</f>
        <v>-12</v>
      </c>
    </row>
    <row r="127" spans="1:4" x14ac:dyDescent="0.25">
      <c r="A127" t="s">
        <v>534</v>
      </c>
      <c r="B127">
        <f>'LMC-AD'!L23</f>
        <v>23</v>
      </c>
    </row>
    <row r="128" spans="1:4" x14ac:dyDescent="0.25">
      <c r="A128" t="s">
        <v>535</v>
      </c>
      <c r="B128">
        <f>'LMC-ADequations'!B21</f>
        <v>1</v>
      </c>
    </row>
    <row r="129" spans="1:3" x14ac:dyDescent="0.25">
      <c r="A129" t="s">
        <v>536</v>
      </c>
      <c r="B129">
        <f>'LMC-AD'!E17</f>
        <v>2.7</v>
      </c>
    </row>
    <row r="130" spans="1:3" x14ac:dyDescent="0.25">
      <c r="A130" t="s">
        <v>159</v>
      </c>
      <c r="B130" t="str">
        <f>'LMC-ADequations'!D3</f>
        <v>L/s/m</v>
      </c>
      <c r="C130" t="str">
        <f>'LMC-ADequations'!C4</f>
        <v>L/s/m²</v>
      </c>
    </row>
    <row r="132" spans="1:3" x14ac:dyDescent="0.25">
      <c r="A132" s="3" t="s">
        <v>447</v>
      </c>
    </row>
    <row r="133" spans="1:3" x14ac:dyDescent="0.25">
      <c r="B133" t="s">
        <v>537</v>
      </c>
    </row>
    <row r="134" spans="1:3" x14ac:dyDescent="0.25">
      <c r="A134" t="s">
        <v>74</v>
      </c>
      <c r="B134" t="str">
        <f ca="1">C97&amp;" "&amp;B130&amp;" @ "&amp; C104 &amp; " Pa total (" &amp;C103&amp; " Pa static)"</f>
        <v>Selected Airflow [L/s/m] L/s/m @ Max Total Pressure (Pa) Pa total (Max Static Pressure (Pa) Pa static)</v>
      </c>
    </row>
    <row r="135" spans="1:3" x14ac:dyDescent="0.25">
      <c r="A135" t="s">
        <v>538</v>
      </c>
      <c r="B135" t="e">
        <f ca="1">C99&amp;" "&amp;B130&amp;" ("&amp;D101&amp;"% turndown to) @ ΔT = "&amp;B126&amp;" K"</f>
        <v>#VALUE!</v>
      </c>
    </row>
    <row r="136" spans="1:3" x14ac:dyDescent="0.25">
      <c r="A136" t="s">
        <v>539</v>
      </c>
      <c r="B136" t="str">
        <f ca="1">"+ "&amp;C108&amp; " K for centre zones; + "&amp;C109&amp;" K for perimeter zones (pattern '" &amp;B26&amp; "')"</f>
        <v>+ Centre Zone: Setting 'A' K for centre zones; + Perimeter Zone: Setting 'A' K for perimeter zones (pattern 'Air Pattern Setting')</v>
      </c>
    </row>
    <row r="137" spans="1:3" x14ac:dyDescent="0.25">
      <c r="A137" t="s">
        <v>540</v>
      </c>
      <c r="B137" t="str">
        <f ca="1">"+ " &amp;C110&amp; " K for vertical discharge (pattern 'E')"</f>
        <v>+ Max Permissible ΔT (heating) E (K) K for vertical discharge (pattern 'E')</v>
      </c>
    </row>
    <row r="138" spans="1:3" x14ac:dyDescent="0.25">
      <c r="A138" t="s">
        <v>541</v>
      </c>
      <c r="B138" t="str">
        <f ca="1">IF(C26=6,B137,B136)</f>
        <v>+ Centre Zone: Setting 'A' K for centre zones; + Perimeter Zone: Setting 'A' K for perimeter zones (pattern 'Air Pattern Setting')</v>
      </c>
    </row>
    <row r="139" spans="1:3" x14ac:dyDescent="0.25">
      <c r="A139" t="s">
        <v>542</v>
      </c>
      <c r="B139" t="str">
        <f ca="1">data!B82&amp;", setting "&amp;"'"&amp;data!C115&amp;"'"</f>
        <v>2-way blow, setting 'Air Pattern Setting'</v>
      </c>
    </row>
    <row r="141" spans="1:3" x14ac:dyDescent="0.25">
      <c r="A141" s="3" t="s">
        <v>85</v>
      </c>
    </row>
    <row r="142" spans="1:3" x14ac:dyDescent="0.25">
      <c r="A142" t="s">
        <v>226</v>
      </c>
      <c r="B142" t="str">
        <f ca="1">C106 &amp; " dB(A)/m"</f>
        <v>Sound Power Level (dBA) dB(A)/m</v>
      </c>
    </row>
    <row r="143" spans="1:3" x14ac:dyDescent="0.25">
      <c r="A143" t="s">
        <v>257</v>
      </c>
      <c r="B143" t="str">
        <f ca="1">C107&amp; " NC/m"</f>
        <v>Sound Pressure Level (NC) NC/m</v>
      </c>
    </row>
    <row r="144" spans="1:3" x14ac:dyDescent="0.25">
      <c r="A144" t="s">
        <v>543</v>
      </c>
      <c r="B144" t="str">
        <f ca="1">C121&amp; " mm"</f>
        <v>Nominal Spigot Size mm</v>
      </c>
    </row>
    <row r="145" spans="1:6" x14ac:dyDescent="0.25">
      <c r="F145" s="179"/>
    </row>
    <row r="146" spans="1:6" x14ac:dyDescent="0.25">
      <c r="A146" t="s">
        <v>100</v>
      </c>
    </row>
    <row r="147" spans="1:6" x14ac:dyDescent="0.25">
      <c r="A147" t="s">
        <v>169</v>
      </c>
      <c r="B147" s="1" t="e">
        <f ca="1">D122 &amp; " // "&amp;D123</f>
        <v>#VALUE!</v>
      </c>
    </row>
    <row r="148" spans="1:6" x14ac:dyDescent="0.25">
      <c r="A148" t="s">
        <v>455</v>
      </c>
      <c r="B148" t="str">
        <f ca="1">C116 &amp;" m/s"</f>
        <v>Mean Room Air V m/s</v>
      </c>
    </row>
    <row r="149" spans="1:6" x14ac:dyDescent="0.25">
      <c r="A149" t="s">
        <v>456</v>
      </c>
      <c r="B149" s="179" t="e">
        <f ca="1">C117*100 &amp;"% @ room temperature of "&amp;B127&amp;"°C"</f>
        <v>#VALUE!</v>
      </c>
    </row>
    <row r="150" spans="1:6" x14ac:dyDescent="0.25">
      <c r="A150" t="s">
        <v>107</v>
      </c>
      <c r="B150" t="e">
        <f ca="1">C118*100&amp;"%"</f>
        <v>#VALUE!</v>
      </c>
    </row>
    <row r="151" spans="1:6" x14ac:dyDescent="0.25">
      <c r="A151" t="s">
        <v>457</v>
      </c>
      <c r="B151" t="str">
        <f ca="1">"Category "&amp;C120</f>
        <v>Category PPD Class</v>
      </c>
    </row>
    <row r="152" spans="1:6" x14ac:dyDescent="0.25">
      <c r="A152" t="s">
        <v>458</v>
      </c>
      <c r="B152" t="str">
        <f ca="1">"-"&amp;C119&amp;" &lt; PMV &lt; +"&amp;C119</f>
        <v>-PMV &lt; PMV &lt; +PMV</v>
      </c>
    </row>
    <row r="154" spans="1:6" x14ac:dyDescent="0.25">
      <c r="A154" s="3" t="s">
        <v>544</v>
      </c>
    </row>
    <row r="155" spans="1:6" x14ac:dyDescent="0.25">
      <c r="A155" s="3"/>
    </row>
    <row r="156" spans="1:6" x14ac:dyDescent="0.25">
      <c r="A156" t="s">
        <v>545</v>
      </c>
      <c r="B156" s="1" t="str">
        <f>"Recommended distances for ≥ " &amp; 'LMC-ADequations'!B34 * 100&amp;"% ADPI (Selected)"</f>
        <v>Recommended distances for ≥ 90% ADPI (Selected)</v>
      </c>
    </row>
    <row r="158" spans="1:6" x14ac:dyDescent="0.25">
      <c r="A158" t="s">
        <v>203</v>
      </c>
      <c r="B158" t="str">
        <f ca="1">C113</f>
        <v>Min C/L Distance (m)</v>
      </c>
    </row>
    <row r="159" spans="1:6" x14ac:dyDescent="0.25">
      <c r="A159" t="s">
        <v>546</v>
      </c>
      <c r="B159" t="str">
        <f ca="1">C111 &amp; " m"</f>
        <v>Max Coverage Dist Centre Zone m</v>
      </c>
    </row>
    <row r="160" spans="1:6" x14ac:dyDescent="0.25">
      <c r="A160" t="s">
        <v>547</v>
      </c>
      <c r="B160" t="str">
        <f ca="1">C112 &amp; " m"</f>
        <v>Max C/L Distance (m) Perimeter m</v>
      </c>
    </row>
    <row r="162" spans="1:4" x14ac:dyDescent="0.25">
      <c r="A162" t="s">
        <v>537</v>
      </c>
      <c r="B162" t="str">
        <f ca="1">"C Max (centre/perimeter) = " &amp;B159&amp;"/"&amp;B160</f>
        <v>C Max (centre/perimeter) = Max Coverage Dist Centre Zone m/Max C/L Distance (m) Perimeter m</v>
      </c>
    </row>
    <row r="163" spans="1:4" x14ac:dyDescent="0.25">
      <c r="B163" t="str">
        <f ca="1">"C Min = " &amp; B158&amp; " m"</f>
        <v>C Min = Min C/L Distance (m) m</v>
      </c>
    </row>
    <row r="164" spans="1:4" x14ac:dyDescent="0.25">
      <c r="B164" t="str">
        <f>IF($B$128=1,"Average",IF($B$128=2,"Selected",IF($B$128=3,"Nominal")))</f>
        <v>Average</v>
      </c>
    </row>
    <row r="165" spans="1:4" x14ac:dyDescent="0.25">
      <c r="A165" t="s">
        <v>548</v>
      </c>
      <c r="B165" s="6">
        <f>ROUND('LMC-ADequations'!B300,1)</f>
        <v>14.6</v>
      </c>
      <c r="C165" t="s">
        <v>31</v>
      </c>
    </row>
    <row r="166" spans="1:4" x14ac:dyDescent="0.25">
      <c r="B166" s="6">
        <f>ROUND('LMC-ADequations'!B309,1)</f>
        <v>8.5</v>
      </c>
      <c r="C166" s="6" t="str">
        <f>'LMC-ADequations'!C309</f>
        <v>L/s/m²</v>
      </c>
    </row>
    <row r="167" spans="1:4" x14ac:dyDescent="0.25">
      <c r="B167" t="str">
        <f>B164&amp;" C = "&amp;B165&amp; " m"</f>
        <v>Average C = 14.6 m</v>
      </c>
    </row>
    <row r="169" spans="1:4" x14ac:dyDescent="0.25">
      <c r="A169" t="s">
        <v>549</v>
      </c>
      <c r="B169" t="str">
        <f ca="1">IF($B$128=3,"",B162)</f>
        <v>C Max (centre/perimeter) = Max Coverage Dist Centre Zone m/Max C/L Distance (m) Perimeter m</v>
      </c>
      <c r="C169">
        <v>1</v>
      </c>
      <c r="D169" t="str">
        <f>"Specific Airflow Rate @ Average C of "&amp;B165&amp;" m: "&amp;B166&amp;" " &amp;C166</f>
        <v>Specific Airflow Rate @ Average C of 14.6 m: 8.5 L/s/m²</v>
      </c>
    </row>
    <row r="170" spans="1:4" x14ac:dyDescent="0.25">
      <c r="A170" t="s">
        <v>550</v>
      </c>
      <c r="B170" t="str">
        <f ca="1">IF($B$128=3,B162,B163)</f>
        <v>C Min = Min C/L Distance (m) m</v>
      </c>
      <c r="C170">
        <v>2</v>
      </c>
      <c r="D170" t="str">
        <f>"Specific Airflow Rate @ Selected C of "&amp;B165&amp;" m: "&amp;B166&amp;" " &amp;C166</f>
        <v>Specific Airflow Rate @ Selected C of 14.6 m: 8.5 L/s/m²</v>
      </c>
    </row>
    <row r="171" spans="1:4" x14ac:dyDescent="0.25">
      <c r="A171" t="s">
        <v>551</v>
      </c>
      <c r="B171" t="str">
        <f>IF($B$128=3,B163,B167)</f>
        <v>Average C = 14.6 m</v>
      </c>
      <c r="C171">
        <v>3</v>
      </c>
      <c r="D171" t="str">
        <f>"Specific Airflow Rate = "&amp;B166&amp;" "&amp;C166</f>
        <v>Specific Airflow Rate = 8.5 L/s/m²</v>
      </c>
    </row>
    <row r="172" spans="1:4" x14ac:dyDescent="0.25">
      <c r="A172" t="s">
        <v>552</v>
      </c>
      <c r="B172" t="str">
        <f>VLOOKUP(B128,C169:D171,2,0)</f>
        <v>Specific Airflow Rate @ Average C of 14.6 m: 8.5 L/s/m²</v>
      </c>
    </row>
    <row r="174" spans="1:4" x14ac:dyDescent="0.25">
      <c r="A174" t="s">
        <v>235</v>
      </c>
      <c r="B174" t="str">
        <f xml:space="preserve"> "Selected Diffuser Height = "&amp;B129&amp;" m"</f>
        <v>Selected Diffuser Height = 2.7 m</v>
      </c>
    </row>
    <row r="175" spans="1:4" x14ac:dyDescent="0.25">
      <c r="B175" t="str">
        <f ca="1" xml:space="preserve"> "Min Recommended Diffuser Height = "&amp;C114&amp;" m"</f>
        <v>Min Recommended Diffuser Height = Min Diffuser Height (m) m</v>
      </c>
    </row>
  </sheetData>
  <sheetProtection selectLockedCells="1" selectUnlockedCells="1"/>
  <pageMargins left="0.7" right="0.7" top="0.75" bottom="0.75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F53"/>
  <sheetViews>
    <sheetView view="pageLayout" topLeftCell="A3" zoomScale="115" zoomScaleNormal="100" zoomScalePageLayoutView="115" workbookViewId="0">
      <selection activeCell="B3" sqref="B3:F3"/>
    </sheetView>
  </sheetViews>
  <sheetFormatPr defaultColWidth="9" defaultRowHeight="15" x14ac:dyDescent="0.25"/>
  <cols>
    <col min="1" max="1" width="27.5703125" style="150" customWidth="1"/>
    <col min="2" max="3" width="7.42578125" style="150" customWidth="1"/>
    <col min="4" max="4" width="27.5703125" style="150" customWidth="1"/>
    <col min="5" max="6" width="7.42578125" style="150" customWidth="1"/>
    <col min="7" max="16384" width="9" style="150"/>
  </cols>
  <sheetData>
    <row r="1" spans="1:6" ht="25.5" customHeight="1" x14ac:dyDescent="0.25">
      <c r="B1" s="151" t="s">
        <v>439</v>
      </c>
      <c r="C1" s="152"/>
      <c r="D1" s="152"/>
      <c r="E1" s="153"/>
      <c r="F1" s="153"/>
    </row>
    <row r="2" spans="1:6" ht="14.1" customHeight="1" x14ac:dyDescent="0.25">
      <c r="A2" s="173"/>
      <c r="B2" s="173"/>
      <c r="C2" s="173"/>
      <c r="D2" s="173"/>
      <c r="E2" s="173"/>
      <c r="F2" s="264" t="str">
        <f>'LMC-AD'!S7</f>
        <v>v 8.1 [08/2026]</v>
      </c>
    </row>
    <row r="3" spans="1:6" ht="14.1" customHeight="1" x14ac:dyDescent="0.25">
      <c r="A3" s="174" t="s">
        <v>440</v>
      </c>
      <c r="B3" s="319" t="str">
        <f>'LMC-AD'!D5</f>
        <v>&lt;Project Name&gt;</v>
      </c>
      <c r="C3" s="319"/>
      <c r="D3" s="319"/>
      <c r="E3" s="319"/>
      <c r="F3" s="319"/>
    </row>
    <row r="4" spans="1:6" ht="14.1" customHeight="1" x14ac:dyDescent="0.25">
      <c r="A4" s="175" t="s">
        <v>21</v>
      </c>
      <c r="B4" s="319" t="s">
        <v>441</v>
      </c>
      <c r="C4" s="319"/>
      <c r="D4" s="319"/>
      <c r="E4" s="319"/>
      <c r="F4" s="319"/>
    </row>
    <row r="5" spans="1:6" ht="14.1" customHeight="1" x14ac:dyDescent="0.25">
      <c r="A5" s="175" t="s">
        <v>442</v>
      </c>
      <c r="B5" s="319" t="s">
        <v>441</v>
      </c>
      <c r="C5" s="319"/>
      <c r="D5" s="319"/>
      <c r="E5" s="319"/>
      <c r="F5" s="319"/>
    </row>
    <row r="6" spans="1:6" ht="14.1" customHeight="1" x14ac:dyDescent="0.25">
      <c r="A6" s="173"/>
      <c r="B6" s="173"/>
      <c r="C6" s="173"/>
      <c r="D6" s="173"/>
      <c r="E6" s="173"/>
      <c r="F6" s="173"/>
    </row>
    <row r="7" spans="1:6" ht="14.1" customHeight="1" x14ac:dyDescent="0.25">
      <c r="A7" s="174" t="s">
        <v>443</v>
      </c>
      <c r="B7" s="173" t="str">
        <f>data!B73</f>
        <v>SMARTEMP LMC-AD</v>
      </c>
      <c r="C7" s="173"/>
      <c r="D7" s="173"/>
      <c r="E7" s="173"/>
      <c r="F7" s="173"/>
    </row>
    <row r="8" spans="1:6" ht="14.1" customHeight="1" x14ac:dyDescent="0.25">
      <c r="A8" s="173"/>
      <c r="B8" s="173" t="str">
        <f>data!E14</f>
        <v>Linear Multistream Adjustable Diffuser</v>
      </c>
      <c r="C8" s="173"/>
      <c r="D8" s="173"/>
      <c r="E8" s="173"/>
      <c r="F8" s="173"/>
    </row>
    <row r="9" spans="1:6" ht="14.1" customHeight="1" x14ac:dyDescent="0.25">
      <c r="A9" s="173" t="s">
        <v>445</v>
      </c>
      <c r="B9" s="173" t="str">
        <f>data!B81</f>
        <v>Face 1195 mm × please select number of slots</v>
      </c>
      <c r="C9" s="173"/>
      <c r="D9" s="173"/>
      <c r="E9" s="173"/>
      <c r="F9" s="173"/>
    </row>
    <row r="10" spans="1:6" ht="14.1" customHeight="1" x14ac:dyDescent="0.25">
      <c r="A10" s="173" t="s">
        <v>446</v>
      </c>
      <c r="B10" s="173" t="str">
        <f>data!B82</f>
        <v>2-way blow</v>
      </c>
      <c r="C10" s="173"/>
      <c r="D10" s="173"/>
      <c r="E10" s="173"/>
      <c r="F10" s="173"/>
    </row>
    <row r="11" spans="1:6" ht="14.1" customHeight="1" x14ac:dyDescent="0.25">
      <c r="A11" s="173" t="s">
        <v>21</v>
      </c>
      <c r="B11" s="173" t="str">
        <f>data!B83</f>
        <v>Closed Ceiling</v>
      </c>
      <c r="C11" s="173"/>
      <c r="D11" s="173"/>
      <c r="E11" s="173"/>
      <c r="F11" s="173"/>
    </row>
    <row r="12" spans="1:6" ht="14.1" customHeight="1" x14ac:dyDescent="0.25">
      <c r="A12" s="174" t="str">
        <f>data!F14</f>
        <v/>
      </c>
      <c r="B12" s="173"/>
      <c r="C12" s="173"/>
      <c r="D12" s="173"/>
      <c r="E12" s="173"/>
      <c r="F12" s="173"/>
    </row>
    <row r="13" spans="1:6" ht="14.1" customHeight="1" x14ac:dyDescent="0.25">
      <c r="A13" s="174" t="s">
        <v>447</v>
      </c>
      <c r="B13" s="155"/>
      <c r="C13" s="173"/>
      <c r="D13" s="174"/>
      <c r="E13" s="173"/>
      <c r="F13" s="173"/>
    </row>
    <row r="14" spans="1:6" ht="14.1" customHeight="1" x14ac:dyDescent="0.25">
      <c r="A14" s="173" t="s">
        <v>448</v>
      </c>
      <c r="B14" s="176" t="str">
        <f ca="1">data!B134</f>
        <v>Selected Airflow [L/s/m] L/s/m @ Max Total Pressure (Pa) Pa total (Max Static Pressure (Pa) Pa static)</v>
      </c>
      <c r="C14" s="173"/>
      <c r="D14" s="173"/>
      <c r="E14" s="176"/>
      <c r="F14" s="173"/>
    </row>
    <row r="15" spans="1:6" ht="14.1" customHeight="1" x14ac:dyDescent="0.25">
      <c r="A15" s="173" t="s">
        <v>77</v>
      </c>
      <c r="B15" s="173" t="e">
        <f ca="1">data!B135</f>
        <v>#VALUE!</v>
      </c>
      <c r="C15" s="173"/>
      <c r="D15" s="173"/>
      <c r="E15" s="173"/>
      <c r="F15" s="176"/>
    </row>
    <row r="16" spans="1:6" ht="14.1" customHeight="1" x14ac:dyDescent="0.25">
      <c r="A16" s="173" t="s">
        <v>449</v>
      </c>
      <c r="B16" s="177" t="str">
        <f ca="1">data!B138</f>
        <v>+ Centre Zone: Setting 'A' K for centre zones; + Perimeter Zone: Setting 'A' K for perimeter zones (pattern 'Air Pattern Setting')</v>
      </c>
      <c r="C16" s="173"/>
      <c r="D16" s="173"/>
      <c r="E16" s="176"/>
      <c r="F16" s="173"/>
    </row>
    <row r="17" spans="1:6" ht="14.1" customHeight="1" x14ac:dyDescent="0.25">
      <c r="A17" s="173" t="s">
        <v>450</v>
      </c>
      <c r="B17" s="176" t="str">
        <f ca="1">data!B139</f>
        <v>2-way blow, setting 'Air Pattern Setting'</v>
      </c>
      <c r="C17" s="173"/>
      <c r="D17" s="173"/>
      <c r="E17" s="176"/>
      <c r="F17" s="173"/>
    </row>
    <row r="18" spans="1:6" ht="14.1" customHeight="1" x14ac:dyDescent="0.25">
      <c r="A18" s="173"/>
      <c r="B18" s="176"/>
      <c r="C18" s="173"/>
      <c r="D18" s="173"/>
      <c r="E18" s="176"/>
      <c r="F18" s="173"/>
    </row>
    <row r="19" spans="1:6" ht="14.1" customHeight="1" x14ac:dyDescent="0.25">
      <c r="A19" s="174" t="s">
        <v>451</v>
      </c>
      <c r="B19" s="173"/>
      <c r="C19" s="173"/>
      <c r="D19" s="173"/>
      <c r="E19" s="177"/>
      <c r="F19" s="173"/>
    </row>
    <row r="20" spans="1:6" ht="14.1" customHeight="1" x14ac:dyDescent="0.25">
      <c r="A20" s="173" t="s">
        <v>86</v>
      </c>
      <c r="B20" s="176" t="str">
        <f ca="1">data!B142</f>
        <v>Sound Power Level (dBA) dB(A)/m</v>
      </c>
      <c r="C20" s="173"/>
      <c r="D20" s="173"/>
      <c r="E20" s="173"/>
      <c r="F20" s="173"/>
    </row>
    <row r="21" spans="1:6" ht="14.1" customHeight="1" x14ac:dyDescent="0.25">
      <c r="A21" s="173" t="s">
        <v>88</v>
      </c>
      <c r="B21" s="176" t="str">
        <f ca="1">data!B143</f>
        <v>Sound Pressure Level (NC) NC/m</v>
      </c>
      <c r="C21" s="173"/>
      <c r="D21" s="221" t="s">
        <v>452</v>
      </c>
      <c r="E21" s="173"/>
      <c r="F21" s="173"/>
    </row>
    <row r="22" spans="1:6" ht="14.1" customHeight="1" x14ac:dyDescent="0.25">
      <c r="A22" s="321" t="s">
        <v>453</v>
      </c>
      <c r="B22" s="173" t="str">
        <f ca="1">data!B144</f>
        <v>Nominal Spigot Size mm</v>
      </c>
      <c r="E22" s="173"/>
      <c r="F22" s="173"/>
    </row>
    <row r="23" spans="1:6" ht="14.1" customHeight="1" x14ac:dyDescent="0.25">
      <c r="A23" s="321"/>
      <c r="E23" s="173"/>
      <c r="F23" s="173"/>
    </row>
    <row r="24" spans="1:6" ht="14.1" customHeight="1" x14ac:dyDescent="0.25">
      <c r="A24" s="173"/>
      <c r="B24" s="173"/>
      <c r="C24" s="173"/>
      <c r="D24" s="173"/>
      <c r="E24" s="173"/>
      <c r="F24" s="173"/>
    </row>
    <row r="25" spans="1:6" ht="14.1" customHeight="1" x14ac:dyDescent="0.25">
      <c r="A25" s="174" t="s">
        <v>454</v>
      </c>
      <c r="B25" s="173"/>
      <c r="C25" s="173"/>
      <c r="D25" s="173"/>
      <c r="E25" s="173"/>
      <c r="F25" s="173"/>
    </row>
    <row r="26" spans="1:6" ht="14.1" customHeight="1" x14ac:dyDescent="0.25">
      <c r="A26" s="173" t="s">
        <v>169</v>
      </c>
      <c r="B26" s="180" t="e">
        <f ca="1">data!B147</f>
        <v>#VALUE!</v>
      </c>
      <c r="C26" s="173"/>
      <c r="D26" s="173"/>
      <c r="E26" s="173"/>
      <c r="F26" s="173"/>
    </row>
    <row r="27" spans="1:6" ht="14.1" customHeight="1" x14ac:dyDescent="0.25">
      <c r="A27" s="173" t="s">
        <v>455</v>
      </c>
      <c r="B27" s="180" t="str">
        <f ca="1">data!B148</f>
        <v>Mean Room Air V m/s</v>
      </c>
      <c r="C27" s="173"/>
      <c r="D27" s="173"/>
      <c r="E27" s="173"/>
      <c r="F27" s="173"/>
    </row>
    <row r="28" spans="1:6" ht="14.1" customHeight="1" x14ac:dyDescent="0.25">
      <c r="A28" s="173" t="s">
        <v>456</v>
      </c>
      <c r="B28" s="180" t="e">
        <f ca="1">data!B149</f>
        <v>#VALUE!</v>
      </c>
      <c r="C28" s="173"/>
      <c r="D28" s="173"/>
      <c r="E28" s="173"/>
      <c r="F28" s="173"/>
    </row>
    <row r="29" spans="1:6" ht="14.1" customHeight="1" x14ac:dyDescent="0.25">
      <c r="A29" s="173" t="s">
        <v>107</v>
      </c>
      <c r="B29" s="180" t="e">
        <f ca="1">data!B150</f>
        <v>#VALUE!</v>
      </c>
      <c r="C29" s="173"/>
      <c r="D29" s="173"/>
      <c r="E29" s="173"/>
      <c r="F29" s="173"/>
    </row>
    <row r="30" spans="1:6" ht="14.1" customHeight="1" x14ac:dyDescent="0.25">
      <c r="A30" s="173" t="s">
        <v>457</v>
      </c>
      <c r="B30" s="180" t="str">
        <f ca="1">data!B151</f>
        <v>Category PPD Class</v>
      </c>
      <c r="C30" s="173"/>
      <c r="D30" s="173"/>
      <c r="E30" s="173"/>
      <c r="F30" s="173"/>
    </row>
    <row r="31" spans="1:6" ht="14.1" customHeight="1" x14ac:dyDescent="0.25">
      <c r="A31" s="173" t="s">
        <v>458</v>
      </c>
      <c r="B31" s="180" t="str">
        <f ca="1">data!B152</f>
        <v>-PMV &lt; PMV &lt; +PMV</v>
      </c>
      <c r="C31" s="173"/>
      <c r="D31" s="173"/>
      <c r="E31" s="173"/>
      <c r="F31" s="173"/>
    </row>
    <row r="32" spans="1:6" ht="14.1" customHeight="1" x14ac:dyDescent="0.25">
      <c r="A32" s="220" t="s">
        <v>459</v>
      </c>
      <c r="B32" s="173"/>
      <c r="C32" s="173"/>
      <c r="D32" s="173"/>
      <c r="E32" s="173"/>
      <c r="F32" s="173"/>
    </row>
    <row r="33" spans="1:6" ht="14.1" customHeight="1" x14ac:dyDescent="0.25">
      <c r="A33" s="173"/>
      <c r="B33" s="173"/>
      <c r="C33" s="173"/>
      <c r="D33" s="173"/>
      <c r="E33" s="173"/>
      <c r="F33" s="173"/>
    </row>
    <row r="34" spans="1:6" ht="14.1" customHeight="1" x14ac:dyDescent="0.25">
      <c r="A34" s="173"/>
      <c r="B34" s="173"/>
      <c r="C34" s="173"/>
      <c r="D34" s="173"/>
      <c r="E34" s="173"/>
      <c r="F34" s="173"/>
    </row>
    <row r="35" spans="1:6" ht="14.1" customHeight="1" x14ac:dyDescent="0.25">
      <c r="A35" s="173"/>
      <c r="B35" s="173"/>
      <c r="C35" s="173"/>
      <c r="D35" s="173"/>
      <c r="E35" s="173"/>
      <c r="F35" s="173"/>
    </row>
    <row r="36" spans="1:6" ht="14.1" customHeight="1" x14ac:dyDescent="0.25">
      <c r="A36" s="173"/>
      <c r="B36" s="173"/>
      <c r="C36" s="173"/>
      <c r="D36" s="173"/>
      <c r="E36" s="173"/>
      <c r="F36" s="173"/>
    </row>
    <row r="37" spans="1:6" ht="14.1" customHeight="1" x14ac:dyDescent="0.25"/>
    <row r="38" spans="1:6" ht="14.1" customHeight="1" x14ac:dyDescent="0.25"/>
    <row r="39" spans="1:6" ht="14.1" customHeight="1" x14ac:dyDescent="0.25"/>
    <row r="40" spans="1:6" ht="14.1" customHeight="1" x14ac:dyDescent="0.25"/>
    <row r="41" spans="1:6" ht="14.1" customHeight="1" x14ac:dyDescent="0.25"/>
    <row r="42" spans="1:6" ht="14.1" customHeight="1" x14ac:dyDescent="0.25"/>
    <row r="43" spans="1:6" ht="14.1" customHeight="1" x14ac:dyDescent="0.25"/>
    <row r="44" spans="1:6" ht="14.1" customHeight="1" x14ac:dyDescent="0.25">
      <c r="A44" s="174" t="s">
        <v>460</v>
      </c>
      <c r="B44" s="173" t="str">
        <f>data!B87</f>
        <v>1195 mm face length with (number of slots not selected)</v>
      </c>
      <c r="C44" s="173"/>
      <c r="D44" s="173"/>
      <c r="E44" s="173"/>
      <c r="F44" s="173"/>
    </row>
    <row r="45" spans="1:6" ht="14.1" customHeight="1" x14ac:dyDescent="0.25">
      <c r="A45" s="173"/>
      <c r="B45" s="173" t="str">
        <f ca="1">data!B88</f>
        <v>2-way blow with discharge direction 'Air Pattern Setting'</v>
      </c>
      <c r="C45" s="173"/>
      <c r="D45" s="173"/>
      <c r="E45" s="173"/>
      <c r="F45" s="173"/>
    </row>
    <row r="46" spans="1:6" ht="14.1" customHeight="1" x14ac:dyDescent="0.25">
      <c r="A46" s="173"/>
      <c r="B46" s="173" t="str">
        <f>data!B89</f>
        <v>with side flanges</v>
      </c>
      <c r="C46" s="173"/>
      <c r="D46" s="173"/>
      <c r="E46" s="173"/>
      <c r="F46" s="173"/>
    </row>
    <row r="47" spans="1:6" ht="14.1" customHeight="1" x14ac:dyDescent="0.25">
      <c r="A47" s="173"/>
      <c r="B47" s="173" t="str">
        <f>data!B90</f>
        <v>with two end flanges</v>
      </c>
      <c r="C47" s="173"/>
      <c r="D47" s="173"/>
      <c r="E47" s="173"/>
      <c r="F47" s="173"/>
    </row>
    <row r="48" spans="1:6" ht="14.1" customHeight="1" x14ac:dyDescent="0.25">
      <c r="A48" s="173"/>
      <c r="B48" s="173" t="str">
        <f>data!B91</f>
        <v>fixing by others; without accessories</v>
      </c>
      <c r="C48" s="173"/>
      <c r="D48" s="173"/>
      <c r="E48" s="173"/>
      <c r="F48" s="173"/>
    </row>
    <row r="49" spans="1:6" ht="14.1" customHeight="1" x14ac:dyDescent="0.25">
      <c r="B49" s="173" t="str">
        <f>data!B92</f>
        <v>profile powder coated to RAL9003 with black barrels</v>
      </c>
    </row>
    <row r="50" spans="1:6" ht="14.1" customHeight="1" x14ac:dyDescent="0.25">
      <c r="A50" s="173"/>
      <c r="B50" s="173" t="str">
        <f>data!B93</f>
        <v xml:space="preserve">no connection box  </v>
      </c>
      <c r="C50" s="173"/>
      <c r="D50" s="173"/>
      <c r="E50" s="173"/>
      <c r="F50" s="173"/>
    </row>
    <row r="51" spans="1:6" ht="14.1" customHeight="1" x14ac:dyDescent="0.25">
      <c r="A51" s="173"/>
      <c r="B51" s="173"/>
      <c r="C51" s="173"/>
      <c r="D51" s="173"/>
      <c r="E51" s="173"/>
      <c r="F51" s="173"/>
    </row>
    <row r="52" spans="1:6" ht="14.1" customHeight="1" x14ac:dyDescent="0.25">
      <c r="A52" s="174" t="s">
        <v>461</v>
      </c>
      <c r="B52" s="320" t="str">
        <f>_product_code</f>
        <v>Please select length and number of slots</v>
      </c>
      <c r="C52" s="320"/>
      <c r="D52" s="320"/>
      <c r="E52" s="320"/>
      <c r="F52" s="320"/>
    </row>
    <row r="53" spans="1:6" ht="14.1" customHeight="1" x14ac:dyDescent="0.25">
      <c r="A53" s="154"/>
      <c r="B53" s="154"/>
      <c r="C53" s="154"/>
      <c r="D53" s="154"/>
      <c r="E53" s="154"/>
      <c r="F53" s="154"/>
    </row>
  </sheetData>
  <sheetProtection algorithmName="SHA-512" hashValue="/vdNeJY6JUFrj6I10BL4GAHz41pzCvtlb5OQ93X53y4C/T5Qa8lNtU4INclLy09zXCZMYRF4WNJ0cW1ln1G6Yw==" saltValue="NCjUdYQzOxIf3ulS5uLwFQ==" spinCount="100000" sheet="1" selectLockedCells="1"/>
  <mergeCells count="5">
    <mergeCell ref="B3:F3"/>
    <mergeCell ref="B4:F4"/>
    <mergeCell ref="B5:F5"/>
    <mergeCell ref="B52:F52"/>
    <mergeCell ref="A22:A23"/>
  </mergeCells>
  <pageMargins left="0.7" right="0.7" top="0.75" bottom="0.55729166666666663" header="0.3" footer="0.3"/>
  <pageSetup paperSize="9" orientation="portrait" horizontalDpi="4294967293" verticalDpi="4294967293" r:id="rId1"/>
  <headerFooter>
    <oddFooter>&amp;R&amp;10&amp;K01+030© 2023 SMARTAIR DIFFUSION</oddFooter>
  </headerFooter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C729C27-308C-479E-A2CC-32CFD2C8CE30}">
            <xm:f>NOT(ISNUMBER(data!$B$80))</xm:f>
            <x14:dxf>
              <font>
                <color rgb="FFC00000"/>
              </font>
            </x14:dxf>
          </x14:cfRule>
          <xm:sqref>B9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bbb3e3-3c65-4cbd-bb41-bc965094d10a">
      <Terms xmlns="http://schemas.microsoft.com/office/infopath/2007/PartnerControls"/>
    </lcf76f155ced4ddcb4097134ff3c332f>
    <TaxCatchAll xmlns="376dd4ba-df4a-4846-a89c-1b53ce3cc7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504A946ECCA4C952722432686889E" ma:contentTypeVersion="19" ma:contentTypeDescription="Create a new document." ma:contentTypeScope="" ma:versionID="a0d04c8f4e66d5e4b37a30cc5a78917f">
  <xsd:schema xmlns:xsd="http://www.w3.org/2001/XMLSchema" xmlns:xs="http://www.w3.org/2001/XMLSchema" xmlns:p="http://schemas.microsoft.com/office/2006/metadata/properties" xmlns:ns2="14bbb3e3-3c65-4cbd-bb41-bc965094d10a" xmlns:ns3="376dd4ba-df4a-4846-a89c-1b53ce3cc703" targetNamespace="http://schemas.microsoft.com/office/2006/metadata/properties" ma:root="true" ma:fieldsID="24374c62e4d6b2c5e338e13934951357" ns2:_="" ns3:_="">
    <xsd:import namespace="14bbb3e3-3c65-4cbd-bb41-bc965094d10a"/>
    <xsd:import namespace="376dd4ba-df4a-4846-a89c-1b53ce3cc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bb3e3-3c65-4cbd-bb41-bc965094d1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5099de3-f43e-464c-81e1-892210f71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dd4ba-df4a-4846-a89c-1b53ce3cc7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a1b3306-80d9-4625-86be-7037c69e3b39}" ma:internalName="TaxCatchAll" ma:showField="CatchAllData" ma:web="376dd4ba-df4a-4846-a89c-1b53ce3cc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49E2FF-16FD-4D2B-8295-C446092386EC}">
  <ds:schemaRefs>
    <ds:schemaRef ds:uri="http://schemas.microsoft.com/office/2006/metadata/properties"/>
    <ds:schemaRef ds:uri="http://schemas.microsoft.com/office/infopath/2007/PartnerControls"/>
    <ds:schemaRef ds:uri="14bbb3e3-3c65-4cbd-bb41-bc965094d10a"/>
    <ds:schemaRef ds:uri="376dd4ba-df4a-4846-a89c-1b53ce3cc703"/>
  </ds:schemaRefs>
</ds:datastoreItem>
</file>

<file path=customXml/itemProps2.xml><?xml version="1.0" encoding="utf-8"?>
<ds:datastoreItem xmlns:ds="http://schemas.openxmlformats.org/officeDocument/2006/customXml" ds:itemID="{FF00997B-9B51-4539-9F64-BE4CEB3B3E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bbb3e3-3c65-4cbd-bb41-bc965094d10a"/>
    <ds:schemaRef ds:uri="376dd4ba-df4a-4846-a89c-1b53ce3cc7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D0F088-88C0-4290-9542-775674C18C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LMC-AD</vt:lpstr>
      <vt:lpstr>LMC-ADequations</vt:lpstr>
      <vt:lpstr>Notes</vt:lpstr>
      <vt:lpstr>Diffuser Layout </vt:lpstr>
      <vt:lpstr>Dimensions</vt:lpstr>
      <vt:lpstr>diagrams</vt:lpstr>
      <vt:lpstr>data</vt:lpstr>
      <vt:lpstr>Selection Summary</vt:lpstr>
      <vt:lpstr>_product_code</vt:lpstr>
      <vt:lpstr>adpi.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Smartair Diffusion</dc:creator>
  <cp:keywords/>
  <dc:description/>
  <cp:lastModifiedBy>Peter Tran</cp:lastModifiedBy>
  <cp:revision/>
  <dcterms:created xsi:type="dcterms:W3CDTF">2016-09-15T03:33:21Z</dcterms:created>
  <dcterms:modified xsi:type="dcterms:W3CDTF">2026-08-01T06:56:32Z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0x010100E34504A946ECCA4C952722432686889E</vt:lpwstr>
  </property>
  <property fmtid="{D5CDD505-2E9C-101B-9397-08002B2CF9AE}" pid="3" name="Order">
    <vt:r8>4889600</vt:r8>
  </property>
  <property fmtid="{D5CDD505-2E9C-101B-9397-08002B2CF9AE}" pid="4" name="MediaServiceImageTags">
    <vt:lpwstr/>
  </property>
</Properties>
</file>