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vsdx" ContentType="application/vnd.ms-visio.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88369f42e4cf940/Documents/Work/Smartair/LJC-AD/"/>
    </mc:Choice>
  </mc:AlternateContent>
  <xr:revisionPtr revIDLastSave="4272" documentId="13_ncr:1_{AFB572FB-820C-4C04-9AAB-1C18EC4C9446}" xr6:coauthVersionLast="47" xr6:coauthVersionMax="47" xr10:uidLastSave="{7E763E06-54E7-46C3-BEAD-BAFBFA385AAA}"/>
  <workbookProtection workbookAlgorithmName="SHA-512" workbookHashValue="1CQ/a0Vch254Exq3yAuoUpt6vFF1OEkB+mix5SW0e9bIoW5Duz7fyvz2ual36ckbSCRIpdCMz79gHHPQhV0uyg==" workbookSaltValue="nfj8hoQuj2B3GSSKNol7Lg==" workbookSpinCount="100000" lockStructure="1"/>
  <bookViews>
    <workbookView xWindow="-120" yWindow="-120" windowWidth="56790" windowHeight="24240" xr2:uid="{E4BD710C-1D20-4B70-BA0E-48C0D44522AC}"/>
  </bookViews>
  <sheets>
    <sheet name="LJC-AD" sheetId="1" r:id="rId1"/>
    <sheet name="equations" sheetId="3" state="hidden" r:id="rId2"/>
    <sheet name="data" sheetId="2" state="hidden" r:id="rId3"/>
    <sheet name="Selection Summary &amp; Print" sheetId="6" r:id="rId4"/>
    <sheet name="Notes" sheetId="4" r:id="rId5"/>
    <sheet name="Diffuser Layout (not used)" sheetId="8" state="hidden" r:id="rId6"/>
    <sheet name="Dimensions &amp; Connection Box" sheetId="5" r:id="rId7"/>
    <sheet name="diagrams" sheetId="9" state="hidden" r:id="rId8"/>
    <sheet name="charts" sheetId="10" state="hidden" r:id="rId9"/>
  </sheets>
  <definedNames>
    <definedName name="_control_diagram">IF(data!$C$29,IF(data!$C$7&gt;1,charts!$A$1,charts!$A$2),charts!$A$3)</definedName>
    <definedName name="_defaultADPI">data!$E$247</definedName>
    <definedName name="_defaultAirflow">data!$E$241</definedName>
    <definedName name="_defaultCoverage">data!$E$248</definedName>
    <definedName name="_defaultDT">data!$E$244</definedName>
    <definedName name="_defaultHeight">data!$E$245</definedName>
    <definedName name="_defaultInput">data!$E$241:$E$253</definedName>
    <definedName name="_defaultLowLevel">data!$E$253</definedName>
    <definedName name="_defaultPressure">data!$E$243</definedName>
    <definedName name="_defaultRatio">data!$E$246</definedName>
    <definedName name="_defaultSetback">data!$E$252</definedName>
    <definedName name="_defaultSpecFlow">data!$E$249</definedName>
    <definedName name="_defaultTempCool">data!$E$250</definedName>
    <definedName name="_defaultTempHeat">data!$E$251</definedName>
    <definedName name="_defaultVAV">data!$E$242</definedName>
    <definedName name="_getDirectionDiagram">IF('LJC-AD'!$G$54="A",diagrams!$D$12,IF('LJC-AD'!$G$54="B",diagrams!$D$13,diagrams!$D$14))</definedName>
    <definedName name="_product_code">data!$B$99</definedName>
    <definedName name="adpi.">data!$A$2:$A$5</definedName>
    <definedName name="getCdiagram">IF(equations!$B$45=2,diagrams!$B$10,diagrams!$B$11)</definedName>
    <definedName name="getImage">IF('LJC-AD'!$E$19&lt;0.4,diagrams!$A$1,IF('LJC-AD'!$E$19&lt;0.65,diagrams!$A$2,IF('LJC-AD'!$E$19&lt;1,diagrams!$A$3,diagrams!$A$4)))</definedName>
    <definedName name="getLayout">IF(equations!$B$22=2,diagrams!$A$6,diagrams!$A$7)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9" i="2" l="1"/>
  <c r="B286" i="2"/>
  <c r="B285" i="2"/>
  <c r="C105" i="4"/>
  <c r="C104" i="4"/>
  <c r="C103" i="4"/>
  <c r="C102" i="4"/>
  <c r="C101" i="4"/>
  <c r="C100" i="4"/>
  <c r="C99" i="4"/>
  <c r="E10" i="2"/>
  <c r="G80" i="1" s="1"/>
  <c r="F10" i="2"/>
  <c r="E11" i="2"/>
  <c r="I80" i="1" s="1"/>
  <c r="F11" i="2"/>
  <c r="E12" i="2"/>
  <c r="K80" i="1" s="1"/>
  <c r="F12" i="2"/>
  <c r="C10" i="2"/>
  <c r="C7" i="2"/>
  <c r="J477" i="3"/>
  <c r="A477" i="3" s="1"/>
  <c r="D75" i="1" s="1"/>
  <c r="C172" i="2"/>
  <c r="A172" i="2" s="1"/>
  <c r="A21" i="6" s="1"/>
  <c r="D11" i="2"/>
  <c r="D12" i="2"/>
  <c r="C11" i="2"/>
  <c r="C12" i="2"/>
  <c r="D10" i="2"/>
  <c r="B548" i="3"/>
  <c r="G17" i="4" s="1"/>
  <c r="C548" i="3"/>
  <c r="H17" i="4" s="1"/>
  <c r="D548" i="3"/>
  <c r="I17" i="4" s="1"/>
  <c r="E548" i="3"/>
  <c r="J17" i="4" s="1"/>
  <c r="F548" i="3"/>
  <c r="K17" i="4" s="1"/>
  <c r="G548" i="3"/>
  <c r="L17" i="4" s="1"/>
  <c r="H548" i="3"/>
  <c r="A548" i="3"/>
  <c r="F17" i="4" s="1"/>
  <c r="A545" i="3"/>
  <c r="B545" i="3"/>
  <c r="C545" i="3"/>
  <c r="D545" i="3"/>
  <c r="E545" i="3"/>
  <c r="F545" i="3"/>
  <c r="G545" i="3"/>
  <c r="H545" i="3"/>
  <c r="A547" i="3"/>
  <c r="B547" i="3"/>
  <c r="C547" i="3"/>
  <c r="D547" i="3"/>
  <c r="E547" i="3"/>
  <c r="F547" i="3"/>
  <c r="G547" i="3"/>
  <c r="H547" i="3"/>
  <c r="K524" i="3"/>
  <c r="J524" i="3"/>
  <c r="I524" i="3"/>
  <c r="H524" i="3"/>
  <c r="G524" i="3"/>
  <c r="F524" i="3"/>
  <c r="K523" i="3"/>
  <c r="J523" i="3"/>
  <c r="I523" i="3"/>
  <c r="H523" i="3"/>
  <c r="G523" i="3"/>
  <c r="F523" i="3"/>
  <c r="K522" i="3"/>
  <c r="K526" i="3" s="1"/>
  <c r="J522" i="3"/>
  <c r="J526" i="3" s="1"/>
  <c r="I522" i="3"/>
  <c r="I526" i="3" s="1"/>
  <c r="H522" i="3"/>
  <c r="H526" i="3" s="1"/>
  <c r="G522" i="3"/>
  <c r="G526" i="3" s="1"/>
  <c r="F522" i="3"/>
  <c r="F526" i="3" s="1"/>
  <c r="E266" i="2" a="1"/>
  <c r="E266" i="2" s="1"/>
  <c r="L455" i="3"/>
  <c r="B80" i="3"/>
  <c r="C81" i="3" s="1"/>
  <c r="S72" i="3"/>
  <c r="T72" i="3" s="1"/>
  <c r="S73" i="3"/>
  <c r="T73" i="3" s="1"/>
  <c r="S74" i="3"/>
  <c r="T74" i="3" s="1"/>
  <c r="S75" i="3"/>
  <c r="T75" i="3" s="1"/>
  <c r="S76" i="3"/>
  <c r="T76" i="3" s="1"/>
  <c r="S71" i="3"/>
  <c r="T71" i="3" s="1"/>
  <c r="P7" i="3"/>
  <c r="D264" i="2"/>
  <c r="E264" i="2" s="1" a="1"/>
  <c r="E264" i="2" s="1"/>
  <c r="D263" i="2"/>
  <c r="E263" i="2" s="1" a="1"/>
  <c r="E263" i="2" s="1"/>
  <c r="D262" i="2"/>
  <c r="D258" i="2"/>
  <c r="E258" i="2" s="1" a="1"/>
  <c r="E258" i="2" s="1"/>
  <c r="D260" i="2"/>
  <c r="E260" i="2" s="1" a="1"/>
  <c r="E260" i="2" s="1"/>
  <c r="D259" i="2"/>
  <c r="E259" i="2" s="1" a="1"/>
  <c r="E259" i="2" s="1"/>
  <c r="E257" i="2" a="1"/>
  <c r="E257" i="2" s="1"/>
  <c r="E256" i="2" a="1"/>
  <c r="E256" i="2" s="1"/>
  <c r="D252" i="2"/>
  <c r="E252" i="2" s="1" a="1"/>
  <c r="E252" i="2" s="1"/>
  <c r="N29" i="1" s="1"/>
  <c r="D251" i="2"/>
  <c r="E251" i="2" s="1" a="1"/>
  <c r="E251" i="2" s="1"/>
  <c r="N27" i="1" s="1"/>
  <c r="D250" i="2"/>
  <c r="E250" i="2" s="1" a="1"/>
  <c r="E250" i="2" s="1"/>
  <c r="N23" i="1" s="1"/>
  <c r="D244" i="2"/>
  <c r="E244" i="2" s="1" a="1"/>
  <c r="E244" i="2" s="1"/>
  <c r="E15" i="1" s="1"/>
  <c r="D243" i="2"/>
  <c r="E243" i="2" s="1" a="1"/>
  <c r="E243" i="2" s="1"/>
  <c r="E13" i="1" s="1"/>
  <c r="C241" i="2"/>
  <c r="E241" i="2" s="1" a="1"/>
  <c r="E241" i="2" s="1"/>
  <c r="E9" i="1" s="1"/>
  <c r="C249" i="2"/>
  <c r="E242" i="2" a="1"/>
  <c r="E242" i="2" s="1"/>
  <c r="E245" i="2" a="1"/>
  <c r="E245" i="2" s="1"/>
  <c r="E17" i="1" s="1"/>
  <c r="E246" i="2" a="1"/>
  <c r="E246" i="2" s="1"/>
  <c r="E19" i="1" s="1"/>
  <c r="E247" i="2" a="1"/>
  <c r="E247" i="2" s="1"/>
  <c r="E248" i="2" a="1"/>
  <c r="E248" i="2" s="1"/>
  <c r="N19" i="1" s="1"/>
  <c r="E249" i="2" a="1"/>
  <c r="E249" i="2" s="1"/>
  <c r="N21" i="1" s="1"/>
  <c r="E253" i="2" a="1"/>
  <c r="E253" i="2" s="1"/>
  <c r="N31" i="1" s="1"/>
  <c r="I6" i="3"/>
  <c r="C262" i="2" s="1"/>
  <c r="G6" i="3"/>
  <c r="E6" i="3"/>
  <c r="C7" i="3"/>
  <c r="C28" i="2" a="1"/>
  <c r="C28" i="2" s="1"/>
  <c r="A209" i="2"/>
  <c r="B216" i="2" s="1"/>
  <c r="A208" i="2"/>
  <c r="B215" i="2" s="1"/>
  <c r="A207" i="2"/>
  <c r="B214" i="2" s="1"/>
  <c r="B213" i="2"/>
  <c r="A25" i="6" s="1"/>
  <c r="C99" i="2"/>
  <c r="B7" i="6" s="1"/>
  <c r="A159" i="2"/>
  <c r="A13" i="6" s="1"/>
  <c r="G81" i="1"/>
  <c r="F55" i="2"/>
  <c r="B229" i="2" s="1"/>
  <c r="H549" i="3" l="1"/>
  <c r="E549" i="3"/>
  <c r="J18" i="4" s="1"/>
  <c r="A174" i="2"/>
  <c r="A30" i="6" s="1"/>
  <c r="G549" i="3"/>
  <c r="L18" i="4" s="1"/>
  <c r="F549" i="3"/>
  <c r="K18" i="4" s="1"/>
  <c r="D549" i="3"/>
  <c r="I18" i="4" s="1"/>
  <c r="C549" i="3"/>
  <c r="H18" i="4" s="1"/>
  <c r="B549" i="3"/>
  <c r="G18" i="4" s="1"/>
  <c r="A549" i="3"/>
  <c r="F18" i="4" s="1"/>
  <c r="C13" i="2" a="1"/>
  <c r="C13" i="2" s="1"/>
  <c r="X7" i="3"/>
  <c r="B9" i="3" s="1" a="1"/>
  <c r="C271" i="2" s="1"/>
  <c r="B23" i="3"/>
  <c r="E262" i="2" a="1"/>
  <c r="E262" i="2" s="1"/>
  <c r="B217" i="2"/>
  <c r="A26" i="6" s="1"/>
  <c r="B302" i="2"/>
  <c r="B314" i="2" s="1"/>
  <c r="B95" i="2"/>
  <c r="B93" i="2"/>
  <c r="M52" i="6"/>
  <c r="B53" i="3" l="1"/>
  <c r="E271" i="2"/>
  <c r="H6" i="6"/>
  <c r="D124" i="2"/>
  <c r="G534" i="3"/>
  <c r="N29" i="5" s="1"/>
  <c r="C303" i="2"/>
  <c r="D127" i="2"/>
  <c r="D128" i="2"/>
  <c r="D125" i="2"/>
  <c r="D122" i="2"/>
  <c r="D117" i="2"/>
  <c r="D121" i="2"/>
  <c r="D115" i="2"/>
  <c r="D129" i="2"/>
  <c r="C152" i="2"/>
  <c r="C151" i="2"/>
  <c r="D140" i="2"/>
  <c r="D123" i="2"/>
  <c r="D134" i="2"/>
  <c r="D116" i="2"/>
  <c r="W23" i="5"/>
  <c r="S10" i="3"/>
  <c r="P10" i="3"/>
  <c r="C284" i="2"/>
  <c r="M10" i="3"/>
  <c r="K10" i="3"/>
  <c r="D283" i="2"/>
  <c r="I10" i="3"/>
  <c r="C283" i="2"/>
  <c r="G10" i="3"/>
  <c r="X10" i="3"/>
  <c r="E10" i="3"/>
  <c r="U10" i="3"/>
  <c r="B9" i="3"/>
  <c r="W10" i="3"/>
  <c r="F533" i="3"/>
  <c r="M28" i="5" s="1"/>
  <c r="G530" i="3"/>
  <c r="N25" i="5" s="1"/>
  <c r="H72" i="1" s="1"/>
  <c r="K532" i="3"/>
  <c r="R27" i="5" s="1"/>
  <c r="L74" i="1" s="1"/>
  <c r="L531" i="3"/>
  <c r="K534" i="3"/>
  <c r="R29" i="5" s="1"/>
  <c r="C19" i="3"/>
  <c r="F13" i="1"/>
  <c r="T10" i="3"/>
  <c r="F62" i="1" s="1"/>
  <c r="J534" i="3"/>
  <c r="Q29" i="5" s="1"/>
  <c r="A413" i="3"/>
  <c r="J532" i="3"/>
  <c r="Q27" i="5" s="1"/>
  <c r="K74" i="1" s="1"/>
  <c r="O27" i="1"/>
  <c r="H532" i="3"/>
  <c r="O27" i="5" s="1"/>
  <c r="I74" i="1" s="1"/>
  <c r="D271" i="2"/>
  <c r="C16" i="3"/>
  <c r="I534" i="3"/>
  <c r="P29" i="5" s="1"/>
  <c r="J530" i="3"/>
  <c r="Q25" i="5" s="1"/>
  <c r="K72" i="1" s="1"/>
  <c r="F530" i="3"/>
  <c r="M25" i="5" s="1"/>
  <c r="G72" i="1" s="1"/>
  <c r="L534" i="3"/>
  <c r="H531" i="3"/>
  <c r="O26" i="5" s="1"/>
  <c r="I73" i="1" s="1"/>
  <c r="S26" i="5"/>
  <c r="C538" i="3"/>
  <c r="C278" i="2"/>
  <c r="C23" i="3"/>
  <c r="D10" i="3"/>
  <c r="A449" i="3" s="1"/>
  <c r="C33" i="3"/>
  <c r="F10" i="3"/>
  <c r="O21" i="1"/>
  <c r="C30" i="3"/>
  <c r="L530" i="3"/>
  <c r="I531" i="3"/>
  <c r="P26" i="5" s="1"/>
  <c r="J73" i="1" s="1"/>
  <c r="S27" i="5"/>
  <c r="C365" i="3"/>
  <c r="J10" i="3"/>
  <c r="F49" i="1" s="1"/>
  <c r="S25" i="5"/>
  <c r="A426" i="3"/>
  <c r="A418" i="3"/>
  <c r="F15" i="1"/>
  <c r="G532" i="3"/>
  <c r="N27" i="5" s="1"/>
  <c r="H74" i="1" s="1"/>
  <c r="L533" i="3"/>
  <c r="S28" i="5"/>
  <c r="O29" i="1"/>
  <c r="H10" i="3"/>
  <c r="V10" i="3"/>
  <c r="K531" i="3"/>
  <c r="R26" i="5" s="1"/>
  <c r="L73" i="1" s="1"/>
  <c r="S29" i="5"/>
  <c r="H534" i="3"/>
  <c r="O29" i="5" s="1"/>
  <c r="I532" i="3"/>
  <c r="P27" i="5" s="1"/>
  <c r="J74" i="1" s="1"/>
  <c r="O10" i="3"/>
  <c r="F68" i="1" s="1"/>
  <c r="D278" i="2"/>
  <c r="O23" i="1"/>
  <c r="B270" i="2"/>
  <c r="G13" i="1" s="1"/>
  <c r="K455" i="3"/>
  <c r="L10" i="3"/>
  <c r="F67" i="1" s="1"/>
  <c r="I530" i="3"/>
  <c r="P25" i="5" s="1"/>
  <c r="J72" i="1" s="1"/>
  <c r="C364" i="3"/>
  <c r="C18" i="3"/>
  <c r="R10" i="3"/>
  <c r="H530" i="3"/>
  <c r="O25" i="5" s="1"/>
  <c r="I72" i="1" s="1"/>
  <c r="F531" i="3"/>
  <c r="M26" i="5" s="1"/>
  <c r="G73" i="1" s="1"/>
  <c r="L532" i="3"/>
  <c r="K530" i="3"/>
  <c r="R25" i="5" s="1"/>
  <c r="L72" i="1" s="1"/>
  <c r="C280" i="2"/>
  <c r="B280" i="2" s="1"/>
  <c r="P29" i="1" s="1"/>
  <c r="C537" i="3"/>
  <c r="M29" i="5" s="1"/>
  <c r="C34" i="3"/>
  <c r="F532" i="3"/>
  <c r="M27" i="5" s="1"/>
  <c r="G74" i="1" s="1"/>
  <c r="G531" i="3"/>
  <c r="N26" i="5" s="1"/>
  <c r="H73" i="1" s="1"/>
  <c r="J531" i="3"/>
  <c r="Q26" i="5" s="1"/>
  <c r="K73" i="1" s="1"/>
  <c r="B276" i="2"/>
  <c r="P21" i="1" s="1"/>
  <c r="B20" i="3"/>
  <c r="B16" i="3"/>
  <c r="B38" i="3" s="1"/>
  <c r="B45" i="3"/>
  <c r="P109" i="3" s="1"/>
  <c r="N71" i="3"/>
  <c r="N76" i="3"/>
  <c r="J76" i="3"/>
  <c r="B305" i="3"/>
  <c r="I305" i="3"/>
  <c r="P305" i="3"/>
  <c r="W305" i="3"/>
  <c r="AD305" i="3"/>
  <c r="AK305" i="3"/>
  <c r="AR305" i="3"/>
  <c r="AY305" i="3"/>
  <c r="E74" i="3"/>
  <c r="D74" i="3"/>
  <c r="J71" i="3"/>
  <c r="I513" i="3"/>
  <c r="G513" i="3"/>
  <c r="B24" i="3"/>
  <c r="B47" i="3" s="1"/>
  <c r="B30" i="3"/>
  <c r="B34" i="3"/>
  <c r="B57" i="3" s="1"/>
  <c r="I311" i="3"/>
  <c r="B25" i="3"/>
  <c r="B48" i="3" s="1"/>
  <c r="B138" i="3" s="1"/>
  <c r="P311" i="3"/>
  <c r="W311" i="3"/>
  <c r="AD311" i="3"/>
  <c r="AK311" i="3"/>
  <c r="AR311" i="3"/>
  <c r="AY311" i="3"/>
  <c r="B311" i="3"/>
  <c r="B18" i="3"/>
  <c r="B41" i="3" s="1"/>
  <c r="B163" i="3"/>
  <c r="B187" i="3" s="1"/>
  <c r="B17" i="3"/>
  <c r="B39" i="3" s="1"/>
  <c r="B19" i="3"/>
  <c r="B21" i="3"/>
  <c r="B50" i="3"/>
  <c r="C50" i="3" s="1"/>
  <c r="I163" i="3"/>
  <c r="I187" i="3" s="1"/>
  <c r="P163" i="3"/>
  <c r="P187" i="3" s="1"/>
  <c r="W163" i="3"/>
  <c r="W187" i="3" s="1"/>
  <c r="AD163" i="3"/>
  <c r="AD166" i="3" s="1"/>
  <c r="AK163" i="3"/>
  <c r="AK166" i="3" s="1"/>
  <c r="AR163" i="3"/>
  <c r="AR166" i="3" s="1"/>
  <c r="AY163" i="3"/>
  <c r="AY166" i="3" s="1"/>
  <c r="E297" i="3"/>
  <c r="C114" i="2"/>
  <c r="B109" i="2"/>
  <c r="B154" i="2"/>
  <c r="C60" i="2"/>
  <c r="C69" i="2"/>
  <c r="C75" i="2"/>
  <c r="B33" i="2"/>
  <c r="B34" i="2"/>
  <c r="C81" i="2"/>
  <c r="B87" i="2"/>
  <c r="D87" i="2" s="1"/>
  <c r="D75" i="2"/>
  <c r="B309" i="2" s="1"/>
  <c r="J72" i="3"/>
  <c r="J73" i="3"/>
  <c r="J74" i="3"/>
  <c r="J75" i="3"/>
  <c r="B33" i="3"/>
  <c r="B56" i="3" s="1"/>
  <c r="B3" i="6"/>
  <c r="I177" i="3"/>
  <c r="P177" i="3"/>
  <c r="W177" i="3"/>
  <c r="AD177" i="3"/>
  <c r="AK177" i="3"/>
  <c r="AR177" i="3"/>
  <c r="AY177" i="3"/>
  <c r="B177" i="3"/>
  <c r="F51" i="6"/>
  <c r="B151" i="2"/>
  <c r="D40" i="2"/>
  <c r="E40" i="2"/>
  <c r="F40" i="2"/>
  <c r="C40" i="2"/>
  <c r="AX341" i="3"/>
  <c r="AQ341" i="3"/>
  <c r="AJ341" i="3"/>
  <c r="AC341" i="3"/>
  <c r="V341" i="3"/>
  <c r="O341" i="3"/>
  <c r="H341" i="3"/>
  <c r="A341" i="3"/>
  <c r="BL125" i="3"/>
  <c r="BL126" i="3"/>
  <c r="BL127" i="3"/>
  <c r="BL135" i="3"/>
  <c r="D306" i="2"/>
  <c r="D81" i="2"/>
  <c r="D60" i="2"/>
  <c r="B307" i="2" s="1"/>
  <c r="H10" i="6" s="1"/>
  <c r="D69" i="2"/>
  <c r="B308" i="2" s="1"/>
  <c r="B153" i="2"/>
  <c r="B152" i="2"/>
  <c r="B27" i="3"/>
  <c r="B52" i="3" s="1"/>
  <c r="N72" i="3"/>
  <c r="N73" i="3"/>
  <c r="N74" i="3"/>
  <c r="N75" i="3"/>
  <c r="T24" i="8"/>
  <c r="P24" i="8"/>
  <c r="F24" i="8"/>
  <c r="D24" i="8"/>
  <c r="D90" i="3"/>
  <c r="C90" i="3" s="1"/>
  <c r="B110" i="2"/>
  <c r="B11" i="6" s="1"/>
  <c r="D33" i="2"/>
  <c r="D193" i="2" l="1"/>
  <c r="C359" i="3"/>
  <c r="B44" i="3"/>
  <c r="B55" i="3"/>
  <c r="BF230" i="3" s="1"/>
  <c r="F73" i="1"/>
  <c r="F75" i="1"/>
  <c r="F74" i="1"/>
  <c r="F44" i="1"/>
  <c r="F45" i="1"/>
  <c r="F43" i="1"/>
  <c r="F46" i="1"/>
  <c r="B10" i="6"/>
  <c r="C304" i="2"/>
  <c r="H12" i="6"/>
  <c r="C317" i="2"/>
  <c r="H11" i="6"/>
  <c r="C316" i="2"/>
  <c r="E125" i="3"/>
  <c r="B184" i="2"/>
  <c r="C315" i="2"/>
  <c r="C292" i="2"/>
  <c r="B192" i="2"/>
  <c r="B292" i="2" s="1"/>
  <c r="B43" i="3"/>
  <c r="D151" i="2"/>
  <c r="D152" i="2"/>
  <c r="C10" i="3"/>
  <c r="C154" i="2"/>
  <c r="D154" i="2" s="1"/>
  <c r="C202" i="2" s="1"/>
  <c r="B202" i="2" s="1"/>
  <c r="D133" i="2"/>
  <c r="D131" i="2"/>
  <c r="D132" i="2"/>
  <c r="D130" i="2"/>
  <c r="E283" i="2"/>
  <c r="B283" i="2" s="1"/>
  <c r="E284" i="2"/>
  <c r="B284" i="2" s="1"/>
  <c r="F72" i="1"/>
  <c r="A421" i="3"/>
  <c r="F52" i="1"/>
  <c r="A422" i="3"/>
  <c r="F53" i="1"/>
  <c r="B271" i="2"/>
  <c r="G15" i="1" s="1"/>
  <c r="B278" i="2"/>
  <c r="P23" i="1" s="1"/>
  <c r="F51" i="1"/>
  <c r="F57" i="1"/>
  <c r="F50" i="1"/>
  <c r="F56" i="1"/>
  <c r="A419" i="3"/>
  <c r="F55" i="1"/>
  <c r="A448" i="3"/>
  <c r="A429" i="3"/>
  <c r="C357" i="3"/>
  <c r="D272" i="2"/>
  <c r="B10" i="3"/>
  <c r="E17" i="4" s="1"/>
  <c r="C272" i="2"/>
  <c r="C27" i="3"/>
  <c r="A428" i="3"/>
  <c r="A430" i="3"/>
  <c r="D273" i="2"/>
  <c r="C273" i="2"/>
  <c r="A427" i="3"/>
  <c r="F17" i="1"/>
  <c r="A431" i="3"/>
  <c r="O19" i="1"/>
  <c r="C20" i="3"/>
  <c r="B4" i="10" s="1"/>
  <c r="A4" i="10" s="1"/>
  <c r="U76" i="3"/>
  <c r="U72" i="3"/>
  <c r="U75" i="3"/>
  <c r="U71" i="3"/>
  <c r="U74" i="3"/>
  <c r="U73" i="3"/>
  <c r="A451" i="3"/>
  <c r="D46" i="1" s="1"/>
  <c r="B42" i="3"/>
  <c r="I171" i="3" s="1"/>
  <c r="H384" i="3"/>
  <c r="A414" i="3"/>
  <c r="A412" i="3"/>
  <c r="A415" i="3"/>
  <c r="AK187" i="3"/>
  <c r="AK267" i="3" s="1"/>
  <c r="G24" i="8"/>
  <c r="U24" i="8"/>
  <c r="AD187" i="3"/>
  <c r="AD267" i="3" s="1"/>
  <c r="C93" i="2"/>
  <c r="C95" i="2"/>
  <c r="K93" i="2"/>
  <c r="K95" i="2"/>
  <c r="I95" i="2"/>
  <c r="I93" i="2"/>
  <c r="C306" i="2"/>
  <c r="B306" i="2" s="1"/>
  <c r="J95" i="2"/>
  <c r="J93" i="2"/>
  <c r="H95" i="2"/>
  <c r="H93" i="2"/>
  <c r="G93" i="2"/>
  <c r="G95" i="2"/>
  <c r="B107" i="2"/>
  <c r="B108" i="2" s="1"/>
  <c r="D93" i="2"/>
  <c r="D95" i="2"/>
  <c r="C87" i="2"/>
  <c r="C88" i="2" s="1"/>
  <c r="E53" i="2"/>
  <c r="E54" i="2"/>
  <c r="D52" i="2"/>
  <c r="H82" i="1" s="1"/>
  <c r="P72" i="3"/>
  <c r="D88" i="2"/>
  <c r="B310" i="2" s="1"/>
  <c r="D303" i="2"/>
  <c r="B303" i="2" s="1"/>
  <c r="D369" i="3"/>
  <c r="B155" i="2"/>
  <c r="Q109" i="3"/>
  <c r="P76" i="3"/>
  <c r="B166" i="3"/>
  <c r="B31" i="2"/>
  <c r="I166" i="3"/>
  <c r="E126" i="3"/>
  <c r="Q108" i="3"/>
  <c r="P74" i="3"/>
  <c r="B51" i="3"/>
  <c r="AR187" i="3"/>
  <c r="AR188" i="3" s="1"/>
  <c r="D370" i="3"/>
  <c r="D368" i="3"/>
  <c r="P75" i="3"/>
  <c r="B71" i="3"/>
  <c r="Q107" i="3"/>
  <c r="AY187" i="3"/>
  <c r="AY188" i="3" s="1"/>
  <c r="AZ267" i="3" s="1"/>
  <c r="P73" i="3"/>
  <c r="P107" i="3"/>
  <c r="B85" i="3"/>
  <c r="P108" i="3"/>
  <c r="P166" i="3"/>
  <c r="B86" i="3"/>
  <c r="B134" i="3"/>
  <c r="B90" i="3"/>
  <c r="B125" i="3"/>
  <c r="B126" i="3"/>
  <c r="E134" i="3"/>
  <c r="B135" i="3"/>
  <c r="B49" i="3"/>
  <c r="E135" i="3"/>
  <c r="D54" i="2"/>
  <c r="D47" i="2"/>
  <c r="BM135" i="3"/>
  <c r="BM126" i="3"/>
  <c r="BM127" i="3"/>
  <c r="BM125" i="3"/>
  <c r="F380" i="3"/>
  <c r="B380" i="3"/>
  <c r="I380" i="3"/>
  <c r="G380" i="3"/>
  <c r="E380" i="3"/>
  <c r="D380" i="3"/>
  <c r="C380" i="3"/>
  <c r="H380" i="3"/>
  <c r="B267" i="3"/>
  <c r="B188" i="3"/>
  <c r="W188" i="3"/>
  <c r="W267" i="3"/>
  <c r="P188" i="3"/>
  <c r="P267" i="3"/>
  <c r="I188" i="3"/>
  <c r="I267" i="3"/>
  <c r="D194" i="2"/>
  <c r="I384" i="3"/>
  <c r="B384" i="3"/>
  <c r="B420" i="3" s="1"/>
  <c r="C384" i="3"/>
  <c r="E384" i="3"/>
  <c r="W166" i="3"/>
  <c r="D384" i="3"/>
  <c r="F384" i="3"/>
  <c r="G384" i="3"/>
  <c r="C155" i="2"/>
  <c r="D53" i="2"/>
  <c r="C54" i="2"/>
  <c r="C47" i="2"/>
  <c r="C53" i="2"/>
  <c r="D371" i="3" l="1"/>
  <c r="E387" i="3" s="1"/>
  <c r="E459" i="3" s="1"/>
  <c r="B273" i="2"/>
  <c r="G18" i="1" s="1"/>
  <c r="B117" i="3"/>
  <c r="B356" i="3"/>
  <c r="B75" i="3"/>
  <c r="B58" i="3"/>
  <c r="B265" i="2" s="1"/>
  <c r="D265" i="2" s="1"/>
  <c r="C294" i="2"/>
  <c r="C296" i="2"/>
  <c r="H7" i="6"/>
  <c r="B315" i="2"/>
  <c r="H13" i="6"/>
  <c r="C318" i="2"/>
  <c r="H9" i="6"/>
  <c r="C314" i="2"/>
  <c r="A111" i="3"/>
  <c r="A292" i="2"/>
  <c r="B287" i="2"/>
  <c r="M55" i="1" s="1"/>
  <c r="A450" i="3"/>
  <c r="B272" i="2"/>
  <c r="G17" i="1" s="1"/>
  <c r="F61" i="1"/>
  <c r="F60" i="1"/>
  <c r="F59" i="1"/>
  <c r="F58" i="1"/>
  <c r="Q77" i="3"/>
  <c r="R77" i="3" s="1"/>
  <c r="E82" i="3" s="1"/>
  <c r="C456" i="3"/>
  <c r="H51" i="1" s="1"/>
  <c r="C420" i="3"/>
  <c r="E456" i="3"/>
  <c r="J51" i="1" s="1"/>
  <c r="E420" i="3"/>
  <c r="I456" i="3"/>
  <c r="I420" i="3"/>
  <c r="G456" i="3"/>
  <c r="L51" i="1" s="1"/>
  <c r="G420" i="3"/>
  <c r="F456" i="3"/>
  <c r="K51" i="1" s="1"/>
  <c r="F420" i="3"/>
  <c r="D456" i="3"/>
  <c r="I51" i="1" s="1"/>
  <c r="D420" i="3"/>
  <c r="H456" i="3"/>
  <c r="H420" i="3"/>
  <c r="B456" i="3"/>
  <c r="G51" i="1" s="1"/>
  <c r="C416" i="3"/>
  <c r="C452" i="3" s="1"/>
  <c r="H47" i="1" s="1"/>
  <c r="D416" i="3"/>
  <c r="D452" i="3" s="1"/>
  <c r="I47" i="1" s="1"/>
  <c r="E416" i="3"/>
  <c r="E452" i="3" s="1"/>
  <c r="J47" i="1" s="1"/>
  <c r="G416" i="3"/>
  <c r="G452" i="3" s="1"/>
  <c r="L47" i="1" s="1"/>
  <c r="I416" i="3"/>
  <c r="I452" i="3" s="1"/>
  <c r="F416" i="3"/>
  <c r="F452" i="3" s="1"/>
  <c r="K47" i="1" s="1"/>
  <c r="H416" i="3"/>
  <c r="H452" i="3" s="1"/>
  <c r="B416" i="3"/>
  <c r="B452" i="3" s="1"/>
  <c r="G47" i="1" s="1"/>
  <c r="AD169" i="3"/>
  <c r="F383" i="3" s="1"/>
  <c r="B72" i="3"/>
  <c r="AR312" i="3" s="1"/>
  <c r="AR313" i="3" s="1"/>
  <c r="AR316" i="3" s="1"/>
  <c r="A153" i="3"/>
  <c r="B153" i="3" s="1"/>
  <c r="AD295" i="3" s="1"/>
  <c r="AR171" i="3"/>
  <c r="H379" i="3" s="1"/>
  <c r="B513" i="3"/>
  <c r="B171" i="3"/>
  <c r="B379" i="3" s="1"/>
  <c r="B415" i="3" s="1"/>
  <c r="B451" i="3" s="1"/>
  <c r="AK171" i="3"/>
  <c r="AK172" i="3" s="1"/>
  <c r="G381" i="3" s="1"/>
  <c r="G417" i="3" s="1"/>
  <c r="G453" i="3" s="1"/>
  <c r="P171" i="3"/>
  <c r="D379" i="3" s="1"/>
  <c r="AK188" i="3"/>
  <c r="AL267" i="3" s="1"/>
  <c r="AY171" i="3"/>
  <c r="I379" i="3" s="1"/>
  <c r="W171" i="3"/>
  <c r="E379" i="3" s="1"/>
  <c r="AD171" i="3"/>
  <c r="AD172" i="3" s="1"/>
  <c r="F381" i="3" s="1"/>
  <c r="F417" i="3" s="1"/>
  <c r="F453" i="3" s="1"/>
  <c r="AD188" i="3"/>
  <c r="AE267" i="3" s="1"/>
  <c r="AR167" i="3"/>
  <c r="B9" i="6"/>
  <c r="B39" i="2"/>
  <c r="E93" i="2"/>
  <c r="L95" i="2"/>
  <c r="B98" i="2" s="1"/>
  <c r="L93" i="2"/>
  <c r="P322" i="3"/>
  <c r="B94" i="3"/>
  <c r="AK294" i="3"/>
  <c r="B95" i="3"/>
  <c r="I322" i="3"/>
  <c r="G376" i="3"/>
  <c r="G412" i="3" s="1"/>
  <c r="G448" i="3" s="1"/>
  <c r="I376" i="3"/>
  <c r="I412" i="3" s="1"/>
  <c r="I448" i="3" s="1"/>
  <c r="AD167" i="3"/>
  <c r="O74" i="3"/>
  <c r="K75" i="3"/>
  <c r="K73" i="3"/>
  <c r="O71" i="3"/>
  <c r="D55" i="2"/>
  <c r="H39" i="2"/>
  <c r="AY169" i="3"/>
  <c r="I383" i="3" s="1"/>
  <c r="AD294" i="3"/>
  <c r="O73" i="3"/>
  <c r="AR322" i="3"/>
  <c r="E376" i="3"/>
  <c r="E412" i="3" s="1"/>
  <c r="E448" i="3" s="1"/>
  <c r="B167" i="3"/>
  <c r="W294" i="3"/>
  <c r="W322" i="3"/>
  <c r="AK169" i="3"/>
  <c r="G383" i="3" s="1"/>
  <c r="AD322" i="3"/>
  <c r="I167" i="3"/>
  <c r="AK167" i="3"/>
  <c r="P294" i="3"/>
  <c r="B322" i="3"/>
  <c r="AR169" i="3"/>
  <c r="H383" i="3" s="1"/>
  <c r="AY322" i="3"/>
  <c r="D376" i="3"/>
  <c r="D412" i="3" s="1"/>
  <c r="D448" i="3" s="1"/>
  <c r="W167" i="3"/>
  <c r="B40" i="3"/>
  <c r="G378" i="3" s="1"/>
  <c r="G414" i="3" s="1"/>
  <c r="G450" i="3" s="1"/>
  <c r="O75" i="3"/>
  <c r="F39" i="2"/>
  <c r="L83" i="1" s="1"/>
  <c r="C42" i="2"/>
  <c r="B376" i="3"/>
  <c r="B412" i="3" s="1"/>
  <c r="B448" i="3" s="1"/>
  <c r="K71" i="3"/>
  <c r="B169" i="3"/>
  <c r="B383" i="3" s="1"/>
  <c r="O76" i="3"/>
  <c r="D39" i="2"/>
  <c r="J83" i="1" s="1"/>
  <c r="G42" i="2"/>
  <c r="F42" i="2"/>
  <c r="B88" i="3"/>
  <c r="AY167" i="3"/>
  <c r="AR294" i="3"/>
  <c r="P167" i="3"/>
  <c r="I169" i="3"/>
  <c r="C383" i="3" s="1"/>
  <c r="C376" i="3"/>
  <c r="C412" i="3" s="1"/>
  <c r="C448" i="3" s="1"/>
  <c r="P169" i="3"/>
  <c r="D383" i="3" s="1"/>
  <c r="C39" i="2"/>
  <c r="H83" i="1" s="1"/>
  <c r="K74" i="3"/>
  <c r="AK322" i="3"/>
  <c r="AY294" i="3"/>
  <c r="B294" i="3"/>
  <c r="H376" i="3"/>
  <c r="H412" i="3" s="1"/>
  <c r="H448" i="3" s="1"/>
  <c r="F376" i="3"/>
  <c r="F412" i="3" s="1"/>
  <c r="F448" i="3" s="1"/>
  <c r="O72" i="3"/>
  <c r="K72" i="3"/>
  <c r="I294" i="3"/>
  <c r="W169" i="3"/>
  <c r="E383" i="3" s="1"/>
  <c r="K76" i="3"/>
  <c r="AR267" i="3"/>
  <c r="G39" i="2"/>
  <c r="M83" i="1" s="1"/>
  <c r="E42" i="2"/>
  <c r="E39" i="2"/>
  <c r="K83" i="1" s="1"/>
  <c r="A39" i="2"/>
  <c r="D42" i="2"/>
  <c r="AY267" i="3"/>
  <c r="D107" i="3"/>
  <c r="H108" i="3"/>
  <c r="D109" i="3"/>
  <c r="H107" i="3"/>
  <c r="D108" i="3"/>
  <c r="H109" i="3"/>
  <c r="C379" i="3"/>
  <c r="I172" i="3"/>
  <c r="C381" i="3" s="1"/>
  <c r="C417" i="3" s="1"/>
  <c r="C453" i="3" s="1"/>
  <c r="J267" i="3"/>
  <c r="AS267" i="3"/>
  <c r="X267" i="3"/>
  <c r="C267" i="3"/>
  <c r="Q267" i="3"/>
  <c r="B170" i="3"/>
  <c r="B377" i="3" s="1"/>
  <c r="B413" i="3" s="1"/>
  <c r="B449" i="3" s="1"/>
  <c r="P170" i="3"/>
  <c r="D377" i="3" s="1"/>
  <c r="D413" i="3" s="1"/>
  <c r="D449" i="3" s="1"/>
  <c r="AR170" i="3"/>
  <c r="H377" i="3" s="1"/>
  <c r="H413" i="3" s="1"/>
  <c r="H449" i="3" s="1"/>
  <c r="AY170" i="3"/>
  <c r="I377" i="3" s="1"/>
  <c r="I413" i="3" s="1"/>
  <c r="I449" i="3" s="1"/>
  <c r="AD170" i="3"/>
  <c r="F377" i="3" s="1"/>
  <c r="F413" i="3" s="1"/>
  <c r="F449" i="3" s="1"/>
  <c r="I170" i="3"/>
  <c r="C377" i="3" s="1"/>
  <c r="C413" i="3" s="1"/>
  <c r="C449" i="3" s="1"/>
  <c r="W170" i="3"/>
  <c r="E377" i="3" s="1"/>
  <c r="E413" i="3" s="1"/>
  <c r="E449" i="3" s="1"/>
  <c r="AK170" i="3"/>
  <c r="G377" i="3" s="1"/>
  <c r="G413" i="3" s="1"/>
  <c r="G449" i="3" s="1"/>
  <c r="B357" i="3" l="1"/>
  <c r="C277" i="2" s="1"/>
  <c r="B277" i="2" s="1"/>
  <c r="N22" i="1" s="1"/>
  <c r="B144" i="3"/>
  <c r="D141" i="3" s="1"/>
  <c r="D144" i="3" s="1"/>
  <c r="C265" i="2"/>
  <c r="E265" i="2" s="1" a="1"/>
  <c r="E265" i="2" s="1"/>
  <c r="C279" i="2" s="1"/>
  <c r="B279" i="2" s="1"/>
  <c r="N28" i="1" s="1"/>
  <c r="C320" i="2"/>
  <c r="I93" i="1" s="1"/>
  <c r="I485" i="3"/>
  <c r="B96" i="3"/>
  <c r="C100" i="3" s="1"/>
  <c r="C101" i="3" s="1"/>
  <c r="C102" i="3" s="1"/>
  <c r="C116" i="2"/>
  <c r="E116" i="2" s="1"/>
  <c r="T77" i="3"/>
  <c r="F82" i="3" s="1"/>
  <c r="U77" i="3"/>
  <c r="G82" i="3" s="1"/>
  <c r="S77" i="3"/>
  <c r="C123" i="2"/>
  <c r="E123" i="2" s="1"/>
  <c r="J54" i="1"/>
  <c r="E423" i="3"/>
  <c r="D419" i="3"/>
  <c r="D455" i="3" s="1"/>
  <c r="F419" i="3"/>
  <c r="F455" i="3" s="1"/>
  <c r="G419" i="3"/>
  <c r="G455" i="3" s="1"/>
  <c r="I419" i="3"/>
  <c r="I455" i="3" s="1"/>
  <c r="C419" i="3"/>
  <c r="C455" i="3" s="1"/>
  <c r="E419" i="3"/>
  <c r="E455" i="3" s="1"/>
  <c r="H419" i="3"/>
  <c r="H455" i="3" s="1"/>
  <c r="C119" i="2"/>
  <c r="E119" i="2" s="1"/>
  <c r="B419" i="3"/>
  <c r="B455" i="3" s="1"/>
  <c r="K48" i="1"/>
  <c r="H48" i="1"/>
  <c r="L48" i="1"/>
  <c r="H415" i="3"/>
  <c r="H451" i="3" s="1"/>
  <c r="E415" i="3"/>
  <c r="E451" i="3" s="1"/>
  <c r="J46" i="1" s="1"/>
  <c r="C415" i="3"/>
  <c r="C451" i="3" s="1"/>
  <c r="H46" i="1" s="1"/>
  <c r="I415" i="3"/>
  <c r="I451" i="3" s="1"/>
  <c r="D415" i="3"/>
  <c r="D451" i="3" s="1"/>
  <c r="I46" i="1" s="1"/>
  <c r="L45" i="1"/>
  <c r="K44" i="1"/>
  <c r="I44" i="1"/>
  <c r="G44" i="1"/>
  <c r="G43" i="1"/>
  <c r="L44" i="1"/>
  <c r="H44" i="1"/>
  <c r="J44" i="1"/>
  <c r="K43" i="1"/>
  <c r="H43" i="1"/>
  <c r="I43" i="1"/>
  <c r="J43" i="1"/>
  <c r="AD168" i="3"/>
  <c r="AD178" i="3" s="1"/>
  <c r="F385" i="3" s="1"/>
  <c r="F421" i="3" s="1"/>
  <c r="AR172" i="3"/>
  <c r="H381" i="3" s="1"/>
  <c r="H417" i="3" s="1"/>
  <c r="H453" i="3" s="1"/>
  <c r="W172" i="3"/>
  <c r="E381" i="3" s="1"/>
  <c r="E417" i="3" s="1"/>
  <c r="E453" i="3" s="1"/>
  <c r="B172" i="3"/>
  <c r="B381" i="3" s="1"/>
  <c r="B417" i="3" s="1"/>
  <c r="B453" i="3" s="1"/>
  <c r="AK295" i="3"/>
  <c r="AK296" i="3" s="1"/>
  <c r="AK297" i="3" s="1"/>
  <c r="AY172" i="3"/>
  <c r="I381" i="3" s="1"/>
  <c r="I417" i="3" s="1"/>
  <c r="I453" i="3" s="1"/>
  <c r="P295" i="3"/>
  <c r="P296" i="3" s="1"/>
  <c r="P297" i="3" s="1"/>
  <c r="C387" i="3"/>
  <c r="C459" i="3" s="1"/>
  <c r="G379" i="3"/>
  <c r="D387" i="3"/>
  <c r="D459" i="3" s="1"/>
  <c r="I387" i="3"/>
  <c r="I459" i="3" s="1"/>
  <c r="AR295" i="3"/>
  <c r="AR296" i="3" s="1"/>
  <c r="AR297" i="3" s="1"/>
  <c r="W295" i="3"/>
  <c r="W296" i="3" s="1"/>
  <c r="W297" i="3" s="1"/>
  <c r="AY295" i="3"/>
  <c r="AY296" i="3" s="1"/>
  <c r="AY297" i="3" s="1"/>
  <c r="I295" i="3"/>
  <c r="I296" i="3" s="1"/>
  <c r="I297" i="3" s="1"/>
  <c r="B295" i="3"/>
  <c r="B296" i="3" s="1"/>
  <c r="B297" i="3" s="1"/>
  <c r="AD296" i="3"/>
  <c r="AD297" i="3" s="1"/>
  <c r="P306" i="3"/>
  <c r="P307" i="3" s="1"/>
  <c r="P312" i="3"/>
  <c r="P313" i="3" s="1"/>
  <c r="P316" i="3" s="1"/>
  <c r="D390" i="3" s="1"/>
  <c r="D462" i="3" s="1"/>
  <c r="I306" i="3"/>
  <c r="I307" i="3" s="1"/>
  <c r="AD312" i="3"/>
  <c r="AD313" i="3" s="1"/>
  <c r="AD316" i="3" s="1"/>
  <c r="AD333" i="3" s="1"/>
  <c r="W306" i="3"/>
  <c r="W307" i="3" s="1"/>
  <c r="AR306" i="3"/>
  <c r="AR307" i="3" s="1"/>
  <c r="AY306" i="3"/>
  <c r="AY307" i="3" s="1"/>
  <c r="AY312" i="3"/>
  <c r="AY313" i="3" s="1"/>
  <c r="AY316" i="3" s="1"/>
  <c r="I390" i="3" s="1"/>
  <c r="I462" i="3" s="1"/>
  <c r="I312" i="3"/>
  <c r="I313" i="3" s="1"/>
  <c r="I316" i="3" s="1"/>
  <c r="C390" i="3" s="1"/>
  <c r="C462" i="3" s="1"/>
  <c r="W312" i="3"/>
  <c r="W313" i="3" s="1"/>
  <c r="W316" i="3" s="1"/>
  <c r="E390" i="3" s="1"/>
  <c r="E462" i="3" s="1"/>
  <c r="B312" i="3"/>
  <c r="B313" i="3" s="1"/>
  <c r="AD306" i="3"/>
  <c r="AD307" i="3" s="1"/>
  <c r="AK312" i="3"/>
  <c r="AK313" i="3" s="1"/>
  <c r="AK316" i="3" s="1"/>
  <c r="G390" i="3" s="1"/>
  <c r="G462" i="3" s="1"/>
  <c r="B306" i="3"/>
  <c r="B307" i="3" s="1"/>
  <c r="AK306" i="3"/>
  <c r="AK307" i="3" s="1"/>
  <c r="F387" i="3"/>
  <c r="F459" i="3" s="1"/>
  <c r="AK251" i="3"/>
  <c r="AL251" i="3" s="1"/>
  <c r="AL254" i="3" s="1"/>
  <c r="I204" i="3"/>
  <c r="I207" i="3" s="1"/>
  <c r="H387" i="3"/>
  <c r="H459" i="3" s="1"/>
  <c r="G387" i="3"/>
  <c r="G459" i="3" s="1"/>
  <c r="B387" i="3"/>
  <c r="B459" i="3" s="1"/>
  <c r="AF273" i="3"/>
  <c r="AG273" i="3" s="1"/>
  <c r="AK253" i="3"/>
  <c r="AL253" i="3" s="1"/>
  <c r="B196" i="3"/>
  <c r="B199" i="3" s="1"/>
  <c r="W195" i="3"/>
  <c r="W198" i="3" s="1"/>
  <c r="AK250" i="3"/>
  <c r="AL250" i="3" s="1"/>
  <c r="AK252" i="3"/>
  <c r="AL252" i="3" s="1"/>
  <c r="AY204" i="3"/>
  <c r="AY207" i="3" s="1"/>
  <c r="P172" i="3"/>
  <c r="D381" i="3" s="1"/>
  <c r="D417" i="3" s="1"/>
  <c r="D453" i="3" s="1"/>
  <c r="F379" i="3"/>
  <c r="AD196" i="3"/>
  <c r="AD199" i="3" s="1"/>
  <c r="AD251" i="3"/>
  <c r="AE251" i="3" s="1"/>
  <c r="AE254" i="3" s="1"/>
  <c r="H378" i="3"/>
  <c r="H414" i="3" s="1"/>
  <c r="H450" i="3" s="1"/>
  <c r="AF272" i="3"/>
  <c r="AG272" i="3" s="1"/>
  <c r="AG275" i="3" s="1"/>
  <c r="AD195" i="3"/>
  <c r="AD198" i="3" s="1"/>
  <c r="Y274" i="3"/>
  <c r="Z274" i="3" s="1"/>
  <c r="AK204" i="3"/>
  <c r="AK207" i="3" s="1"/>
  <c r="AD252" i="3"/>
  <c r="AE252" i="3" s="1"/>
  <c r="AF252" i="3"/>
  <c r="AG252" i="3" s="1"/>
  <c r="AD274" i="3"/>
  <c r="AE274" i="3" s="1"/>
  <c r="AY203" i="3"/>
  <c r="AY206" i="3" s="1"/>
  <c r="I378" i="3"/>
  <c r="I414" i="3" s="1"/>
  <c r="I450" i="3" s="1"/>
  <c r="W204" i="3"/>
  <c r="W207" i="3" s="1"/>
  <c r="B168" i="3"/>
  <c r="B178" i="3" s="1"/>
  <c r="AM253" i="3"/>
  <c r="AN253" i="3" s="1"/>
  <c r="B203" i="3"/>
  <c r="B206" i="3" s="1"/>
  <c r="AM273" i="3"/>
  <c r="AN273" i="3" s="1"/>
  <c r="D378" i="3"/>
  <c r="D414" i="3" s="1"/>
  <c r="D450" i="3" s="1"/>
  <c r="AM252" i="3"/>
  <c r="AN252" i="3" s="1"/>
  <c r="AD203" i="3"/>
  <c r="AD206" i="3" s="1"/>
  <c r="AD253" i="3"/>
  <c r="AE253" i="3" s="1"/>
  <c r="B195" i="3"/>
  <c r="B198" i="3" s="1"/>
  <c r="AD204" i="3"/>
  <c r="AD207" i="3" s="1"/>
  <c r="AF250" i="3"/>
  <c r="AG250" i="3" s="1"/>
  <c r="P195" i="3"/>
  <c r="P198" i="3" s="1"/>
  <c r="AR196" i="3"/>
  <c r="AR199" i="3" s="1"/>
  <c r="W203" i="3"/>
  <c r="W206" i="3" s="1"/>
  <c r="P196" i="3"/>
  <c r="P199" i="3" s="1"/>
  <c r="AF274" i="3"/>
  <c r="AG274" i="3" s="1"/>
  <c r="AF253" i="3"/>
  <c r="AG253" i="3" s="1"/>
  <c r="AK195" i="3"/>
  <c r="AK198" i="3" s="1"/>
  <c r="P203" i="3"/>
  <c r="P206" i="3" s="1"/>
  <c r="P272" i="3"/>
  <c r="Q272" i="3" s="1"/>
  <c r="Q275" i="3" s="1"/>
  <c r="AF251" i="3"/>
  <c r="AG251" i="3" s="1"/>
  <c r="AG254" i="3" s="1"/>
  <c r="F378" i="3"/>
  <c r="F414" i="3" s="1"/>
  <c r="F450" i="3" s="1"/>
  <c r="AK271" i="3"/>
  <c r="AL271" i="3" s="1"/>
  <c r="AK273" i="3"/>
  <c r="AL273" i="3" s="1"/>
  <c r="AD250" i="3"/>
  <c r="AE250" i="3" s="1"/>
  <c r="AT271" i="3"/>
  <c r="AU271" i="3" s="1"/>
  <c r="AM251" i="3"/>
  <c r="AN251" i="3" s="1"/>
  <c r="AN254" i="3" s="1"/>
  <c r="AD273" i="3"/>
  <c r="AE273" i="3" s="1"/>
  <c r="I195" i="3"/>
  <c r="I198" i="3" s="1"/>
  <c r="AR204" i="3"/>
  <c r="AR207" i="3" s="1"/>
  <c r="AD272" i="3"/>
  <c r="AE272" i="3" s="1"/>
  <c r="AE275" i="3" s="1"/>
  <c r="K251" i="3"/>
  <c r="L251" i="3" s="1"/>
  <c r="L254" i="3" s="1"/>
  <c r="AK203" i="3"/>
  <c r="AK206" i="3" s="1"/>
  <c r="AM272" i="3"/>
  <c r="AN272" i="3" s="1"/>
  <c r="AN275" i="3" s="1"/>
  <c r="AR203" i="3"/>
  <c r="AR206" i="3" s="1"/>
  <c r="AM274" i="3"/>
  <c r="AN274" i="3" s="1"/>
  <c r="AY196" i="3"/>
  <c r="AY199" i="3" s="1"/>
  <c r="C378" i="3"/>
  <c r="C414" i="3" s="1"/>
  <c r="C450" i="3" s="1"/>
  <c r="AR195" i="3"/>
  <c r="AR198" i="3" s="1"/>
  <c r="AK196" i="3"/>
  <c r="AK199" i="3" s="1"/>
  <c r="B274" i="3"/>
  <c r="C274" i="3" s="1"/>
  <c r="E378" i="3"/>
  <c r="E414" i="3" s="1"/>
  <c r="E450" i="3" s="1"/>
  <c r="I203" i="3"/>
  <c r="I206" i="3" s="1"/>
  <c r="P204" i="3"/>
  <c r="P207" i="3" s="1"/>
  <c r="AK272" i="3"/>
  <c r="AL272" i="3" s="1"/>
  <c r="AM271" i="3"/>
  <c r="AN271" i="3" s="1"/>
  <c r="I196" i="3"/>
  <c r="I199" i="3" s="1"/>
  <c r="AK274" i="3"/>
  <c r="AL274" i="3" s="1"/>
  <c r="AD271" i="3"/>
  <c r="AE271" i="3" s="1"/>
  <c r="B204" i="3"/>
  <c r="B207" i="3" s="1"/>
  <c r="W196" i="3"/>
  <c r="W199" i="3" s="1"/>
  <c r="AM250" i="3"/>
  <c r="AN250" i="3" s="1"/>
  <c r="AY195" i="3"/>
  <c r="AY198" i="3" s="1"/>
  <c r="AF271" i="3"/>
  <c r="AG271" i="3" s="1"/>
  <c r="BA274" i="3"/>
  <c r="BB274" i="3" s="1"/>
  <c r="AR168" i="3"/>
  <c r="AR178" i="3" s="1"/>
  <c r="L77" i="3"/>
  <c r="M77" i="3" s="1"/>
  <c r="E81" i="3" s="1"/>
  <c r="AY168" i="3"/>
  <c r="BL148" i="3" s="1"/>
  <c r="AK168" i="3"/>
  <c r="AK178" i="3" s="1"/>
  <c r="W168" i="3"/>
  <c r="W178" i="3" s="1"/>
  <c r="B378" i="3"/>
  <c r="B414" i="3" s="1"/>
  <c r="B450" i="3" s="1"/>
  <c r="AT250" i="3"/>
  <c r="AU250" i="3" s="1"/>
  <c r="AR274" i="3"/>
  <c r="AS274" i="3" s="1"/>
  <c r="AR252" i="3"/>
  <c r="AS252" i="3" s="1"/>
  <c r="AT251" i="3"/>
  <c r="AU251" i="3" s="1"/>
  <c r="AU254" i="3" s="1"/>
  <c r="I168" i="3"/>
  <c r="C382" i="3" s="1"/>
  <c r="AR253" i="3"/>
  <c r="AS253" i="3" s="1"/>
  <c r="AT272" i="3"/>
  <c r="AU272" i="3" s="1"/>
  <c r="AU275" i="3" s="1"/>
  <c r="AT273" i="3"/>
  <c r="AU273" i="3" s="1"/>
  <c r="H77" i="3"/>
  <c r="P168" i="3"/>
  <c r="D382" i="3" s="1"/>
  <c r="AT253" i="3"/>
  <c r="AU253" i="3" s="1"/>
  <c r="K274" i="3"/>
  <c r="L274" i="3" s="1"/>
  <c r="AT274" i="3"/>
  <c r="AU274" i="3" s="1"/>
  <c r="AR271" i="3"/>
  <c r="AS271" i="3" s="1"/>
  <c r="K273" i="3"/>
  <c r="L273" i="3" s="1"/>
  <c r="AR273" i="3"/>
  <c r="AS273" i="3" s="1"/>
  <c r="AR272" i="3"/>
  <c r="AS272" i="3" s="1"/>
  <c r="AR251" i="3"/>
  <c r="AS251" i="3" s="1"/>
  <c r="AR250" i="3"/>
  <c r="AS250" i="3" s="1"/>
  <c r="AT252" i="3"/>
  <c r="AU252" i="3" s="1"/>
  <c r="AY252" i="3"/>
  <c r="AZ252" i="3" s="1"/>
  <c r="AY273" i="3"/>
  <c r="AZ273" i="3" s="1"/>
  <c r="AY271" i="3"/>
  <c r="AZ271" i="3" s="1"/>
  <c r="AY272" i="3"/>
  <c r="AZ272" i="3" s="1"/>
  <c r="AZ275" i="3" s="1"/>
  <c r="BA253" i="3"/>
  <c r="BB253" i="3" s="1"/>
  <c r="AY251" i="3"/>
  <c r="AZ251" i="3" s="1"/>
  <c r="AZ254" i="3" s="1"/>
  <c r="AY274" i="3"/>
  <c r="AZ274" i="3" s="1"/>
  <c r="BA250" i="3"/>
  <c r="BB250" i="3" s="1"/>
  <c r="BA273" i="3"/>
  <c r="BB273" i="3" s="1"/>
  <c r="AY253" i="3"/>
  <c r="AZ253" i="3" s="1"/>
  <c r="BA251" i="3"/>
  <c r="BB251" i="3" s="1"/>
  <c r="BB254" i="3" s="1"/>
  <c r="BA272" i="3"/>
  <c r="BB272" i="3" s="1"/>
  <c r="BB275" i="3" s="1"/>
  <c r="AY250" i="3"/>
  <c r="AZ250" i="3" s="1"/>
  <c r="BA252" i="3"/>
  <c r="BB252" i="3" s="1"/>
  <c r="BA271" i="3"/>
  <c r="BB271" i="3" s="1"/>
  <c r="D253" i="3"/>
  <c r="E253" i="3" s="1"/>
  <c r="B271" i="3"/>
  <c r="C271" i="3" s="1"/>
  <c r="D273" i="3"/>
  <c r="E273" i="3" s="1"/>
  <c r="D252" i="3"/>
  <c r="E252" i="3" s="1"/>
  <c r="D272" i="3"/>
  <c r="E272" i="3" s="1"/>
  <c r="E275" i="3" s="1"/>
  <c r="B253" i="3"/>
  <c r="C253" i="3" s="1"/>
  <c r="P250" i="3"/>
  <c r="Q250" i="3" s="1"/>
  <c r="B273" i="3"/>
  <c r="C273" i="3" s="1"/>
  <c r="D271" i="3"/>
  <c r="E271" i="3" s="1"/>
  <c r="B252" i="3"/>
  <c r="C252" i="3" s="1"/>
  <c r="D251" i="3"/>
  <c r="E251" i="3" s="1"/>
  <c r="E254" i="3" s="1"/>
  <c r="B250" i="3"/>
  <c r="C250" i="3" s="1"/>
  <c r="B272" i="3"/>
  <c r="C272" i="3" s="1"/>
  <c r="B251" i="3"/>
  <c r="C251" i="3" s="1"/>
  <c r="C254" i="3" s="1"/>
  <c r="D250" i="3"/>
  <c r="E250" i="3" s="1"/>
  <c r="D274" i="3"/>
  <c r="E274" i="3" s="1"/>
  <c r="I253" i="3"/>
  <c r="J253" i="3" s="1"/>
  <c r="K271" i="3"/>
  <c r="L271" i="3" s="1"/>
  <c r="K250" i="3"/>
  <c r="L250" i="3" s="1"/>
  <c r="I271" i="3"/>
  <c r="J271" i="3" s="1"/>
  <c r="R274" i="3"/>
  <c r="S274" i="3" s="1"/>
  <c r="I273" i="3"/>
  <c r="J273" i="3" s="1"/>
  <c r="I250" i="3"/>
  <c r="J250" i="3" s="1"/>
  <c r="P273" i="3"/>
  <c r="Q273" i="3" s="1"/>
  <c r="I274" i="3"/>
  <c r="J274" i="3" s="1"/>
  <c r="K272" i="3"/>
  <c r="L272" i="3" s="1"/>
  <c r="L275" i="3" s="1"/>
  <c r="K253" i="3"/>
  <c r="L253" i="3" s="1"/>
  <c r="R272" i="3"/>
  <c r="S272" i="3" s="1"/>
  <c r="S275" i="3" s="1"/>
  <c r="Y271" i="3"/>
  <c r="Z271" i="3" s="1"/>
  <c r="I272" i="3"/>
  <c r="J272" i="3" s="1"/>
  <c r="J275" i="3" s="1"/>
  <c r="K252" i="3"/>
  <c r="L252" i="3" s="1"/>
  <c r="P274" i="3"/>
  <c r="Q274" i="3" s="1"/>
  <c r="W272" i="3"/>
  <c r="X272" i="3" s="1"/>
  <c r="X275" i="3" s="1"/>
  <c r="I251" i="3"/>
  <c r="J251" i="3" s="1"/>
  <c r="W271" i="3"/>
  <c r="X271" i="3" s="1"/>
  <c r="I252" i="3"/>
  <c r="J252" i="3" s="1"/>
  <c r="W274" i="3"/>
  <c r="X274" i="3" s="1"/>
  <c r="H390" i="3"/>
  <c r="H462" i="3" s="1"/>
  <c r="AR333" i="3"/>
  <c r="G111" i="3"/>
  <c r="F111" i="3"/>
  <c r="C111" i="3"/>
  <c r="B111" i="3"/>
  <c r="R253" i="3"/>
  <c r="S253" i="3" s="1"/>
  <c r="P252" i="3"/>
  <c r="Q252" i="3" s="1"/>
  <c r="Y251" i="3"/>
  <c r="Z251" i="3" s="1"/>
  <c r="Z254" i="3" s="1"/>
  <c r="Y250" i="3"/>
  <c r="Z250" i="3" s="1"/>
  <c r="P271" i="3"/>
  <c r="Q271" i="3" s="1"/>
  <c r="R250" i="3"/>
  <c r="S250" i="3" s="1"/>
  <c r="W252" i="3"/>
  <c r="X252" i="3" s="1"/>
  <c r="Y272" i="3"/>
  <c r="Z272" i="3" s="1"/>
  <c r="Z275" i="3" s="1"/>
  <c r="P251" i="3"/>
  <c r="Q251" i="3" s="1"/>
  <c r="W253" i="3"/>
  <c r="X253" i="3" s="1"/>
  <c r="Y252" i="3"/>
  <c r="Z252" i="3" s="1"/>
  <c r="R251" i="3"/>
  <c r="S251" i="3" s="1"/>
  <c r="S254" i="3" s="1"/>
  <c r="Y273" i="3"/>
  <c r="Z273" i="3" s="1"/>
  <c r="R273" i="3"/>
  <c r="S273" i="3" s="1"/>
  <c r="W250" i="3"/>
  <c r="X250" i="3" s="1"/>
  <c r="R252" i="3"/>
  <c r="S252" i="3" s="1"/>
  <c r="Y253" i="3"/>
  <c r="Z253" i="3" s="1"/>
  <c r="P253" i="3"/>
  <c r="Q253" i="3" s="1"/>
  <c r="W251" i="3"/>
  <c r="X251" i="3" s="1"/>
  <c r="R271" i="3"/>
  <c r="S271" i="3" s="1"/>
  <c r="W273" i="3"/>
  <c r="X273" i="3" s="1"/>
  <c r="I184" i="3" l="1"/>
  <c r="C394" i="3" s="1"/>
  <c r="C430" i="3" s="1"/>
  <c r="C466" i="3" s="1"/>
  <c r="C141" i="3"/>
  <c r="B142" i="3" s="1"/>
  <c r="D142" i="3" s="1"/>
  <c r="B184" i="3"/>
  <c r="B394" i="3" s="1"/>
  <c r="B430" i="3" s="1"/>
  <c r="B466" i="3" s="1"/>
  <c r="B495" i="3" s="1"/>
  <c r="AY184" i="3"/>
  <c r="I394" i="3" s="1"/>
  <c r="I430" i="3" s="1"/>
  <c r="I466" i="3" s="1"/>
  <c r="I495" i="3" s="1"/>
  <c r="AR184" i="3"/>
  <c r="H394" i="3" s="1"/>
  <c r="H430" i="3" s="1"/>
  <c r="H466" i="3" s="1"/>
  <c r="H495" i="3" s="1"/>
  <c r="W184" i="3"/>
  <c r="E394" i="3" s="1"/>
  <c r="E430" i="3" s="1"/>
  <c r="E466" i="3" s="1"/>
  <c r="AD184" i="3"/>
  <c r="F394" i="3" s="1"/>
  <c r="F430" i="3" s="1"/>
  <c r="F466" i="3" s="1"/>
  <c r="AK184" i="3"/>
  <c r="G394" i="3" s="1"/>
  <c r="G430" i="3" s="1"/>
  <c r="G466" i="3" s="1"/>
  <c r="C99" i="3"/>
  <c r="P184" i="3"/>
  <c r="D394" i="3" s="1"/>
  <c r="D430" i="3" s="1"/>
  <c r="D466" i="3" s="1"/>
  <c r="L50" i="1"/>
  <c r="K50" i="1"/>
  <c r="I50" i="1"/>
  <c r="H50" i="1"/>
  <c r="J50" i="1"/>
  <c r="G50" i="1"/>
  <c r="G46" i="1"/>
  <c r="I77" i="3"/>
  <c r="C122" i="2"/>
  <c r="E122" i="2" s="1"/>
  <c r="H426" i="3"/>
  <c r="J57" i="1"/>
  <c r="E426" i="3"/>
  <c r="I57" i="1"/>
  <c r="D426" i="3"/>
  <c r="H57" i="1"/>
  <c r="C426" i="3"/>
  <c r="I426" i="3"/>
  <c r="L57" i="1"/>
  <c r="G426" i="3"/>
  <c r="C120" i="2"/>
  <c r="H423" i="3"/>
  <c r="I54" i="1"/>
  <c r="D423" i="3"/>
  <c r="I423" i="3"/>
  <c r="K54" i="1"/>
  <c r="F423" i="3"/>
  <c r="F457" i="3"/>
  <c r="K52" i="1" s="1"/>
  <c r="H54" i="1"/>
  <c r="C423" i="3"/>
  <c r="L54" i="1"/>
  <c r="G423" i="3"/>
  <c r="A460" i="3"/>
  <c r="B423" i="3"/>
  <c r="D418" i="3"/>
  <c r="D454" i="3" s="1"/>
  <c r="D484" i="3" s="1"/>
  <c r="C418" i="3"/>
  <c r="C454" i="3" s="1"/>
  <c r="C484" i="3" s="1"/>
  <c r="J48" i="1"/>
  <c r="I48" i="1"/>
  <c r="G48" i="1"/>
  <c r="G415" i="3"/>
  <c r="G451" i="3" s="1"/>
  <c r="L46" i="1" s="1"/>
  <c r="F415" i="3"/>
  <c r="F451" i="3" s="1"/>
  <c r="K46" i="1" s="1"/>
  <c r="H485" i="3"/>
  <c r="F485" i="3"/>
  <c r="E485" i="3"/>
  <c r="C115" i="2"/>
  <c r="E115" i="2" s="1"/>
  <c r="C485" i="3"/>
  <c r="I486" i="3"/>
  <c r="H45" i="1"/>
  <c r="I45" i="1"/>
  <c r="H486" i="3"/>
  <c r="J45" i="1"/>
  <c r="K45" i="1"/>
  <c r="D485" i="3"/>
  <c r="B486" i="3"/>
  <c r="G485" i="3"/>
  <c r="L43" i="1"/>
  <c r="B485" i="3"/>
  <c r="AD179" i="3"/>
  <c r="F386" i="3" s="1"/>
  <c r="F422" i="3" s="1"/>
  <c r="F382" i="3"/>
  <c r="B200" i="3"/>
  <c r="B392" i="3" s="1"/>
  <c r="B428" i="3" s="1"/>
  <c r="F390" i="3"/>
  <c r="F462" i="3" s="1"/>
  <c r="I208" i="3"/>
  <c r="C391" i="3" s="1"/>
  <c r="W333" i="3"/>
  <c r="AE281" i="3"/>
  <c r="P333" i="3"/>
  <c r="AY208" i="3"/>
  <c r="I391" i="3" s="1"/>
  <c r="I333" i="3"/>
  <c r="AY333" i="3"/>
  <c r="AK333" i="3"/>
  <c r="AL261" i="3"/>
  <c r="W200" i="3"/>
  <c r="E392" i="3" s="1"/>
  <c r="AL258" i="3"/>
  <c r="AL260" i="3"/>
  <c r="B382" i="3"/>
  <c r="H382" i="3"/>
  <c r="AD208" i="3"/>
  <c r="F391" i="3" s="1"/>
  <c r="AL280" i="3"/>
  <c r="AL279" i="3"/>
  <c r="AY200" i="3"/>
  <c r="I392" i="3" s="1"/>
  <c r="AE261" i="3"/>
  <c r="AD200" i="3"/>
  <c r="F392" i="3" s="1"/>
  <c r="AR200" i="3"/>
  <c r="H392" i="3" s="1"/>
  <c r="P200" i="3"/>
  <c r="D392" i="3" s="1"/>
  <c r="AL282" i="3"/>
  <c r="AS260" i="3"/>
  <c r="I200" i="3"/>
  <c r="C392" i="3" s="1"/>
  <c r="AE258" i="3"/>
  <c r="AL281" i="3"/>
  <c r="W208" i="3"/>
  <c r="E391" i="3" s="1"/>
  <c r="AE280" i="3"/>
  <c r="X282" i="3"/>
  <c r="AE279" i="3"/>
  <c r="AK208" i="3"/>
  <c r="G391" i="3" s="1"/>
  <c r="AR208" i="3"/>
  <c r="H391" i="3" s="1"/>
  <c r="AE282" i="3"/>
  <c r="J282" i="3"/>
  <c r="AE260" i="3"/>
  <c r="G382" i="3"/>
  <c r="O77" i="3"/>
  <c r="G81" i="3" s="1"/>
  <c r="AZ279" i="3"/>
  <c r="AD276" i="3"/>
  <c r="AS259" i="3"/>
  <c r="I178" i="3"/>
  <c r="C385" i="3" s="1"/>
  <c r="C421" i="3" s="1"/>
  <c r="AL259" i="3"/>
  <c r="AL275" i="3"/>
  <c r="AK276" i="3" s="1"/>
  <c r="I382" i="3"/>
  <c r="AE259" i="3"/>
  <c r="B208" i="3"/>
  <c r="B391" i="3" s="1"/>
  <c r="B427" i="3" s="1"/>
  <c r="B463" i="3" s="1"/>
  <c r="AK200" i="3"/>
  <c r="G392" i="3" s="1"/>
  <c r="AY178" i="3"/>
  <c r="I385" i="3" s="1"/>
  <c r="I421" i="3" s="1"/>
  <c r="AD255" i="3"/>
  <c r="AK255" i="3"/>
  <c r="N77" i="3"/>
  <c r="F81" i="3" s="1"/>
  <c r="AS261" i="3"/>
  <c r="P208" i="3"/>
  <c r="D391" i="3" s="1"/>
  <c r="C282" i="3"/>
  <c r="AS281" i="3"/>
  <c r="AS279" i="3"/>
  <c r="AZ282" i="3"/>
  <c r="E382" i="3"/>
  <c r="J259" i="3"/>
  <c r="C258" i="3"/>
  <c r="AZ281" i="3"/>
  <c r="AS280" i="3"/>
  <c r="AS282" i="3"/>
  <c r="AS258" i="3"/>
  <c r="P178" i="3"/>
  <c r="D385" i="3" s="1"/>
  <c r="D421" i="3" s="1"/>
  <c r="J77" i="3"/>
  <c r="AS254" i="3"/>
  <c r="AR255" i="3" s="1"/>
  <c r="K77" i="3"/>
  <c r="AS275" i="3"/>
  <c r="AR276" i="3" s="1"/>
  <c r="J281" i="3"/>
  <c r="AZ260" i="3"/>
  <c r="AZ258" i="3"/>
  <c r="C261" i="3"/>
  <c r="AY255" i="3"/>
  <c r="AZ259" i="3"/>
  <c r="Q280" i="3"/>
  <c r="AZ261" i="3"/>
  <c r="B255" i="3"/>
  <c r="P276" i="3"/>
  <c r="C259" i="3"/>
  <c r="J279" i="3"/>
  <c r="Q258" i="3"/>
  <c r="AY276" i="3"/>
  <c r="AZ280" i="3"/>
  <c r="C260" i="3"/>
  <c r="C279" i="3"/>
  <c r="I276" i="3"/>
  <c r="C281" i="3"/>
  <c r="X279" i="3"/>
  <c r="Q282" i="3"/>
  <c r="J261" i="3"/>
  <c r="J260" i="3"/>
  <c r="C280" i="3"/>
  <c r="J258" i="3"/>
  <c r="J254" i="3"/>
  <c r="I255" i="3" s="1"/>
  <c r="Q281" i="3"/>
  <c r="C275" i="3"/>
  <c r="B276" i="3" s="1"/>
  <c r="J280" i="3"/>
  <c r="X281" i="3"/>
  <c r="X260" i="3"/>
  <c r="X258" i="3"/>
  <c r="H111" i="3"/>
  <c r="X261" i="3"/>
  <c r="D111" i="3"/>
  <c r="Q279" i="3"/>
  <c r="Q260" i="3"/>
  <c r="W276" i="3"/>
  <c r="Q254" i="3"/>
  <c r="P255" i="3" s="1"/>
  <c r="Q259" i="3"/>
  <c r="X280" i="3"/>
  <c r="G385" i="3"/>
  <c r="G421" i="3" s="1"/>
  <c r="AK179" i="3"/>
  <c r="G386" i="3" s="1"/>
  <c r="G422" i="3" s="1"/>
  <c r="W179" i="3"/>
  <c r="E386" i="3" s="1"/>
  <c r="E422" i="3" s="1"/>
  <c r="E385" i="3"/>
  <c r="E421" i="3" s="1"/>
  <c r="B385" i="3"/>
  <c r="B421" i="3" s="1"/>
  <c r="B179" i="3"/>
  <c r="B386" i="3" s="1"/>
  <c r="B422" i="3" s="1"/>
  <c r="X254" i="3"/>
  <c r="W255" i="3" s="1"/>
  <c r="X259" i="3"/>
  <c r="H385" i="3"/>
  <c r="H421" i="3" s="1"/>
  <c r="AR179" i="3"/>
  <c r="H386" i="3" s="1"/>
  <c r="H422" i="3" s="1"/>
  <c r="Q261" i="3"/>
  <c r="B143" i="3" l="1"/>
  <c r="B145" i="3" s="1"/>
  <c r="B325" i="3" s="1"/>
  <c r="B326" i="3" s="1"/>
  <c r="B330" i="3" s="1"/>
  <c r="B481" i="3" s="1"/>
  <c r="G61" i="1"/>
  <c r="K61" i="1"/>
  <c r="F495" i="3"/>
  <c r="L61" i="1"/>
  <c r="G495" i="3"/>
  <c r="I61" i="1"/>
  <c r="D495" i="3"/>
  <c r="J61" i="1"/>
  <c r="E495" i="3"/>
  <c r="H61" i="1"/>
  <c r="C495" i="3"/>
  <c r="C118" i="2"/>
  <c r="B112" i="3"/>
  <c r="B113" i="3" s="1"/>
  <c r="B114" i="3" s="1"/>
  <c r="AR191" i="3" s="1"/>
  <c r="AR192" i="3" s="1"/>
  <c r="H393" i="3" s="1"/>
  <c r="H346" i="3" s="1"/>
  <c r="H351" i="3" s="1"/>
  <c r="B464" i="3"/>
  <c r="I49" i="1"/>
  <c r="H49" i="1"/>
  <c r="F80" i="3"/>
  <c r="B82" i="3" s="1"/>
  <c r="G80" i="3"/>
  <c r="B83" i="3" s="1"/>
  <c r="E80" i="3"/>
  <c r="B81" i="3" s="1"/>
  <c r="C133" i="2"/>
  <c r="E427" i="3"/>
  <c r="E463" i="3" s="1"/>
  <c r="F345" i="3"/>
  <c r="F350" i="3" s="1"/>
  <c r="F428" i="3"/>
  <c r="I427" i="3"/>
  <c r="I463" i="3" s="1"/>
  <c r="D428" i="3"/>
  <c r="H428" i="3"/>
  <c r="I428" i="3"/>
  <c r="E428" i="3"/>
  <c r="H427" i="3"/>
  <c r="H463" i="3" s="1"/>
  <c r="C345" i="3"/>
  <c r="C350" i="3" s="1"/>
  <c r="C428" i="3"/>
  <c r="D427" i="3"/>
  <c r="D463" i="3" s="1"/>
  <c r="G345" i="3"/>
  <c r="G350" i="3" s="1"/>
  <c r="G428" i="3"/>
  <c r="G427" i="3"/>
  <c r="G463" i="3" s="1"/>
  <c r="C427" i="3"/>
  <c r="C463" i="3" s="1"/>
  <c r="F427" i="3"/>
  <c r="F463" i="3" s="1"/>
  <c r="G58" i="1"/>
  <c r="B345" i="3"/>
  <c r="B350" i="3" s="1"/>
  <c r="A424" i="3"/>
  <c r="A425" i="3"/>
  <c r="K57" i="1"/>
  <c r="F426" i="3"/>
  <c r="C126" i="2"/>
  <c r="B42" i="2" s="1"/>
  <c r="B43" i="2" s="1"/>
  <c r="B166" i="2" s="1"/>
  <c r="B305" i="2" s="1"/>
  <c r="B317" i="2" s="1"/>
  <c r="H458" i="3"/>
  <c r="G458" i="3"/>
  <c r="L53" i="1" s="1"/>
  <c r="F458" i="3"/>
  <c r="K53" i="1" s="1"/>
  <c r="D457" i="3"/>
  <c r="I52" i="1" s="1"/>
  <c r="A461" i="3"/>
  <c r="E457" i="3"/>
  <c r="J52" i="1" s="1"/>
  <c r="C457" i="3"/>
  <c r="H52" i="1" s="1"/>
  <c r="H457" i="3"/>
  <c r="G457" i="3"/>
  <c r="L52" i="1" s="1"/>
  <c r="E458" i="3"/>
  <c r="J53" i="1" s="1"/>
  <c r="I457" i="3"/>
  <c r="G54" i="1"/>
  <c r="B458" i="3"/>
  <c r="G53" i="1" s="1"/>
  <c r="B457" i="3"/>
  <c r="G52" i="1" s="1"/>
  <c r="G486" i="3"/>
  <c r="I418" i="3"/>
  <c r="I454" i="3" s="1"/>
  <c r="I484" i="3" s="1"/>
  <c r="H418" i="3"/>
  <c r="H454" i="3" s="1"/>
  <c r="H484" i="3" s="1"/>
  <c r="G418" i="3"/>
  <c r="G454" i="3" s="1"/>
  <c r="G484" i="3" s="1"/>
  <c r="E418" i="3"/>
  <c r="E454" i="3" s="1"/>
  <c r="E484" i="3" s="1"/>
  <c r="F418" i="3"/>
  <c r="F454" i="3" s="1"/>
  <c r="F484" i="3" s="1"/>
  <c r="B418" i="3"/>
  <c r="B454" i="3" s="1"/>
  <c r="G45" i="1"/>
  <c r="C117" i="2"/>
  <c r="C161" i="2" s="1"/>
  <c r="B161" i="2" s="1"/>
  <c r="B15" i="6" s="1"/>
  <c r="C486" i="3"/>
  <c r="F486" i="3"/>
  <c r="D486" i="3"/>
  <c r="E486" i="3"/>
  <c r="E345" i="3"/>
  <c r="E350" i="3" s="1"/>
  <c r="AY179" i="3"/>
  <c r="I386" i="3" s="1"/>
  <c r="I422" i="3" s="1"/>
  <c r="I345" i="3"/>
  <c r="I350" i="3" s="1"/>
  <c r="D345" i="3"/>
  <c r="D350" i="3" s="1"/>
  <c r="H345" i="3"/>
  <c r="H350" i="3" s="1"/>
  <c r="I179" i="3"/>
  <c r="C386" i="3" s="1"/>
  <c r="C422" i="3" s="1"/>
  <c r="P179" i="3"/>
  <c r="D386" i="3" s="1"/>
  <c r="D422" i="3" s="1"/>
  <c r="J350" i="3" l="1"/>
  <c r="C121" i="2"/>
  <c r="E121" i="2" s="1"/>
  <c r="B484" i="3"/>
  <c r="J495" i="3"/>
  <c r="B297" i="2" s="1"/>
  <c r="K495" i="3"/>
  <c r="I325" i="3"/>
  <c r="I326" i="3" s="1"/>
  <c r="W325" i="3"/>
  <c r="W326" i="3" s="1"/>
  <c r="W329" i="3" s="1"/>
  <c r="E401" i="3" s="1"/>
  <c r="E437" i="3" s="1"/>
  <c r="AK325" i="3"/>
  <c r="AK326" i="3" s="1"/>
  <c r="AK329" i="3" s="1"/>
  <c r="G401" i="3" s="1"/>
  <c r="G437" i="3" s="1"/>
  <c r="AY325" i="3"/>
  <c r="AY326" i="3" s="1"/>
  <c r="AY329" i="3" s="1"/>
  <c r="I401" i="3" s="1"/>
  <c r="I437" i="3" s="1"/>
  <c r="P325" i="3"/>
  <c r="P326" i="3" s="1"/>
  <c r="P330" i="3" s="1"/>
  <c r="D481" i="3" s="1"/>
  <c r="AR325" i="3"/>
  <c r="AR326" i="3" s="1"/>
  <c r="AR330" i="3" s="1"/>
  <c r="H481" i="3" s="1"/>
  <c r="AD325" i="3"/>
  <c r="AD326" i="3" s="1"/>
  <c r="AD330" i="3" s="1"/>
  <c r="F481" i="3" s="1"/>
  <c r="D143" i="3"/>
  <c r="D145" i="3" s="1"/>
  <c r="B327" i="3" s="1"/>
  <c r="B332" i="3" s="1"/>
  <c r="B316" i="2"/>
  <c r="B320" i="2" s="1"/>
  <c r="F93" i="1" s="1"/>
  <c r="H8" i="6"/>
  <c r="AK191" i="3"/>
  <c r="AK192" i="3" s="1"/>
  <c r="G393" i="3" s="1"/>
  <c r="G346" i="3" s="1"/>
  <c r="G351" i="3" s="1"/>
  <c r="W191" i="3"/>
  <c r="W192" i="3" s="1"/>
  <c r="E393" i="3" s="1"/>
  <c r="E429" i="3" s="1"/>
  <c r="E465" i="3" s="1"/>
  <c r="P191" i="3"/>
  <c r="P192" i="3" s="1"/>
  <c r="D393" i="3" s="1"/>
  <c r="D346" i="3" s="1"/>
  <c r="D351" i="3" s="1"/>
  <c r="AD191" i="3"/>
  <c r="AD192" i="3" s="1"/>
  <c r="F393" i="3" s="1"/>
  <c r="F346" i="3" s="1"/>
  <c r="F351" i="3" s="1"/>
  <c r="B191" i="3"/>
  <c r="B192" i="3" s="1"/>
  <c r="B393" i="3" s="1"/>
  <c r="B429" i="3" s="1"/>
  <c r="B465" i="3" s="1"/>
  <c r="H429" i="3"/>
  <c r="H465" i="3" s="1"/>
  <c r="AY191" i="3"/>
  <c r="AY192" i="3" s="1"/>
  <c r="I393" i="3" s="1"/>
  <c r="I346" i="3" s="1"/>
  <c r="I351" i="3" s="1"/>
  <c r="I191" i="3"/>
  <c r="I192" i="3" s="1"/>
  <c r="C393" i="3" s="1"/>
  <c r="C346" i="3" s="1"/>
  <c r="C351" i="3" s="1"/>
  <c r="L58" i="1"/>
  <c r="J58" i="1"/>
  <c r="I58" i="1"/>
  <c r="K58" i="1"/>
  <c r="H58" i="1"/>
  <c r="G59" i="1"/>
  <c r="H464" i="3"/>
  <c r="F464" i="3"/>
  <c r="G464" i="3"/>
  <c r="D464" i="3"/>
  <c r="C464" i="3"/>
  <c r="E464" i="3"/>
  <c r="I464" i="3"/>
  <c r="E133" i="2"/>
  <c r="E117" i="2"/>
  <c r="K49" i="1"/>
  <c r="J49" i="1"/>
  <c r="L49" i="1"/>
  <c r="G49" i="1"/>
  <c r="I406" i="3"/>
  <c r="B329" i="3"/>
  <c r="B480" i="3" s="1"/>
  <c r="C51" i="2"/>
  <c r="C130" i="2"/>
  <c r="E130" i="2" s="1"/>
  <c r="C124" i="2"/>
  <c r="C458" i="3"/>
  <c r="H53" i="1" s="1"/>
  <c r="D458" i="3"/>
  <c r="I53" i="1" s="1"/>
  <c r="I458" i="3"/>
  <c r="B489" i="3" l="1"/>
  <c r="B490" i="3"/>
  <c r="P329" i="3"/>
  <c r="D401" i="3" s="1"/>
  <c r="D437" i="3" s="1"/>
  <c r="E480" i="3"/>
  <c r="P327" i="3"/>
  <c r="P332" i="3" s="1"/>
  <c r="P334" i="3" s="1"/>
  <c r="P335" i="3" s="1"/>
  <c r="AD329" i="3"/>
  <c r="F401" i="3" s="1"/>
  <c r="F437" i="3" s="1"/>
  <c r="AR329" i="3"/>
  <c r="H401" i="3" s="1"/>
  <c r="H437" i="3" s="1"/>
  <c r="W327" i="3"/>
  <c r="W332" i="3" s="1"/>
  <c r="W334" i="3" s="1"/>
  <c r="E402" i="3" s="1"/>
  <c r="E438" i="3" s="1"/>
  <c r="W330" i="3"/>
  <c r="E481" i="3" s="1"/>
  <c r="AD327" i="3"/>
  <c r="AD332" i="3" s="1"/>
  <c r="AD334" i="3" s="1"/>
  <c r="AD335" i="3" s="1"/>
  <c r="AY330" i="3"/>
  <c r="I481" i="3" s="1"/>
  <c r="I480" i="3"/>
  <c r="AK330" i="3"/>
  <c r="G481" i="3" s="1"/>
  <c r="I327" i="3"/>
  <c r="I332" i="3" s="1"/>
  <c r="I334" i="3" s="1"/>
  <c r="C402" i="3" s="1"/>
  <c r="C438" i="3" s="1"/>
  <c r="I329" i="3"/>
  <c r="C401" i="3" s="1"/>
  <c r="C437" i="3" s="1"/>
  <c r="I330" i="3"/>
  <c r="C481" i="3" s="1"/>
  <c r="C148" i="2" s="1"/>
  <c r="D148" i="2" s="1"/>
  <c r="AR327" i="3"/>
  <c r="AR332" i="3" s="1"/>
  <c r="AR334" i="3" s="1"/>
  <c r="AR335" i="3" s="1"/>
  <c r="AY327" i="3"/>
  <c r="AY332" i="3" s="1"/>
  <c r="AY334" i="3" s="1"/>
  <c r="I402" i="3" s="1"/>
  <c r="I438" i="3" s="1"/>
  <c r="AK327" i="3"/>
  <c r="AK332" i="3" s="1"/>
  <c r="AK334" i="3" s="1"/>
  <c r="G402" i="3" s="1"/>
  <c r="G438" i="3" s="1"/>
  <c r="C203" i="2"/>
  <c r="B203" i="2" s="1"/>
  <c r="C429" i="3"/>
  <c r="C465" i="3" s="1"/>
  <c r="D429" i="3"/>
  <c r="D465" i="3" s="1"/>
  <c r="E346" i="3"/>
  <c r="E351" i="3" s="1"/>
  <c r="G429" i="3"/>
  <c r="G465" i="3" s="1"/>
  <c r="F429" i="3"/>
  <c r="F465" i="3" s="1"/>
  <c r="I429" i="3"/>
  <c r="I465" i="3" s="1"/>
  <c r="B346" i="3"/>
  <c r="B351" i="3" s="1"/>
  <c r="H490" i="3"/>
  <c r="H489" i="3"/>
  <c r="E489" i="3"/>
  <c r="E490" i="3"/>
  <c r="J59" i="1"/>
  <c r="H59" i="1"/>
  <c r="L59" i="1"/>
  <c r="I59" i="1"/>
  <c r="K59" i="1"/>
  <c r="C131" i="2"/>
  <c r="E131" i="2" s="1"/>
  <c r="B160" i="2"/>
  <c r="B14" i="6" s="1"/>
  <c r="B187" i="2"/>
  <c r="E124" i="2"/>
  <c r="B170" i="2" s="1"/>
  <c r="B19" i="6" s="1"/>
  <c r="G480" i="3"/>
  <c r="B328" i="3"/>
  <c r="B400" i="3" s="1"/>
  <c r="B436" i="3" s="1"/>
  <c r="B401" i="3"/>
  <c r="B437" i="3" s="1"/>
  <c r="I477" i="3"/>
  <c r="I442" i="3"/>
  <c r="F406" i="3"/>
  <c r="C406" i="3"/>
  <c r="G406" i="3"/>
  <c r="D406" i="3"/>
  <c r="H406" i="3"/>
  <c r="E406" i="3"/>
  <c r="B406" i="3"/>
  <c r="C125" i="2"/>
  <c r="J60" i="1"/>
  <c r="G60" i="1"/>
  <c r="J351" i="3" l="1"/>
  <c r="D402" i="3"/>
  <c r="D438" i="3" s="1"/>
  <c r="D480" i="3"/>
  <c r="C147" i="2" s="1"/>
  <c r="AK335" i="3"/>
  <c r="G403" i="3" s="1"/>
  <c r="AY335" i="3"/>
  <c r="I403" i="3" s="1"/>
  <c r="F480" i="3"/>
  <c r="H480" i="3"/>
  <c r="AY328" i="3"/>
  <c r="I400" i="3" s="1"/>
  <c r="P328" i="3"/>
  <c r="D400" i="3" s="1"/>
  <c r="F402" i="3"/>
  <c r="F438" i="3" s="1"/>
  <c r="AK328" i="3"/>
  <c r="G400" i="3" s="1"/>
  <c r="H402" i="3"/>
  <c r="H438" i="3" s="1"/>
  <c r="I328" i="3"/>
  <c r="C400" i="3" s="1"/>
  <c r="C480" i="3"/>
  <c r="I335" i="3"/>
  <c r="I337" i="3" s="1"/>
  <c r="C405" i="3" s="1"/>
  <c r="W328" i="3"/>
  <c r="E400" i="3" s="1"/>
  <c r="W335" i="3"/>
  <c r="E403" i="3" s="1"/>
  <c r="AD328" i="3"/>
  <c r="F400" i="3" s="1"/>
  <c r="AR328" i="3"/>
  <c r="H400" i="3" s="1"/>
  <c r="B472" i="3"/>
  <c r="B188" i="2"/>
  <c r="B190" i="2" s="1"/>
  <c r="F490" i="3"/>
  <c r="I60" i="1"/>
  <c r="H60" i="1"/>
  <c r="I489" i="3"/>
  <c r="L60" i="1"/>
  <c r="C490" i="3"/>
  <c r="C132" i="2"/>
  <c r="B186" i="2" s="1"/>
  <c r="C489" i="3"/>
  <c r="D490" i="3"/>
  <c r="D489" i="3"/>
  <c r="G490" i="3"/>
  <c r="G489" i="3"/>
  <c r="F489" i="3"/>
  <c r="K60" i="1"/>
  <c r="I490" i="3"/>
  <c r="E125" i="2"/>
  <c r="B171" i="2" s="1"/>
  <c r="B20" i="6" s="1"/>
  <c r="E477" i="3"/>
  <c r="J75" i="1" s="1"/>
  <c r="E442" i="3"/>
  <c r="H477" i="3"/>
  <c r="H442" i="3"/>
  <c r="D477" i="3"/>
  <c r="I75" i="1" s="1"/>
  <c r="D442" i="3"/>
  <c r="G477" i="3"/>
  <c r="L75" i="1" s="1"/>
  <c r="G442" i="3"/>
  <c r="C477" i="3"/>
  <c r="C442" i="3"/>
  <c r="F477" i="3"/>
  <c r="K75" i="1" s="1"/>
  <c r="F442" i="3"/>
  <c r="B477" i="3"/>
  <c r="G75" i="1" s="1"/>
  <c r="B442" i="3"/>
  <c r="C473" i="3"/>
  <c r="H68" i="1" s="1"/>
  <c r="G473" i="3"/>
  <c r="L68" i="1" s="1"/>
  <c r="E473" i="3"/>
  <c r="J68" i="1" s="1"/>
  <c r="I473" i="3"/>
  <c r="E31" i="8"/>
  <c r="E30" i="8"/>
  <c r="P337" i="3"/>
  <c r="D405" i="3" s="1"/>
  <c r="P336" i="3"/>
  <c r="D404" i="3" s="1"/>
  <c r="D403" i="3"/>
  <c r="AD337" i="3"/>
  <c r="F405" i="3" s="1"/>
  <c r="F403" i="3"/>
  <c r="AD336" i="3"/>
  <c r="F404" i="3" s="1"/>
  <c r="AR337" i="3"/>
  <c r="H405" i="3" s="1"/>
  <c r="H403" i="3"/>
  <c r="AR336" i="3"/>
  <c r="H404" i="3" s="1"/>
  <c r="E436" i="3" l="1"/>
  <c r="E472" i="3" s="1"/>
  <c r="J67" i="1" s="1"/>
  <c r="I436" i="3"/>
  <c r="I472" i="3" s="1"/>
  <c r="H436" i="3"/>
  <c r="H472" i="3" s="1"/>
  <c r="G436" i="3"/>
  <c r="G472" i="3" s="1"/>
  <c r="L67" i="1" s="1"/>
  <c r="C436" i="3"/>
  <c r="C472" i="3" s="1"/>
  <c r="H67" i="1" s="1"/>
  <c r="F436" i="3"/>
  <c r="F472" i="3" s="1"/>
  <c r="K67" i="1" s="1"/>
  <c r="D436" i="3"/>
  <c r="D472" i="3" s="1"/>
  <c r="I67" i="1" s="1"/>
  <c r="AK337" i="3"/>
  <c r="G405" i="3" s="1"/>
  <c r="G476" i="3" s="1"/>
  <c r="L71" i="1" s="1"/>
  <c r="AK336" i="3"/>
  <c r="G404" i="3" s="1"/>
  <c r="G475" i="3" s="1"/>
  <c r="L70" i="1" s="1"/>
  <c r="D473" i="3"/>
  <c r="I68" i="1" s="1"/>
  <c r="AY336" i="3"/>
  <c r="I404" i="3" s="1"/>
  <c r="I475" i="3" s="1"/>
  <c r="AY337" i="3"/>
  <c r="I405" i="3" s="1"/>
  <c r="I476" i="3" s="1"/>
  <c r="I336" i="3"/>
  <c r="C404" i="3" s="1"/>
  <c r="C440" i="3" s="1"/>
  <c r="F473" i="3"/>
  <c r="K68" i="1" s="1"/>
  <c r="C403" i="3"/>
  <c r="C474" i="3" s="1"/>
  <c r="H69" i="1" s="1"/>
  <c r="H473" i="3"/>
  <c r="W337" i="3"/>
  <c r="E405" i="3" s="1"/>
  <c r="E476" i="3" s="1"/>
  <c r="J71" i="1" s="1"/>
  <c r="W336" i="3"/>
  <c r="E404" i="3" s="1"/>
  <c r="E475" i="3" s="1"/>
  <c r="J70" i="1" s="1"/>
  <c r="C197" i="2"/>
  <c r="B197" i="2" s="1"/>
  <c r="J489" i="3"/>
  <c r="J490" i="3"/>
  <c r="E132" i="2"/>
  <c r="B191" i="2" s="1"/>
  <c r="H75" i="1"/>
  <c r="C144" i="2"/>
  <c r="B172" i="2" s="1"/>
  <c r="F476" i="3"/>
  <c r="K71" i="1" s="1"/>
  <c r="F441" i="3"/>
  <c r="H476" i="3"/>
  <c r="H441" i="3"/>
  <c r="D476" i="3"/>
  <c r="I71" i="1" s="1"/>
  <c r="D441" i="3"/>
  <c r="C476" i="3"/>
  <c r="H71" i="1" s="1"/>
  <c r="C441" i="3"/>
  <c r="H474" i="3"/>
  <c r="H439" i="3"/>
  <c r="G474" i="3"/>
  <c r="L69" i="1" s="1"/>
  <c r="G439" i="3"/>
  <c r="F475" i="3"/>
  <c r="K70" i="1" s="1"/>
  <c r="F440" i="3"/>
  <c r="F474" i="3"/>
  <c r="K69" i="1" s="1"/>
  <c r="F439" i="3"/>
  <c r="D474" i="3"/>
  <c r="I69" i="1" s="1"/>
  <c r="D439" i="3"/>
  <c r="E474" i="3"/>
  <c r="J69" i="1" s="1"/>
  <c r="E439" i="3"/>
  <c r="I474" i="3"/>
  <c r="I439" i="3"/>
  <c r="D475" i="3"/>
  <c r="I70" i="1" s="1"/>
  <c r="D440" i="3"/>
  <c r="H475" i="3"/>
  <c r="H440" i="3"/>
  <c r="C139" i="2"/>
  <c r="E139" i="2" s="1"/>
  <c r="E52" i="2" s="1"/>
  <c r="E55" i="2" s="1"/>
  <c r="B167" i="2" s="1"/>
  <c r="G441" i="3" l="1"/>
  <c r="C475" i="3"/>
  <c r="H70" i="1" s="1"/>
  <c r="G440" i="3"/>
  <c r="I441" i="3"/>
  <c r="E441" i="3"/>
  <c r="I440" i="3"/>
  <c r="E440" i="3"/>
  <c r="C439" i="3"/>
  <c r="B295" i="2"/>
  <c r="C198" i="2"/>
  <c r="B198" i="2" s="1"/>
  <c r="B21" i="6"/>
  <c r="B228" i="2"/>
  <c r="C52" i="2"/>
  <c r="C55" i="2" s="1"/>
  <c r="A232" i="2" s="1"/>
  <c r="B232" i="2" s="1"/>
  <c r="O82" i="1"/>
  <c r="H3" i="6" l="1"/>
  <c r="F93" i="2"/>
  <c r="B97" i="2" s="1"/>
  <c r="B99" i="2" s="1"/>
  <c r="B233" i="2"/>
  <c r="H4" i="6" s="1"/>
  <c r="F92" i="1" l="1"/>
  <c r="H18" i="6"/>
  <c r="C129" i="2" l="1"/>
  <c r="E129" i="2" l="1"/>
  <c r="B163" i="2" s="1"/>
  <c r="B516" i="3"/>
  <c r="G514" i="3" s="1"/>
  <c r="G515" i="3" s="1"/>
  <c r="D515" i="3" s="1"/>
  <c r="C143" i="2"/>
  <c r="C142" i="2"/>
  <c r="C141" i="2"/>
  <c r="C140" i="2"/>
  <c r="C493" i="3" l="1"/>
  <c r="C497" i="3" s="1"/>
  <c r="C347" i="3" s="1"/>
  <c r="D493" i="3"/>
  <c r="D497" i="3" s="1"/>
  <c r="D347" i="3" s="1"/>
  <c r="F493" i="3"/>
  <c r="F497" i="3" s="1"/>
  <c r="F347" i="3" s="1"/>
  <c r="G493" i="3"/>
  <c r="G497" i="3" s="1"/>
  <c r="G347" i="3" s="1"/>
  <c r="I493" i="3"/>
  <c r="I497" i="3" s="1"/>
  <c r="I347" i="3" s="1"/>
  <c r="B493" i="3"/>
  <c r="E493" i="3"/>
  <c r="E497" i="3" s="1"/>
  <c r="E347" i="3" s="1"/>
  <c r="H493" i="3"/>
  <c r="H497" i="3" s="1"/>
  <c r="H347" i="3" s="1"/>
  <c r="B497" i="3" l="1"/>
  <c r="B347" i="3" s="1"/>
  <c r="K494" i="3"/>
  <c r="J494" i="3"/>
  <c r="B296" i="2" s="1"/>
  <c r="G349" i="3"/>
  <c r="G348" i="3"/>
  <c r="F349" i="3"/>
  <c r="F348" i="3"/>
  <c r="D349" i="3"/>
  <c r="D348" i="3"/>
  <c r="I349" i="3"/>
  <c r="I348" i="3"/>
  <c r="C349" i="3"/>
  <c r="C348" i="3"/>
  <c r="H348" i="3"/>
  <c r="H349" i="3"/>
  <c r="E348" i="3"/>
  <c r="E349" i="3"/>
  <c r="B348" i="3" l="1"/>
  <c r="J348" i="3" s="1"/>
  <c r="B349" i="3"/>
  <c r="J349" i="3" s="1"/>
  <c r="B352" i="3" l="1"/>
  <c r="B358" i="3" s="1"/>
  <c r="B267" i="2" s="1"/>
  <c r="B261" i="2" l="1"/>
  <c r="D261" i="2" s="1"/>
  <c r="E261" i="2" s="1" a="1"/>
  <c r="E261" i="2" s="1"/>
  <c r="C274" i="2" s="1"/>
  <c r="B274" i="2" s="1"/>
  <c r="N18" i="1" s="1"/>
  <c r="C261" i="2"/>
  <c r="B355" i="3"/>
  <c r="B76" i="3"/>
  <c r="B359" i="3"/>
  <c r="R260" i="3"/>
  <c r="K258" i="3"/>
  <c r="AT258" i="3"/>
  <c r="AT259" i="3"/>
  <c r="AM259" i="3"/>
  <c r="AT260" i="3"/>
  <c r="R258" i="3"/>
  <c r="AF280" i="3"/>
  <c r="C193" i="2"/>
  <c r="B193" i="2" s="1"/>
  <c r="B195" i="2" s="1"/>
  <c r="C199" i="2" s="1"/>
  <c r="B199" i="2" s="1"/>
  <c r="AT279" i="3"/>
  <c r="R280" i="3"/>
  <c r="BA280" i="3"/>
  <c r="AM280" i="3"/>
  <c r="D260" i="3"/>
  <c r="D261" i="3"/>
  <c r="R279" i="3"/>
  <c r="AM258" i="3"/>
  <c r="Y282" i="3"/>
  <c r="K280" i="3"/>
  <c r="AF281" i="3"/>
  <c r="Y259" i="3"/>
  <c r="AF259" i="3"/>
  <c r="B361" i="3"/>
  <c r="B362" i="3" s="1"/>
  <c r="AF261" i="3"/>
  <c r="K260" i="3"/>
  <c r="AM281" i="3"/>
  <c r="Y258" i="3"/>
  <c r="AM282" i="3"/>
  <c r="Y280" i="3"/>
  <c r="AT280" i="3"/>
  <c r="AT261" i="3"/>
  <c r="AM261" i="3"/>
  <c r="AF260" i="3"/>
  <c r="Y279" i="3"/>
  <c r="R259" i="3"/>
  <c r="R261" i="3"/>
  <c r="BA260" i="3"/>
  <c r="Y261" i="3"/>
  <c r="BA281" i="3"/>
  <c r="K279" i="3"/>
  <c r="AM260" i="3"/>
  <c r="AF279" i="3"/>
  <c r="D280" i="3"/>
  <c r="AF282" i="3"/>
  <c r="D258" i="3"/>
  <c r="Y281" i="3"/>
  <c r="R282" i="3"/>
  <c r="BA259" i="3"/>
  <c r="R281" i="3"/>
  <c r="AT282" i="3"/>
  <c r="D282" i="3"/>
  <c r="K261" i="3"/>
  <c r="D279" i="3"/>
  <c r="BA279" i="3"/>
  <c r="K259" i="3"/>
  <c r="BA261" i="3"/>
  <c r="AM279" i="3"/>
  <c r="BA258" i="3"/>
  <c r="D281" i="3"/>
  <c r="D259" i="3"/>
  <c r="AT281" i="3"/>
  <c r="BA282" i="3"/>
  <c r="AF258" i="3"/>
  <c r="K281" i="3"/>
  <c r="Y260" i="3"/>
  <c r="K282" i="3"/>
  <c r="C267" i="2" l="1"/>
  <c r="B284" i="3"/>
  <c r="AY284" i="3"/>
  <c r="P263" i="3"/>
  <c r="W263" i="3"/>
  <c r="AY263" i="3"/>
  <c r="AR263" i="3"/>
  <c r="AK284" i="3"/>
  <c r="D267" i="2"/>
  <c r="E267" i="2" s="1" a="1"/>
  <c r="E267" i="2" s="1"/>
  <c r="AR284" i="3"/>
  <c r="I263" i="3"/>
  <c r="AY217" i="3"/>
  <c r="W217" i="3"/>
  <c r="B363" i="3"/>
  <c r="I217" i="3"/>
  <c r="B364" i="3"/>
  <c r="B365" i="3" s="1"/>
  <c r="AR217" i="3"/>
  <c r="AD217" i="3"/>
  <c r="B217" i="3"/>
  <c r="P217" i="3"/>
  <c r="AK217" i="3"/>
  <c r="W284" i="3"/>
  <c r="I284" i="3"/>
  <c r="AK263" i="3"/>
  <c r="B263" i="3"/>
  <c r="AD284" i="3"/>
  <c r="AD263" i="3"/>
  <c r="P284" i="3"/>
  <c r="C487" i="3"/>
  <c r="C491" i="3" s="1"/>
  <c r="C488" i="3"/>
  <c r="C492" i="3" s="1"/>
  <c r="B487" i="3"/>
  <c r="G488" i="3"/>
  <c r="G492" i="3" s="1"/>
  <c r="F488" i="3"/>
  <c r="F492" i="3" s="1"/>
  <c r="E488" i="3"/>
  <c r="E492" i="3" s="1"/>
  <c r="H488" i="3"/>
  <c r="H492" i="3" s="1"/>
  <c r="I488" i="3"/>
  <c r="I492" i="3" s="1"/>
  <c r="B488" i="3"/>
  <c r="B492" i="3" s="1"/>
  <c r="H487" i="3"/>
  <c r="H491" i="3" s="1"/>
  <c r="F487" i="3"/>
  <c r="F491" i="3" s="1"/>
  <c r="G487" i="3"/>
  <c r="G491" i="3" s="1"/>
  <c r="D488" i="3"/>
  <c r="D492" i="3" s="1"/>
  <c r="I487" i="3"/>
  <c r="I491" i="3" s="1"/>
  <c r="D487" i="3"/>
  <c r="D491" i="3" s="1"/>
  <c r="E487" i="3"/>
  <c r="E491" i="3" s="1"/>
  <c r="B300" i="2" l="1"/>
  <c r="M62" i="1" s="1"/>
  <c r="C194" i="2"/>
  <c r="B194" i="2" s="1"/>
  <c r="C275" i="2"/>
  <c r="B275" i="2" s="1"/>
  <c r="N20" i="1" s="1"/>
  <c r="AR220" i="3"/>
  <c r="AR221" i="3"/>
  <c r="AR222" i="3" s="1"/>
  <c r="AR223" i="3" s="1"/>
  <c r="AD221" i="3"/>
  <c r="AD222" i="3" s="1"/>
  <c r="AD223" i="3" s="1"/>
  <c r="AD220" i="3"/>
  <c r="AR299" i="3"/>
  <c r="AR300" i="3" s="1"/>
  <c r="AY299" i="3"/>
  <c r="AY300" i="3" s="1"/>
  <c r="I299" i="3"/>
  <c r="I300" i="3" s="1"/>
  <c r="W299" i="3"/>
  <c r="W300" i="3" s="1"/>
  <c r="AD299" i="3"/>
  <c r="AD300" i="3" s="1"/>
  <c r="P299" i="3"/>
  <c r="P300" i="3" s="1"/>
  <c r="AK299" i="3"/>
  <c r="AK300" i="3" s="1"/>
  <c r="B299" i="3"/>
  <c r="B300" i="3" s="1"/>
  <c r="AK220" i="3"/>
  <c r="AK221" i="3"/>
  <c r="AK222" i="3" s="1"/>
  <c r="AK223" i="3" s="1"/>
  <c r="W220" i="3"/>
  <c r="W221" i="3"/>
  <c r="W222" i="3" s="1"/>
  <c r="W223" i="3" s="1"/>
  <c r="J488" i="3"/>
  <c r="B491" i="3"/>
  <c r="J492" i="3" s="1"/>
  <c r="K488" i="3"/>
  <c r="I221" i="3"/>
  <c r="I222" i="3" s="1"/>
  <c r="I223" i="3" s="1"/>
  <c r="I220" i="3"/>
  <c r="P220" i="3"/>
  <c r="P221" i="3"/>
  <c r="P222" i="3" s="1"/>
  <c r="P223" i="3" s="1"/>
  <c r="AY221" i="3"/>
  <c r="AY222" i="3" s="1"/>
  <c r="AY223" i="3" s="1"/>
  <c r="AY220" i="3"/>
  <c r="B221" i="3"/>
  <c r="B222" i="3" s="1"/>
  <c r="B223" i="3" s="1"/>
  <c r="B220" i="3"/>
  <c r="AK225" i="3" l="1"/>
  <c r="AK226" i="3"/>
  <c r="AK239" i="3"/>
  <c r="AK224" i="3"/>
  <c r="AY301" i="3"/>
  <c r="I389" i="3"/>
  <c r="AY339" i="3"/>
  <c r="AR301" i="3"/>
  <c r="AR339" i="3"/>
  <c r="H389" i="3"/>
  <c r="I226" i="3"/>
  <c r="I239" i="3"/>
  <c r="I224" i="3"/>
  <c r="I225" i="3"/>
  <c r="B339" i="3"/>
  <c r="B389" i="3"/>
  <c r="B301" i="3"/>
  <c r="G389" i="3"/>
  <c r="AK339" i="3"/>
  <c r="AK301" i="3"/>
  <c r="B239" i="3"/>
  <c r="B225" i="3"/>
  <c r="B224" i="3"/>
  <c r="B226" i="3"/>
  <c r="P339" i="3"/>
  <c r="D389" i="3"/>
  <c r="P301" i="3"/>
  <c r="AR224" i="3"/>
  <c r="AR226" i="3"/>
  <c r="AR225" i="3"/>
  <c r="AR239" i="3"/>
  <c r="B293" i="2"/>
  <c r="B294" i="2"/>
  <c r="F389" i="3"/>
  <c r="AD301" i="3"/>
  <c r="AD339" i="3"/>
  <c r="AD239" i="3"/>
  <c r="AD224" i="3"/>
  <c r="AD225" i="3"/>
  <c r="AD226" i="3"/>
  <c r="AY239" i="3"/>
  <c r="AY225" i="3"/>
  <c r="AY226" i="3"/>
  <c r="AY224" i="3"/>
  <c r="W239" i="3"/>
  <c r="W225" i="3"/>
  <c r="W226" i="3"/>
  <c r="W224" i="3"/>
  <c r="E389" i="3"/>
  <c r="W339" i="3"/>
  <c r="W301" i="3"/>
  <c r="P239" i="3"/>
  <c r="P226" i="3"/>
  <c r="P225" i="3"/>
  <c r="P224" i="3"/>
  <c r="I339" i="3"/>
  <c r="I301" i="3"/>
  <c r="C389" i="3"/>
  <c r="E198" i="2"/>
  <c r="E199" i="2"/>
  <c r="E197" i="2"/>
  <c r="C200" i="2" s="1"/>
  <c r="B200" i="2" s="1"/>
  <c r="B298" i="2" l="1"/>
  <c r="M58" i="1" s="1"/>
  <c r="B425" i="3"/>
  <c r="B461" i="3"/>
  <c r="G56" i="1" s="1"/>
  <c r="AR317" i="3"/>
  <c r="AR318" i="3" s="1"/>
  <c r="H388" i="3"/>
  <c r="P228" i="3"/>
  <c r="Q228" i="3"/>
  <c r="AR242" i="3"/>
  <c r="AR240" i="3"/>
  <c r="AR241" i="3"/>
  <c r="B228" i="3"/>
  <c r="C228" i="3"/>
  <c r="AE228" i="3"/>
  <c r="AD228" i="3"/>
  <c r="I461" i="3"/>
  <c r="I425" i="3"/>
  <c r="W242" i="3"/>
  <c r="W241" i="3"/>
  <c r="W240" i="3"/>
  <c r="I228" i="3"/>
  <c r="J228" i="3"/>
  <c r="P241" i="3"/>
  <c r="P242" i="3"/>
  <c r="P240" i="3"/>
  <c r="AZ228" i="3"/>
  <c r="AY228" i="3"/>
  <c r="AS228" i="3"/>
  <c r="AR228" i="3"/>
  <c r="AK317" i="3"/>
  <c r="AK318" i="3" s="1"/>
  <c r="G388" i="3"/>
  <c r="I242" i="3"/>
  <c r="I240" i="3"/>
  <c r="I241" i="3"/>
  <c r="AL228" i="3"/>
  <c r="AK228" i="3"/>
  <c r="W317" i="3"/>
  <c r="W318" i="3" s="1"/>
  <c r="E388" i="3"/>
  <c r="F388" i="3"/>
  <c r="AD317" i="3"/>
  <c r="AD318" i="3" s="1"/>
  <c r="P317" i="3"/>
  <c r="P318" i="3" s="1"/>
  <c r="D388" i="3"/>
  <c r="AK240" i="3"/>
  <c r="AK241" i="3"/>
  <c r="AK242" i="3"/>
  <c r="AD240" i="3"/>
  <c r="AD242" i="3"/>
  <c r="AD241" i="3"/>
  <c r="B242" i="3"/>
  <c r="B240" i="3"/>
  <c r="B241" i="3"/>
  <c r="I388" i="3"/>
  <c r="AY317" i="3"/>
  <c r="AY318" i="3" s="1"/>
  <c r="C425" i="3"/>
  <c r="C461" i="3"/>
  <c r="H56" i="1" s="1"/>
  <c r="F425" i="3"/>
  <c r="F461" i="3"/>
  <c r="K56" i="1" s="1"/>
  <c r="D425" i="3"/>
  <c r="D461" i="3"/>
  <c r="G461" i="3"/>
  <c r="L56" i="1" s="1"/>
  <c r="G425" i="3"/>
  <c r="H461" i="3"/>
  <c r="H425" i="3"/>
  <c r="X228" i="3"/>
  <c r="W228" i="3"/>
  <c r="I317" i="3"/>
  <c r="I318" i="3" s="1"/>
  <c r="C388" i="3"/>
  <c r="E425" i="3"/>
  <c r="E461" i="3"/>
  <c r="J56" i="1" s="1"/>
  <c r="AY241" i="3"/>
  <c r="AY242" i="3"/>
  <c r="AY240" i="3"/>
  <c r="B316" i="3"/>
  <c r="B388" i="3"/>
  <c r="B317" i="3"/>
  <c r="B318" i="3" s="1"/>
  <c r="AD229" i="3" l="1"/>
  <c r="AD230" i="3" s="1"/>
  <c r="W229" i="3"/>
  <c r="E395" i="3" s="1"/>
  <c r="E431" i="3" s="1"/>
  <c r="E467" i="3" s="1"/>
  <c r="J62" i="1" s="1"/>
  <c r="AR229" i="3"/>
  <c r="AK229" i="3"/>
  <c r="G395" i="3" s="1"/>
  <c r="G431" i="3" s="1"/>
  <c r="G467" i="3" s="1"/>
  <c r="L62" i="1" s="1"/>
  <c r="P229" i="3"/>
  <c r="D395" i="3" s="1"/>
  <c r="D431" i="3" s="1"/>
  <c r="D467" i="3" s="1"/>
  <c r="B229" i="3"/>
  <c r="B230" i="3" s="1"/>
  <c r="I244" i="3"/>
  <c r="J244" i="3"/>
  <c r="P244" i="3"/>
  <c r="Q244" i="3"/>
  <c r="AZ244" i="3"/>
  <c r="AY244" i="3"/>
  <c r="H424" i="3"/>
  <c r="H460" i="3"/>
  <c r="B460" i="3"/>
  <c r="G55" i="1" s="1"/>
  <c r="B424" i="3"/>
  <c r="C244" i="3"/>
  <c r="B244" i="3"/>
  <c r="D460" i="3"/>
  <c r="D424" i="3"/>
  <c r="AS244" i="3"/>
  <c r="AR244" i="3"/>
  <c r="B333" i="3"/>
  <c r="B334" i="3" s="1"/>
  <c r="B402" i="3" s="1"/>
  <c r="B390" i="3"/>
  <c r="F424" i="3"/>
  <c r="F460" i="3"/>
  <c r="K55" i="1" s="1"/>
  <c r="G424" i="3"/>
  <c r="G460" i="3"/>
  <c r="L55" i="1" s="1"/>
  <c r="H395" i="3"/>
  <c r="H431" i="3" s="1"/>
  <c r="H467" i="3" s="1"/>
  <c r="AR230" i="3"/>
  <c r="I229" i="3"/>
  <c r="W244" i="3"/>
  <c r="X244" i="3"/>
  <c r="AD244" i="3"/>
  <c r="AE244" i="3"/>
  <c r="E460" i="3"/>
  <c r="J55" i="1" s="1"/>
  <c r="E424" i="3"/>
  <c r="I424" i="3"/>
  <c r="I460" i="3"/>
  <c r="C424" i="3"/>
  <c r="C460" i="3"/>
  <c r="H55" i="1" s="1"/>
  <c r="I56" i="1"/>
  <c r="C128" i="2"/>
  <c r="E128" i="2" s="1"/>
  <c r="AL244" i="3"/>
  <c r="AK244" i="3"/>
  <c r="AY229" i="3"/>
  <c r="F395" i="3" l="1"/>
  <c r="F431" i="3" s="1"/>
  <c r="F467" i="3" s="1"/>
  <c r="K62" i="1" s="1"/>
  <c r="B335" i="3"/>
  <c r="B336" i="3" s="1"/>
  <c r="B404" i="3" s="1"/>
  <c r="B438" i="3"/>
  <c r="B473" i="3"/>
  <c r="P230" i="3"/>
  <c r="D396" i="3" s="1"/>
  <c r="W230" i="3"/>
  <c r="W231" i="3" s="1"/>
  <c r="E397" i="3" s="1"/>
  <c r="B395" i="3"/>
  <c r="B431" i="3" s="1"/>
  <c r="B467" i="3" s="1"/>
  <c r="G62" i="1" s="1"/>
  <c r="B245" i="3"/>
  <c r="B246" i="3" s="1"/>
  <c r="B287" i="3" s="1"/>
  <c r="B407" i="3" s="1"/>
  <c r="B478" i="3" s="1"/>
  <c r="AK230" i="3"/>
  <c r="AK231" i="3" s="1"/>
  <c r="G397" i="3" s="1"/>
  <c r="AY245" i="3"/>
  <c r="AY246" i="3" s="1"/>
  <c r="AY287" i="3" s="1"/>
  <c r="I407" i="3" s="1"/>
  <c r="I478" i="3" s="1"/>
  <c r="W245" i="3"/>
  <c r="W246" i="3" s="1"/>
  <c r="W288" i="3" s="1"/>
  <c r="E408" i="3" s="1"/>
  <c r="E479" i="3" s="1"/>
  <c r="I245" i="3"/>
  <c r="I246" i="3" s="1"/>
  <c r="I288" i="3" s="1"/>
  <c r="C408" i="3" s="1"/>
  <c r="C479" i="3" s="1"/>
  <c r="I230" i="3"/>
  <c r="C395" i="3"/>
  <c r="C431" i="3" s="1"/>
  <c r="C467" i="3" s="1"/>
  <c r="H62" i="1" s="1"/>
  <c r="AD245" i="3"/>
  <c r="AD246" i="3" s="1"/>
  <c r="AD231" i="3"/>
  <c r="F397" i="3" s="1"/>
  <c r="F396" i="3"/>
  <c r="AD233" i="3"/>
  <c r="AD234" i="3" s="1"/>
  <c r="F399" i="3" s="1"/>
  <c r="AD232" i="3"/>
  <c r="F398" i="3" s="1"/>
  <c r="I395" i="3"/>
  <c r="I431" i="3" s="1"/>
  <c r="I467" i="3" s="1"/>
  <c r="AY230" i="3"/>
  <c r="B232" i="3"/>
  <c r="B398" i="3" s="1"/>
  <c r="B396" i="3"/>
  <c r="B233" i="3"/>
  <c r="B234" i="3" s="1"/>
  <c r="B399" i="3" s="1"/>
  <c r="B231" i="3"/>
  <c r="B397" i="3" s="1"/>
  <c r="AR231" i="3"/>
  <c r="H397" i="3" s="1"/>
  <c r="H396" i="3"/>
  <c r="AR233" i="3"/>
  <c r="AR234" i="3" s="1"/>
  <c r="H399" i="3" s="1"/>
  <c r="AR232" i="3"/>
  <c r="H398" i="3" s="1"/>
  <c r="P245" i="3"/>
  <c r="P246" i="3" s="1"/>
  <c r="B426" i="3"/>
  <c r="B462" i="3"/>
  <c r="G57" i="1" s="1"/>
  <c r="AK245" i="3"/>
  <c r="AK246" i="3" s="1"/>
  <c r="AR245" i="3"/>
  <c r="AR246" i="3" s="1"/>
  <c r="I62" i="1"/>
  <c r="C134" i="2"/>
  <c r="C127" i="2"/>
  <c r="E127" i="2" s="1"/>
  <c r="B162" i="2" s="1"/>
  <c r="C164" i="2" s="1"/>
  <c r="B164" i="2" s="1"/>
  <c r="B16" i="6" s="1"/>
  <c r="I55" i="1"/>
  <c r="P233" i="3" l="1"/>
  <c r="P234" i="3" s="1"/>
  <c r="D399" i="3" s="1"/>
  <c r="E396" i="3"/>
  <c r="E432" i="3" s="1"/>
  <c r="B403" i="3"/>
  <c r="B337" i="3"/>
  <c r="B405" i="3" s="1"/>
  <c r="B476" i="3" s="1"/>
  <c r="W233" i="3"/>
  <c r="W234" i="3" s="1"/>
  <c r="E399" i="3" s="1"/>
  <c r="E470" i="3" s="1"/>
  <c r="J65" i="1" s="1"/>
  <c r="W232" i="3"/>
  <c r="E398" i="3" s="1"/>
  <c r="E471" i="3" s="1"/>
  <c r="J66" i="1" s="1"/>
  <c r="P231" i="3"/>
  <c r="D397" i="3" s="1"/>
  <c r="D433" i="3" s="1"/>
  <c r="P232" i="3"/>
  <c r="D398" i="3" s="1"/>
  <c r="D434" i="3" s="1"/>
  <c r="AK232" i="3"/>
  <c r="G398" i="3" s="1"/>
  <c r="G434" i="3" s="1"/>
  <c r="G396" i="3"/>
  <c r="G432" i="3" s="1"/>
  <c r="AK233" i="3"/>
  <c r="AK234" i="3" s="1"/>
  <c r="G399" i="3" s="1"/>
  <c r="G470" i="3" s="1"/>
  <c r="L65" i="1" s="1"/>
  <c r="I287" i="3"/>
  <c r="C407" i="3" s="1"/>
  <c r="C478" i="3" s="1"/>
  <c r="B288" i="3"/>
  <c r="B408" i="3" s="1"/>
  <c r="B479" i="3" s="1"/>
  <c r="W287" i="3"/>
  <c r="E407" i="3" s="1"/>
  <c r="E478" i="3" s="1"/>
  <c r="AY288" i="3"/>
  <c r="I408" i="3" s="1"/>
  <c r="I479" i="3" s="1"/>
  <c r="D435" i="3"/>
  <c r="D470" i="3"/>
  <c r="C176" i="2"/>
  <c r="B176" i="2" s="1"/>
  <c r="B32" i="6" s="1"/>
  <c r="E134" i="2"/>
  <c r="P287" i="3"/>
  <c r="D407" i="3" s="1"/>
  <c r="D478" i="3" s="1"/>
  <c r="C145" i="2" s="1"/>
  <c r="D145" i="2" s="1"/>
  <c r="P288" i="3"/>
  <c r="D408" i="3" s="1"/>
  <c r="D479" i="3" s="1"/>
  <c r="C146" i="2" s="1"/>
  <c r="D146" i="2" s="1"/>
  <c r="B471" i="3"/>
  <c r="G66" i="1" s="1"/>
  <c r="B434" i="3"/>
  <c r="D432" i="3"/>
  <c r="D468" i="3"/>
  <c r="I231" i="3"/>
  <c r="C397" i="3" s="1"/>
  <c r="C396" i="3"/>
  <c r="I232" i="3"/>
  <c r="C398" i="3" s="1"/>
  <c r="I233" i="3"/>
  <c r="I234" i="3" s="1"/>
  <c r="C399" i="3" s="1"/>
  <c r="H434" i="3"/>
  <c r="H471" i="3"/>
  <c r="AY232" i="3"/>
  <c r="I398" i="3" s="1"/>
  <c r="AY233" i="3"/>
  <c r="AY234" i="3" s="1"/>
  <c r="I399" i="3" s="1"/>
  <c r="AY231" i="3"/>
  <c r="I397" i="3" s="1"/>
  <c r="I396" i="3"/>
  <c r="B432" i="3"/>
  <c r="B468" i="3"/>
  <c r="G63" i="1" s="1"/>
  <c r="H435" i="3"/>
  <c r="H470" i="3"/>
  <c r="AK287" i="3"/>
  <c r="G407" i="3" s="1"/>
  <c r="G478" i="3" s="1"/>
  <c r="AK288" i="3"/>
  <c r="G408" i="3" s="1"/>
  <c r="G479" i="3" s="1"/>
  <c r="H432" i="3"/>
  <c r="H468" i="3"/>
  <c r="AD287" i="3"/>
  <c r="F407" i="3" s="1"/>
  <c r="F478" i="3" s="1"/>
  <c r="AD288" i="3"/>
  <c r="F408" i="3" s="1"/>
  <c r="F479" i="3" s="1"/>
  <c r="H433" i="3"/>
  <c r="H469" i="3"/>
  <c r="F470" i="3"/>
  <c r="K65" i="1" s="1"/>
  <c r="F435" i="3"/>
  <c r="B474" i="3"/>
  <c r="B439" i="3"/>
  <c r="E468" i="3"/>
  <c r="J63" i="1" s="1"/>
  <c r="F434" i="3"/>
  <c r="F471" i="3"/>
  <c r="K66" i="1" s="1"/>
  <c r="E433" i="3"/>
  <c r="E469" i="3"/>
  <c r="J64" i="1" s="1"/>
  <c r="B433" i="3"/>
  <c r="B469" i="3"/>
  <c r="G64" i="1" s="1"/>
  <c r="F432" i="3"/>
  <c r="F468" i="3"/>
  <c r="K63" i="1" s="1"/>
  <c r="B440" i="3"/>
  <c r="B475" i="3"/>
  <c r="AR288" i="3"/>
  <c r="H408" i="3" s="1"/>
  <c r="H479" i="3" s="1"/>
  <c r="AR287" i="3"/>
  <c r="H407" i="3" s="1"/>
  <c r="H478" i="3" s="1"/>
  <c r="B435" i="3"/>
  <c r="B470" i="3"/>
  <c r="G65" i="1" s="1"/>
  <c r="F469" i="3"/>
  <c r="K64" i="1" s="1"/>
  <c r="F433" i="3"/>
  <c r="G469" i="3"/>
  <c r="L64" i="1" s="1"/>
  <c r="G433" i="3"/>
  <c r="E435" i="3" l="1"/>
  <c r="E434" i="3"/>
  <c r="B441" i="3"/>
  <c r="D471" i="3"/>
  <c r="I66" i="1" s="1"/>
  <c r="G468" i="3"/>
  <c r="L63" i="1" s="1"/>
  <c r="D469" i="3"/>
  <c r="I64" i="1" s="1"/>
  <c r="G471" i="3"/>
  <c r="L66" i="1" s="1"/>
  <c r="G435" i="3"/>
  <c r="C175" i="2"/>
  <c r="B175" i="2" s="1"/>
  <c r="B31" i="6" s="1"/>
  <c r="C138" i="2"/>
  <c r="C179" i="2" s="1"/>
  <c r="B179" i="2" s="1"/>
  <c r="B35" i="6" s="1"/>
  <c r="C470" i="3"/>
  <c r="H65" i="1" s="1"/>
  <c r="C435" i="3"/>
  <c r="I468" i="3"/>
  <c r="I432" i="3"/>
  <c r="I469" i="3"/>
  <c r="I433" i="3"/>
  <c r="C136" i="2"/>
  <c r="C178" i="2" s="1"/>
  <c r="B178" i="2" s="1"/>
  <c r="B34" i="6" s="1"/>
  <c r="C433" i="3"/>
  <c r="C469" i="3"/>
  <c r="H64" i="1" s="1"/>
  <c r="I435" i="3"/>
  <c r="I470" i="3"/>
  <c r="C135" i="2"/>
  <c r="C177" i="2" s="1"/>
  <c r="B177" i="2" s="1"/>
  <c r="B33" i="6" s="1"/>
  <c r="I63" i="1"/>
  <c r="C137" i="2"/>
  <c r="C180" i="2" s="1"/>
  <c r="B180" i="2" s="1"/>
  <c r="B36" i="6" s="1"/>
  <c r="I65" i="1"/>
  <c r="C471" i="3"/>
  <c r="H66" i="1" s="1"/>
  <c r="C434" i="3"/>
  <c r="C468" i="3"/>
  <c r="H63" i="1" s="1"/>
  <c r="C432" i="3"/>
  <c r="I434" i="3"/>
  <c r="I471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<sst xmlns="http://schemas.openxmlformats.org/spreadsheetml/2006/main" count="2443" uniqueCount="889">
  <si>
    <t>Inputs</t>
  </si>
  <si>
    <t>Airflow Rate</t>
  </si>
  <si>
    <t>VAV</t>
  </si>
  <si>
    <t>ΔT (cooling)</t>
  </si>
  <si>
    <t>Room Height</t>
  </si>
  <si>
    <t>L/s/m</t>
  </si>
  <si>
    <t>Pa</t>
  </si>
  <si>
    <t>Air Pattern</t>
  </si>
  <si>
    <t>Specific Airflow Rate (heating)</t>
  </si>
  <si>
    <t>ADPI</t>
  </si>
  <si>
    <t>Input Values</t>
  </si>
  <si>
    <t>Max Total Pressure</t>
  </si>
  <si>
    <t>dT(cooling)</t>
  </si>
  <si>
    <t>V_turndown</t>
  </si>
  <si>
    <t>v_td=fr*vav</t>
  </si>
  <si>
    <t>1 Slot</t>
  </si>
  <si>
    <t>Length Ratio</t>
  </si>
  <si>
    <t>data.Flowrate</t>
  </si>
  <si>
    <t>data.Pressure</t>
  </si>
  <si>
    <t>Flowrate @MaxP</t>
  </si>
  <si>
    <t>V_min</t>
  </si>
  <si>
    <t>Min % TD to</t>
  </si>
  <si>
    <t>SWL</t>
  </si>
  <si>
    <t>SPL</t>
  </si>
  <si>
    <t>SWL-15</t>
  </si>
  <si>
    <t>Hmin 1WAY</t>
  </si>
  <si>
    <t>Hmin 2WAY</t>
  </si>
  <si>
    <t>Hmin</t>
  </si>
  <si>
    <t>Cmax</t>
  </si>
  <si>
    <t>heatingX</t>
  </si>
  <si>
    <t>heatingSlope</t>
  </si>
  <si>
    <t>heatingY</t>
  </si>
  <si>
    <t>heating_dT(10K)</t>
  </si>
  <si>
    <t>heating @ dT</t>
  </si>
  <si>
    <t>Cmin</t>
  </si>
  <si>
    <t>Closed Ceiling</t>
  </si>
  <si>
    <t>Max Recommended Airflow (L/s)</t>
  </si>
  <si>
    <t>Min % Turndown to</t>
  </si>
  <si>
    <t>Min Permissible % Turndown to</t>
  </si>
  <si>
    <t>Max Total Pressure (Pa)</t>
  </si>
  <si>
    <t>Sound Power Level (dBA)</t>
  </si>
  <si>
    <t>Sound Pressure Level (NC)</t>
  </si>
  <si>
    <t>Min Diffuser Height (m)</t>
  </si>
  <si>
    <t>Min C/L Distance (m)</t>
  </si>
  <si>
    <t>Max Airflow (L/s/m)</t>
  </si>
  <si>
    <t>Min Airflow (L/s/m)</t>
  </si>
  <si>
    <t>Slots</t>
  </si>
  <si>
    <r>
      <t xml:space="preserve">Max Permissible </t>
    </r>
    <r>
      <rPr>
        <b/>
        <sz val="11"/>
        <color theme="1"/>
        <rFont val="Calibri"/>
        <family val="2"/>
      </rPr>
      <t>ΔT</t>
    </r>
    <r>
      <rPr>
        <b/>
        <sz val="11"/>
        <color theme="1"/>
        <rFont val="Calibri"/>
        <family val="2"/>
        <scheme val="minor"/>
      </rPr>
      <t xml:space="preserve"> (heating) (K)</t>
    </r>
  </si>
  <si>
    <t>2Slot</t>
  </si>
  <si>
    <t>3Slot</t>
  </si>
  <si>
    <t>1Slot</t>
  </si>
  <si>
    <t>4Slot</t>
  </si>
  <si>
    <t>5Slot</t>
  </si>
  <si>
    <t>6Slot</t>
  </si>
  <si>
    <t>2 Slots</t>
  </si>
  <si>
    <t>3 Slots</t>
  </si>
  <si>
    <t>4 Slots</t>
  </si>
  <si>
    <t>5 Slots</t>
  </si>
  <si>
    <t>6 Slots</t>
  </si>
  <si>
    <t>1-Way</t>
  </si>
  <si>
    <t>2-Way</t>
  </si>
  <si>
    <t>Ceiling</t>
  </si>
  <si>
    <t>Diffuser Location</t>
  </si>
  <si>
    <t>Ceiling Type</t>
  </si>
  <si>
    <t>%</t>
  </si>
  <si>
    <t>LRA</t>
  </si>
  <si>
    <t>Freely Suspended</t>
  </si>
  <si>
    <t>Ceiling Type Heating</t>
  </si>
  <si>
    <t>Ceiling Type Hmin</t>
  </si>
  <si>
    <t>Min Permissible Airflow</t>
  </si>
  <si>
    <r>
      <t xml:space="preserve">ADPI </t>
    </r>
    <r>
      <rPr>
        <b/>
        <sz val="11"/>
        <color theme="1" tint="0.499984740745262"/>
        <rFont val="Calibri"/>
        <family val="2"/>
      </rPr>
      <t>≥</t>
    </r>
  </si>
  <si>
    <t>Thermal Comfort Guide</t>
  </si>
  <si>
    <r>
      <t xml:space="preserve">ADPI </t>
    </r>
    <r>
      <rPr>
        <sz val="9"/>
        <color theme="1" tint="0.499984740745262"/>
        <rFont val="Calibri"/>
        <family val="2"/>
      </rPr>
      <t xml:space="preserve">≥ </t>
    </r>
    <r>
      <rPr>
        <b/>
        <sz val="9"/>
        <color theme="1" tint="0.499984740745262"/>
        <rFont val="Calibri"/>
        <family val="2"/>
      </rPr>
      <t>95%</t>
    </r>
    <r>
      <rPr>
        <sz val="9"/>
        <color theme="1" tint="0.499984740745262"/>
        <rFont val="Calibri"/>
        <family val="2"/>
      </rPr>
      <t xml:space="preserve">; ṽ ≤ </t>
    </r>
    <r>
      <rPr>
        <b/>
        <sz val="9"/>
        <color theme="1" tint="0.499984740745262"/>
        <rFont val="Calibri"/>
        <family val="2"/>
      </rPr>
      <t>0.20</t>
    </r>
    <r>
      <rPr>
        <sz val="9"/>
        <color theme="1" tint="0.499984740745262"/>
        <rFont val="Calibri"/>
        <family val="2"/>
      </rPr>
      <t xml:space="preserve"> m/s:</t>
    </r>
  </si>
  <si>
    <t>Premium comfort, sedentary activity, such as in auditoria.</t>
  </si>
  <si>
    <r>
      <t xml:space="preserve">ADPI </t>
    </r>
    <r>
      <rPr>
        <sz val="9"/>
        <color theme="1" tint="0.499984740745262"/>
        <rFont val="Calibri"/>
        <family val="2"/>
      </rPr>
      <t xml:space="preserve">≥ </t>
    </r>
    <r>
      <rPr>
        <b/>
        <sz val="9"/>
        <color theme="1" tint="0.499984740745262"/>
        <rFont val="Calibri"/>
        <family val="2"/>
      </rPr>
      <t>90%</t>
    </r>
    <r>
      <rPr>
        <sz val="9"/>
        <color theme="1" tint="0.499984740745262"/>
        <rFont val="Calibri"/>
        <family val="2"/>
      </rPr>
      <t xml:space="preserve">; ṽ ≤ </t>
    </r>
    <r>
      <rPr>
        <b/>
        <sz val="9"/>
        <color theme="1" tint="0.499984740745262"/>
        <rFont val="Calibri"/>
        <family val="2"/>
      </rPr>
      <t>0.25</t>
    </r>
    <r>
      <rPr>
        <sz val="9"/>
        <color theme="1" tint="0.499984740745262"/>
        <rFont val="Calibri"/>
        <family val="2"/>
      </rPr>
      <t xml:space="preserve"> m/s:</t>
    </r>
  </si>
  <si>
    <t>High comfort near-sedentary activity, such as in board rooms, high end offices and libraries.</t>
  </si>
  <si>
    <r>
      <t xml:space="preserve">ADPI </t>
    </r>
    <r>
      <rPr>
        <sz val="9"/>
        <color theme="1" tint="0.499984740745262"/>
        <rFont val="Calibri"/>
        <family val="2"/>
      </rPr>
      <t xml:space="preserve">≥ </t>
    </r>
    <r>
      <rPr>
        <b/>
        <sz val="9"/>
        <color theme="1" tint="0.499984740745262"/>
        <rFont val="Calibri"/>
        <family val="2"/>
      </rPr>
      <t>80%</t>
    </r>
    <r>
      <rPr>
        <sz val="9"/>
        <color theme="1" tint="0.499984740745262"/>
        <rFont val="Calibri"/>
        <family val="2"/>
      </rPr>
      <t xml:space="preserve">; ṽ ≤ </t>
    </r>
    <r>
      <rPr>
        <b/>
        <sz val="9"/>
        <color theme="1" tint="0.499984740745262"/>
        <rFont val="Calibri"/>
        <family val="2"/>
      </rPr>
      <t>0.29</t>
    </r>
    <r>
      <rPr>
        <sz val="9"/>
        <color theme="1" tint="0.499984740745262"/>
        <rFont val="Calibri"/>
        <family val="2"/>
      </rPr>
      <t xml:space="preserve"> m/s:</t>
    </r>
  </si>
  <si>
    <t>Good comfort near sedentary activity, such as open-plan offices and meeting rooms.</t>
  </si>
  <si>
    <r>
      <t xml:space="preserve">ADPI </t>
    </r>
    <r>
      <rPr>
        <sz val="9"/>
        <color theme="1" tint="0.499984740745262"/>
        <rFont val="Calibri"/>
        <family val="2"/>
      </rPr>
      <t xml:space="preserve">≥ </t>
    </r>
    <r>
      <rPr>
        <b/>
        <sz val="9"/>
        <color theme="1" tint="0.499984740745262"/>
        <rFont val="Calibri"/>
        <family val="2"/>
      </rPr>
      <t>70%</t>
    </r>
    <r>
      <rPr>
        <sz val="9"/>
        <color theme="1" tint="0.499984740745262"/>
        <rFont val="Calibri"/>
        <family val="2"/>
      </rPr>
      <t xml:space="preserve">; ṽ ≤ </t>
    </r>
    <r>
      <rPr>
        <b/>
        <sz val="9"/>
        <color theme="1" tint="0.499984740745262"/>
        <rFont val="Calibri"/>
        <family val="2"/>
      </rPr>
      <t>0.33</t>
    </r>
    <r>
      <rPr>
        <sz val="9"/>
        <color theme="1" tint="0.499984740745262"/>
        <rFont val="Calibri"/>
        <family val="2"/>
      </rPr>
      <t xml:space="preserve"> m/s:</t>
    </r>
  </si>
  <si>
    <t>Standard comfort medium activity, such as in transient spaces, retail and lobbies.</t>
  </si>
  <si>
    <t>Results</t>
  </si>
  <si>
    <t>0% to 100% (default 0%)</t>
  </si>
  <si>
    <t>VAV (turndown to)</t>
  </si>
  <si>
    <r>
      <t xml:space="preserve">SMARTEMP </t>
    </r>
    <r>
      <rPr>
        <sz val="14"/>
        <color rgb="FFFF9900"/>
        <rFont val="Calibri"/>
        <family val="2"/>
        <scheme val="minor"/>
      </rPr>
      <t>PRODUCT SELECTION CALCULATOR</t>
    </r>
  </si>
  <si>
    <t xml:space="preserve">Key: </t>
  </si>
  <si>
    <t>Suitable</t>
  </si>
  <si>
    <t>Not Suitable</t>
  </si>
  <si>
    <t>Max Permissible Pressure (Pa)</t>
  </si>
  <si>
    <t>click here to see product on smartair.asia</t>
  </si>
  <si>
    <t>Air Pattern Setting</t>
  </si>
  <si>
    <t>Warning</t>
  </si>
  <si>
    <t>C</t>
  </si>
  <si>
    <t>C/2</t>
  </si>
  <si>
    <t>C/4</t>
  </si>
  <si>
    <t>C/8</t>
  </si>
  <si>
    <t>where:</t>
  </si>
  <si>
    <r>
      <t>L</t>
    </r>
    <r>
      <rPr>
        <vertAlign val="subscript"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 = </t>
    </r>
    <r>
      <rPr>
        <sz val="12"/>
        <color theme="1"/>
        <rFont val="Calibri"/>
        <family val="2"/>
      </rPr>
      <t>∑ L</t>
    </r>
    <r>
      <rPr>
        <vertAlign val="subscript"/>
        <sz val="12"/>
        <color theme="1"/>
        <rFont val="Calibri"/>
        <family val="2"/>
      </rPr>
      <t>A,i</t>
    </r>
  </si>
  <si>
    <r>
      <t>Active Length Ratio = L</t>
    </r>
    <r>
      <rPr>
        <b/>
        <vertAlign val="subscript"/>
        <sz val="12"/>
        <color theme="1"/>
        <rFont val="Calibri"/>
        <family val="2"/>
        <scheme val="minor"/>
      </rPr>
      <t xml:space="preserve">A </t>
    </r>
    <r>
      <rPr>
        <b/>
        <sz val="12"/>
        <color theme="1"/>
        <rFont val="Calibri"/>
        <family val="2"/>
        <scheme val="minor"/>
      </rPr>
      <t>/ L</t>
    </r>
  </si>
  <si>
    <t>A</t>
  </si>
  <si>
    <t>B</t>
  </si>
  <si>
    <t>*</t>
  </si>
  <si>
    <t>Sound</t>
  </si>
  <si>
    <t>Diffuser Height</t>
  </si>
  <si>
    <r>
      <t>L</t>
    </r>
    <r>
      <rPr>
        <vertAlign val="subscript"/>
        <sz val="12"/>
        <color theme="1"/>
        <rFont val="Calibri"/>
        <family val="2"/>
        <scheme val="minor"/>
      </rPr>
      <t>A</t>
    </r>
    <r>
      <rPr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</rPr>
      <t>≥</t>
    </r>
    <r>
      <rPr>
        <sz val="12"/>
        <color theme="1"/>
        <rFont val="Calibri"/>
        <family val="2"/>
        <scheme val="minor"/>
      </rPr>
      <t xml:space="preserve"> 0.1 </t>
    </r>
    <r>
      <rPr>
        <sz val="12"/>
        <color theme="1"/>
        <rFont val="Calibri"/>
        <family val="2"/>
      </rPr>
      <t>∙ L</t>
    </r>
  </si>
  <si>
    <t xml:space="preserve"> and</t>
  </si>
  <si>
    <t>Sound Pressure Level (NC/m) based on 10 dB room absorption</t>
  </si>
  <si>
    <t>ALL DIMENSIONS IN m</t>
  </si>
  <si>
    <t>Notes</t>
  </si>
  <si>
    <t>Total pressure is inclusive of side-entry connection box pressure loss.</t>
  </si>
  <si>
    <r>
      <t xml:space="preserve">Centreline distance is the spacing between two 2-way blow diffuser rows. Halve this value for throw to walls or maximum throw of a 1-way diffuser. Refer to </t>
    </r>
    <r>
      <rPr>
        <u/>
        <sz val="12"/>
        <color theme="1"/>
        <rFont val="Calibri"/>
        <family val="2"/>
        <scheme val="minor"/>
      </rPr>
      <t>Diffuser Location</t>
    </r>
    <r>
      <rPr>
        <sz val="12"/>
        <color theme="1"/>
        <rFont val="Calibri"/>
        <family val="2"/>
        <scheme val="minor"/>
      </rPr>
      <t xml:space="preserve"> notes below.</t>
    </r>
  </si>
  <si>
    <t>Select desired comfort level (ADPI setting) to determine minimum and maximum spacing or throw (centreline distances) and minimum discharge height.</t>
  </si>
  <si>
    <t>Sound pressure level [NC] is valid in a standard commercial office with a 2.7 m to 3 m ceiling.</t>
  </si>
  <si>
    <t>Linear Multistream Ceiling Diffuser  [LMC-AD] Notes</t>
  </si>
  <si>
    <t>Naming</t>
  </si>
  <si>
    <t>nominal length</t>
  </si>
  <si>
    <t>nslots</t>
  </si>
  <si>
    <t>profile type</t>
  </si>
  <si>
    <t>diffuserends</t>
  </si>
  <si>
    <t>fixing</t>
  </si>
  <si>
    <t>profile colour</t>
  </si>
  <si>
    <t>barrelcolour</t>
  </si>
  <si>
    <t>airpattern num</t>
  </si>
  <si>
    <t>Length</t>
  </si>
  <si>
    <t>Barrel Colour</t>
  </si>
  <si>
    <t>* indicates standard/default option</t>
  </si>
  <si>
    <t>Select model to create product code</t>
  </si>
  <si>
    <t>Colour</t>
  </si>
  <si>
    <t>Barrel</t>
  </si>
  <si>
    <t>flangeless</t>
  </si>
  <si>
    <t>with side flanges*</t>
  </si>
  <si>
    <t>Local Velocity</t>
  </si>
  <si>
    <t>Draft Rating</t>
  </si>
  <si>
    <t>RAL9003* (signal white)</t>
  </si>
  <si>
    <t>RAL9005 (jet black)</t>
  </si>
  <si>
    <t>white</t>
  </si>
  <si>
    <t>black*</t>
  </si>
  <si>
    <t>Profile Colour</t>
  </si>
  <si>
    <t>2 slots</t>
  </si>
  <si>
    <t>1 slot</t>
  </si>
  <si>
    <t>3 slots</t>
  </si>
  <si>
    <t>4 slots</t>
  </si>
  <si>
    <t>5 slots</t>
  </si>
  <si>
    <t>6 slots</t>
  </si>
  <si>
    <t>Product Code</t>
  </si>
  <si>
    <t>Bespoke dimensions</t>
  </si>
  <si>
    <t>Dimensions</t>
  </si>
  <si>
    <r>
      <t>Refer to Fig. 1, Fig. 2 for description of lengths 'L' and 'L</t>
    </r>
    <r>
      <rPr>
        <i/>
        <vertAlign val="subscript"/>
        <sz val="12"/>
        <color theme="1"/>
        <rFont val="Calibri"/>
        <family val="2"/>
        <scheme val="minor"/>
      </rPr>
      <t>A</t>
    </r>
    <r>
      <rPr>
        <i/>
        <sz val="12"/>
        <color theme="1"/>
        <rFont val="Calibri"/>
        <family val="2"/>
        <scheme val="minor"/>
      </rPr>
      <t xml:space="preserve">' </t>
    </r>
  </si>
  <si>
    <r>
      <t>L/s/m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</si>
  <si>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2 to 10 L/s/m</t>
    </r>
    <r>
      <rPr>
        <vertAlign val="superscript"/>
        <sz val="11"/>
        <color theme="0"/>
        <rFont val="Calibri"/>
        <family val="2"/>
        <scheme val="minor"/>
      </rPr>
      <t>2</t>
    </r>
    <r>
      <rPr>
        <sz val="11"/>
        <color theme="0"/>
        <rFont val="Calibri"/>
        <family val="2"/>
        <scheme val="minor"/>
      </rPr>
      <t xml:space="preserve"> (default 5 L/s/m</t>
    </r>
    <r>
      <rPr>
        <vertAlign val="superscript"/>
        <sz val="11"/>
        <color theme="0"/>
        <rFont val="Calibri"/>
        <family val="2"/>
        <scheme val="minor"/>
      </rPr>
      <t>2</t>
    </r>
    <r>
      <rPr>
        <sz val="11"/>
        <color theme="0"/>
        <rFont val="Calibri"/>
        <family val="2"/>
        <scheme val="minor"/>
      </rPr>
      <t>)</t>
    </r>
  </si>
  <si>
    <t>m</t>
  </si>
  <si>
    <t>Draught Rating</t>
  </si>
  <si>
    <t>Manual C distance</t>
  </si>
  <si>
    <t>Q''</t>
  </si>
  <si>
    <t>W/m2</t>
  </si>
  <si>
    <t>m/s</t>
  </si>
  <si>
    <t>Area</t>
  </si>
  <si>
    <t>m2</t>
  </si>
  <si>
    <t>L/s/m2</t>
  </si>
  <si>
    <t>PPD</t>
  </si>
  <si>
    <r>
      <t xml:space="preserve">default </t>
    </r>
    <r>
      <rPr>
        <sz val="11"/>
        <color theme="0" tint="-0.499984740745262"/>
        <rFont val="Calibri"/>
        <family val="2"/>
      </rPr>
      <t>≥ 90%</t>
    </r>
  </si>
  <si>
    <t>OR</t>
  </si>
  <si>
    <t>distance input type</t>
  </si>
  <si>
    <t>Diffuser Distance</t>
  </si>
  <si>
    <t>Specific Airflow Rate</t>
  </si>
  <si>
    <t>Specific airflow</t>
  </si>
  <si>
    <t>PPD Class</t>
  </si>
  <si>
    <t>Mean Draught Rating (DR)</t>
  </si>
  <si>
    <t>Mean PPD</t>
  </si>
  <si>
    <t>Mean Room Air V</t>
  </si>
  <si>
    <t>Air Direction Setting</t>
  </si>
  <si>
    <t>Pre-Results</t>
  </si>
  <si>
    <t xml:space="preserve">Results </t>
  </si>
  <si>
    <t>Units</t>
  </si>
  <si>
    <t>Units Multiplier</t>
  </si>
  <si>
    <t>&lt;Project Name&gt;</t>
  </si>
  <si>
    <t>Project</t>
  </si>
  <si>
    <t>Consultant</t>
  </si>
  <si>
    <t>Product</t>
  </si>
  <si>
    <t>Size</t>
  </si>
  <si>
    <t>Acoustic Performance</t>
  </si>
  <si>
    <t>Satisfies PPD (ISO7730)</t>
  </si>
  <si>
    <t>Sound Power Level</t>
  </si>
  <si>
    <t>Summary</t>
  </si>
  <si>
    <t xml:space="preserve">Size </t>
  </si>
  <si>
    <t>Air pattern</t>
  </si>
  <si>
    <t>Location</t>
  </si>
  <si>
    <t>Diagram</t>
  </si>
  <si>
    <t>^ contact Smartair Diffusion for custom lengths and colours</t>
  </si>
  <si>
    <t>Project:</t>
  </si>
  <si>
    <t>&lt;Name&gt;</t>
  </si>
  <si>
    <t>Description</t>
  </si>
  <si>
    <t>Air Direction Settings</t>
  </si>
  <si>
    <t xml:space="preserve">Selected Airflow </t>
  </si>
  <si>
    <t>^ based on 10dB room absorption</t>
  </si>
  <si>
    <t>Product Selection &amp; Code Generator</t>
  </si>
  <si>
    <t>N1200</t>
  </si>
  <si>
    <t>Nominal Length</t>
  </si>
  <si>
    <t>Side Profile</t>
  </si>
  <si>
    <t>Neck</t>
  </si>
  <si>
    <t>e.g.</t>
  </si>
  <si>
    <t xml:space="preserve">Active Length Ratio </t>
  </si>
  <si>
    <t>= 0.5</t>
  </si>
  <si>
    <t>= (1.2+1.2)/4.8</t>
  </si>
  <si>
    <t>Ax</t>
  </si>
  <si>
    <t>^b</t>
  </si>
  <si>
    <t>mm</t>
  </si>
  <si>
    <t>Width Flangeless Face (Wn)</t>
  </si>
  <si>
    <t xml:space="preserve">Width Flanged Face (Wf) </t>
  </si>
  <si>
    <t>Width of Diffuser Throat (Wt)</t>
  </si>
  <si>
    <t>Recommended Spigot Dimension D * per 1 m length</t>
  </si>
  <si>
    <t>Recommended Spigot Dimension D * per 1.5 m length</t>
  </si>
  <si>
    <t>D</t>
  </si>
  <si>
    <r>
      <t>0</t>
    </r>
    <r>
      <rPr>
        <sz val="11"/>
        <color theme="1"/>
        <rFont val="Calibri"/>
        <family val="2"/>
      </rPr>
      <t>⁰ to -15⁰ discharge to the horizontal</t>
    </r>
  </si>
  <si>
    <r>
      <t>0</t>
    </r>
    <r>
      <rPr>
        <sz val="11"/>
        <color theme="1"/>
        <rFont val="Calibri"/>
        <family val="2"/>
      </rPr>
      <t>⁰ to -30⁰ discharge to the horizontal</t>
    </r>
  </si>
  <si>
    <t>≈ -45⁰ discharge to the horizontal</t>
  </si>
  <si>
    <t>≈ -60⁰ discharge to the horizontal</t>
  </si>
  <si>
    <t>Height</t>
  </si>
  <si>
    <t>Slope</t>
  </si>
  <si>
    <t>E</t>
  </si>
  <si>
    <t>PMV</t>
  </si>
  <si>
    <t>|PMV|</t>
  </si>
  <si>
    <t>Satisfies PPD Category (ISO7730)</t>
  </si>
  <si>
    <t>H</t>
  </si>
  <si>
    <t>ax</t>
  </si>
  <si>
    <t>Target Q''</t>
  </si>
  <si>
    <t>Vmax</t>
  </si>
  <si>
    <t>Vmin</t>
  </si>
  <si>
    <t>for Vmax</t>
  </si>
  <si>
    <t>for Vmin</t>
  </si>
  <si>
    <t>at V (L/s/m^2)</t>
  </si>
  <si>
    <t>Cmax room height</t>
  </si>
  <si>
    <t>Cmin Ceiling Factor</t>
  </si>
  <si>
    <t>Cmax Ceiling Factor</t>
  </si>
  <si>
    <t>Diffuser Airflow for Neck Length</t>
  </si>
  <si>
    <t>Hfactor @ Vmax</t>
  </si>
  <si>
    <t>Hfactor @ Vmin</t>
  </si>
  <si>
    <t>at Vmax</t>
  </si>
  <si>
    <t>at Vmin</t>
  </si>
  <si>
    <t>v' @ V</t>
  </si>
  <si>
    <t>h factor @ V</t>
  </si>
  <si>
    <t>at adpi</t>
  </si>
  <si>
    <t>Distance Selection</t>
  </si>
  <si>
    <t>v' for Vmax</t>
  </si>
  <si>
    <t>v' for Vmin</t>
  </si>
  <si>
    <t>Heating</t>
  </si>
  <si>
    <t>Air Pattern Settings</t>
  </si>
  <si>
    <t>2 WAY</t>
  </si>
  <si>
    <t>1 WAY</t>
  </si>
  <si>
    <t>AB</t>
  </si>
  <si>
    <t>BC</t>
  </si>
  <si>
    <t>v'' + correction factor</t>
  </si>
  <si>
    <t>Cmax Min of above</t>
  </si>
  <si>
    <t>final selection</t>
  </si>
  <si>
    <t>Comfort</t>
  </si>
  <si>
    <t>global avg dist</t>
  </si>
  <si>
    <t>diffuser dist from spec. afr</t>
  </si>
  <si>
    <t>diffuser dist selected</t>
  </si>
  <si>
    <t>Global Distance</t>
  </si>
  <si>
    <t>L/s/m3</t>
  </si>
  <si>
    <t>L/s/m4</t>
  </si>
  <si>
    <t>L/s/m5</t>
  </si>
  <si>
    <t>L/s/m6</t>
  </si>
  <si>
    <t>L/s/m7</t>
  </si>
  <si>
    <t>Shading</t>
  </si>
  <si>
    <t>max flow</t>
  </si>
  <si>
    <t>min flow</t>
  </si>
  <si>
    <t>True = Shade</t>
  </si>
  <si>
    <t>Shade</t>
  </si>
  <si>
    <t>Accept</t>
  </si>
  <si>
    <t>Accept cmax</t>
  </si>
  <si>
    <t>accept cmin</t>
  </si>
  <si>
    <t>Average</t>
  </si>
  <si>
    <t>velocity adjustment</t>
  </si>
  <si>
    <t>v'' correction factor</t>
  </si>
  <si>
    <t>v'' (adjusted)</t>
  </si>
  <si>
    <t>Q'' (adjusted)</t>
  </si>
  <si>
    <t>For Room Height</t>
  </si>
  <si>
    <t>Velocity</t>
  </si>
  <si>
    <t>W/m3</t>
  </si>
  <si>
    <t>W/m4</t>
  </si>
  <si>
    <t>W/m5</t>
  </si>
  <si>
    <t>W/m6</t>
  </si>
  <si>
    <t>W/m7</t>
  </si>
  <si>
    <t>7Slot</t>
  </si>
  <si>
    <t>8Slot</t>
  </si>
  <si>
    <t>no air density for max to mean velocity</t>
  </si>
  <si>
    <t>data.Static Pressure</t>
  </si>
  <si>
    <t>Static Pressure @ Flowrate</t>
  </si>
  <si>
    <t>Spigot size</t>
  </si>
  <si>
    <t>Total Pressure @Flowrate</t>
  </si>
  <si>
    <t>Spigot Area</t>
  </si>
  <si>
    <t>Spigot Velocity</t>
  </si>
  <si>
    <t>Airflow Rate (TD)</t>
  </si>
  <si>
    <t>Max Static Pressure (Pa)</t>
  </si>
  <si>
    <t>Spigot Size</t>
  </si>
  <si>
    <t>ASNZ Sizes (DN150; DN200; DN250; DN300; DN350)</t>
  </si>
  <si>
    <t>DIN Sizes (DN160; DN200; DN250; DN315; DN355)</t>
  </si>
  <si>
    <t>AU/NZ</t>
  </si>
  <si>
    <t>DIN</t>
  </si>
  <si>
    <t>v</t>
  </si>
  <si>
    <t>Spigot Selection</t>
  </si>
  <si>
    <t>Nominal Spigot Size</t>
  </si>
  <si>
    <t>Final Distance Selections</t>
  </si>
  <si>
    <t>Selected Dist</t>
  </si>
  <si>
    <t>Sound Pressure Level ^</t>
  </si>
  <si>
    <t>Airflow @ Max Static Pressure[L/s/m]</t>
  </si>
  <si>
    <t>Airflow</t>
  </si>
  <si>
    <t>Text</t>
  </si>
  <si>
    <t>Min airflow</t>
  </si>
  <si>
    <t>dt</t>
  </si>
  <si>
    <t>Format</t>
  </si>
  <si>
    <t>Max Heating</t>
  </si>
  <si>
    <t>Acoustic</t>
  </si>
  <si>
    <t xml:space="preserve">Mean Room Air Velocity </t>
  </si>
  <si>
    <t xml:space="preserve">Mean Draught Rating </t>
  </si>
  <si>
    <t>Mean PMV *</t>
  </si>
  <si>
    <t>room temp</t>
  </si>
  <si>
    <t>Max Recommended Heating ΔT</t>
  </si>
  <si>
    <t>dist type selection</t>
  </si>
  <si>
    <t>C Select</t>
  </si>
  <si>
    <t>box2</t>
  </si>
  <si>
    <t>box1</t>
  </si>
  <si>
    <t>box3</t>
  </si>
  <si>
    <t>room box</t>
  </si>
  <si>
    <t>height</t>
  </si>
  <si>
    <t>Diffuser Ends</t>
  </si>
  <si>
    <t>Fixing</t>
  </si>
  <si>
    <t>1 end flange &amp; 1 pair joining strips</t>
  </si>
  <si>
    <t>1 pair joining strips</t>
  </si>
  <si>
    <t>other ^</t>
  </si>
  <si>
    <t>no end flanges</t>
  </si>
  <si>
    <t>2 end flanges *</t>
  </si>
  <si>
    <t>uninsulated connection box</t>
  </si>
  <si>
    <t>internally insulated connection box</t>
  </si>
  <si>
    <t>Selection</t>
  </si>
  <si>
    <t>Code</t>
  </si>
  <si>
    <t>without end flanges</t>
  </si>
  <si>
    <t>F0</t>
  </si>
  <si>
    <t>EX</t>
  </si>
  <si>
    <t>Connection Box</t>
  </si>
  <si>
    <t>connection box</t>
  </si>
  <si>
    <t>t</t>
  </si>
  <si>
    <t>n</t>
  </si>
  <si>
    <t>no connection box</t>
  </si>
  <si>
    <t>K</t>
  </si>
  <si>
    <t>KI</t>
  </si>
  <si>
    <t>K0</t>
  </si>
  <si>
    <t xml:space="preserve"> </t>
  </si>
  <si>
    <t>clipped to diffuser throat</t>
  </si>
  <si>
    <t>screwed to diffuser throat</t>
  </si>
  <si>
    <t>Box</t>
  </si>
  <si>
    <t>* ISO7730; ASHRAE Std 55</t>
  </si>
  <si>
    <t>B (0 to -30°)</t>
  </si>
  <si>
    <t>C (≈ -45°)</t>
  </si>
  <si>
    <t>D (≈ -60°)</t>
  </si>
  <si>
    <t>E (vertical)</t>
  </si>
  <si>
    <t>SF</t>
  </si>
  <si>
    <t>SN</t>
  </si>
  <si>
    <t>with side flanges</t>
  </si>
  <si>
    <t>with two end flanges</t>
  </si>
  <si>
    <t>with one end flange + one pair of joining strips</t>
  </si>
  <si>
    <t>include one pair of joining strips</t>
  </si>
  <si>
    <t>Q</t>
  </si>
  <si>
    <t>P</t>
  </si>
  <si>
    <t>SWL - Static Pressure Coefficients</t>
  </si>
  <si>
    <t>AC</t>
  </si>
  <si>
    <t>1way text</t>
  </si>
  <si>
    <t>2way text</t>
  </si>
  <si>
    <t>custom</t>
  </si>
  <si>
    <t>recommended</t>
  </si>
  <si>
    <t>BD</t>
  </si>
  <si>
    <t>EE (vertical)</t>
  </si>
  <si>
    <t>Result</t>
  </si>
  <si>
    <t>1way code</t>
  </si>
  <si>
    <t>2way code</t>
  </si>
  <si>
    <t>EE</t>
  </si>
  <si>
    <t>&lt;direction&gt;</t>
  </si>
  <si>
    <t>if all rejected</t>
  </si>
  <si>
    <t>For 2-Way Discharge</t>
  </si>
  <si>
    <t>For 1-Way Discharge</t>
  </si>
  <si>
    <t>vertical discharge</t>
  </si>
  <si>
    <t>Maximum Permissible Static Pressure</t>
  </si>
  <si>
    <r>
      <t xml:space="preserve">Max Permissible </t>
    </r>
    <r>
      <rPr>
        <b/>
        <sz val="11"/>
        <color theme="1"/>
        <rFont val="Calibri"/>
        <family val="2"/>
      </rPr>
      <t>ΔT</t>
    </r>
    <r>
      <rPr>
        <b/>
        <sz val="11"/>
        <color theme="1"/>
        <rFont val="Calibri"/>
        <family val="2"/>
        <scheme val="minor"/>
      </rPr>
      <t xml:space="preserve"> (heating) E (K)</t>
    </r>
  </si>
  <si>
    <r>
      <t xml:space="preserve">Max Permissible </t>
    </r>
    <r>
      <rPr>
        <b/>
        <sz val="11"/>
        <color theme="1"/>
        <rFont val="Calibri"/>
        <family val="2"/>
      </rPr>
      <t>ΔT</t>
    </r>
    <r>
      <rPr>
        <b/>
        <sz val="11"/>
        <color theme="1"/>
        <rFont val="Calibri"/>
        <family val="2"/>
        <scheme val="minor"/>
      </rPr>
      <t xml:space="preserve"> (centre) (K)</t>
    </r>
  </si>
  <si>
    <r>
      <t xml:space="preserve">Max Permissible </t>
    </r>
    <r>
      <rPr>
        <b/>
        <sz val="11"/>
        <color theme="1"/>
        <rFont val="Calibri"/>
        <family val="2"/>
      </rPr>
      <t>ΔT</t>
    </r>
    <r>
      <rPr>
        <b/>
        <sz val="11"/>
        <color theme="1"/>
        <rFont val="Calibri"/>
        <family val="2"/>
        <scheme val="minor"/>
      </rPr>
      <t xml:space="preserve"> ('E') (K)</t>
    </r>
  </si>
  <si>
    <t>(old) heating @ dT</t>
  </si>
  <si>
    <t>heating dT (perimeter)</t>
  </si>
  <si>
    <t>heating dT (centre)</t>
  </si>
  <si>
    <t>heating dT 'E'</t>
  </si>
  <si>
    <t>Selected Airflow [L/s/m]</t>
  </si>
  <si>
    <t>Min Selected Airflow [L/s/m]</t>
  </si>
  <si>
    <t>Perimeter Zones for Air Direction 'A' [K]</t>
  </si>
  <si>
    <t>Centre Zones for Air Direction 'A' [K]</t>
  </si>
  <si>
    <t>Max Permissible ΔT (heating) E (K)</t>
  </si>
  <si>
    <t>Heating non vertical</t>
  </si>
  <si>
    <t>Heating vertical</t>
  </si>
  <si>
    <t>expansion bracket fixing</t>
  </si>
  <si>
    <t>flangeless side profile</t>
  </si>
  <si>
    <t>fixing by others; without accessories</t>
  </si>
  <si>
    <t>Active Length Ratio (see diagram)</t>
  </si>
  <si>
    <t>1-WAY</t>
  </si>
  <si>
    <t>2-WAY</t>
  </si>
  <si>
    <t>Q" allowed</t>
  </si>
  <si>
    <t>Cmax-Centre Zone</t>
  </si>
  <si>
    <t>Cmax centre zone</t>
  </si>
  <si>
    <t>Max C/L Distance (m) Perimeter</t>
  </si>
  <si>
    <t>Max Coverage Dist Centre Zone</t>
  </si>
  <si>
    <r>
      <t>Min Coverage (C</t>
    </r>
    <r>
      <rPr>
        <b/>
        <vertAlign val="subscript"/>
        <sz val="12"/>
        <color theme="1"/>
        <rFont val="Calibri"/>
        <family val="2"/>
        <scheme val="minor"/>
      </rPr>
      <t>min</t>
    </r>
    <r>
      <rPr>
        <b/>
        <sz val="12"/>
        <color theme="1"/>
        <rFont val="Calibri"/>
        <family val="2"/>
        <scheme val="minor"/>
      </rPr>
      <t>)</t>
    </r>
  </si>
  <si>
    <r>
      <t>Max Coverage Centre Zones (C</t>
    </r>
    <r>
      <rPr>
        <b/>
        <vertAlign val="subscript"/>
        <sz val="12"/>
        <color theme="1"/>
        <rFont val="Calibri"/>
        <family val="2"/>
        <scheme val="minor"/>
      </rPr>
      <t>max</t>
    </r>
    <r>
      <rPr>
        <b/>
        <sz val="12"/>
        <color theme="1"/>
        <rFont val="Calibri"/>
        <family val="2"/>
        <scheme val="minor"/>
      </rPr>
      <t>)</t>
    </r>
  </si>
  <si>
    <r>
      <t>Max Coverage Perimeter Zones (C</t>
    </r>
    <r>
      <rPr>
        <b/>
        <vertAlign val="subscript"/>
        <sz val="12"/>
        <color theme="1"/>
        <rFont val="Calibri"/>
        <family val="2"/>
        <scheme val="minor"/>
      </rPr>
      <t>max</t>
    </r>
    <r>
      <rPr>
        <b/>
        <sz val="12"/>
        <color theme="1"/>
        <rFont val="Calibri"/>
        <family val="2"/>
        <scheme val="minor"/>
      </rPr>
      <t>)</t>
    </r>
  </si>
  <si>
    <t>Min Diffuser Height</t>
  </si>
  <si>
    <t>Width Flangeless Face</t>
  </si>
  <si>
    <t>Width Flanged Face</t>
  </si>
  <si>
    <t>Width of Diffuser Throat</t>
  </si>
  <si>
    <t>Selected Airflow Rate</t>
  </si>
  <si>
    <t>Airflow @ Max Static Pressure</t>
  </si>
  <si>
    <t>Min Selected Airflow</t>
  </si>
  <si>
    <t>Static Pressure @ 100% Airflow</t>
  </si>
  <si>
    <t>Total Pressure @ 100% Airflow</t>
  </si>
  <si>
    <t>Max Selected Total Pressure</t>
  </si>
  <si>
    <t>Detailed Selection</t>
  </si>
  <si>
    <t>Manual Diffuser Coverage</t>
  </si>
  <si>
    <t>see 'C' in diagram below</t>
  </si>
  <si>
    <t>Diffuser Coverage = Average (Max, Min) 'C' Distance</t>
  </si>
  <si>
    <t>options only available with connection box</t>
  </si>
  <si>
    <t>Hmin Select</t>
  </si>
  <si>
    <t>Hmin Factor</t>
  </si>
  <si>
    <t>Pressure is inclusive of side-entry connection box pressure loss.</t>
  </si>
  <si>
    <t>cmin&gt;cmax centre</t>
  </si>
  <si>
    <t>cmin&gt;cmax perim</t>
  </si>
  <si>
    <t>selected dist &lt; cmin</t>
  </si>
  <si>
    <t xml:space="preserve">for total area </t>
  </si>
  <si>
    <t>ADPI Actual</t>
  </si>
  <si>
    <t>ADPI Cmin</t>
  </si>
  <si>
    <t>Q'' (adjusted) for active length</t>
  </si>
  <si>
    <t>Plenum box dimensions are for internal dimensions (excludes insulation and acoustic lining)</t>
  </si>
  <si>
    <t>Check exact dimensions with local supplier</t>
  </si>
  <si>
    <t>Q' to v'</t>
  </si>
  <si>
    <t>v'</t>
  </si>
  <si>
    <t>Flowrates</t>
  </si>
  <si>
    <t>v"</t>
  </si>
  <si>
    <t>ADPI Cmax (perimeter)</t>
  </si>
  <si>
    <t>Cmax Perimeter</t>
  </si>
  <si>
    <t>COMBINED SELECTED ADPI (Perim)</t>
  </si>
  <si>
    <t>COMBINED SELECTED ADPI (Centre)</t>
  </si>
  <si>
    <t>ADPI ACTUAL</t>
  </si>
  <si>
    <t>ADPI Actual Cmin</t>
  </si>
  <si>
    <t>(fix rounding errors)</t>
  </si>
  <si>
    <t>Use turndown flow rate</t>
  </si>
  <si>
    <t>Hfactor</t>
  </si>
  <si>
    <t>ROOM TO INCLUDE FREE CEILING factor??</t>
  </si>
  <si>
    <t>H distance</t>
  </si>
  <si>
    <t xml:space="preserve"> v distance</t>
  </si>
  <si>
    <t>Compare Cmax</t>
  </si>
  <si>
    <t>Recommended Cmax</t>
  </si>
  <si>
    <t>Resultant ADPI from selected Cmax</t>
  </si>
  <si>
    <t>Selected C Satisfies</t>
  </si>
  <si>
    <t>ADPI Satisfied</t>
  </si>
  <si>
    <t>Area (incl active length)</t>
  </si>
  <si>
    <t>v" (incl active length)</t>
  </si>
  <si>
    <t>Cmax Centre Zone</t>
  </si>
  <si>
    <t>L/s/m8</t>
  </si>
  <si>
    <t>L/s/m9</t>
  </si>
  <si>
    <t>W/m8</t>
  </si>
  <si>
    <t>W/m9</t>
  </si>
  <si>
    <t>ADPI actual (centre)</t>
  </si>
  <si>
    <t>ADPI actual (perim)</t>
  </si>
  <si>
    <t>Selected ADPI</t>
  </si>
  <si>
    <t>Recommended Spigot Dimension D * per 1.2 m length</t>
  </si>
  <si>
    <t>v" (incl active length) (for display/units)</t>
  </si>
  <si>
    <t>Cmax Perim</t>
  </si>
  <si>
    <t>Cmax Cenre</t>
  </si>
  <si>
    <t>data.LMC.Flowrate</t>
  </si>
  <si>
    <t>data.Total.Pressure</t>
  </si>
  <si>
    <t>data.Spigot.Diameter</t>
  </si>
  <si>
    <t>Heating for Vertical</t>
  </si>
  <si>
    <t>k-factor</t>
  </si>
  <si>
    <t>H-n (exit width)</t>
  </si>
  <si>
    <t>Slot Size</t>
  </si>
  <si>
    <t>dT (Vertical)</t>
  </si>
  <si>
    <t>B(LMC1)</t>
  </si>
  <si>
    <t>B(LMC2)</t>
  </si>
  <si>
    <t>V_min 30% for LMC2 (safety)</t>
  </si>
  <si>
    <t>+4.8 as guess from LMC1 to LMC2</t>
  </si>
  <si>
    <t>Linear Multi-Jet Ceiling Diffuser [LJC-AD]</t>
  </si>
  <si>
    <t>Heating Penetration</t>
  </si>
  <si>
    <t>dT (Heating)</t>
  </si>
  <si>
    <t>Room Temperature (cooling)</t>
  </si>
  <si>
    <t>Heating Display</t>
  </si>
  <si>
    <t>Max Permissible DT</t>
  </si>
  <si>
    <t>D + 76</t>
  </si>
  <si>
    <r>
      <t xml:space="preserve">Recommended </t>
    </r>
    <r>
      <rPr>
        <b/>
        <u/>
        <sz val="12"/>
        <color theme="1"/>
        <rFont val="Calibri"/>
        <family val="2"/>
        <scheme val="minor"/>
      </rPr>
      <t>Internal</t>
    </r>
    <r>
      <rPr>
        <b/>
        <sz val="12"/>
        <color theme="1"/>
        <rFont val="Calibri"/>
        <family val="2"/>
        <scheme val="minor"/>
      </rPr>
      <t xml:space="preserve"> Plenum Height A *</t>
    </r>
  </si>
  <si>
    <r>
      <t xml:space="preserve">Recommended </t>
    </r>
    <r>
      <rPr>
        <b/>
        <u/>
        <sz val="12"/>
        <color theme="1"/>
        <rFont val="Calibri"/>
        <family val="2"/>
        <scheme val="minor"/>
      </rPr>
      <t>Internal</t>
    </r>
    <r>
      <rPr>
        <b/>
        <sz val="12"/>
        <color theme="1"/>
        <rFont val="Calibri"/>
        <family val="2"/>
        <scheme val="minor"/>
      </rPr>
      <t xml:space="preserve"> Plenum Width B *</t>
    </r>
  </si>
  <si>
    <t>Linear Multi-Jet Ceiling Diffuser  [LJC-AD] Dimensions</t>
  </si>
  <si>
    <t>spigot (nominal) velocity</t>
  </si>
  <si>
    <r>
      <t xml:space="preserve">Manually Adjusted Air Direction Setting: </t>
    </r>
    <r>
      <rPr>
        <sz val="12"/>
        <color theme="1"/>
        <rFont val="Calibri"/>
        <family val="2"/>
        <scheme val="minor"/>
      </rPr>
      <t>**</t>
    </r>
  </si>
  <si>
    <t>Cooling and Heating</t>
  </si>
  <si>
    <t>Centre Zone: Heating ΔT Max</t>
  </si>
  <si>
    <t>Perimeter Zone: Heating ΔT Max</t>
  </si>
  <si>
    <t>Active Length Ratio Factor</t>
  </si>
  <si>
    <t>Thermal Element Setting</t>
  </si>
  <si>
    <t>Warm-Up Airflow Boost</t>
  </si>
  <si>
    <t>SMARTEMP LJC-AD</t>
  </si>
  <si>
    <t>Thermal Element</t>
  </si>
  <si>
    <t>dT (Vertical) Low level corrected</t>
  </si>
  <si>
    <t>adpi</t>
  </si>
  <si>
    <t>Room Temperature (heating)</t>
  </si>
  <si>
    <t>% Low Level Return (heating)</t>
  </si>
  <si>
    <t>Room Temp. @ heating startup</t>
  </si>
  <si>
    <t>T night setback</t>
  </si>
  <si>
    <t>T thermal correction</t>
  </si>
  <si>
    <t>t-element-comfort correction</t>
  </si>
  <si>
    <t>T.element setting</t>
  </si>
  <si>
    <t>T- element Note</t>
  </si>
  <si>
    <t>T element setting</t>
  </si>
  <si>
    <t>Warm-up Boost</t>
  </si>
  <si>
    <t>Pressure boost</t>
  </si>
  <si>
    <t>Thermal element setting</t>
  </si>
  <si>
    <t>Thermal element note</t>
  </si>
  <si>
    <t>Warm-Up Pressure Boost</t>
  </si>
  <si>
    <t>Low level return multiplier</t>
  </si>
  <si>
    <t>Heating Height</t>
  </si>
  <si>
    <t>Low level correction multiplier</t>
  </si>
  <si>
    <t>v" adj for heating</t>
  </si>
  <si>
    <t>heating X "A" * LN</t>
  </si>
  <si>
    <t>heating X + "B"</t>
  </si>
  <si>
    <t>Manual Heating Temp</t>
  </si>
  <si>
    <t>Room Temp (Heating) Selected/auto</t>
  </si>
  <si>
    <t xml:space="preserve">Room Temp  (heating) </t>
  </si>
  <si>
    <t>Manual Supply Heating DT</t>
  </si>
  <si>
    <t>Adjustment</t>
  </si>
  <si>
    <t>manual</t>
  </si>
  <si>
    <t>electric actuator (24V, 2-10V)</t>
  </si>
  <si>
    <t>Adjustment Type</t>
  </si>
  <si>
    <t>&lt;adj.type&gt;</t>
  </si>
  <si>
    <t>M</t>
  </si>
  <si>
    <t>T</t>
  </si>
  <si>
    <t>Comment</t>
  </si>
  <si>
    <t>Min Permissible Airflow @ -12 K</t>
  </si>
  <si>
    <t>Centre Zones with Direction 'C'</t>
  </si>
  <si>
    <t>Perimeter Zones with Direction 'C'</t>
  </si>
  <si>
    <t>manual adjustment only</t>
  </si>
  <si>
    <t>adj type</t>
  </si>
  <si>
    <t>Air Direction</t>
  </si>
  <si>
    <t>MFP</t>
  </si>
  <si>
    <t>mounting frame for plasterboard</t>
  </si>
  <si>
    <t>other slots available upon request</t>
  </si>
  <si>
    <t>more detailed options available in the LJC-AD product brochure</t>
  </si>
  <si>
    <t>Linear Multi-Jet Adjustable Diffuser</t>
  </si>
  <si>
    <t>Discharge Pattern</t>
  </si>
  <si>
    <t>airdischarge (manual)</t>
  </si>
  <si>
    <t>airdischarge (actuated)</t>
  </si>
  <si>
    <t>LJC-AD Performance Calculator Summary</t>
  </si>
  <si>
    <t xml:space="preserve">e.g. Active Length Ratio </t>
  </si>
  <si>
    <t>ΔT Vertical Discharge: Setting 'E'</t>
  </si>
  <si>
    <t>Horizontal&gt;Vertical</t>
  </si>
  <si>
    <t>Min Thermal Setting</t>
  </si>
  <si>
    <t>comfort corrected thermal element DT</t>
  </si>
  <si>
    <t>T.e. setting not rounded</t>
  </si>
  <si>
    <t>Related Products</t>
  </si>
  <si>
    <t>Smartemp LDB 12:</t>
  </si>
  <si>
    <r>
      <rPr>
        <i/>
        <sz val="11"/>
        <color theme="1" tint="0.34998626667073579"/>
        <rFont val="Calibri"/>
        <family val="2"/>
        <scheme val="minor"/>
      </rPr>
      <t>engineered by LTG</t>
    </r>
    <r>
      <rPr>
        <sz val="11"/>
        <color theme="1" tint="0.34998626667073579"/>
        <rFont val="Calibri"/>
        <family val="2"/>
        <scheme val="minor"/>
      </rPr>
      <t xml:space="preserve"> for an ultra-slim look</t>
    </r>
  </si>
  <si>
    <t>Smartemp LDB 12 Clean:</t>
  </si>
  <si>
    <r>
      <rPr>
        <i/>
        <sz val="11"/>
        <color theme="1" tint="0.34998626667073579"/>
        <rFont val="Calibri"/>
        <family val="2"/>
        <scheme val="minor"/>
      </rPr>
      <t>engineered by LTG</t>
    </r>
    <r>
      <rPr>
        <sz val="11"/>
        <color theme="1" tint="0.34998626667073579"/>
        <rFont val="Calibri"/>
        <family val="2"/>
        <scheme val="minor"/>
      </rPr>
      <t xml:space="preserve"> with SystemClean™ for minimal ceiling smudging and diffuser condensation</t>
    </r>
  </si>
  <si>
    <t>Smartemp LDB 50 Maxx:</t>
  </si>
  <si>
    <r>
      <rPr>
        <i/>
        <sz val="11"/>
        <color theme="1" tint="0.34998626667073579"/>
        <rFont val="Calibri"/>
        <family val="2"/>
        <scheme val="minor"/>
      </rPr>
      <t>engineered by LTG</t>
    </r>
    <r>
      <rPr>
        <sz val="11"/>
        <color theme="1" tint="0.34998626667073579"/>
        <rFont val="Calibri"/>
        <family val="2"/>
        <scheme val="minor"/>
      </rPr>
      <t xml:space="preserve"> for high flow rates</t>
    </r>
  </si>
  <si>
    <t xml:space="preserve">Smartemp LMC-AD: </t>
  </si>
  <si>
    <t>Charts</t>
  </si>
  <si>
    <t>x1</t>
  </si>
  <si>
    <t>y1</t>
  </si>
  <si>
    <t>y2</t>
  </si>
  <si>
    <t>y3</t>
  </si>
  <si>
    <t>y4</t>
  </si>
  <si>
    <t>x-1</t>
  </si>
  <si>
    <t>x-2</t>
  </si>
  <si>
    <t>x0</t>
  </si>
  <si>
    <t>2x Line</t>
  </si>
  <si>
    <t>intercept</t>
  </si>
  <si>
    <t>custom^ ≤ 1200 mm (neck)</t>
  </si>
  <si>
    <t>DE2</t>
  </si>
  <si>
    <t>DE1</t>
  </si>
  <si>
    <t>DEJ</t>
  </si>
  <si>
    <t>DE0</t>
  </si>
  <si>
    <t>electric actuator (24V, 3-pt)</t>
  </si>
  <si>
    <t>recommended*</t>
  </si>
  <si>
    <t>A (0 to -15°)</t>
  </si>
  <si>
    <t>without accessories/by others *</t>
  </si>
  <si>
    <t>1195 mm (face)</t>
  </si>
  <si>
    <t>F1195</t>
  </si>
  <si>
    <t>Face</t>
  </si>
  <si>
    <t>Smartemp LJW-AD:</t>
  </si>
  <si>
    <t>Airflow boost</t>
  </si>
  <si>
    <t>Warm-Up Max Boost DT</t>
  </si>
  <si>
    <t>Warm-Up Max Boost ΔT</t>
  </si>
  <si>
    <t>Warm-Up Airflow Boost Factor</t>
  </si>
  <si>
    <t>Warm-Up Pressure Boost Factor</t>
  </si>
  <si>
    <t>Diffusers active</t>
  </si>
  <si>
    <t>Diffusers Active During Warm-Up Boost</t>
  </si>
  <si>
    <t>T-Element</t>
  </si>
  <si>
    <t>Pre-Occupancy 
Warm-up Boost</t>
  </si>
  <si>
    <t>1.</t>
  </si>
  <si>
    <t>2.</t>
  </si>
  <si>
    <t>Example of Option 2, above:</t>
  </si>
  <si>
    <t>Room Temperature Setpoint</t>
  </si>
  <si>
    <t>22°C</t>
  </si>
  <si>
    <t>Night Setback Temperature</t>
  </si>
  <si>
    <t>16°C</t>
  </si>
  <si>
    <t>Results:</t>
  </si>
  <si>
    <t>Explanation:</t>
  </si>
  <si>
    <t>Row 59</t>
  </si>
  <si>
    <t>Row 60</t>
  </si>
  <si>
    <t>Row 61</t>
  </si>
  <si>
    <t>Row 62</t>
  </si>
  <si>
    <t>Row 63</t>
  </si>
  <si>
    <t>For warm-up from a low night setback temperature (cell L27), especially where high infiltration heat loss occurs (e.g. lobbies), consider introducing a Pre-Occupancy Warm-Up Boost mode that increases diffuser airflow by the Airflow Boost Factor (row 61) and pressure by the Pressure Boost Factor (row 74) during pre-occupancy warm-up only. This is typically achieved by either:</t>
  </si>
  <si>
    <t>Speeding up the supply fan to increase total airflow by the Airflow Boost Factor (row 74); or</t>
  </si>
  <si>
    <t>By not increasing total airflow, but instead only supplying air to the percentage of Diffusers Active During Warm-Up Boost (row 76), typically achieved by having motorised dampers (by others) shut off airflow to the remaining diffusers (typically to a duct run of diffusers). Round up/down the percentage to avoid fractions of diffusers to which airflow is to be shut-off. Minimise motorised dampers by grouping diffusers to be shut-off onto common ducts. Refer to example below.</t>
  </si>
  <si>
    <t>110 L/s @ 13.6 Pa static</t>
  </si>
  <si>
    <t>27°C</t>
  </si>
  <si>
    <t>11.3 K</t>
  </si>
  <si>
    <r>
      <rPr>
        <i/>
        <sz val="12"/>
        <color theme="1"/>
        <rFont val="Calibri"/>
        <family val="2"/>
        <scheme val="minor"/>
      </rPr>
      <t>Pre-Occupancy Warm-Up</t>
    </r>
    <r>
      <rPr>
        <sz val="12"/>
        <color theme="1"/>
        <rFont val="Calibri"/>
        <family val="2"/>
        <scheme val="minor"/>
      </rPr>
      <t xml:space="preserve"> is to be </t>
    </r>
    <r>
      <rPr>
        <u/>
        <sz val="12"/>
        <color theme="1"/>
        <rFont val="Calibri"/>
        <family val="2"/>
        <scheme val="minor"/>
      </rPr>
      <t>deactivated</t>
    </r>
    <r>
      <rPr>
        <sz val="12"/>
        <color theme="1"/>
        <rFont val="Calibri"/>
        <family val="2"/>
        <scheme val="minor"/>
      </rPr>
      <t xml:space="preserve"> when room temperature setpoint is achieved, and is to remain deactivated until the next warm-up cycle is initiated.</t>
    </r>
  </si>
  <si>
    <t>H actual</t>
  </si>
  <si>
    <t>Height Adjusted</t>
  </si>
  <si>
    <t>Draught Rating &amp; Comfort</t>
  </si>
  <si>
    <t>Electric and Thermal Actuators available for 2+ slots only</t>
  </si>
  <si>
    <t>Choose DT Warm-up</t>
  </si>
  <si>
    <t>Warm-up DT to Te setting</t>
  </si>
  <si>
    <t>Actual max DT</t>
  </si>
  <si>
    <t>Max (Vertical) Heating</t>
  </si>
  <si>
    <t>Thermal/ Electric actuator avalable for 2+ slots only</t>
  </si>
  <si>
    <t>heating (perimeter)</t>
  </si>
  <si>
    <t>heating (centre)</t>
  </si>
  <si>
    <t>editting vertical</t>
  </si>
  <si>
    <t>Heating in D setting (unused)</t>
  </si>
  <si>
    <t>Heating 1 Slot</t>
  </si>
  <si>
    <t>Heating 2 Slot</t>
  </si>
  <si>
    <t>Heating 3 slot</t>
  </si>
  <si>
    <t>Heating 4 slot</t>
  </si>
  <si>
    <t>Heating 5 slot</t>
  </si>
  <si>
    <t>Heating 6 slot</t>
  </si>
  <si>
    <t>Heating 7 slot</t>
  </si>
  <si>
    <t>Heating 8 slot</t>
  </si>
  <si>
    <t>for an identical look with slimmer profile; manual adjustment only</t>
  </si>
  <si>
    <t>for a wall-mounted solution; also available with electric and thermal actuator</t>
  </si>
  <si>
    <t>Spigot</t>
  </si>
  <si>
    <t>Acoustics</t>
  </si>
  <si>
    <t>check for manual input</t>
  </si>
  <si>
    <t>Row 54: Direction setting for balanced cooling and heating performance</t>
  </si>
  <si>
    <r>
      <rPr>
        <u/>
        <sz val="12"/>
        <rFont val="Calibri"/>
        <family val="2"/>
        <scheme val="minor"/>
      </rPr>
      <t>Sound Pressure Level</t>
    </r>
    <r>
      <rPr>
        <sz val="12"/>
        <rFont val="Calibri"/>
        <family val="2"/>
        <scheme val="minor"/>
      </rPr>
      <t xml:space="preserve"> [NC] is an estimate for a single diffuser only located at 2.7 to 3.0 m height in a 70 m</t>
    </r>
    <r>
      <rPr>
        <vertAlign val="superscript"/>
        <sz val="12"/>
        <rFont val="Calibri"/>
        <family val="2"/>
        <scheme val="minor"/>
      </rPr>
      <t>3</t>
    </r>
    <r>
      <rPr>
        <sz val="12"/>
        <rFont val="Calibri"/>
        <family val="2"/>
        <scheme val="minor"/>
      </rPr>
      <t xml:space="preserve"> space (typical office) with 10 dB(A) room absorption that is uniformly distributed, measured 2.1 m from the diffuser. Sound Pressure Level is provided as a guide only for a standard, carpeted single office with acoustic ceiling. An acoustical engineer should be consulted for detailed calculations, especially for applications with more than one diffuser or where hard surfaces are involved.</t>
    </r>
  </si>
  <si>
    <t>Pressure*</t>
  </si>
  <si>
    <t>Sound Pressure Level *</t>
  </si>
  <si>
    <t>ΔT -ve denotes cooling</t>
  </si>
  <si>
    <t>ΔT +ve denotes heating</t>
  </si>
  <si>
    <t>NOTES</t>
  </si>
  <si>
    <t>NOISE AND ACOUSTIC</t>
  </si>
  <si>
    <t>DIFFUSER AS RETURN AIR (R/A) INLET</t>
  </si>
  <si>
    <t>Linear Multi-Jet Ceiling Diffuser [LJC-AD] Notes</t>
  </si>
  <si>
    <t>Refer to 'Dimensions &amp; Connection Box' worksheet for details</t>
  </si>
  <si>
    <t>m³/h/m</t>
  </si>
  <si>
    <t>Recommended Distances 
&amp; 
Layout **</t>
  </si>
  <si>
    <t>Dimensions **</t>
  </si>
  <si>
    <t>** Refer to 'Dimensions &amp; Connection Box' worksheet for details</t>
  </si>
  <si>
    <t>LAYOUT/COVERAGE DISTANCE</t>
  </si>
  <si>
    <t>PRE-OCCUPANCY WARM-UP BOOST</t>
  </si>
  <si>
    <t>AIR DIRECTION SETTINGS</t>
  </si>
  <si>
    <t>* Refer to 'Notes' worksheet for definitions and details</t>
  </si>
  <si>
    <t xml:space="preserve">Direction Adjustment </t>
  </si>
  <si>
    <t>Order Code (select to copy)</t>
  </si>
  <si>
    <t>expansion bracket</t>
  </si>
  <si>
    <t>Thermal element velocity note</t>
  </si>
  <si>
    <t>T-el Velocity category</t>
  </si>
  <si>
    <t>Thermal Element Note display</t>
  </si>
  <si>
    <t>thermal element note</t>
  </si>
  <si>
    <t>t element note</t>
  </si>
  <si>
    <t>t element category</t>
  </si>
  <si>
    <t>high</t>
  </si>
  <si>
    <t xml:space="preserve">moderately elevated air velocities in heating </t>
  </si>
  <si>
    <t>slightly elevated air velocities in heating</t>
  </si>
  <si>
    <t>mid</t>
  </si>
  <si>
    <t>Manual adjustment</t>
  </si>
  <si>
    <t>Note type 2</t>
  </si>
  <si>
    <t>24V electric actuator 3pt</t>
  </si>
  <si>
    <t>24V electric actuator 2-10V (see recommended control curve below)</t>
  </si>
  <si>
    <t>no connection box *</t>
  </si>
  <si>
    <t>1. Use setting 'C' for R/A.</t>
  </si>
  <si>
    <t>2. R/A diffuser pressure loss is up to 25% greater than supply air static pressure.</t>
  </si>
  <si>
    <t>Supply/Return</t>
  </si>
  <si>
    <t>supply: adjustable direction</t>
  </si>
  <si>
    <t>return air</t>
  </si>
  <si>
    <t>see 'Notes' Row 16 for performance adjustments as a return air inlet</t>
  </si>
  <si>
    <t>return air boosted</t>
  </si>
  <si>
    <t>Supply Return</t>
  </si>
  <si>
    <t>supply</t>
  </si>
  <si>
    <t>return air 2</t>
  </si>
  <si>
    <t>RA</t>
  </si>
  <si>
    <t>RA2</t>
  </si>
  <si>
    <t>Supply</t>
  </si>
  <si>
    <t>Return</t>
  </si>
  <si>
    <t>AD</t>
  </si>
  <si>
    <t>SMARTEMP LJC-</t>
  </si>
  <si>
    <t>product code</t>
  </si>
  <si>
    <t>3. R/A diffuser sound power level is up to 3 db(A) greater than the supply air sound power level.</t>
  </si>
  <si>
    <t>4. R/A boosted: If three out of every four barrels are removed, then R/A airflow may be doubled without exceeding the above stated pressure loss and sound power levels.</t>
  </si>
  <si>
    <t>Summary (valid as supply air only)</t>
  </si>
  <si>
    <t>SMARTEMP LJC-RA</t>
  </si>
  <si>
    <t>Return Air Display Note</t>
  </si>
  <si>
    <t>1. R/A boosted: If three out of every four barrels are removed, then R/A airflow may be doubled without exceeding the above stated pressure loss and sound power levels.</t>
  </si>
  <si>
    <t>LJC-AD (supply air)</t>
  </si>
  <si>
    <t>LJC-RA (return air)</t>
  </si>
  <si>
    <t>LJC-RA2 (return air boosted)</t>
  </si>
  <si>
    <r>
      <t>Refer to Figure (right) for description of lengths 'L' and 'L</t>
    </r>
    <r>
      <rPr>
        <i/>
        <vertAlign val="subscript"/>
        <sz val="12"/>
        <color theme="1"/>
        <rFont val="Calibri"/>
        <family val="2"/>
        <scheme val="minor"/>
      </rPr>
      <t>A</t>
    </r>
    <r>
      <rPr>
        <i/>
        <sz val="12"/>
        <color theme="1"/>
        <rFont val="Calibri"/>
        <family val="2"/>
        <scheme val="minor"/>
      </rPr>
      <t xml:space="preserve">' </t>
    </r>
  </si>
  <si>
    <t>ACTIVE LENGTH RATIO</t>
  </si>
  <si>
    <t>L/s</t>
  </si>
  <si>
    <t>m³/h</t>
  </si>
  <si>
    <t>ft³/min</t>
  </si>
  <si>
    <t>ft³/min/ft</t>
  </si>
  <si>
    <t>L/s/m²</t>
  </si>
  <si>
    <t>m³/h/m²</t>
  </si>
  <si>
    <t>ft³/min/ft²</t>
  </si>
  <si>
    <t>Results unit conv.</t>
  </si>
  <si>
    <t>ft</t>
  </si>
  <si>
    <t>Input Validation and Conversion</t>
  </si>
  <si>
    <r>
      <t xml:space="preserve">% </t>
    </r>
    <r>
      <rPr>
        <sz val="11"/>
        <color theme="0" tint="-0.34998626667073579"/>
        <rFont val="Calibri"/>
        <family val="2"/>
        <scheme val="minor"/>
      </rPr>
      <t xml:space="preserve">      </t>
    </r>
  </si>
  <si>
    <t>10% to 100% (use 100% for CAV)</t>
  </si>
  <si>
    <t xml:space="preserve">            </t>
  </si>
  <si>
    <r>
      <t>*</t>
    </r>
    <r>
      <rPr>
        <sz val="11"/>
        <color theme="0" tint="-0.34998626667073579"/>
        <rFont val="Calibri"/>
        <family val="2"/>
        <scheme val="minor"/>
      </rPr>
      <t xml:space="preserve">          </t>
    </r>
  </si>
  <si>
    <t>0.1 to 1.0 (default 0.5)</t>
  </si>
  <si>
    <t>Specific Flow rate</t>
  </si>
  <si>
    <t>Flow rate/unit length</t>
  </si>
  <si>
    <t>Flow rate</t>
  </si>
  <si>
    <t>Unit</t>
  </si>
  <si>
    <t>conv to SI</t>
  </si>
  <si>
    <t>Formatting</t>
  </si>
  <si>
    <t>Want</t>
  </si>
  <si>
    <t>Pressure</t>
  </si>
  <si>
    <r>
      <t>inH</t>
    </r>
    <r>
      <rPr>
        <sz val="11"/>
        <color theme="1"/>
        <rFont val="Calibri"/>
        <family val="2"/>
      </rPr>
      <t>₂O</t>
    </r>
  </si>
  <si>
    <t>temperature</t>
  </si>
  <si>
    <t>°C</t>
  </si>
  <si>
    <t>°F</t>
  </si>
  <si>
    <t>Default Inputs</t>
  </si>
  <si>
    <t>ADPI ≥</t>
  </si>
  <si>
    <t>SI</t>
  </si>
  <si>
    <t>Imperial</t>
  </si>
  <si>
    <t>Named Range</t>
  </si>
  <si>
    <t>SI2</t>
  </si>
  <si>
    <t>Radio Button Ref.</t>
  </si>
  <si>
    <t>Maximum Airflow Rate</t>
  </si>
  <si>
    <t>Delta T</t>
  </si>
  <si>
    <t>DT</t>
  </si>
  <si>
    <t>Values</t>
  </si>
  <si>
    <t>Note Values</t>
  </si>
  <si>
    <t>DT high</t>
  </si>
  <si>
    <t>Height Heat &amp; Cool</t>
  </si>
  <si>
    <t>Height Cooling</t>
  </si>
  <si>
    <t>height heat and cool</t>
  </si>
  <si>
    <t>height cool</t>
  </si>
  <si>
    <t>Front Page Selection Section</t>
  </si>
  <si>
    <t>spec flow rate</t>
  </si>
  <si>
    <t>max spec flowrate</t>
  </si>
  <si>
    <t>room temp cooling</t>
  </si>
  <si>
    <t>room temp cooling draught rating</t>
  </si>
  <si>
    <t>diffuser coverage</t>
  </si>
  <si>
    <t>avg distance</t>
  </si>
  <si>
    <t>Manual coverage</t>
  </si>
  <si>
    <t>spec flow coverage</t>
  </si>
  <si>
    <t>diffuser dist from spec. afr converted</t>
  </si>
  <si>
    <t>v" (incl active length)units</t>
  </si>
  <si>
    <t>F</t>
  </si>
  <si>
    <t>Max Coverage Dist Centre Zone [m]</t>
  </si>
  <si>
    <t>I-P</t>
  </si>
  <si>
    <t>in</t>
  </si>
  <si>
    <t>Units Selection</t>
  </si>
  <si>
    <t>Min Pressure</t>
  </si>
  <si>
    <t>Converted</t>
  </si>
  <si>
    <t>Round</t>
  </si>
  <si>
    <t>auto room temp heating</t>
  </si>
  <si>
    <t>night setback note</t>
  </si>
  <si>
    <t>Textbox1</t>
  </si>
  <si>
    <t>Textbox2</t>
  </si>
  <si>
    <t>velocity</t>
  </si>
  <si>
    <t>ft/s</t>
  </si>
  <si>
    <t>∆°F</t>
  </si>
  <si>
    <t>acoustic</t>
  </si>
  <si>
    <t>db(A)/m</t>
  </si>
  <si>
    <t>db(A)/4ft</t>
  </si>
  <si>
    <t>db(A) (addition)</t>
  </si>
  <si>
    <t>NC/m</t>
  </si>
  <si>
    <t>NC/4ft</t>
  </si>
  <si>
    <t>single unit</t>
  </si>
  <si>
    <t>- see 'Notes' for Sound Power/Pressure Level adjustment for other lengths</t>
  </si>
  <si>
    <t>SWL adjustment</t>
  </si>
  <si>
    <t>SPL adjustment</t>
  </si>
  <si>
    <t>[NC]</t>
  </si>
  <si>
    <t>[db(A)]</t>
  </si>
  <si>
    <t>Adjustments to Noise Levels (Row 52 &amp; 53)</t>
  </si>
  <si>
    <r>
      <t>m</t>
    </r>
    <r>
      <rPr>
        <vertAlign val="superscript"/>
        <sz val="11"/>
        <color theme="1" tint="0.34998626667073579"/>
        <rFont val="Calibri"/>
        <family val="2"/>
        <scheme val="minor"/>
      </rPr>
      <t>3</t>
    </r>
    <r>
      <rPr>
        <sz val="11"/>
        <color theme="1" tint="0.34998626667073579"/>
        <rFont val="Calibri"/>
        <family val="2"/>
        <scheme val="minor"/>
      </rPr>
      <t xml:space="preserve">/h/m </t>
    </r>
  </si>
  <si>
    <t>heat gradient (horizontal)</t>
  </si>
  <si>
    <t>heat gradient (vertical)</t>
  </si>
  <si>
    <t>Acoustic Notes table</t>
  </si>
  <si>
    <t>Options</t>
  </si>
  <si>
    <t>neck length</t>
  </si>
  <si>
    <t>units</t>
  </si>
  <si>
    <t>format</t>
  </si>
  <si>
    <t>It is highly recommended to use multiple spigot connections. Spigot size/unit length can be downsized accordingly.</t>
  </si>
  <si>
    <r>
      <t>0</t>
    </r>
    <r>
      <rPr>
        <sz val="12"/>
        <color theme="1"/>
        <rFont val="Calibri"/>
        <family val="2"/>
      </rPr>
      <t>⁰ to -15⁰ discharge to the horizontal</t>
    </r>
  </si>
  <si>
    <r>
      <t>0</t>
    </r>
    <r>
      <rPr>
        <sz val="12"/>
        <color theme="1"/>
        <rFont val="Calibri"/>
        <family val="2"/>
      </rPr>
      <t>⁰ to -30⁰ discharge to the horizontal</t>
    </r>
  </si>
  <si>
    <t>custom neck length</t>
  </si>
  <si>
    <t>1200 mm neck length</t>
  </si>
  <si>
    <t>1195 mm face length</t>
  </si>
  <si>
    <t>custom^ ≤ 4 ft (neck)</t>
  </si>
  <si>
    <t>1200* mm (neck)</t>
  </si>
  <si>
    <t>code</t>
  </si>
  <si>
    <t>type</t>
  </si>
  <si>
    <t>display</t>
  </si>
  <si>
    <t>note</t>
  </si>
  <si>
    <t>N4'</t>
  </si>
  <si>
    <t>4 ft.* (neck)</t>
  </si>
  <si>
    <t>4 ft. neck length</t>
  </si>
  <si>
    <t>Display</t>
  </si>
  <si>
    <t>Note</t>
  </si>
  <si>
    <t>Type</t>
  </si>
  <si>
    <t>see Distance section in Results (Row 60:62)</t>
  </si>
  <si>
    <t>DEFAULT VALUES</t>
  </si>
  <si>
    <t>Diffuser Coverage</t>
  </si>
  <si>
    <t>Room Tempreture (heating)</t>
  </si>
  <si>
    <t>Field</t>
  </si>
  <si>
    <t>Default Expression</t>
  </si>
  <si>
    <t>-</t>
  </si>
  <si>
    <t>_defaultAirflow</t>
  </si>
  <si>
    <t>_defaultVAV</t>
  </si>
  <si>
    <t>=_defaultAirflow</t>
  </si>
  <si>
    <t>_defaultPressure</t>
  </si>
  <si>
    <t>_defaultDT</t>
  </si>
  <si>
    <t>_defaultHeight</t>
  </si>
  <si>
    <t>_defaultRatio</t>
  </si>
  <si>
    <t>_defaultCoverage</t>
  </si>
  <si>
    <t>_defaultSpecFlow</t>
  </si>
  <si>
    <t>_defaultTempCool</t>
  </si>
  <si>
    <t>_defaultTempHeat</t>
  </si>
  <si>
    <t>_defaultSetback</t>
  </si>
  <si>
    <t>_defaultLowLevel</t>
  </si>
  <si>
    <t xml:space="preserve"> - Supply air to be greater than or equal to 27 °C, otherwise the guide-ring will retract and prevent heat project to the floor.</t>
  </si>
  <si>
    <t xml:space="preserve"> - Boosted Airflow per diffuser: 1.43 × 110 L/s = 157 L/s</t>
  </si>
  <si>
    <t xml:space="preserve"> - Pressure required to achieve Boosted Airflow: 2.05 × 13.6 = 27.9 Pa</t>
  </si>
  <si>
    <t xml:space="preserve"> - Boost airflow by supplying the fixed total airflow only to the percentage of Diffusers Active During Warm-Up (70%), achieved by shutting off airflow, via motorised dampers, to the remaining diffusers (i.e. 30%).</t>
  </si>
  <si>
    <t xml:space="preserve">The default expression is entered as a formula. </t>
  </si>
  <si>
    <r>
      <rPr>
        <b/>
        <sz val="11"/>
        <color theme="1"/>
        <rFont val="Calibri"/>
        <family val="2"/>
        <scheme val="minor"/>
      </rPr>
      <t>n.r.</t>
    </r>
    <r>
      <rPr>
        <sz val="11"/>
        <color theme="1"/>
        <rFont val="Calibri"/>
        <family val="2"/>
        <scheme val="minor"/>
      </rPr>
      <t xml:space="preserve"> - thermal element not recommended; </t>
    </r>
    <r>
      <rPr>
        <u/>
        <sz val="11"/>
        <color theme="1"/>
        <rFont val="Calibri"/>
        <family val="2"/>
        <scheme val="minor"/>
      </rPr>
      <t>consider electric actuator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†</t>
    </r>
    <r>
      <rPr>
        <sz val="11"/>
        <color theme="1"/>
        <rFont val="Calibri"/>
        <family val="2"/>
        <scheme val="minor"/>
      </rPr>
      <t xml:space="preserve"> - slightly elevated air velocities in heating
</t>
    </r>
    <r>
      <rPr>
        <b/>
        <sz val="11"/>
        <color theme="1"/>
        <rFont val="Calibri"/>
        <family val="2"/>
        <scheme val="minor"/>
      </rPr>
      <t>‡</t>
    </r>
    <r>
      <rPr>
        <sz val="11"/>
        <color theme="1"/>
        <rFont val="Calibri"/>
        <family val="2"/>
        <scheme val="minor"/>
      </rPr>
      <t xml:space="preserve"> - moderately elevated air velocities in heating 
</t>
    </r>
    <r>
      <rPr>
        <b/>
        <sz val="11"/>
        <color theme="1"/>
        <rFont val="Calibri"/>
        <family val="2"/>
        <scheme val="minor"/>
      </rPr>
      <t>Thermal Element for Heating</t>
    </r>
    <r>
      <rPr>
        <sz val="11"/>
        <color theme="1"/>
        <rFont val="Calibri"/>
        <family val="2"/>
        <scheme val="minor"/>
      </rPr>
      <t xml:space="preserve">
When the thermal element is used, the space should always be warmed up from night setback using a supply air temperature greater than or equal to the thermal element setting (row 69), otherwise the guide-ring will retract and prevent heat projection to the floor. Consider introducing a Pre-Occupancy Warm-Up Boost mode. 
</t>
    </r>
    <r>
      <rPr>
        <b/>
        <sz val="11"/>
        <color theme="1"/>
        <rFont val="Calibri"/>
        <family val="2"/>
        <scheme val="minor"/>
      </rPr>
      <t>Pre Occupancy Warm-Up Boost</t>
    </r>
    <r>
      <rPr>
        <sz val="11"/>
        <color theme="1"/>
        <rFont val="Calibri"/>
        <family val="2"/>
        <scheme val="minor"/>
      </rPr>
      <t xml:space="preserve"> - see ‘Notes’ rows 70-89</t>
    </r>
  </si>
  <si>
    <t>&lt;length&gt;</t>
  </si>
  <si>
    <t>See 'Notes' for resetting to default  values</t>
  </si>
  <si>
    <t>F3'11.8</t>
  </si>
  <si>
    <t>3 ft. 11.8 in. (face)</t>
  </si>
  <si>
    <t>3 ft. 11.8 in. face length</t>
  </si>
  <si>
    <t>Cmin&gt;Cmax Note</t>
  </si>
  <si>
    <t>c_select &gt; cmax centre</t>
  </si>
  <si>
    <t>c_select &gt; cmax perimeter</t>
  </si>
  <si>
    <t>C centre</t>
  </si>
  <si>
    <t>C perim</t>
  </si>
  <si>
    <t>joining strips for a continuous look</t>
  </si>
  <si>
    <t>AND</t>
  </si>
  <si>
    <t>C selected note warning</t>
  </si>
  <si>
    <t>Display Note</t>
  </si>
  <si>
    <t>Supply Air Selected</t>
  </si>
  <si>
    <t>M2</t>
  </si>
  <si>
    <t>Manual adjustment only for return air</t>
  </si>
  <si>
    <t>Min Selected Airflow (Supply)</t>
  </si>
  <si>
    <r>
      <t xml:space="preserve">Recommended Control Curve </t>
    </r>
    <r>
      <rPr>
        <sz val="10"/>
        <color theme="1"/>
        <rFont val="Aptos"/>
        <family val="2"/>
      </rPr>
      <t>(for electric actuator 2-10V)</t>
    </r>
  </si>
  <si>
    <t>Control Curve N/A for return air inlet</t>
  </si>
  <si>
    <t>N/A for return air inlet</t>
  </si>
  <si>
    <t>see 'Selection Summary &amp; Print' for a printable summary of the selection</t>
  </si>
  <si>
    <t>Product Select Description</t>
  </si>
  <si>
    <t>Copyright © 2024 SMARTAIR DIFFUSION</t>
  </si>
  <si>
    <t>* Based on 10 dB room absorption (refer to 'Notes' sheet for details)</t>
  </si>
  <si>
    <t>* Values valid for diffuser including side-entry connection box with round spigot (refer to 'Dimensions &amp; Connection Box' sheet for details</t>
  </si>
  <si>
    <t>Mean Room Air Velocity</t>
  </si>
  <si>
    <t>diffuser height</t>
  </si>
  <si>
    <t>Rows 58-60: Threat of draught when Cmin &gt; Cmax 
Consider: increasing 'Active Length Ratio'; increasing 'Turndown To'; decreasing 'ADPI'</t>
  </si>
  <si>
    <t xml:space="preserve">Row 61: Selected height (cell E17) &lt; Min recommended height </t>
  </si>
  <si>
    <t>Comfort note</t>
  </si>
  <si>
    <t>selected/nominal/avg distance</t>
  </si>
  <si>
    <t>m3/s/m2</t>
  </si>
  <si>
    <t>Manual C Distance</t>
  </si>
  <si>
    <t>(converted)</t>
  </si>
  <si>
    <t>Distance (from avg)</t>
  </si>
  <si>
    <t>lowpressure</t>
  </si>
  <si>
    <t>Default Value (SI) (L/s/m)</t>
  </si>
  <si>
    <r>
      <t>Default Value (SI) (m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/h/m)</t>
    </r>
  </si>
  <si>
    <t>Default Value (I-P)
(ft³/min/ft)</t>
  </si>
  <si>
    <t>Selected Dist converted</t>
  </si>
  <si>
    <t>v 3.3 [02/2025]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</si>
</sst>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%"/>
    <numFmt numFmtId="166" formatCode="0.0"/>
    <numFmt numFmtId="167" formatCode="0.0000"/>
    <numFmt numFmtId="168" formatCode="\+\ 0.0;\-\ 0.0;0.0"/>
    <numFmt numFmtId="169" formatCode="0.00000"/>
  </numFmts>
  <fonts count="93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0" tint="-0.49998474074526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color theme="1" tint="0.499984740745262"/>
      <name val="Calibri"/>
      <family val="2"/>
      <scheme val="minor"/>
    </font>
    <font>
      <b/>
      <sz val="11"/>
      <color theme="1" tint="0.499984740745262"/>
      <name val="Calibri"/>
      <family val="2"/>
    </font>
    <font>
      <b/>
      <sz val="11"/>
      <name val="Calibri"/>
      <family val="2"/>
      <scheme val="minor"/>
    </font>
    <font>
      <sz val="9"/>
      <color theme="1" tint="0.499984740745262"/>
      <name val="Calibri"/>
      <family val="2"/>
      <scheme val="minor"/>
    </font>
    <font>
      <sz val="9"/>
      <color theme="1" tint="0.499984740745262"/>
      <name val="Calibri"/>
      <family val="2"/>
    </font>
    <font>
      <b/>
      <sz val="9"/>
      <color theme="1" tint="0.499984740745262"/>
      <name val="Calibri"/>
      <family val="2"/>
    </font>
    <font>
      <sz val="11"/>
      <color theme="1" tint="0.34998626667073579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 tint="-0.499984740745262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1"/>
      <color theme="3"/>
      <name val="Calibri"/>
      <family val="2"/>
      <scheme val="minor"/>
    </font>
    <font>
      <b/>
      <sz val="16"/>
      <color rgb="FFFF9900"/>
      <name val="Calibri"/>
      <family val="2"/>
      <scheme val="minor"/>
    </font>
    <font>
      <sz val="14"/>
      <color rgb="FFFF9900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2"/>
      <color theme="3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FF99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5"/>
      <color theme="1" tint="0.499984740745262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bscript"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vertAlign val="subscript"/>
      <sz val="12"/>
      <color theme="1"/>
      <name val="Calibri"/>
      <family val="2"/>
    </font>
    <font>
      <b/>
      <vertAlign val="subscript"/>
      <sz val="12"/>
      <color theme="1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0"/>
      <color theme="1" tint="0.34998626667073579"/>
      <name val="Calibri"/>
      <family val="2"/>
      <scheme val="minor"/>
    </font>
    <font>
      <sz val="11"/>
      <color theme="1" tint="0.34998626667073579"/>
      <name val="Calibri"/>
      <family val="2"/>
    </font>
    <font>
      <i/>
      <vertAlign val="subscript"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0"/>
      <name val="Calibri"/>
      <family val="2"/>
      <scheme val="minor"/>
    </font>
    <font>
      <sz val="11"/>
      <color theme="0" tint="-0.499984740745262"/>
      <name val="Calibri"/>
      <family val="2"/>
    </font>
    <font>
      <sz val="11"/>
      <color theme="0" tint="-4.9989318521683403E-2"/>
      <name val="Calibri"/>
      <family val="2"/>
      <scheme val="minor"/>
    </font>
    <font>
      <sz val="11"/>
      <color theme="1" tint="0.499984740745262"/>
      <name val="Calibri"/>
      <family val="2"/>
      <scheme val="minor"/>
    </font>
    <font>
      <b/>
      <sz val="10"/>
      <color theme="1" tint="0.499984740745262"/>
      <name val="Calibri"/>
      <family val="2"/>
      <scheme val="minor"/>
    </font>
    <font>
      <sz val="10"/>
      <color theme="1" tint="0.34998626667073579"/>
      <name val="Calibri"/>
      <family val="2"/>
    </font>
    <font>
      <vertAlign val="superscript"/>
      <sz val="11"/>
      <color theme="1" tint="0.34998626667073579"/>
      <name val="Calibri"/>
      <family val="2"/>
      <scheme val="minor"/>
    </font>
    <font>
      <sz val="16"/>
      <color theme="1"/>
      <name val="Cambria"/>
      <family val="1"/>
      <scheme val="major"/>
    </font>
    <font>
      <b/>
      <sz val="16"/>
      <color theme="1"/>
      <name val="Cambria"/>
      <family val="1"/>
      <scheme val="maj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0" tint="-4.9989318521683403E-2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26"/>
      <color theme="0"/>
      <name val="Calibri"/>
      <family val="2"/>
      <scheme val="minor"/>
    </font>
    <font>
      <i/>
      <sz val="11"/>
      <color theme="1" tint="0.34998626667073579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 tint="0.14999847407452621"/>
      <name val="Calibri"/>
      <family val="2"/>
    </font>
    <font>
      <b/>
      <sz val="12"/>
      <name val="Calibri"/>
      <family val="2"/>
      <scheme val="minor"/>
    </font>
    <font>
      <b/>
      <sz val="15"/>
      <color rgb="FF242424"/>
      <name val="Calibri"/>
      <family val="2"/>
    </font>
    <font>
      <b/>
      <sz val="11"/>
      <color theme="1" tint="0.249977111117893"/>
      <name val="Calibri"/>
      <family val="2"/>
      <scheme val="minor"/>
    </font>
    <font>
      <b/>
      <sz val="10"/>
      <color theme="1" tint="0.14999847407452621"/>
      <name val="Calibri"/>
      <family val="2"/>
      <scheme val="minor"/>
    </font>
    <font>
      <sz val="8"/>
      <color rgb="FF000000"/>
      <name val="Segoe UI"/>
      <family val="2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b/>
      <sz val="10"/>
      <color theme="1"/>
      <name val="Aptos"/>
      <family val="2"/>
    </font>
    <font>
      <sz val="11"/>
      <color theme="1"/>
      <name val="Aptos"/>
      <family val="2"/>
    </font>
    <font>
      <sz val="10"/>
      <color theme="1"/>
      <name val="Aptos"/>
      <family val="2"/>
    </font>
    <font>
      <sz val="9"/>
      <color theme="1"/>
      <name val="Aptos"/>
      <family val="2"/>
    </font>
    <font>
      <b/>
      <i/>
      <sz val="10"/>
      <color theme="1"/>
      <name val="Aptos"/>
      <family val="2"/>
    </font>
    <font>
      <i/>
      <sz val="11"/>
      <color theme="1"/>
      <name val="Times New Roman"/>
      <family val="1"/>
    </font>
    <font>
      <i/>
      <sz val="10"/>
      <color theme="1"/>
      <name val="Aptos"/>
      <family val="2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vertAlign val="superscript"/>
      <sz val="11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theme="0" tint="-0.1499984740745262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trike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7CE"/>
      </patternFill>
    </fill>
  </fills>
  <borders count="7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double">
        <color rgb="FFFF8001"/>
      </bottom>
      <diagonal/>
    </border>
    <border>
      <left style="thin">
        <color theme="1" tint="0.14996795556505021"/>
      </left>
      <right/>
      <top style="thin">
        <color theme="1" tint="0.14996795556505021"/>
      </top>
      <bottom/>
      <diagonal/>
    </border>
    <border>
      <left/>
      <right/>
      <top style="thin">
        <color theme="1" tint="0.14996795556505021"/>
      </top>
      <bottom/>
      <diagonal/>
    </border>
    <border>
      <left style="thin">
        <color theme="1" tint="0.14996795556505021"/>
      </left>
      <right/>
      <top/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1" tint="0.14996795556505021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249977111117893"/>
      </top>
      <bottom/>
      <diagonal/>
    </border>
    <border>
      <left/>
      <right/>
      <top style="medium">
        <color theme="0" tint="-0.249977111117893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0" tint="-0.24994659260841701"/>
      </top>
      <bottom/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0" tint="-0.249977111117893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theme="0" tint="-0.249977111117893"/>
      </bottom>
      <diagonal/>
    </border>
    <border>
      <left style="thin">
        <color indexed="64"/>
      </left>
      <right/>
      <top/>
      <bottom/>
      <diagonal/>
    </border>
    <border>
      <left style="thin">
        <color theme="9" tint="-0.249977111117893"/>
      </left>
      <right/>
      <top/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double">
        <color theme="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indexed="64"/>
      </top>
      <bottom style="thin">
        <color theme="1" tint="0.249977111117893"/>
      </bottom>
      <diagonal/>
    </border>
    <border>
      <left style="thin">
        <color theme="1" tint="0.249977111117893"/>
      </left>
      <right/>
      <top style="thin">
        <color indexed="64"/>
      </top>
      <bottom style="thin">
        <color theme="1" tint="0.249977111117893"/>
      </bottom>
      <diagonal/>
    </border>
    <border>
      <left style="thin">
        <color theme="1" tint="0.249977111117893"/>
      </left>
      <right/>
      <top/>
      <bottom/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/>
      <top/>
      <bottom style="thin">
        <color theme="0" tint="-0.34998626667073579"/>
      </bottom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/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249977111117893"/>
      </bottom>
      <diagonal/>
    </border>
    <border>
      <left/>
      <right/>
      <top style="thin">
        <color theme="1" tint="0.249977111117893"/>
      </top>
      <bottom/>
      <diagonal/>
    </border>
    <border>
      <left style="thin">
        <color theme="1" tint="0.249977111117893"/>
      </left>
      <right style="thin">
        <color theme="1" tint="0.34998626667073579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34998626667073579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indexed="64"/>
      </top>
      <bottom/>
      <diagonal/>
    </border>
    <border>
      <left style="thin">
        <color theme="1" tint="0.249977111117893"/>
      </left>
      <right style="thin">
        <color theme="1" tint="0.249977111117893"/>
      </right>
      <top/>
      <bottom/>
      <diagonal/>
    </border>
    <border>
      <left style="thin">
        <color theme="1" tint="0.249977111117893"/>
      </left>
      <right style="thin">
        <color theme="1" tint="0.249977111117893"/>
      </right>
      <top/>
      <bottom style="thin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indexed="64"/>
      </top>
      <bottom/>
      <diagonal/>
    </border>
    <border>
      <left style="thin">
        <color theme="1" tint="0.249977111117893"/>
      </left>
      <right/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/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indexed="64"/>
      </top>
      <bottom/>
      <diagonal/>
    </border>
    <border>
      <left/>
      <right style="thin">
        <color theme="1" tint="0.249977111117893"/>
      </right>
      <top/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indexed="64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0" tint="-0.34998626667073579"/>
      </bottom>
      <diagonal/>
    </border>
    <border>
      <left/>
      <right style="thin">
        <color theme="1" tint="0.34998626667073579"/>
      </right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indexed="64"/>
      </right>
      <top/>
      <bottom style="thin">
        <color theme="0" tint="-0.249977111117893"/>
      </bottom>
      <diagonal/>
    </border>
    <border>
      <left/>
      <right style="thin">
        <color theme="1" tint="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 style="double">
        <color rgb="FFFF8001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double">
        <color rgb="FFFF800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1" applyNumberFormat="0" applyFill="0" applyAlignment="0" applyProtection="0"/>
    <xf numFmtId="9" fontId="6" fillId="0" borderId="0" applyFont="0" applyFill="0" applyBorder="0" applyAlignment="0" applyProtection="0"/>
    <xf numFmtId="0" fontId="6" fillId="2" borderId="2" applyNumberFormat="0" applyFont="0" applyAlignment="0" applyProtection="0"/>
    <xf numFmtId="0" fontId="8" fillId="0" borderId="3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91" fillId="13" borderId="0" applyNumberFormat="0" applyBorder="0" applyAlignment="0" applyProtection="0"/>
  </cellStyleXfs>
  <cellXfs count="494">
    <xf numFmtId="0" fontId="0" fillId="0" borderId="0" xfId="0"/>
    <xf numFmtId="9" fontId="0" fillId="0" borderId="0" xfId="0" applyNumberFormat="1"/>
    <xf numFmtId="0" fontId="1" fillId="0" borderId="1" xfId="1"/>
    <xf numFmtId="0" fontId="2" fillId="0" borderId="0" xfId="0" applyFont="1"/>
    <xf numFmtId="10" fontId="0" fillId="0" borderId="0" xfId="0" applyNumberFormat="1"/>
    <xf numFmtId="11" fontId="0" fillId="0" borderId="0" xfId="0" applyNumberFormat="1"/>
    <xf numFmtId="2" fontId="0" fillId="0" borderId="0" xfId="0" applyNumberFormat="1"/>
    <xf numFmtId="164" fontId="0" fillId="0" borderId="0" xfId="0" applyNumberForma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left"/>
    </xf>
    <xf numFmtId="9" fontId="0" fillId="0" borderId="0" xfId="2" applyFont="1"/>
    <xf numFmtId="0" fontId="0" fillId="2" borderId="2" xfId="3" applyFont="1"/>
    <xf numFmtId="165" fontId="0" fillId="0" borderId="0" xfId="2" applyNumberFormat="1" applyFont="1"/>
    <xf numFmtId="0" fontId="0" fillId="0" borderId="0" xfId="2" applyNumberFormat="1" applyFont="1"/>
    <xf numFmtId="0" fontId="0" fillId="0" borderId="0" xfId="0" applyAlignment="1">
      <alignment horizontal="center" vertical="center"/>
    </xf>
    <xf numFmtId="0" fontId="0" fillId="5" borderId="0" xfId="0" applyFill="1"/>
    <xf numFmtId="0" fontId="0" fillId="5" borderId="0" xfId="0" applyFill="1" applyAlignment="1">
      <alignment horizontal="right"/>
    </xf>
    <xf numFmtId="0" fontId="0" fillId="5" borderId="0" xfId="0" applyFill="1" applyAlignment="1">
      <alignment horizontal="center"/>
    </xf>
    <xf numFmtId="0" fontId="11" fillId="5" borderId="0" xfId="0" applyFont="1" applyFill="1" applyAlignment="1">
      <alignment horizontal="right"/>
    </xf>
    <xf numFmtId="0" fontId="12" fillId="5" borderId="0" xfId="0" applyFont="1" applyFill="1" applyAlignment="1">
      <alignment horizontal="right"/>
    </xf>
    <xf numFmtId="0" fontId="10" fillId="5" borderId="0" xfId="0" applyFont="1" applyFill="1" applyAlignment="1">
      <alignment horizontal="left" vertical="top"/>
    </xf>
    <xf numFmtId="0" fontId="0" fillId="5" borderId="0" xfId="0" applyFill="1" applyAlignment="1">
      <alignment horizontal="center" vertical="center"/>
    </xf>
    <xf numFmtId="0" fontId="18" fillId="5" borderId="0" xfId="0" applyFont="1" applyFill="1" applyAlignment="1">
      <alignment horizontal="left" vertical="center"/>
    </xf>
    <xf numFmtId="0" fontId="13" fillId="4" borderId="4" xfId="4" applyFont="1" applyFill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7" fillId="5" borderId="0" xfId="0" applyFont="1" applyFill="1"/>
    <xf numFmtId="0" fontId="20" fillId="5" borderId="0" xfId="0" applyFont="1" applyFill="1"/>
    <xf numFmtId="0" fontId="0" fillId="3" borderId="5" xfId="0" applyFill="1" applyBorder="1"/>
    <xf numFmtId="0" fontId="0" fillId="3" borderId="6" xfId="0" applyFill="1" applyBorder="1"/>
    <xf numFmtId="0" fontId="0" fillId="3" borderId="0" xfId="0" applyFill="1"/>
    <xf numFmtId="0" fontId="0" fillId="3" borderId="7" xfId="0" applyFill="1" applyBorder="1"/>
    <xf numFmtId="0" fontId="23" fillId="3" borderId="0" xfId="0" applyFont="1" applyFill="1"/>
    <xf numFmtId="0" fontId="25" fillId="3" borderId="0" xfId="0" applyFont="1" applyFill="1" applyAlignment="1">
      <alignment vertical="center"/>
    </xf>
    <xf numFmtId="0" fontId="26" fillId="3" borderId="0" xfId="5" applyFont="1" applyFill="1"/>
    <xf numFmtId="0" fontId="21" fillId="3" borderId="0" xfId="5" applyFill="1"/>
    <xf numFmtId="0" fontId="29" fillId="3" borderId="8" xfId="7" applyFont="1" applyFill="1" applyBorder="1" applyAlignment="1">
      <alignment vertical="center"/>
    </xf>
    <xf numFmtId="0" fontId="30" fillId="5" borderId="0" xfId="0" applyFont="1" applyFill="1" applyAlignment="1">
      <alignment horizontal="right" vertical="center"/>
    </xf>
    <xf numFmtId="0" fontId="30" fillId="4" borderId="9" xfId="0" applyFont="1" applyFill="1" applyBorder="1" applyAlignment="1">
      <alignment horizontal="center" vertical="center"/>
    </xf>
    <xf numFmtId="0" fontId="30" fillId="6" borderId="9" xfId="0" applyFont="1" applyFill="1" applyBorder="1" applyAlignment="1">
      <alignment horizontal="center" vertical="center"/>
    </xf>
    <xf numFmtId="0" fontId="0" fillId="5" borderId="10" xfId="0" applyFill="1" applyBorder="1"/>
    <xf numFmtId="0" fontId="0" fillId="0" borderId="11" xfId="0" applyBorder="1"/>
    <xf numFmtId="0" fontId="0" fillId="0" borderId="11" xfId="0" applyBorder="1" applyAlignment="1">
      <alignment horizontal="center" vertical="center"/>
    </xf>
    <xf numFmtId="0" fontId="0" fillId="5" borderId="13" xfId="0" applyFill="1" applyBorder="1"/>
    <xf numFmtId="0" fontId="0" fillId="5" borderId="14" xfId="0" applyFill="1" applyBorder="1" applyAlignment="1">
      <alignment horizontal="right"/>
    </xf>
    <xf numFmtId="0" fontId="0" fillId="5" borderId="14" xfId="0" applyFill="1" applyBorder="1"/>
    <xf numFmtId="0" fontId="30" fillId="5" borderId="0" xfId="0" applyFont="1" applyFill="1" applyAlignment="1">
      <alignment horizontal="left" vertical="center"/>
    </xf>
    <xf numFmtId="0" fontId="0" fillId="0" borderId="0" xfId="0" applyAlignment="1">
      <alignment horizontal="right" vertical="center"/>
    </xf>
    <xf numFmtId="0" fontId="40" fillId="4" borderId="9" xfId="0" applyFont="1" applyFill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4" borderId="0" xfId="0" applyFill="1"/>
    <xf numFmtId="0" fontId="0" fillId="3" borderId="16" xfId="0" applyFill="1" applyBorder="1"/>
    <xf numFmtId="0" fontId="0" fillId="3" borderId="17" xfId="0" applyFill="1" applyBorder="1"/>
    <xf numFmtId="0" fontId="0" fillId="3" borderId="8" xfId="0" applyFill="1" applyBorder="1"/>
    <xf numFmtId="0" fontId="0" fillId="3" borderId="18" xfId="0" applyFill="1" applyBorder="1"/>
    <xf numFmtId="0" fontId="0" fillId="3" borderId="19" xfId="0" applyFill="1" applyBorder="1"/>
    <xf numFmtId="0" fontId="25" fillId="3" borderId="20" xfId="0" applyFont="1" applyFill="1" applyBorder="1" applyAlignment="1">
      <alignment vertical="center"/>
    </xf>
    <xf numFmtId="0" fontId="0" fillId="3" borderId="20" xfId="0" applyFill="1" applyBorder="1"/>
    <xf numFmtId="0" fontId="0" fillId="5" borderId="19" xfId="0" applyFill="1" applyBorder="1"/>
    <xf numFmtId="0" fontId="0" fillId="5" borderId="20" xfId="0" applyFill="1" applyBorder="1"/>
    <xf numFmtId="0" fontId="36" fillId="5" borderId="0" xfId="0" applyFont="1" applyFill="1"/>
    <xf numFmtId="0" fontId="34" fillId="5" borderId="0" xfId="0" applyFont="1" applyFill="1"/>
    <xf numFmtId="0" fontId="36" fillId="5" borderId="0" xfId="0" applyFont="1" applyFill="1" applyAlignment="1">
      <alignment horizontal="left"/>
    </xf>
    <xf numFmtId="0" fontId="34" fillId="5" borderId="0" xfId="0" applyFont="1" applyFill="1" applyAlignment="1">
      <alignment horizontal="left"/>
    </xf>
    <xf numFmtId="0" fontId="3" fillId="5" borderId="0" xfId="0" applyFont="1" applyFill="1"/>
    <xf numFmtId="0" fontId="18" fillId="5" borderId="0" xfId="0" applyFont="1" applyFill="1"/>
    <xf numFmtId="0" fontId="30" fillId="5" borderId="0" xfId="0" applyFont="1" applyFill="1"/>
    <xf numFmtId="0" fontId="18" fillId="5" borderId="0" xfId="0" applyFont="1" applyFill="1" applyAlignment="1">
      <alignment horizontal="center"/>
    </xf>
    <xf numFmtId="0" fontId="33" fillId="5" borderId="0" xfId="0" applyFont="1" applyFill="1"/>
    <xf numFmtId="0" fontId="0" fillId="5" borderId="21" xfId="0" applyFill="1" applyBorder="1"/>
    <xf numFmtId="0" fontId="0" fillId="5" borderId="22" xfId="0" applyFill="1" applyBorder="1"/>
    <xf numFmtId="0" fontId="0" fillId="5" borderId="23" xfId="0" applyFill="1" applyBorder="1"/>
    <xf numFmtId="0" fontId="10" fillId="5" borderId="0" xfId="1" applyFont="1" applyFill="1" applyBorder="1" applyAlignment="1">
      <alignment horizontal="left"/>
    </xf>
    <xf numFmtId="0" fontId="34" fillId="5" borderId="0" xfId="1" applyFont="1" applyFill="1" applyBorder="1" applyAlignment="1">
      <alignment horizontal="left"/>
    </xf>
    <xf numFmtId="0" fontId="0" fillId="0" borderId="0" xfId="0" applyAlignment="1">
      <alignment horizontal="right"/>
    </xf>
    <xf numFmtId="0" fontId="0" fillId="0" borderId="0" xfId="0" applyAlignment="1" applyProtection="1">
      <alignment horizontal="right"/>
      <protection locked="0"/>
    </xf>
    <xf numFmtId="0" fontId="42" fillId="5" borderId="0" xfId="0" applyFont="1" applyFill="1" applyAlignment="1">
      <alignment horizontal="right" vertical="center"/>
    </xf>
    <xf numFmtId="2" fontId="0" fillId="0" borderId="0" xfId="2" applyNumberFormat="1" applyFont="1"/>
    <xf numFmtId="0" fontId="18" fillId="5" borderId="27" xfId="0" applyFont="1" applyFill="1" applyBorder="1" applyAlignment="1">
      <alignment horizontal="left" vertical="center"/>
    </xf>
    <xf numFmtId="0" fontId="18" fillId="0" borderId="26" xfId="0" applyFont="1" applyBorder="1" applyAlignment="1">
      <alignment horizontal="center" vertical="center"/>
    </xf>
    <xf numFmtId="0" fontId="20" fillId="5" borderId="0" xfId="0" applyFont="1" applyFill="1" applyAlignment="1">
      <alignment horizontal="left" indent="1"/>
    </xf>
    <xf numFmtId="0" fontId="0" fillId="6" borderId="0" xfId="0" applyFill="1" applyAlignment="1">
      <alignment horizontal="center" vertical="center"/>
    </xf>
    <xf numFmtId="0" fontId="30" fillId="6" borderId="0" xfId="0" applyFont="1" applyFill="1" applyAlignment="1">
      <alignment horizontal="left" vertical="center"/>
    </xf>
    <xf numFmtId="0" fontId="18" fillId="6" borderId="0" xfId="0" applyFont="1" applyFill="1" applyAlignment="1">
      <alignment horizontal="left" vertical="center" wrapText="1"/>
    </xf>
    <xf numFmtId="0" fontId="30" fillId="6" borderId="0" xfId="0" applyFont="1" applyFill="1" applyAlignment="1">
      <alignment horizontal="right" vertical="center"/>
    </xf>
    <xf numFmtId="0" fontId="18" fillId="6" borderId="24" xfId="0" applyFont="1" applyFill="1" applyBorder="1" applyAlignment="1">
      <alignment horizontal="left" vertical="center"/>
    </xf>
    <xf numFmtId="0" fontId="19" fillId="5" borderId="0" xfId="0" applyFont="1" applyFill="1" applyAlignment="1">
      <alignment horizontal="left" vertical="center"/>
    </xf>
    <xf numFmtId="0" fontId="19" fillId="5" borderId="33" xfId="0" applyFont="1" applyFill="1" applyBorder="1" applyAlignment="1">
      <alignment horizontal="left" vertical="center"/>
    </xf>
    <xf numFmtId="0" fontId="0" fillId="5" borderId="33" xfId="0" applyFill="1" applyBorder="1"/>
    <xf numFmtId="0" fontId="0" fillId="5" borderId="29" xfId="0" applyFill="1" applyBorder="1"/>
    <xf numFmtId="0" fontId="18" fillId="5" borderId="26" xfId="0" applyFont="1" applyFill="1" applyBorder="1" applyAlignment="1">
      <alignment horizontal="center" vertical="center"/>
    </xf>
    <xf numFmtId="0" fontId="18" fillId="5" borderId="31" xfId="0" applyFont="1" applyFill="1" applyBorder="1" applyAlignment="1">
      <alignment horizontal="center" vertical="center"/>
    </xf>
    <xf numFmtId="0" fontId="18" fillId="5" borderId="30" xfId="0" applyFont="1" applyFill="1" applyBorder="1" applyAlignment="1">
      <alignment horizontal="center" vertical="center"/>
    </xf>
    <xf numFmtId="0" fontId="18" fillId="5" borderId="32" xfId="0" applyFont="1" applyFill="1" applyBorder="1" applyAlignment="1">
      <alignment horizontal="center" vertical="center"/>
    </xf>
    <xf numFmtId="0" fontId="10" fillId="5" borderId="22" xfId="1" applyFont="1" applyFill="1" applyBorder="1" applyAlignment="1">
      <alignment horizontal="left"/>
    </xf>
    <xf numFmtId="0" fontId="18" fillId="5" borderId="0" xfId="0" applyFont="1" applyFill="1" applyAlignment="1">
      <alignment vertical="center"/>
    </xf>
    <xf numFmtId="0" fontId="18" fillId="5" borderId="28" xfId="0" applyFont="1" applyFill="1" applyBorder="1" applyAlignment="1">
      <alignment vertical="center"/>
    </xf>
    <xf numFmtId="0" fontId="18" fillId="5" borderId="24" xfId="0" applyFont="1" applyFill="1" applyBorder="1" applyAlignment="1">
      <alignment vertical="center"/>
    </xf>
    <xf numFmtId="0" fontId="18" fillId="5" borderId="33" xfId="0" applyFont="1" applyFill="1" applyBorder="1" applyAlignment="1">
      <alignment vertical="center"/>
    </xf>
    <xf numFmtId="0" fontId="18" fillId="5" borderId="29" xfId="0" applyFont="1" applyFill="1" applyBorder="1" applyAlignment="1">
      <alignment vertical="center"/>
    </xf>
    <xf numFmtId="0" fontId="45" fillId="0" borderId="11" xfId="0" applyFont="1" applyBorder="1"/>
    <xf numFmtId="0" fontId="9" fillId="0" borderId="0" xfId="4" applyFont="1" applyBorder="1" applyAlignment="1">
      <alignment horizontal="center" vertical="center"/>
    </xf>
    <xf numFmtId="0" fontId="45" fillId="0" borderId="0" xfId="0" applyFont="1"/>
    <xf numFmtId="167" fontId="0" fillId="0" borderId="0" xfId="0" applyNumberFormat="1"/>
    <xf numFmtId="0" fontId="25" fillId="3" borderId="8" xfId="0" applyFont="1" applyFill="1" applyBorder="1" applyAlignment="1">
      <alignment vertical="center"/>
    </xf>
    <xf numFmtId="9" fontId="13" fillId="5" borderId="4" xfId="4" applyNumberFormat="1" applyFont="1" applyFill="1" applyBorder="1" applyAlignment="1" applyProtection="1">
      <alignment horizontal="center" vertical="center"/>
      <protection locked="0"/>
    </xf>
    <xf numFmtId="0" fontId="13" fillId="5" borderId="4" xfId="4" applyFont="1" applyFill="1" applyBorder="1" applyAlignment="1" applyProtection="1">
      <alignment horizontal="center" vertical="center"/>
      <protection locked="0"/>
    </xf>
    <xf numFmtId="0" fontId="0" fillId="6" borderId="0" xfId="0" applyFill="1"/>
    <xf numFmtId="0" fontId="10" fillId="6" borderId="10" xfId="1" applyFont="1" applyFill="1" applyBorder="1"/>
    <xf numFmtId="0" fontId="31" fillId="6" borderId="10" xfId="1" applyFont="1" applyFill="1" applyBorder="1"/>
    <xf numFmtId="0" fontId="0" fillId="6" borderId="10" xfId="0" applyFill="1" applyBorder="1"/>
    <xf numFmtId="0" fontId="0" fillId="6" borderId="0" xfId="0" applyFill="1" applyAlignment="1">
      <alignment horizontal="right"/>
    </xf>
    <xf numFmtId="0" fontId="17" fillId="6" borderId="0" xfId="0" applyFont="1" applyFill="1"/>
    <xf numFmtId="0" fontId="11" fillId="6" borderId="0" xfId="6" applyFont="1" applyFill="1" applyAlignment="1">
      <alignment horizontal="right"/>
    </xf>
    <xf numFmtId="0" fontId="43" fillId="6" borderId="0" xfId="0" applyFont="1" applyFill="1"/>
    <xf numFmtId="0" fontId="11" fillId="6" borderId="0" xfId="6" applyFont="1" applyFill="1" applyAlignment="1">
      <alignment horizontal="right" vertical="center"/>
    </xf>
    <xf numFmtId="0" fontId="11" fillId="6" borderId="0" xfId="0" applyFont="1" applyFill="1"/>
    <xf numFmtId="0" fontId="0" fillId="6" borderId="0" xfId="0" applyFill="1" applyAlignment="1">
      <alignment vertical="center"/>
    </xf>
    <xf numFmtId="0" fontId="14" fillId="6" borderId="0" xfId="0" applyFont="1" applyFill="1" applyAlignment="1">
      <alignment horizontal="right" vertical="center"/>
    </xf>
    <xf numFmtId="0" fontId="14" fillId="6" borderId="0" xfId="0" applyFont="1" applyFill="1" applyAlignment="1">
      <alignment vertical="center"/>
    </xf>
    <xf numFmtId="0" fontId="0" fillId="6" borderId="14" xfId="0" applyFill="1" applyBorder="1" applyAlignment="1">
      <alignment vertical="center"/>
    </xf>
    <xf numFmtId="0" fontId="14" fillId="6" borderId="14" xfId="0" applyFont="1" applyFill="1" applyBorder="1" applyAlignment="1">
      <alignment horizontal="right" vertical="center"/>
    </xf>
    <xf numFmtId="0" fontId="14" fillId="6" borderId="14" xfId="0" applyFont="1" applyFill="1" applyBorder="1" applyAlignment="1">
      <alignment vertical="center"/>
    </xf>
    <xf numFmtId="0" fontId="0" fillId="6" borderId="14" xfId="0" applyFill="1" applyBorder="1"/>
    <xf numFmtId="0" fontId="0" fillId="6" borderId="15" xfId="0" applyFill="1" applyBorder="1"/>
    <xf numFmtId="0" fontId="4" fillId="6" borderId="0" xfId="0" applyFont="1" applyFill="1"/>
    <xf numFmtId="0" fontId="47" fillId="6" borderId="0" xfId="0" applyFont="1" applyFill="1"/>
    <xf numFmtId="0" fontId="47" fillId="6" borderId="0" xfId="0" applyFont="1" applyFill="1" applyAlignment="1">
      <alignment vertical="top"/>
    </xf>
    <xf numFmtId="0" fontId="0" fillId="0" borderId="0" xfId="0" quotePrefix="1"/>
    <xf numFmtId="0" fontId="0" fillId="5" borderId="0" xfId="0" applyFill="1" applyAlignment="1">
      <alignment horizontal="right" vertical="center"/>
    </xf>
    <xf numFmtId="0" fontId="48" fillId="5" borderId="0" xfId="0" applyFont="1" applyFill="1" applyAlignment="1">
      <alignment horizontal="right" vertical="center"/>
    </xf>
    <xf numFmtId="0" fontId="0" fillId="6" borderId="33" xfId="0" applyFill="1" applyBorder="1"/>
    <xf numFmtId="0" fontId="43" fillId="6" borderId="35" xfId="0" applyFont="1" applyFill="1" applyBorder="1"/>
    <xf numFmtId="0" fontId="0" fillId="6" borderId="0" xfId="0" applyFill="1" applyAlignment="1">
      <alignment horizontal="left"/>
    </xf>
    <xf numFmtId="0" fontId="42" fillId="6" borderId="0" xfId="0" applyFont="1" applyFill="1" applyAlignment="1">
      <alignment vertical="top"/>
    </xf>
    <xf numFmtId="0" fontId="51" fillId="6" borderId="0" xfId="0" applyFont="1" applyFill="1" applyAlignment="1">
      <alignment vertical="top"/>
    </xf>
    <xf numFmtId="0" fontId="47" fillId="6" borderId="0" xfId="0" applyFont="1" applyFill="1" applyAlignment="1">
      <alignment vertical="center"/>
    </xf>
    <xf numFmtId="166" fontId="13" fillId="5" borderId="4" xfId="4" applyNumberFormat="1" applyFont="1" applyFill="1" applyBorder="1" applyAlignment="1" applyProtection="1">
      <alignment horizontal="center" vertical="center"/>
      <protection locked="0"/>
    </xf>
    <xf numFmtId="0" fontId="51" fillId="6" borderId="0" xfId="0" applyFont="1" applyFill="1" applyAlignment="1">
      <alignment vertical="center"/>
    </xf>
    <xf numFmtId="0" fontId="54" fillId="5" borderId="33" xfId="0" applyFont="1" applyFill="1" applyBorder="1" applyAlignment="1">
      <alignment horizontal="right"/>
    </xf>
    <xf numFmtId="0" fontId="10" fillId="6" borderId="0" xfId="0" applyFont="1" applyFill="1" applyAlignment="1">
      <alignment horizontal="left" vertical="center"/>
    </xf>
    <xf numFmtId="0" fontId="30" fillId="6" borderId="0" xfId="0" applyFont="1" applyFill="1" applyAlignment="1">
      <alignment vertical="top"/>
    </xf>
    <xf numFmtId="0" fontId="55" fillId="0" borderId="0" xfId="0" applyFont="1"/>
    <xf numFmtId="0" fontId="56" fillId="0" borderId="0" xfId="0" applyFont="1" applyAlignment="1">
      <alignment vertical="center"/>
    </xf>
    <xf numFmtId="0" fontId="57" fillId="0" borderId="0" xfId="0" applyFont="1" applyAlignment="1">
      <alignment vertical="center"/>
    </xf>
    <xf numFmtId="0" fontId="58" fillId="0" borderId="0" xfId="0" applyFont="1" applyAlignment="1">
      <alignment vertical="center"/>
    </xf>
    <xf numFmtId="0" fontId="59" fillId="0" borderId="0" xfId="0" applyFont="1"/>
    <xf numFmtId="0" fontId="0" fillId="5" borderId="0" xfId="0" quotePrefix="1" applyFill="1"/>
    <xf numFmtId="166" fontId="0" fillId="0" borderId="0" xfId="0" applyNumberFormat="1"/>
    <xf numFmtId="0" fontId="0" fillId="0" borderId="38" xfId="0" applyBorder="1"/>
    <xf numFmtId="9" fontId="0" fillId="0" borderId="38" xfId="0" applyNumberFormat="1" applyBorder="1"/>
    <xf numFmtId="0" fontId="2" fillId="0" borderId="38" xfId="0" applyFont="1" applyBorder="1"/>
    <xf numFmtId="0" fontId="9" fillId="3" borderId="0" xfId="0" applyFont="1" applyFill="1" applyAlignment="1">
      <alignment horizontal="center" vertical="center"/>
    </xf>
    <xf numFmtId="167" fontId="0" fillId="0" borderId="0" xfId="0" applyNumberFormat="1" applyAlignment="1">
      <alignment horizontal="left"/>
    </xf>
    <xf numFmtId="1" fontId="0" fillId="0" borderId="0" xfId="0" applyNumberFormat="1"/>
    <xf numFmtId="169" fontId="0" fillId="0" borderId="0" xfId="0" applyNumberFormat="1"/>
    <xf numFmtId="0" fontId="0" fillId="0" borderId="0" xfId="0" applyAlignment="1">
      <alignment horizontal="center"/>
    </xf>
    <xf numFmtId="0" fontId="11" fillId="5" borderId="0" xfId="6" applyFont="1" applyFill="1" applyAlignment="1">
      <alignment horizontal="left" indent="2"/>
    </xf>
    <xf numFmtId="0" fontId="11" fillId="5" borderId="0" xfId="6" applyFont="1" applyFill="1" applyAlignment="1">
      <alignment horizontal="right" indent="2"/>
    </xf>
    <xf numFmtId="0" fontId="18" fillId="6" borderId="25" xfId="0" applyFont="1" applyFill="1" applyBorder="1" applyAlignment="1">
      <alignment horizontal="center" vertical="center"/>
    </xf>
    <xf numFmtId="0" fontId="60" fillId="0" borderId="0" xfId="0" applyFont="1"/>
    <xf numFmtId="165" fontId="0" fillId="0" borderId="0" xfId="0" applyNumberFormat="1"/>
    <xf numFmtId="0" fontId="3" fillId="0" borderId="0" xfId="0" applyFont="1"/>
    <xf numFmtId="0" fontId="0" fillId="4" borderId="0" xfId="0" applyFill="1" applyAlignment="1">
      <alignment horizontal="center"/>
    </xf>
    <xf numFmtId="0" fontId="18" fillId="6" borderId="0" xfId="0" applyFont="1" applyFill="1" applyAlignment="1">
      <alignment horizontal="center" vertical="center"/>
    </xf>
    <xf numFmtId="0" fontId="3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2" fillId="6" borderId="0" xfId="0" applyFont="1" applyFill="1" applyAlignment="1">
      <alignment horizontal="center" vertical="center"/>
    </xf>
    <xf numFmtId="0" fontId="0" fillId="6" borderId="0" xfId="0" applyFill="1" applyAlignment="1">
      <alignment horizontal="right" vertical="center"/>
    </xf>
    <xf numFmtId="0" fontId="63" fillId="6" borderId="0" xfId="0" applyFont="1" applyFill="1" applyAlignment="1">
      <alignment horizontal="left" vertical="center"/>
    </xf>
    <xf numFmtId="0" fontId="18" fillId="6" borderId="42" xfId="0" applyFont="1" applyFill="1" applyBorder="1" applyAlignment="1">
      <alignment horizontal="left" vertical="center"/>
    </xf>
    <xf numFmtId="0" fontId="27" fillId="6" borderId="0" xfId="6" applyFont="1" applyFill="1" applyBorder="1"/>
    <xf numFmtId="0" fontId="0" fillId="6" borderId="43" xfId="0" applyFill="1" applyBorder="1"/>
    <xf numFmtId="0" fontId="0" fillId="6" borderId="0" xfId="0" applyFill="1" applyAlignment="1">
      <alignment horizontal="left" vertical="center" indent="1"/>
    </xf>
    <xf numFmtId="0" fontId="0" fillId="6" borderId="0" xfId="0" applyFill="1" applyAlignment="1">
      <alignment horizontal="right" vertical="center" indent="2"/>
    </xf>
    <xf numFmtId="0" fontId="0" fillId="0" borderId="33" xfId="0" applyBorder="1"/>
    <xf numFmtId="0" fontId="18" fillId="4" borderId="30" xfId="0" applyFont="1" applyFill="1" applyBorder="1" applyAlignment="1">
      <alignment horizontal="center" vertical="center"/>
    </xf>
    <xf numFmtId="0" fontId="18" fillId="4" borderId="31" xfId="0" applyFont="1" applyFill="1" applyBorder="1" applyAlignment="1">
      <alignment horizontal="center" vertical="center"/>
    </xf>
    <xf numFmtId="0" fontId="18" fillId="4" borderId="32" xfId="0" applyFont="1" applyFill="1" applyBorder="1" applyAlignment="1">
      <alignment horizontal="center" vertical="center"/>
    </xf>
    <xf numFmtId="1" fontId="18" fillId="4" borderId="30" xfId="0" applyNumberFormat="1" applyFont="1" applyFill="1" applyBorder="1" applyAlignment="1">
      <alignment horizontal="center" vertical="center"/>
    </xf>
    <xf numFmtId="1" fontId="19" fillId="4" borderId="30" xfId="0" applyNumberFormat="1" applyFont="1" applyFill="1" applyBorder="1" applyAlignment="1">
      <alignment horizontal="center" vertical="center"/>
    </xf>
    <xf numFmtId="9" fontId="18" fillId="4" borderId="30" xfId="2" applyFont="1" applyFill="1" applyBorder="1" applyAlignment="1">
      <alignment horizontal="center" vertical="center"/>
    </xf>
    <xf numFmtId="9" fontId="19" fillId="4" borderId="30" xfId="2" applyFont="1" applyFill="1" applyBorder="1" applyAlignment="1">
      <alignment horizontal="center" vertical="center"/>
    </xf>
    <xf numFmtId="166" fontId="18" fillId="4" borderId="30" xfId="0" applyNumberFormat="1" applyFont="1" applyFill="1" applyBorder="1" applyAlignment="1">
      <alignment horizontal="center" vertical="center"/>
    </xf>
    <xf numFmtId="165" fontId="18" fillId="4" borderId="30" xfId="0" applyNumberFormat="1" applyFont="1" applyFill="1" applyBorder="1" applyAlignment="1">
      <alignment horizontal="center" vertical="center"/>
    </xf>
    <xf numFmtId="1" fontId="18" fillId="4" borderId="37" xfId="0" applyNumberFormat="1" applyFont="1" applyFill="1" applyBorder="1" applyAlignment="1">
      <alignment horizontal="center" vertical="center"/>
    </xf>
    <xf numFmtId="166" fontId="18" fillId="4" borderId="38" xfId="0" applyNumberFormat="1" applyFont="1" applyFill="1" applyBorder="1" applyAlignment="1">
      <alignment horizontal="center" vertical="center"/>
    </xf>
    <xf numFmtId="166" fontId="18" fillId="4" borderId="37" xfId="0" applyNumberFormat="1" applyFont="1" applyFill="1" applyBorder="1" applyAlignment="1">
      <alignment horizontal="center" vertical="center"/>
    </xf>
    <xf numFmtId="1" fontId="18" fillId="4" borderId="39" xfId="0" applyNumberFormat="1" applyFont="1" applyFill="1" applyBorder="1" applyAlignment="1">
      <alignment horizontal="center" vertical="center"/>
    </xf>
    <xf numFmtId="166" fontId="18" fillId="4" borderId="40" xfId="0" applyNumberFormat="1" applyFont="1" applyFill="1" applyBorder="1" applyAlignment="1">
      <alignment horizontal="center" vertical="center"/>
    </xf>
    <xf numFmtId="11" fontId="0" fillId="0" borderId="0" xfId="3" applyNumberFormat="1" applyFont="1" applyFill="1" applyBorder="1"/>
    <xf numFmtId="166" fontId="19" fillId="4" borderId="30" xfId="0" applyNumberFormat="1" applyFont="1" applyFill="1" applyBorder="1" applyAlignment="1">
      <alignment horizontal="center" vertical="center"/>
    </xf>
    <xf numFmtId="0" fontId="2" fillId="5" borderId="0" xfId="0" applyFont="1" applyFill="1"/>
    <xf numFmtId="168" fontId="18" fillId="4" borderId="30" xfId="0" applyNumberFormat="1" applyFont="1" applyFill="1" applyBorder="1" applyAlignment="1">
      <alignment horizontal="center" vertical="center"/>
    </xf>
    <xf numFmtId="166" fontId="18" fillId="4" borderId="32" xfId="0" applyNumberFormat="1" applyFont="1" applyFill="1" applyBorder="1" applyAlignment="1">
      <alignment horizontal="center" vertical="center"/>
    </xf>
    <xf numFmtId="0" fontId="11" fillId="6" borderId="0" xfId="0" applyFont="1" applyFill="1" applyAlignment="1">
      <alignment horizontal="right"/>
    </xf>
    <xf numFmtId="0" fontId="0" fillId="6" borderId="0" xfId="0" applyFill="1" applyAlignment="1">
      <alignment horizontal="center"/>
    </xf>
    <xf numFmtId="167" fontId="0" fillId="2" borderId="2" xfId="3" applyNumberFormat="1" applyFont="1"/>
    <xf numFmtId="0" fontId="2" fillId="5" borderId="36" xfId="0" applyFont="1" applyFill="1" applyBorder="1" applyAlignment="1" applyProtection="1">
      <alignment horizontal="center" vertical="center"/>
      <protection locked="0"/>
    </xf>
    <xf numFmtId="0" fontId="18" fillId="6" borderId="0" xfId="0" applyFont="1" applyFill="1" applyAlignment="1">
      <alignment horizontal="left" vertical="center"/>
    </xf>
    <xf numFmtId="0" fontId="0" fillId="5" borderId="29" xfId="0" applyFill="1" applyBorder="1" applyAlignment="1">
      <alignment horizontal="left" vertical="center"/>
    </xf>
    <xf numFmtId="0" fontId="0" fillId="5" borderId="28" xfId="0" applyFill="1" applyBorder="1" applyAlignment="1">
      <alignment horizontal="left" vertical="center"/>
    </xf>
    <xf numFmtId="0" fontId="11" fillId="5" borderId="0" xfId="6" applyFont="1" applyFill="1" applyAlignment="1">
      <alignment horizontal="left"/>
    </xf>
    <xf numFmtId="0" fontId="11" fillId="5" borderId="0" xfId="0" applyFont="1" applyFill="1" applyAlignment="1">
      <alignment horizontal="center"/>
    </xf>
    <xf numFmtId="166" fontId="19" fillId="4" borderId="28" xfId="0" applyNumberFormat="1" applyFont="1" applyFill="1" applyBorder="1" applyAlignment="1">
      <alignment horizontal="center" vertical="center"/>
    </xf>
    <xf numFmtId="0" fontId="18" fillId="5" borderId="24" xfId="0" applyFont="1" applyFill="1" applyBorder="1" applyAlignment="1">
      <alignment horizontal="left" vertical="center"/>
    </xf>
    <xf numFmtId="0" fontId="18" fillId="5" borderId="33" xfId="0" applyFont="1" applyFill="1" applyBorder="1" applyAlignment="1">
      <alignment horizontal="left" vertical="center"/>
    </xf>
    <xf numFmtId="0" fontId="18" fillId="5" borderId="0" xfId="0" applyFont="1" applyFill="1" applyAlignment="1">
      <alignment horizontal="left" vertical="center" indent="2"/>
    </xf>
    <xf numFmtId="0" fontId="18" fillId="5" borderId="33" xfId="0" applyFont="1" applyFill="1" applyBorder="1" applyAlignment="1">
      <alignment horizontal="left" vertical="center" indent="2"/>
    </xf>
    <xf numFmtId="0" fontId="11" fillId="6" borderId="0" xfId="0" applyFont="1" applyFill="1" applyAlignment="1">
      <alignment vertical="center"/>
    </xf>
    <xf numFmtId="0" fontId="49" fillId="6" borderId="0" xfId="0" applyFont="1" applyFill="1" applyAlignment="1">
      <alignment horizontal="right" vertical="center"/>
    </xf>
    <xf numFmtId="0" fontId="11" fillId="6" borderId="0" xfId="6" applyFont="1" applyFill="1" applyAlignment="1">
      <alignment horizontal="left" vertical="center"/>
    </xf>
    <xf numFmtId="0" fontId="50" fillId="6" borderId="0" xfId="0" applyFont="1" applyFill="1" applyAlignment="1">
      <alignment vertical="center"/>
    </xf>
    <xf numFmtId="0" fontId="11" fillId="6" borderId="0" xfId="0" applyFont="1" applyFill="1" applyAlignment="1">
      <alignment horizontal="right" vertical="center"/>
    </xf>
    <xf numFmtId="0" fontId="4" fillId="6" borderId="0" xfId="0" applyFont="1" applyFill="1" applyAlignment="1">
      <alignment vertical="center"/>
    </xf>
    <xf numFmtId="0" fontId="0" fillId="4" borderId="12" xfId="0" applyFill="1" applyBorder="1"/>
    <xf numFmtId="0" fontId="0" fillId="4" borderId="12" xfId="0" applyFill="1" applyBorder="1" applyAlignment="1">
      <alignment horizontal="center" vertical="center"/>
    </xf>
    <xf numFmtId="0" fontId="0" fillId="4" borderId="44" xfId="0" applyFill="1" applyBorder="1"/>
    <xf numFmtId="0" fontId="61" fillId="5" borderId="33" xfId="0" applyFont="1" applyFill="1" applyBorder="1" applyAlignment="1" applyProtection="1">
      <alignment horizontal="center" vertical="center"/>
      <protection locked="0"/>
    </xf>
    <xf numFmtId="0" fontId="0" fillId="0" borderId="34" xfId="0" applyBorder="1"/>
    <xf numFmtId="0" fontId="0" fillId="5" borderId="22" xfId="0" applyFill="1" applyBorder="1" applyAlignment="1">
      <alignment vertical="top"/>
    </xf>
    <xf numFmtId="0" fontId="0" fillId="5" borderId="22" xfId="0" applyFill="1" applyBorder="1" applyAlignment="1">
      <alignment horizontal="right" vertical="top"/>
    </xf>
    <xf numFmtId="0" fontId="0" fillId="7" borderId="0" xfId="0" applyFill="1"/>
    <xf numFmtId="2" fontId="0" fillId="7" borderId="0" xfId="0" applyNumberFormat="1" applyFill="1"/>
    <xf numFmtId="0" fontId="64" fillId="7" borderId="0" xfId="0" applyFont="1" applyFill="1"/>
    <xf numFmtId="0" fontId="20" fillId="0" borderId="0" xfId="0" applyFont="1"/>
    <xf numFmtId="0" fontId="20" fillId="0" borderId="38" xfId="0" applyFont="1" applyBorder="1"/>
    <xf numFmtId="0" fontId="18" fillId="5" borderId="46" xfId="0" applyFont="1" applyFill="1" applyBorder="1" applyAlignment="1">
      <alignment horizontal="center" vertical="center"/>
    </xf>
    <xf numFmtId="0" fontId="9" fillId="8" borderId="0" xfId="0" applyFont="1" applyFill="1"/>
    <xf numFmtId="164" fontId="45" fillId="8" borderId="0" xfId="0" applyNumberFormat="1" applyFont="1" applyFill="1"/>
    <xf numFmtId="0" fontId="45" fillId="8" borderId="0" xfId="0" applyFont="1" applyFill="1"/>
    <xf numFmtId="11" fontId="45" fillId="8" borderId="0" xfId="0" applyNumberFormat="1" applyFont="1" applyFill="1"/>
    <xf numFmtId="168" fontId="18" fillId="4" borderId="48" xfId="0" applyNumberFormat="1" applyFont="1" applyFill="1" applyBorder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0" fillId="5" borderId="49" xfId="0" applyFill="1" applyBorder="1" applyAlignment="1">
      <alignment horizontal="left" vertical="center"/>
    </xf>
    <xf numFmtId="0" fontId="18" fillId="5" borderId="49" xfId="0" applyFont="1" applyFill="1" applyBorder="1" applyAlignment="1">
      <alignment horizontal="center" vertical="center"/>
    </xf>
    <xf numFmtId="0" fontId="18" fillId="5" borderId="48" xfId="0" applyFont="1" applyFill="1" applyBorder="1" applyAlignment="1">
      <alignment horizontal="center" vertical="center"/>
    </xf>
    <xf numFmtId="0" fontId="18" fillId="5" borderId="50" xfId="0" applyFont="1" applyFill="1" applyBorder="1" applyAlignment="1">
      <alignment horizontal="center" vertical="center"/>
    </xf>
    <xf numFmtId="0" fontId="18" fillId="5" borderId="51" xfId="0" applyFont="1" applyFill="1" applyBorder="1" applyAlignment="1">
      <alignment horizontal="center" vertical="center"/>
    </xf>
    <xf numFmtId="0" fontId="18" fillId="5" borderId="52" xfId="0" applyFont="1" applyFill="1" applyBorder="1" applyAlignment="1">
      <alignment horizontal="center" vertical="center"/>
    </xf>
    <xf numFmtId="0" fontId="2" fillId="5" borderId="41" xfId="0" applyFont="1" applyFill="1" applyBorder="1"/>
    <xf numFmtId="1" fontId="18" fillId="5" borderId="46" xfId="0" applyNumberFormat="1" applyFont="1" applyFill="1" applyBorder="1" applyAlignment="1">
      <alignment horizontal="center" vertical="center"/>
    </xf>
    <xf numFmtId="1" fontId="19" fillId="5" borderId="46" xfId="0" applyNumberFormat="1" applyFont="1" applyFill="1" applyBorder="1" applyAlignment="1">
      <alignment horizontal="center" vertical="center"/>
    </xf>
    <xf numFmtId="166" fontId="19" fillId="5" borderId="46" xfId="0" applyNumberFormat="1" applyFont="1" applyFill="1" applyBorder="1" applyAlignment="1">
      <alignment horizontal="center" vertical="center"/>
    </xf>
    <xf numFmtId="166" fontId="19" fillId="5" borderId="0" xfId="0" applyNumberFormat="1" applyFont="1" applyFill="1" applyAlignment="1">
      <alignment horizontal="center" vertical="center"/>
    </xf>
    <xf numFmtId="9" fontId="18" fillId="5" borderId="46" xfId="2" applyFont="1" applyFill="1" applyBorder="1" applyAlignment="1">
      <alignment horizontal="center" vertical="center"/>
    </xf>
    <xf numFmtId="9" fontId="18" fillId="5" borderId="0" xfId="2" applyFont="1" applyFill="1" applyBorder="1" applyAlignment="1">
      <alignment horizontal="center" vertical="center"/>
    </xf>
    <xf numFmtId="9" fontId="19" fillId="5" borderId="46" xfId="2" applyFont="1" applyFill="1" applyBorder="1" applyAlignment="1">
      <alignment horizontal="center" vertical="center"/>
    </xf>
    <xf numFmtId="9" fontId="19" fillId="5" borderId="0" xfId="2" applyFont="1" applyFill="1" applyBorder="1" applyAlignment="1">
      <alignment horizontal="center" vertical="center"/>
    </xf>
    <xf numFmtId="166" fontId="18" fillId="5" borderId="0" xfId="0" applyNumberFormat="1" applyFont="1" applyFill="1" applyAlignment="1">
      <alignment horizontal="center" vertical="center"/>
    </xf>
    <xf numFmtId="0" fontId="0" fillId="0" borderId="2" xfId="3" applyFont="1" applyFill="1"/>
    <xf numFmtId="0" fontId="0" fillId="5" borderId="24" xfId="0" applyFill="1" applyBorder="1" applyAlignment="1">
      <alignment horizontal="left" vertical="center"/>
    </xf>
    <xf numFmtId="0" fontId="0" fillId="5" borderId="33" xfId="0" applyFill="1" applyBorder="1" applyAlignment="1">
      <alignment horizontal="left" vertical="center"/>
    </xf>
    <xf numFmtId="0" fontId="2" fillId="10" borderId="0" xfId="0" applyFont="1" applyFill="1"/>
    <xf numFmtId="0" fontId="0" fillId="0" borderId="0" xfId="0" applyAlignment="1">
      <alignment wrapText="1"/>
    </xf>
    <xf numFmtId="168" fontId="18" fillId="4" borderId="32" xfId="0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top"/>
    </xf>
    <xf numFmtId="0" fontId="42" fillId="6" borderId="0" xfId="0" applyFont="1" applyFill="1" applyAlignment="1">
      <alignment horizontal="center" vertical="top"/>
    </xf>
    <xf numFmtId="0" fontId="0" fillId="0" borderId="0" xfId="0" applyAlignment="1" applyProtection="1">
      <alignment horizontal="left"/>
      <protection locked="0"/>
    </xf>
    <xf numFmtId="0" fontId="17" fillId="6" borderId="0" xfId="0" applyFont="1" applyFill="1" applyAlignment="1">
      <alignment horizontal="left" vertical="top" wrapText="1"/>
    </xf>
    <xf numFmtId="0" fontId="0" fillId="0" borderId="56" xfId="0" applyBorder="1"/>
    <xf numFmtId="0" fontId="2" fillId="5" borderId="0" xfId="0" applyFont="1" applyFill="1" applyAlignment="1">
      <alignment horizontal="left"/>
    </xf>
    <xf numFmtId="0" fontId="0" fillId="5" borderId="0" xfId="0" applyFill="1" applyAlignment="1">
      <alignment horizontal="left"/>
    </xf>
    <xf numFmtId="0" fontId="17" fillId="5" borderId="0" xfId="0" applyFont="1" applyFill="1" applyAlignment="1">
      <alignment horizontal="left" vertical="center"/>
    </xf>
    <xf numFmtId="0" fontId="17" fillId="5" borderId="0" xfId="0" applyFont="1" applyFill="1" applyAlignment="1">
      <alignment horizontal="left"/>
    </xf>
    <xf numFmtId="0" fontId="69" fillId="0" borderId="0" xfId="0" applyFont="1"/>
    <xf numFmtId="0" fontId="0" fillId="0" borderId="57" xfId="0" applyBorder="1" applyAlignment="1" applyProtection="1">
      <alignment horizontal="right"/>
      <protection locked="0"/>
    </xf>
    <xf numFmtId="0" fontId="0" fillId="0" borderId="57" xfId="0" applyBorder="1" applyProtection="1">
      <protection locked="0"/>
    </xf>
    <xf numFmtId="0" fontId="0" fillId="0" borderId="57" xfId="0" applyBorder="1"/>
    <xf numFmtId="0" fontId="0" fillId="6" borderId="0" xfId="0" applyFill="1" applyAlignment="1">
      <alignment horizontal="right" vertical="center" indent="1"/>
    </xf>
    <xf numFmtId="2" fontId="18" fillId="4" borderId="54" xfId="2" applyNumberFormat="1" applyFont="1" applyFill="1" applyBorder="1" applyAlignment="1">
      <alignment horizontal="center" vertical="center"/>
    </xf>
    <xf numFmtId="0" fontId="70" fillId="9" borderId="0" xfId="0" applyFont="1" applyFill="1" applyAlignment="1">
      <alignment horizontal="left" vertical="center"/>
    </xf>
    <xf numFmtId="0" fontId="34" fillId="5" borderId="42" xfId="0" applyFont="1" applyFill="1" applyBorder="1" applyAlignment="1" applyProtection="1">
      <alignment horizontal="center" vertical="center" wrapText="1"/>
      <protection locked="0"/>
    </xf>
    <xf numFmtId="0" fontId="70" fillId="9" borderId="33" xfId="0" applyFont="1" applyFill="1" applyBorder="1" applyAlignment="1">
      <alignment horizontal="left" vertical="center"/>
    </xf>
    <xf numFmtId="9" fontId="18" fillId="4" borderId="41" xfId="2" applyFont="1" applyFill="1" applyBorder="1" applyAlignment="1">
      <alignment horizontal="center" vertical="center"/>
    </xf>
    <xf numFmtId="0" fontId="71" fillId="5" borderId="33" xfId="6" applyFont="1" applyFill="1" applyBorder="1" applyAlignment="1">
      <alignment horizontal="left"/>
    </xf>
    <xf numFmtId="0" fontId="0" fillId="5" borderId="0" xfId="0" applyFill="1" applyAlignment="1">
      <alignment vertical="top"/>
    </xf>
    <xf numFmtId="0" fontId="0" fillId="5" borderId="0" xfId="0" applyFill="1" applyAlignment="1">
      <alignment horizontal="left" vertical="top" wrapText="1"/>
    </xf>
    <xf numFmtId="0" fontId="34" fillId="5" borderId="0" xfId="0" quotePrefix="1" applyFont="1" applyFill="1" applyAlignment="1">
      <alignment horizontal="right" vertical="top" wrapText="1"/>
    </xf>
    <xf numFmtId="0" fontId="34" fillId="5" borderId="0" xfId="0" applyFont="1" applyFill="1" applyAlignment="1">
      <alignment vertical="top" wrapText="1"/>
    </xf>
    <xf numFmtId="0" fontId="36" fillId="5" borderId="0" xfId="0" applyFont="1" applyFill="1" applyAlignment="1">
      <alignment vertical="top"/>
    </xf>
    <xf numFmtId="0" fontId="34" fillId="5" borderId="0" xfId="0" applyFont="1" applyFill="1" applyAlignment="1">
      <alignment vertical="top"/>
    </xf>
    <xf numFmtId="0" fontId="34" fillId="5" borderId="58" xfId="0" applyFont="1" applyFill="1" applyBorder="1"/>
    <xf numFmtId="0" fontId="34" fillId="5" borderId="60" xfId="0" applyFont="1" applyFill="1" applyBorder="1" applyAlignment="1">
      <alignment horizontal="center" vertical="center"/>
    </xf>
    <xf numFmtId="0" fontId="34" fillId="5" borderId="58" xfId="0" applyFont="1" applyFill="1" applyBorder="1" applyAlignment="1">
      <alignment vertical="top"/>
    </xf>
    <xf numFmtId="9" fontId="34" fillId="5" borderId="60" xfId="2" applyFont="1" applyFill="1" applyBorder="1" applyAlignment="1">
      <alignment horizontal="center" vertical="center"/>
    </xf>
    <xf numFmtId="0" fontId="72" fillId="5" borderId="33" xfId="0" applyFont="1" applyFill="1" applyBorder="1"/>
    <xf numFmtId="0" fontId="17" fillId="6" borderId="0" xfId="0" applyFont="1" applyFill="1" applyAlignment="1">
      <alignment vertical="top" wrapText="1"/>
    </xf>
    <xf numFmtId="0" fontId="73" fillId="6" borderId="33" xfId="0" applyFont="1" applyFill="1" applyBorder="1" applyAlignment="1">
      <alignment vertical="center"/>
    </xf>
    <xf numFmtId="0" fontId="0" fillId="5" borderId="0" xfId="0" applyFill="1" applyAlignment="1">
      <alignment horizontal="left" vertical="center" indent="1"/>
    </xf>
    <xf numFmtId="166" fontId="18" fillId="5" borderId="0" xfId="0" applyNumberFormat="1" applyFont="1" applyFill="1" applyAlignment="1">
      <alignment horizontal="left" vertical="center" indent="1"/>
    </xf>
    <xf numFmtId="0" fontId="30" fillId="5" borderId="0" xfId="0" applyFont="1" applyFill="1" applyAlignment="1">
      <alignment horizontal="left" indent="1"/>
    </xf>
    <xf numFmtId="0" fontId="0" fillId="5" borderId="12" xfId="0" applyFill="1" applyBorder="1" applyAlignment="1">
      <alignment horizontal="left" vertical="center" indent="1"/>
    </xf>
    <xf numFmtId="166" fontId="0" fillId="5" borderId="46" xfId="0" applyNumberFormat="1" applyFill="1" applyBorder="1" applyAlignment="1">
      <alignment horizontal="left" vertical="center" indent="1"/>
    </xf>
    <xf numFmtId="0" fontId="0" fillId="5" borderId="44" xfId="0" applyFill="1" applyBorder="1" applyAlignment="1">
      <alignment horizontal="left" vertical="center" indent="1"/>
    </xf>
    <xf numFmtId="166" fontId="0" fillId="5" borderId="0" xfId="0" applyNumberFormat="1" applyFill="1" applyAlignment="1">
      <alignment horizontal="left" indent="1"/>
    </xf>
    <xf numFmtId="2" fontId="0" fillId="0" borderId="57" xfId="0" applyNumberFormat="1" applyBorder="1"/>
    <xf numFmtId="0" fontId="18" fillId="4" borderId="62" xfId="0" applyFont="1" applyFill="1" applyBorder="1" applyAlignment="1">
      <alignment horizontal="center" vertical="center"/>
    </xf>
    <xf numFmtId="2" fontId="0" fillId="11" borderId="0" xfId="0" applyNumberFormat="1" applyFill="1"/>
    <xf numFmtId="0" fontId="0" fillId="12" borderId="0" xfId="0" applyFill="1"/>
    <xf numFmtId="2" fontId="0" fillId="12" borderId="0" xfId="0" applyNumberFormat="1" applyFill="1"/>
    <xf numFmtId="11" fontId="0" fillId="12" borderId="0" xfId="0" applyNumberFormat="1" applyFill="1"/>
    <xf numFmtId="168" fontId="18" fillId="0" borderId="30" xfId="0" applyNumberFormat="1" applyFont="1" applyBorder="1" applyAlignment="1">
      <alignment horizontal="center" vertical="center"/>
    </xf>
    <xf numFmtId="168" fontId="18" fillId="0" borderId="48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0" fillId="5" borderId="10" xfId="1" applyFont="1" applyFill="1" applyBorder="1" applyAlignment="1">
      <alignment horizontal="left"/>
    </xf>
    <xf numFmtId="0" fontId="76" fillId="5" borderId="0" xfId="6" applyFont="1" applyFill="1" applyAlignment="1">
      <alignment horizontal="left"/>
    </xf>
    <xf numFmtId="1" fontId="0" fillId="5" borderId="41" xfId="0" applyNumberFormat="1" applyFill="1" applyBorder="1" applyAlignment="1">
      <alignment horizontal="left" vertical="center" indent="1"/>
    </xf>
    <xf numFmtId="0" fontId="6" fillId="5" borderId="0" xfId="6" applyFont="1" applyFill="1" applyAlignment="1"/>
    <xf numFmtId="0" fontId="34" fillId="5" borderId="0" xfId="6" applyFont="1" applyFill="1" applyAlignment="1"/>
    <xf numFmtId="0" fontId="79" fillId="0" borderId="0" xfId="0" applyFont="1" applyAlignment="1">
      <alignment vertical="top"/>
    </xf>
    <xf numFmtId="0" fontId="80" fillId="0" borderId="0" xfId="0" applyFont="1"/>
    <xf numFmtId="0" fontId="79" fillId="0" borderId="0" xfId="0" applyFont="1"/>
    <xf numFmtId="0" fontId="79" fillId="0" borderId="0" xfId="0" applyFont="1" applyAlignment="1">
      <alignment horizontal="left"/>
    </xf>
    <xf numFmtId="0" fontId="81" fillId="0" borderId="0" xfId="0" applyFont="1"/>
    <xf numFmtId="0" fontId="81" fillId="0" borderId="0" xfId="0" applyFont="1" applyAlignment="1">
      <alignment horizontal="right"/>
    </xf>
    <xf numFmtId="166" fontId="81" fillId="0" borderId="0" xfId="0" applyNumberFormat="1" applyFont="1"/>
    <xf numFmtId="168" fontId="81" fillId="0" borderId="0" xfId="0" applyNumberFormat="1" applyFont="1"/>
    <xf numFmtId="0" fontId="82" fillId="0" borderId="0" xfId="0" applyFont="1" applyAlignment="1">
      <alignment horizontal="left"/>
    </xf>
    <xf numFmtId="1" fontId="81" fillId="0" borderId="0" xfId="0" applyNumberFormat="1" applyFont="1" applyAlignment="1">
      <alignment horizontal="left"/>
    </xf>
    <xf numFmtId="0" fontId="82" fillId="0" borderId="0" xfId="0" applyFont="1" applyAlignment="1">
      <alignment horizontal="right"/>
    </xf>
    <xf numFmtId="0" fontId="81" fillId="0" borderId="0" xfId="0" applyFont="1" applyAlignment="1">
      <alignment horizontal="right" vertical="top"/>
    </xf>
    <xf numFmtId="2" fontId="82" fillId="0" borderId="0" xfId="0" applyNumberFormat="1" applyFont="1" applyAlignment="1">
      <alignment horizontal="left"/>
    </xf>
    <xf numFmtId="0" fontId="81" fillId="0" borderId="0" xfId="0" applyFont="1" applyAlignment="1">
      <alignment horizontal="left" indent="2"/>
    </xf>
    <xf numFmtId="0" fontId="34" fillId="5" borderId="0" xfId="0" quotePrefix="1" applyFont="1" applyFill="1" applyAlignment="1">
      <alignment vertical="top"/>
    </xf>
    <xf numFmtId="0" fontId="34" fillId="6" borderId="19" xfId="0" applyFont="1" applyFill="1" applyBorder="1" applyAlignment="1">
      <alignment horizontal="left" vertical="center"/>
    </xf>
    <xf numFmtId="0" fontId="30" fillId="6" borderId="44" xfId="0" applyFont="1" applyFill="1" applyBorder="1" applyAlignment="1">
      <alignment horizontal="left" vertical="center"/>
    </xf>
    <xf numFmtId="0" fontId="30" fillId="6" borderId="22" xfId="0" applyFont="1" applyFill="1" applyBorder="1" applyAlignment="1">
      <alignment horizontal="left" vertical="center"/>
    </xf>
    <xf numFmtId="0" fontId="0" fillId="6" borderId="22" xfId="0" applyFill="1" applyBorder="1" applyAlignment="1">
      <alignment horizontal="center" vertical="center"/>
    </xf>
    <xf numFmtId="0" fontId="30" fillId="6" borderId="45" xfId="0" applyFont="1" applyFill="1" applyBorder="1" applyAlignment="1">
      <alignment horizontal="left" vertical="center" indent="1"/>
    </xf>
    <xf numFmtId="0" fontId="30" fillId="6" borderId="45" xfId="0" quotePrefix="1" applyFont="1" applyFill="1" applyBorder="1" applyAlignment="1">
      <alignment horizontal="left" vertical="center" indent="1"/>
    </xf>
    <xf numFmtId="0" fontId="0" fillId="6" borderId="45" xfId="0" applyFill="1" applyBorder="1" applyAlignment="1">
      <alignment horizontal="left" vertical="center" indent="1"/>
    </xf>
    <xf numFmtId="0" fontId="0" fillId="0" borderId="38" xfId="0" applyBorder="1" applyProtection="1">
      <protection locked="0"/>
    </xf>
    <xf numFmtId="0" fontId="0" fillId="0" borderId="38" xfId="0" applyBorder="1" applyAlignment="1" applyProtection="1">
      <alignment horizontal="left"/>
      <protection locked="0"/>
    </xf>
    <xf numFmtId="0" fontId="83" fillId="0" borderId="0" xfId="0" applyFont="1"/>
    <xf numFmtId="0" fontId="84" fillId="0" borderId="0" xfId="0" applyFont="1"/>
    <xf numFmtId="0" fontId="85" fillId="0" borderId="0" xfId="0" applyFont="1"/>
    <xf numFmtId="0" fontId="53" fillId="5" borderId="33" xfId="0" applyFont="1" applyFill="1" applyBorder="1" applyProtection="1">
      <protection locked="0"/>
    </xf>
    <xf numFmtId="0" fontId="66" fillId="3" borderId="0" xfId="0" applyFont="1" applyFill="1"/>
    <xf numFmtId="0" fontId="3" fillId="9" borderId="63" xfId="0" applyFont="1" applyFill="1" applyBorder="1" applyAlignment="1">
      <alignment vertical="center"/>
    </xf>
    <xf numFmtId="0" fontId="0" fillId="5" borderId="63" xfId="0" applyFill="1" applyBorder="1" applyAlignment="1">
      <alignment horizontal="left" vertical="center"/>
    </xf>
    <xf numFmtId="0" fontId="0" fillId="0" borderId="47" xfId="0" applyBorder="1"/>
    <xf numFmtId="0" fontId="3" fillId="0" borderId="34" xfId="0" applyFont="1" applyBorder="1"/>
    <xf numFmtId="0" fontId="20" fillId="5" borderId="0" xfId="0" applyFont="1" applyFill="1" applyAlignment="1">
      <alignment horizontal="left"/>
    </xf>
    <xf numFmtId="0" fontId="20" fillId="5" borderId="0" xfId="0" applyFont="1" applyFill="1" applyAlignment="1">
      <alignment vertical="center"/>
    </xf>
    <xf numFmtId="0" fontId="17" fillId="5" borderId="0" xfId="0" applyFont="1" applyFill="1" applyAlignment="1">
      <alignment vertical="center"/>
    </xf>
    <xf numFmtId="0" fontId="0" fillId="5" borderId="0" xfId="0" applyFill="1" applyAlignment="1">
      <alignment vertical="center"/>
    </xf>
    <xf numFmtId="0" fontId="61" fillId="0" borderId="0" xfId="0" applyFont="1"/>
    <xf numFmtId="9" fontId="0" fillId="0" borderId="47" xfId="0" applyNumberFormat="1" applyBorder="1"/>
    <xf numFmtId="0" fontId="43" fillId="6" borderId="35" xfId="0" applyFont="1" applyFill="1" applyBorder="1" applyAlignment="1">
      <alignment vertical="center"/>
    </xf>
    <xf numFmtId="2" fontId="13" fillId="5" borderId="4" xfId="4" applyNumberFormat="1" applyFont="1" applyFill="1" applyBorder="1" applyAlignment="1" applyProtection="1">
      <alignment horizontal="center" vertical="center"/>
      <protection locked="0"/>
    </xf>
    <xf numFmtId="164" fontId="0" fillId="0" borderId="0" xfId="2" applyNumberFormat="1" applyFont="1"/>
    <xf numFmtId="2" fontId="3" fillId="0" borderId="0" xfId="0" applyNumberFormat="1" applyFont="1"/>
    <xf numFmtId="0" fontId="0" fillId="0" borderId="61" xfId="0" applyBorder="1"/>
    <xf numFmtId="49" fontId="18" fillId="4" borderId="31" xfId="0" applyNumberFormat="1" applyFont="1" applyFill="1" applyBorder="1" applyAlignment="1">
      <alignment horizontal="center" vertical="center"/>
    </xf>
    <xf numFmtId="49" fontId="18" fillId="4" borderId="30" xfId="0" applyNumberFormat="1" applyFont="1" applyFill="1" applyBorder="1" applyAlignment="1">
      <alignment horizontal="center" vertical="center"/>
    </xf>
    <xf numFmtId="49" fontId="19" fillId="4" borderId="32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0" fillId="0" borderId="31" xfId="0" applyBorder="1" applyAlignment="1">
      <alignment horizontal="center" vertical="center"/>
    </xf>
    <xf numFmtId="0" fontId="70" fillId="9" borderId="0" xfId="0" applyFont="1" applyFill="1" applyAlignment="1">
      <alignment vertical="center"/>
    </xf>
    <xf numFmtId="168" fontId="18" fillId="4" borderId="54" xfId="0" applyNumberFormat="1" applyFont="1" applyFill="1" applyBorder="1" applyAlignment="1">
      <alignment horizontal="center" vertical="center"/>
    </xf>
    <xf numFmtId="166" fontId="18" fillId="4" borderId="64" xfId="0" applyNumberFormat="1" applyFont="1" applyFill="1" applyBorder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3" fillId="9" borderId="0" xfId="0" applyFont="1" applyFill="1" applyAlignment="1">
      <alignment vertical="center"/>
    </xf>
    <xf numFmtId="0" fontId="61" fillId="5" borderId="65" xfId="0" applyFont="1" applyFill="1" applyBorder="1" applyAlignment="1">
      <alignment horizontal="left" vertical="center"/>
    </xf>
    <xf numFmtId="0" fontId="0" fillId="5" borderId="33" xfId="0" applyFill="1" applyBorder="1" applyAlignment="1">
      <alignment horizontal="center" vertical="center"/>
    </xf>
    <xf numFmtId="0" fontId="61" fillId="5" borderId="33" xfId="0" applyFont="1" applyFill="1" applyBorder="1" applyAlignment="1">
      <alignment horizontal="left" vertical="center"/>
    </xf>
    <xf numFmtId="0" fontId="34" fillId="5" borderId="42" xfId="0" applyFont="1" applyFill="1" applyBorder="1" applyAlignment="1" applyProtection="1">
      <alignment horizontal="center" vertical="center"/>
      <protection locked="0"/>
    </xf>
    <xf numFmtId="0" fontId="18" fillId="5" borderId="42" xfId="0" applyFont="1" applyFill="1" applyBorder="1" applyAlignment="1">
      <alignment horizontal="left" vertical="center"/>
    </xf>
    <xf numFmtId="0" fontId="0" fillId="5" borderId="42" xfId="0" applyFill="1" applyBorder="1" applyAlignment="1">
      <alignment horizontal="center" vertical="center"/>
    </xf>
    <xf numFmtId="0" fontId="0" fillId="5" borderId="66" xfId="0" applyFill="1" applyBorder="1" applyAlignment="1">
      <alignment horizontal="left" vertical="center"/>
    </xf>
    <xf numFmtId="0" fontId="0" fillId="5" borderId="67" xfId="0" applyFill="1" applyBorder="1" applyAlignment="1">
      <alignment horizontal="left" vertical="center"/>
    </xf>
    <xf numFmtId="0" fontId="3" fillId="9" borderId="68" xfId="0" applyFont="1" applyFill="1" applyBorder="1" applyAlignment="1">
      <alignment vertical="center"/>
    </xf>
    <xf numFmtId="0" fontId="3" fillId="9" borderId="33" xfId="0" applyFont="1" applyFill="1" applyBorder="1" applyAlignment="1">
      <alignment vertical="center"/>
    </xf>
    <xf numFmtId="0" fontId="18" fillId="6" borderId="33" xfId="0" applyFont="1" applyFill="1" applyBorder="1" applyAlignment="1">
      <alignment horizontal="left" vertical="center" wrapText="1"/>
    </xf>
    <xf numFmtId="0" fontId="18" fillId="6" borderId="42" xfId="0" applyFont="1" applyFill="1" applyBorder="1" applyAlignment="1">
      <alignment horizontal="center" vertical="center"/>
    </xf>
    <xf numFmtId="0" fontId="18" fillId="6" borderId="33" xfId="0" applyFont="1" applyFill="1" applyBorder="1" applyAlignment="1">
      <alignment horizontal="left" vertical="center"/>
    </xf>
    <xf numFmtId="0" fontId="76" fillId="5" borderId="0" xfId="6" applyFont="1" applyFill="1" applyAlignment="1">
      <alignment horizontal="left" vertical="top" wrapText="1"/>
    </xf>
    <xf numFmtId="0" fontId="86" fillId="5" borderId="0" xfId="0" applyFont="1" applyFill="1" applyAlignment="1">
      <alignment horizontal="right" vertical="top"/>
    </xf>
    <xf numFmtId="0" fontId="76" fillId="5" borderId="37" xfId="6" applyFont="1" applyFill="1" applyBorder="1" applyAlignment="1">
      <alignment horizontal="left" vertical="center"/>
    </xf>
    <xf numFmtId="0" fontId="76" fillId="5" borderId="0" xfId="6" applyFont="1" applyFill="1" applyBorder="1" applyAlignment="1">
      <alignment horizontal="left" vertical="center"/>
    </xf>
    <xf numFmtId="0" fontId="76" fillId="5" borderId="69" xfId="6" applyFont="1" applyFill="1" applyBorder="1" applyAlignment="1">
      <alignment horizontal="left" vertical="center"/>
    </xf>
    <xf numFmtId="0" fontId="76" fillId="5" borderId="37" xfId="6" applyFont="1" applyFill="1" applyBorder="1" applyAlignment="1">
      <alignment horizontal="center" vertical="center" wrapText="1"/>
    </xf>
    <xf numFmtId="0" fontId="76" fillId="5" borderId="0" xfId="6" applyFont="1" applyFill="1" applyAlignment="1">
      <alignment horizontal="left" vertical="center"/>
    </xf>
    <xf numFmtId="0" fontId="76" fillId="5" borderId="0" xfId="6" applyFont="1" applyFill="1" applyAlignment="1">
      <alignment horizontal="left" vertical="center" wrapText="1"/>
    </xf>
    <xf numFmtId="0" fontId="71" fillId="5" borderId="0" xfId="6" applyFont="1" applyFill="1" applyAlignment="1">
      <alignment horizontal="left"/>
    </xf>
    <xf numFmtId="0" fontId="17" fillId="5" borderId="0" xfId="0" applyFont="1" applyFill="1" applyAlignment="1">
      <alignment horizontal="right"/>
    </xf>
    <xf numFmtId="0" fontId="17" fillId="5" borderId="0" xfId="4" applyFont="1" applyFill="1" applyBorder="1" applyAlignment="1" applyProtection="1">
      <alignment horizontal="right"/>
      <protection locked="0"/>
    </xf>
    <xf numFmtId="0" fontId="0" fillId="0" borderId="38" xfId="0" applyBorder="1" applyAlignment="1" applyProtection="1">
      <alignment horizontal="right"/>
      <protection locked="0"/>
    </xf>
    <xf numFmtId="0" fontId="34" fillId="5" borderId="0" xfId="0" applyFont="1" applyFill="1" applyAlignment="1" applyProtection="1">
      <alignment horizontal="center" vertical="center"/>
      <protection locked="0"/>
    </xf>
    <xf numFmtId="10" fontId="0" fillId="0" borderId="34" xfId="0" applyNumberFormat="1" applyBorder="1"/>
    <xf numFmtId="166" fontId="0" fillId="5" borderId="46" xfId="0" quotePrefix="1" applyNumberFormat="1" applyFill="1" applyBorder="1" applyAlignment="1">
      <alignment horizontal="left" vertical="center" indent="1"/>
    </xf>
    <xf numFmtId="0" fontId="37" fillId="5" borderId="0" xfId="0" applyFont="1" applyFill="1"/>
    <xf numFmtId="0" fontId="17" fillId="6" borderId="0" xfId="0" applyFont="1" applyFill="1" applyAlignment="1">
      <alignment horizontal="left" vertical="top"/>
    </xf>
    <xf numFmtId="0" fontId="0" fillId="5" borderId="22" xfId="0" applyFill="1" applyBorder="1" applyAlignment="1">
      <alignment horizontal="left"/>
    </xf>
    <xf numFmtId="0" fontId="34" fillId="5" borderId="34" xfId="0" applyFont="1" applyFill="1" applyBorder="1" applyAlignment="1">
      <alignment horizontal="left" vertical="center"/>
    </xf>
    <xf numFmtId="0" fontId="0" fillId="5" borderId="47" xfId="0" applyFill="1" applyBorder="1"/>
    <xf numFmtId="0" fontId="34" fillId="5" borderId="34" xfId="0" applyFont="1" applyFill="1" applyBorder="1" applyAlignment="1">
      <alignment horizontal="left"/>
    </xf>
    <xf numFmtId="0" fontId="37" fillId="5" borderId="34" xfId="0" applyFont="1" applyFill="1" applyBorder="1"/>
    <xf numFmtId="0" fontId="34" fillId="5" borderId="74" xfId="0" applyFont="1" applyFill="1" applyBorder="1" applyAlignment="1">
      <alignment horizontal="left"/>
    </xf>
    <xf numFmtId="0" fontId="37" fillId="5" borderId="38" xfId="0" applyFont="1" applyFill="1" applyBorder="1"/>
    <xf numFmtId="0" fontId="0" fillId="5" borderId="38" xfId="0" applyFill="1" applyBorder="1"/>
    <xf numFmtId="0" fontId="0" fillId="5" borderId="70" xfId="0" applyFill="1" applyBorder="1"/>
    <xf numFmtId="0" fontId="18" fillId="5" borderId="75" xfId="0" applyFont="1" applyFill="1" applyBorder="1" applyAlignment="1">
      <alignment horizontal="left" vertical="center"/>
    </xf>
    <xf numFmtId="0" fontId="87" fillId="5" borderId="76" xfId="0" applyFont="1" applyFill="1" applyBorder="1" applyAlignment="1">
      <alignment vertical="center"/>
    </xf>
    <xf numFmtId="0" fontId="2" fillId="5" borderId="76" xfId="0" applyFont="1" applyFill="1" applyBorder="1" applyAlignment="1">
      <alignment vertical="center"/>
    </xf>
    <xf numFmtId="0" fontId="2" fillId="5" borderId="77" xfId="0" applyFont="1" applyFill="1" applyBorder="1" applyAlignment="1">
      <alignment vertical="center"/>
    </xf>
    <xf numFmtId="0" fontId="17" fillId="5" borderId="0" xfId="0" applyFont="1" applyFill="1" applyAlignment="1">
      <alignment horizontal="right" indent="1"/>
    </xf>
    <xf numFmtId="0" fontId="23" fillId="3" borderId="0" xfId="0" applyFont="1" applyFill="1" applyAlignment="1">
      <alignment vertical="top"/>
    </xf>
    <xf numFmtId="0" fontId="26" fillId="3" borderId="0" xfId="5" applyFont="1" applyFill="1" applyAlignment="1">
      <alignment vertical="top"/>
    </xf>
    <xf numFmtId="0" fontId="0" fillId="0" borderId="0" xfId="0" quotePrefix="1" applyAlignment="1">
      <alignment wrapText="1"/>
    </xf>
    <xf numFmtId="1" fontId="89" fillId="0" borderId="0" xfId="0" applyNumberFormat="1" applyFont="1"/>
    <xf numFmtId="10" fontId="89" fillId="0" borderId="0" xfId="0" applyNumberFormat="1" applyFont="1"/>
    <xf numFmtId="0" fontId="63" fillId="0" borderId="0" xfId="0" applyFont="1"/>
    <xf numFmtId="166" fontId="0" fillId="5" borderId="12" xfId="0" applyNumberFormat="1" applyFill="1" applyBorder="1" applyAlignment="1">
      <alignment vertical="top" wrapText="1"/>
    </xf>
    <xf numFmtId="0" fontId="81" fillId="0" borderId="0" xfId="0" applyFont="1" applyAlignment="1">
      <alignment horizontal="left" vertical="top" wrapText="1"/>
    </xf>
    <xf numFmtId="0" fontId="81" fillId="4" borderId="61" xfId="0" applyFont="1" applyFill="1" applyBorder="1" applyAlignment="1">
      <alignment horizontal="center" vertical="center"/>
    </xf>
    <xf numFmtId="0" fontId="90" fillId="6" borderId="45" xfId="0" applyFont="1" applyFill="1" applyBorder="1" applyAlignment="1">
      <alignment horizontal="left" vertical="center" indent="1"/>
    </xf>
    <xf numFmtId="0" fontId="2" fillId="0" borderId="0" xfId="0" applyFont="1" applyAlignment="1">
      <alignment vertical="top"/>
    </xf>
    <xf numFmtId="0" fontId="0" fillId="0" borderId="0" xfId="0" applyAlignment="1">
      <alignment vertical="top" wrapText="1"/>
    </xf>
    <xf numFmtId="0" fontId="89" fillId="0" borderId="0" xfId="0" applyFont="1"/>
    <xf numFmtId="0" fontId="0" fillId="0" borderId="0" xfId="0" quotePrefix="1" applyAlignment="1">
      <alignment vertical="top" wrapText="1"/>
    </xf>
    <xf numFmtId="0" fontId="91" fillId="13" borderId="0" xfId="8"/>
    <xf numFmtId="0" fontId="92" fillId="0" borderId="0" xfId="0" applyFont="1"/>
    <xf numFmtId="9" fontId="89" fillId="0" borderId="0" xfId="2" applyFont="1"/>
    <xf numFmtId="0" fontId="30" fillId="6" borderId="45" xfId="0" applyFont="1" applyFill="1" applyBorder="1" applyAlignment="1">
      <alignment horizontal="left" indent="1"/>
    </xf>
    <xf numFmtId="0" fontId="53" fillId="5" borderId="33" xfId="0" applyFont="1" applyFill="1" applyBorder="1" applyAlignment="1" applyProtection="1">
      <alignment horizontal="left"/>
      <protection locked="0"/>
    </xf>
    <xf numFmtId="0" fontId="32" fillId="3" borderId="8" xfId="7" applyFont="1" applyFill="1" applyBorder="1" applyAlignment="1">
      <alignment horizontal="center" vertical="center"/>
    </xf>
    <xf numFmtId="0" fontId="10" fillId="5" borderId="10" xfId="1" applyFont="1" applyFill="1" applyBorder="1" applyAlignment="1">
      <alignment horizontal="left"/>
    </xf>
    <xf numFmtId="0" fontId="17" fillId="5" borderId="0" xfId="0" applyFont="1" applyFill="1" applyAlignment="1">
      <alignment horizontal="left" vertical="center"/>
    </xf>
    <xf numFmtId="1" fontId="74" fillId="4" borderId="53" xfId="0" applyNumberFormat="1" applyFont="1" applyFill="1" applyBorder="1" applyAlignment="1">
      <alignment horizontal="center" vertical="center" wrapText="1"/>
    </xf>
    <xf numFmtId="1" fontId="74" fillId="4" borderId="54" xfId="0" applyNumberFormat="1" applyFont="1" applyFill="1" applyBorder="1" applyAlignment="1">
      <alignment horizontal="center" vertical="center" wrapText="1"/>
    </xf>
    <xf numFmtId="1" fontId="74" fillId="4" borderId="55" xfId="0" applyNumberFormat="1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18" fillId="6" borderId="25" xfId="0" applyFont="1" applyFill="1" applyBorder="1" applyAlignment="1" applyProtection="1">
      <alignment horizontal="center" vertical="center"/>
      <protection locked="0"/>
    </xf>
    <xf numFmtId="0" fontId="0" fillId="6" borderId="0" xfId="0" applyFill="1" applyAlignment="1">
      <alignment horizontal="left" vertical="top" wrapText="1"/>
    </xf>
    <xf numFmtId="0" fontId="0" fillId="6" borderId="0" xfId="0" applyFill="1" applyAlignment="1">
      <alignment horizontal="center"/>
    </xf>
    <xf numFmtId="166" fontId="0" fillId="5" borderId="46" xfId="0" applyNumberFormat="1" applyFill="1" applyBorder="1" applyAlignment="1">
      <alignment horizontal="left" vertical="center" wrapText="1" indent="1"/>
    </xf>
    <xf numFmtId="166" fontId="0" fillId="5" borderId="0" xfId="0" applyNumberFormat="1" applyFill="1" applyAlignment="1">
      <alignment horizontal="left" vertical="center" wrapText="1" indent="1"/>
    </xf>
    <xf numFmtId="166" fontId="0" fillId="5" borderId="41" xfId="0" quotePrefix="1" applyNumberFormat="1" applyFill="1" applyBorder="1" applyAlignment="1">
      <alignment horizontal="left" vertical="center" wrapText="1" indent="1"/>
    </xf>
    <xf numFmtId="166" fontId="0" fillId="5" borderId="0" xfId="0" quotePrefix="1" applyNumberFormat="1" applyFill="1" applyAlignment="1">
      <alignment horizontal="left" vertical="center" wrapText="1" indent="1"/>
    </xf>
    <xf numFmtId="166" fontId="0" fillId="5" borderId="12" xfId="0" quotePrefix="1" applyNumberFormat="1" applyFill="1" applyBorder="1" applyAlignment="1">
      <alignment horizontal="left" vertical="center" wrapText="1" indent="1"/>
    </xf>
    <xf numFmtId="0" fontId="48" fillId="5" borderId="46" xfId="0" quotePrefix="1" applyFont="1" applyFill="1" applyBorder="1" applyAlignment="1">
      <alignment horizontal="left" vertical="top" wrapText="1" indent="1"/>
    </xf>
    <xf numFmtId="0" fontId="48" fillId="5" borderId="0" xfId="0" quotePrefix="1" applyFont="1" applyFill="1" applyAlignment="1">
      <alignment horizontal="left" vertical="top" wrapText="1" indent="1"/>
    </xf>
    <xf numFmtId="166" fontId="0" fillId="5" borderId="46" xfId="0" applyNumberFormat="1" applyFill="1" applyBorder="1" applyAlignment="1">
      <alignment horizontal="left" vertical="top" wrapText="1" indent="1"/>
    </xf>
    <xf numFmtId="166" fontId="0" fillId="5" borderId="0" xfId="0" applyNumberFormat="1" applyFill="1" applyAlignment="1">
      <alignment horizontal="left" vertical="top" wrapText="1" indent="1"/>
    </xf>
    <xf numFmtId="0" fontId="0" fillId="5" borderId="46" xfId="0" applyFill="1" applyBorder="1" applyAlignment="1">
      <alignment horizontal="left" vertical="top" wrapText="1" indent="1"/>
    </xf>
    <xf numFmtId="0" fontId="0" fillId="5" borderId="0" xfId="0" applyFill="1" applyAlignment="1">
      <alignment horizontal="left" vertical="top" wrapText="1" indent="1"/>
    </xf>
    <xf numFmtId="0" fontId="34" fillId="5" borderId="24" xfId="0" applyFont="1" applyFill="1" applyBorder="1" applyAlignment="1" applyProtection="1">
      <alignment horizontal="center" vertical="center" wrapText="1"/>
      <protection locked="0"/>
    </xf>
    <xf numFmtId="0" fontId="34" fillId="5" borderId="0" xfId="0" applyFont="1" applyFill="1" applyAlignment="1" applyProtection="1">
      <alignment horizontal="center" vertical="center"/>
      <protection locked="0"/>
    </xf>
    <xf numFmtId="0" fontId="34" fillId="5" borderId="33" xfId="0" applyFont="1" applyFill="1" applyBorder="1" applyAlignment="1" applyProtection="1">
      <alignment horizontal="center" vertical="center"/>
      <protection locked="0"/>
    </xf>
    <xf numFmtId="0" fontId="34" fillId="5" borderId="0" xfId="0" applyFont="1" applyFill="1" applyAlignment="1" applyProtection="1">
      <alignment horizontal="center" vertical="center" wrapText="1"/>
      <protection locked="0"/>
    </xf>
    <xf numFmtId="0" fontId="34" fillId="5" borderId="33" xfId="0" applyFont="1" applyFill="1" applyBorder="1" applyAlignment="1" applyProtection="1">
      <alignment horizontal="center" vertical="center" wrapText="1"/>
      <protection locked="0"/>
    </xf>
    <xf numFmtId="0" fontId="0" fillId="0" borderId="34" xfId="0" applyBorder="1" applyAlignment="1">
      <alignment horizontal="center"/>
    </xf>
    <xf numFmtId="0" fontId="0" fillId="0" borderId="47" xfId="0" applyBorder="1" applyAlignment="1">
      <alignment horizontal="center"/>
    </xf>
    <xf numFmtId="0" fontId="18" fillId="5" borderId="46" xfId="0" applyFont="1" applyFill="1" applyBorder="1" applyAlignment="1">
      <alignment horizontal="center" vertical="center"/>
    </xf>
    <xf numFmtId="0" fontId="18" fillId="5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85" fillId="0" borderId="0" xfId="0" applyFont="1" applyAlignment="1">
      <alignment horizontal="left" vertical="top" wrapText="1"/>
    </xf>
    <xf numFmtId="0" fontId="79" fillId="0" borderId="0" xfId="0" applyFont="1" applyAlignment="1" applyProtection="1">
      <alignment horizontal="left"/>
      <protection locked="0"/>
    </xf>
    <xf numFmtId="0" fontId="81" fillId="0" borderId="0" xfId="0" applyFont="1" applyAlignment="1" applyProtection="1">
      <alignment horizontal="left"/>
      <protection locked="0"/>
    </xf>
    <xf numFmtId="0" fontId="81" fillId="0" borderId="0" xfId="0" applyFont="1" applyAlignment="1">
      <alignment horizontal="left" vertical="top" wrapText="1"/>
    </xf>
    <xf numFmtId="0" fontId="0" fillId="0" borderId="0" xfId="0"/>
    <xf numFmtId="0" fontId="18" fillId="5" borderId="0" xfId="0" applyFont="1" applyFill="1" applyAlignment="1">
      <alignment horizontal="left"/>
    </xf>
    <xf numFmtId="0" fontId="34" fillId="5" borderId="0" xfId="0" applyFont="1" applyFill="1" applyAlignment="1">
      <alignment horizontal="left" vertical="top" wrapText="1"/>
    </xf>
    <xf numFmtId="0" fontId="34" fillId="5" borderId="59" xfId="0" applyFont="1" applyFill="1" applyBorder="1" applyAlignment="1">
      <alignment horizontal="left" vertical="top"/>
    </xf>
    <xf numFmtId="0" fontId="2" fillId="5" borderId="75" xfId="0" applyFont="1" applyFill="1" applyBorder="1" applyAlignment="1">
      <alignment horizontal="center" vertical="center" wrapText="1"/>
    </xf>
    <xf numFmtId="0" fontId="2" fillId="5" borderId="77" xfId="0" applyFont="1" applyFill="1" applyBorder="1" applyAlignment="1">
      <alignment horizontal="center" vertical="center" wrapText="1"/>
    </xf>
    <xf numFmtId="0" fontId="0" fillId="5" borderId="34" xfId="0" applyFill="1" applyBorder="1" applyAlignment="1">
      <alignment horizontal="center"/>
    </xf>
    <xf numFmtId="0" fontId="0" fillId="5" borderId="47" xfId="0" applyFill="1" applyBorder="1" applyAlignment="1">
      <alignment horizontal="center"/>
    </xf>
    <xf numFmtId="0" fontId="34" fillId="5" borderId="0" xfId="0" quotePrefix="1" applyFont="1" applyFill="1" applyAlignment="1">
      <alignment horizontal="left" vertical="top" wrapText="1"/>
    </xf>
    <xf numFmtId="0" fontId="76" fillId="5" borderId="38" xfId="6" applyFont="1" applyFill="1" applyBorder="1" applyAlignment="1">
      <alignment horizontal="left" vertical="center" wrapText="1"/>
    </xf>
    <xf numFmtId="0" fontId="76" fillId="5" borderId="70" xfId="6" applyFont="1" applyFill="1" applyBorder="1" applyAlignment="1">
      <alignment horizontal="left" vertical="center" wrapText="1"/>
    </xf>
    <xf numFmtId="0" fontId="76" fillId="5" borderId="0" xfId="6" applyFont="1" applyFill="1" applyAlignment="1">
      <alignment horizontal="left" vertical="center" wrapText="1"/>
    </xf>
    <xf numFmtId="0" fontId="76" fillId="5" borderId="47" xfId="6" applyFont="1" applyFill="1" applyBorder="1" applyAlignment="1">
      <alignment horizontal="left" vertical="center"/>
    </xf>
    <xf numFmtId="168" fontId="76" fillId="5" borderId="71" xfId="6" applyNumberFormat="1" applyFont="1" applyFill="1" applyBorder="1" applyAlignment="1">
      <alignment horizontal="center" vertical="center" wrapText="1"/>
    </xf>
    <xf numFmtId="168" fontId="76" fillId="5" borderId="69" xfId="6" applyNumberFormat="1" applyFont="1" applyFill="1" applyBorder="1" applyAlignment="1">
      <alignment horizontal="center" vertical="center" wrapText="1"/>
    </xf>
    <xf numFmtId="0" fontId="76" fillId="5" borderId="0" xfId="6" applyFont="1" applyFill="1" applyAlignment="1">
      <alignment horizontal="left" vertical="top" wrapText="1"/>
    </xf>
    <xf numFmtId="9" fontId="0" fillId="5" borderId="34" xfId="0" applyNumberFormat="1" applyFill="1" applyBorder="1" applyAlignment="1">
      <alignment horizontal="center"/>
    </xf>
    <xf numFmtId="0" fontId="0" fillId="5" borderId="34" xfId="0" quotePrefix="1" applyFill="1" applyBorder="1" applyAlignment="1">
      <alignment horizontal="center"/>
    </xf>
    <xf numFmtId="0" fontId="0" fillId="5" borderId="74" xfId="0" applyFill="1" applyBorder="1" applyAlignment="1">
      <alignment horizontal="center"/>
    </xf>
    <xf numFmtId="0" fontId="0" fillId="5" borderId="70" xfId="0" applyFill="1" applyBorder="1" applyAlignment="1">
      <alignment horizontal="center"/>
    </xf>
    <xf numFmtId="0" fontId="2" fillId="5" borderId="75" xfId="0" applyFont="1" applyFill="1" applyBorder="1" applyAlignment="1">
      <alignment horizontal="center" vertical="center"/>
    </xf>
    <xf numFmtId="0" fontId="2" fillId="5" borderId="77" xfId="0" applyFont="1" applyFill="1" applyBorder="1" applyAlignment="1">
      <alignment horizontal="center" vertical="center"/>
    </xf>
    <xf numFmtId="0" fontId="0" fillId="5" borderId="34" xfId="0" applyFill="1" applyBorder="1" applyAlignment="1">
      <alignment horizontal="center" vertical="center"/>
    </xf>
    <xf numFmtId="0" fontId="0" fillId="5" borderId="47" xfId="0" applyFill="1" applyBorder="1" applyAlignment="1">
      <alignment horizontal="center" vertical="center"/>
    </xf>
    <xf numFmtId="0" fontId="13" fillId="4" borderId="72" xfId="4" applyFont="1" applyFill="1" applyBorder="1" applyAlignment="1" applyProtection="1">
      <alignment horizontal="center" vertical="center"/>
      <protection locked="0"/>
    </xf>
    <xf numFmtId="0" fontId="13" fillId="4" borderId="73" xfId="4" applyFont="1" applyFill="1" applyBorder="1" applyAlignment="1" applyProtection="1">
      <alignment horizontal="center" vertical="center"/>
      <protection locked="0"/>
    </xf>
    <xf numFmtId="0" fontId="0" fillId="5" borderId="74" xfId="0" applyFill="1" applyBorder="1" applyAlignment="1">
      <alignment horizontal="center" vertical="center"/>
    </xf>
    <xf numFmtId="0" fontId="0" fillId="5" borderId="70" xfId="0" applyFill="1" applyBorder="1" applyAlignment="1">
      <alignment horizontal="center" vertical="center"/>
    </xf>
    <xf numFmtId="0" fontId="11" fillId="5" borderId="34" xfId="0" applyFont="1" applyFill="1" applyBorder="1" applyAlignment="1">
      <alignment horizontal="left"/>
    </xf>
    <xf numFmtId="0" fontId="11" fillId="5" borderId="0" xfId="0" applyFont="1" applyFill="1" applyAlignment="1">
      <alignment horizontal="left"/>
    </xf>
    <xf numFmtId="0" fontId="18" fillId="5" borderId="22" xfId="0" applyFont="1" applyFill="1" applyBorder="1" applyAlignment="1">
      <alignment horizontal="left" vertical="center"/>
    </xf>
  </cellXfs>
  <cellStyles count="9">
    <cellStyle name="Bad" xfId="8" builtinId="27"/>
    <cellStyle name="Heading 1" xfId="1" builtinId="16"/>
    <cellStyle name="Heading 4" xfId="6" builtinId="19"/>
    <cellStyle name="Hyperlink" xfId="7" builtinId="8"/>
    <cellStyle name="Linked Cell" xfId="4" builtinId="24"/>
    <cellStyle name="Normal" xfId="0" builtinId="0"/>
    <cellStyle name="Note" xfId="3" builtinId="10"/>
    <cellStyle name="Percent" xfId="2" builtinId="5"/>
    <cellStyle name="Title" xfId="5" builtinId="15"/>
  </cellStyles>
  <dxfs count="45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1" tint="0.499984740745262"/>
      </font>
    </dxf>
    <dxf>
      <font>
        <color theme="1" tint="0.499984740745262"/>
      </font>
    </dxf>
    <dxf>
      <font>
        <b val="0"/>
        <i/>
      </font>
    </dxf>
    <dxf>
      <font>
        <color rgb="FFC0000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color theme="1"/>
      </font>
    </dxf>
    <dxf>
      <font>
        <color theme="0" tint="-0.34998626667073579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0" tint="-0.14996795556505021"/>
      </font>
    </dxf>
    <dxf>
      <font>
        <color theme="1" tint="0.499984740745262"/>
      </font>
      <fill>
        <patternFill>
          <bgColor theme="1" tint="0.49998474074526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lor theme="1" tint="0.24994659260841701"/>
      </font>
      <fill>
        <patternFill>
          <bgColor theme="1" tint="0.49998474074526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theme="1" tint="0.24994659260841701"/>
      </font>
      <fill>
        <patternFill>
          <bgColor theme="1" tint="0.499984740745262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color rgb="FFC00000"/>
      </font>
    </dxf>
    <dxf>
      <font>
        <color rgb="FFC00000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theme="0" tint="-0.34998626667073579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ont>
        <color rgb="FFC00000"/>
      </font>
    </dxf>
    <dxf>
      <fill>
        <patternFill>
          <bgColor theme="0" tint="-0.14996795556505021"/>
        </patternFill>
      </fill>
    </dxf>
    <dxf>
      <font>
        <color rgb="FFC00000"/>
      </font>
      <fill>
        <patternFill>
          <bgColor theme="0"/>
        </patternFill>
      </fill>
    </dxf>
    <dxf>
      <font>
        <color theme="0" tint="-0.3499862666707357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eetMetadata" Target="metadata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og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equations!$BM$125:$BM$135</c:f>
              <c:numCache>
                <c:formatCode>General</c:formatCode>
                <c:ptCount val="11"/>
                <c:pt idx="0">
                  <c:v>1.788051991231387</c:v>
                </c:pt>
                <c:pt idx="1">
                  <c:v>4.6658634800771699</c:v>
                </c:pt>
                <c:pt idx="2">
                  <c:v>8.2948684090260798</c:v>
                </c:pt>
                <c:pt idx="10">
                  <c:v>11.521826144680359</c:v>
                </c:pt>
              </c:numCache>
            </c:numRef>
          </c:xVal>
          <c:yVal>
            <c:numRef>
              <c:f>equations!$BL$125:$BL$135</c:f>
              <c:numCache>
                <c:formatCode>0.00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10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66C-4C68-8BBF-81E060621F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67372944"/>
        <c:axId val="667365104"/>
      </c:scatterChart>
      <c:valAx>
        <c:axId val="66737294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7365104"/>
        <c:crosses val="autoZero"/>
        <c:crossBetween val="midCat"/>
      </c:valAx>
      <c:valAx>
        <c:axId val="6673651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67372944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equations!$A$148:$A$152</c:f>
              <c:numCache>
                <c:formatCode>General</c:formatCode>
                <c:ptCount val="5"/>
                <c:pt idx="0">
                  <c:v>2</c:v>
                </c:pt>
                <c:pt idx="1">
                  <c:v>2.7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</c:numCache>
            </c:numRef>
          </c:xVal>
          <c:yVal>
            <c:numRef>
              <c:f>equations!$B$148:$B$152</c:f>
              <c:numCache>
                <c:formatCode>General</c:formatCode>
                <c:ptCount val="5"/>
                <c:pt idx="0">
                  <c:v>1.01123595505618</c:v>
                </c:pt>
                <c:pt idx="1">
                  <c:v>0.66725663716814154</c:v>
                </c:pt>
                <c:pt idx="2">
                  <c:v>0.54867256637168138</c:v>
                </c:pt>
                <c:pt idx="3">
                  <c:v>0.27433628318584069</c:v>
                </c:pt>
                <c:pt idx="4">
                  <c:v>8.8495575221238937E-2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33FF-4F54-A877-EBF8B9AF68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72489920"/>
        <c:axId val="578324208"/>
      </c:scatterChart>
      <c:valAx>
        <c:axId val="17724899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78324208"/>
        <c:crosses val="autoZero"/>
        <c:crossBetween val="midCat"/>
      </c:valAx>
      <c:valAx>
        <c:axId val="5783242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77248992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21177993403875E-2"/>
          <c:y val="0.10429477307072153"/>
          <c:w val="0.94610037334594765"/>
          <c:h val="0.75890935120713221"/>
        </c:manualLayout>
      </c:layout>
      <c:scatterChart>
        <c:scatterStyle val="lineMarker"/>
        <c:varyColors val="0"/>
        <c:ser>
          <c:idx val="0"/>
          <c:order val="0"/>
          <c:tx>
            <c:strRef>
              <c:f>equations!$A$513</c:f>
              <c:strCache>
                <c:ptCount val="1"/>
                <c:pt idx="0">
                  <c:v>x-1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equations!$B$513:$B$514</c:f>
              <c:numCache>
                <c:formatCode>General</c:formatCode>
                <c:ptCount val="2"/>
                <c:pt idx="0">
                  <c:v>-12</c:v>
                </c:pt>
                <c:pt idx="1">
                  <c:v>-6</c:v>
                </c:pt>
              </c:numCache>
            </c:numRef>
          </c:xVal>
          <c:yVal>
            <c:numRef>
              <c:f>equations!$D$513:$D$514</c:f>
              <c:numCache>
                <c:formatCode>General</c:formatCode>
                <c:ptCount val="2"/>
                <c:pt idx="0">
                  <c:v>10</c:v>
                </c:pt>
                <c:pt idx="1">
                  <c:v>10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B88-464E-85BF-FF545F245102}"/>
            </c:ext>
          </c:extLst>
        </c:ser>
        <c:ser>
          <c:idx val="1"/>
          <c:order val="1"/>
          <c:tx>
            <c:strRef>
              <c:f>equations!$A$514</c:f>
              <c:strCache>
                <c:ptCount val="1"/>
                <c:pt idx="0">
                  <c:v>x-2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numRef>
              <c:f>equations!$B$514:$B$515</c:f>
              <c:numCache>
                <c:formatCode>General</c:formatCode>
                <c:ptCount val="2"/>
                <c:pt idx="0">
                  <c:v>-6</c:v>
                </c:pt>
                <c:pt idx="1">
                  <c:v>0</c:v>
                </c:pt>
              </c:numCache>
            </c:numRef>
          </c:xVal>
          <c:yVal>
            <c:numRef>
              <c:f>equations!$D$514:$D$515</c:f>
              <c:numCache>
                <c:formatCode>General</c:formatCode>
                <c:ptCount val="2"/>
                <c:pt idx="0">
                  <c:v>10</c:v>
                </c:pt>
                <c:pt idx="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B88-464E-85BF-FF545F245102}"/>
            </c:ext>
          </c:extLst>
        </c:ser>
        <c:ser>
          <c:idx val="2"/>
          <c:order val="2"/>
          <c:tx>
            <c:strRef>
              <c:f>equations!$A$515</c:f>
              <c:strCache>
                <c:ptCount val="1"/>
                <c:pt idx="0">
                  <c:v>x0</c:v>
                </c:pt>
              </c:strCache>
            </c:strRef>
          </c:tx>
          <c:spPr>
            <a:ln w="1905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xVal>
            <c:strRef>
              <c:f>equations!$B$515:$B$516</c:f>
              <c:strCache>
                <c:ptCount val="2"/>
                <c:pt idx="0">
                  <c:v>0</c:v>
                </c:pt>
                <c:pt idx="1">
                  <c:v>Max Permissible ΔT (heating) E (K)</c:v>
                </c:pt>
              </c:strCache>
            </c:strRef>
          </c:xVal>
          <c:yVal>
            <c:numRef>
              <c:f>equations!$D$515:$D$516</c:f>
              <c:numCache>
                <c:formatCode>General</c:formatCode>
                <c:ptCount val="2"/>
                <c:pt idx="0">
                  <c:v>0</c:v>
                </c:pt>
                <c:pt idx="1">
                  <c:v>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B88-464E-85BF-FF545F2451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952613135"/>
        <c:axId val="1646084783"/>
      </c:scatterChart>
      <c:valAx>
        <c:axId val="1952613135"/>
        <c:scaling>
          <c:orientation val="minMax"/>
          <c:min val="-12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ptos" panose="020B0004020202020204" pitchFamily="34" charset="0"/>
                    <a:ea typeface="+mn-ea"/>
                    <a:cs typeface="+mn-cs"/>
                  </a:defRPr>
                </a:pPr>
                <a:r>
                  <a:rPr lang="el-GR" sz="10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</a:rPr>
                  <a:t>Δ</a:t>
                </a:r>
                <a:r>
                  <a:rPr lang="en-AU" sz="10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</a:rPr>
                  <a:t>T</a:t>
                </a:r>
                <a:r>
                  <a:rPr lang="en-AU" sz="1000" b="0" i="0" u="none" strike="noStrike" kern="1200" baseline="-25000">
                    <a:solidFill>
                      <a:schemeClr val="tx1"/>
                    </a:solidFill>
                    <a:latin typeface="Aptos" panose="020B0004020202020204" pitchFamily="34" charset="0"/>
                  </a:rPr>
                  <a:t>supply - room</a:t>
                </a:r>
                <a:r>
                  <a:rPr lang="en-AU" sz="1000" b="0" i="0" u="none" strike="noStrike" kern="1200" baseline="0">
                    <a:solidFill>
                      <a:schemeClr val="tx1"/>
                    </a:solidFill>
                    <a:latin typeface="Aptos" panose="020B0004020202020204" pitchFamily="34" charset="0"/>
                  </a:rPr>
                  <a:t> [K] </a:t>
                </a:r>
                <a:endParaRPr lang="en-AU" sz="1100">
                  <a:solidFill>
                    <a:schemeClr val="tx1"/>
                  </a:solidFill>
                  <a:latin typeface="Aptos" panose="020B0004020202020204" pitchFamily="34" charset="0"/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ptos" panose="020B0004020202020204" pitchFamily="34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\+#;\ \-#;\ 0" sourceLinked="0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646084783"/>
        <c:crosses val="autoZero"/>
        <c:crossBetween val="midCat"/>
        <c:majorUnit val="2"/>
      </c:valAx>
      <c:valAx>
        <c:axId val="1646084783"/>
        <c:scaling>
          <c:orientation val="minMax"/>
          <c:max val="10.050000000000001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\ \V;\ \-\ #\ \V;\ #\ \V" sourceLinked="0"/>
        <c:majorTickMark val="none"/>
        <c:minorTickMark val="none"/>
        <c:tickLblPos val="nextTo"/>
        <c:spPr>
          <a:noFill/>
          <a:ln w="1270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52613135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Radio" firstButton="1" fmlaLink="equations!$B$22" lockText="1" noThreeD="1"/>
</file>

<file path=xl/ctrlProps/ctrlProp2.xml><?xml version="1.0" encoding="utf-8"?>
<formControlPr xmlns="http://schemas.microsoft.com/office/spreadsheetml/2009/9/main" objectType="Radio" checked="Checked" lockText="1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Radio" checked="Checked" firstButton="1" fmlaLink="data!$B$13" lockText="1" noThreeD="1"/>
</file>

<file path=xl/ctrlProps/ctrlProp6.xml><?xml version="1.0" encoding="utf-8"?>
<formControlPr xmlns="http://schemas.microsoft.com/office/spreadsheetml/2009/9/main" objectType="Radio" lockText="1" noThreeD="1"/>
</file>

<file path=xl/ctrlProps/ctrlProp7.xml><?xml version="1.0" encoding="utf-8"?>
<formControlPr xmlns="http://schemas.microsoft.com/office/spreadsheetml/2009/9/main" objectType="Radio" lockText="1" noThreeD="1"/>
</file>

<file path=xl/ctrlProps/ctrlProp8.xml><?xml version="1.0" encoding="utf-8"?>
<formControlPr xmlns="http://schemas.microsoft.com/office/spreadsheetml/2009/9/main" objectType="Radio" checked="Checked" firstButton="1" fmlaLink="data!$B$60" lockText="1" noThreeD="1"/>
</file>

<file path=xl/ctrlProps/ctrlProp9.xml><?xml version="1.0" encoding="utf-8"?>
<formControlPr xmlns="http://schemas.microsoft.com/office/spreadsheetml/2009/9/main" objectType="Radio" lockText="1" noThreeD="1"/>
</file>

<file path=xl/ctrlProps/ctrlProp10.xml><?xml version="1.0" encoding="utf-8"?>
<formControlPr xmlns="http://schemas.microsoft.com/office/spreadsheetml/2009/9/main" objectType="GBox" noThreeD="1"/>
</file>

<file path=xl/ctrlProps/ctrlProp11.xml><?xml version="1.0" encoding="utf-8"?>
<formControlPr xmlns="http://schemas.microsoft.com/office/spreadsheetml/2009/9/main" objectType="Radio" checked="Checked" firstButton="1" fmlaLink="data!$C$34" lockText="1" noThreeD="1"/>
</file>

<file path=xl/ctrlProps/ctrlProp12.xml><?xml version="1.0" encoding="utf-8"?>
<formControlPr xmlns="http://schemas.microsoft.com/office/spreadsheetml/2009/9/main" objectType="Radio" lockText="1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Radio" checked="Checked" firstButton="1" fmlaLink="data!$C$33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Radio" lockText="1" noThreeD="1"/>
</file>

<file path=xl/ctrlProps/ctrlProp18.xml><?xml version="1.0" encoding="utf-8"?>
<formControlPr xmlns="http://schemas.microsoft.com/office/spreadsheetml/2009/9/main" objectType="GBox" noThreeD="1"/>
</file>

<file path=xl/ctrlProps/ctrlProp19.xml><?xml version="1.0" encoding="utf-8"?>
<formControlPr xmlns="http://schemas.microsoft.com/office/spreadsheetml/2009/9/main" objectType="Radio" checked="Checked" firstButton="1" fmlaLink="equations!$B$28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Radio" lockText="1" noThreeD="1"/>
</file>

<file path=xl/ctrlProps/ctrlProp22.xml><?xml version="1.0" encoding="utf-8"?>
<formControlPr xmlns="http://schemas.microsoft.com/office/spreadsheetml/2009/9/main" objectType="GBox" noThreeD="1"/>
</file>

<file path=xl/ctrlProps/ctrlProp23.xml><?xml version="1.0" encoding="utf-8"?>
<formControlPr xmlns="http://schemas.microsoft.com/office/spreadsheetml/2009/9/main" objectType="Radio" checked="Checked" firstButton="1" fmlaLink="equations!$B$8" lockText="1" noThreeD="1"/>
</file>

<file path=xl/ctrlProps/ctrlProp24.xml><?xml version="1.0" encoding="utf-8"?>
<formControlPr xmlns="http://schemas.microsoft.com/office/spreadsheetml/2009/9/main" objectType="Radio" lockText="1" noThreeD="1"/>
</file>

<file path=xl/ctrlProps/ctrlProp25.xml><?xml version="1.0" encoding="utf-8"?>
<formControlPr xmlns="http://schemas.microsoft.com/office/spreadsheetml/2009/9/main" objectType="GBox" noThreeD="1"/>
</file>

<file path=xl/ctrlProps/ctrlProp26.xml><?xml version="1.0" encoding="utf-8"?>
<formControlPr xmlns="http://schemas.microsoft.com/office/spreadsheetml/2009/9/main" objectType="Radio" checked="Checked" firstButton="1" fmlaLink="equations!$B$79" lockText="1" noThreeD="1"/>
</file>

<file path=xl/ctrlProps/ctrlProp27.xml><?xml version="1.0" encoding="utf-8"?>
<formControlPr xmlns="http://schemas.microsoft.com/office/spreadsheetml/2009/9/main" objectType="Radio" lockText="1" noThreeD="1"/>
</file>

<file path=xl/ctrlProps/ctrlProp28.xml><?xml version="1.0" encoding="utf-8"?>
<formControlPr xmlns="http://schemas.microsoft.com/office/spreadsheetml/2009/9/main" objectType="GBox" noThreeD="1"/>
</file>

<file path=xl/ctrlProps/ctrlProp29.xml><?xml version="1.0" encoding="utf-8"?>
<formControlPr xmlns="http://schemas.microsoft.com/office/spreadsheetml/2009/9/main" objectType="Radio" firstButton="1" fmlaLink="data!$B$7" lockText="1" noThreeD="1"/>
</file>

<file path=xl/ctrlProps/ctrlProp30.xml><?xml version="1.0" encoding="utf-8"?>
<formControlPr xmlns="http://schemas.microsoft.com/office/spreadsheetml/2009/9/main" objectType="Radio" lockText="1" noThreeD="1"/>
</file>

<file path=xl/ctrlProps/ctrlProp31.xml><?xml version="1.0" encoding="utf-8"?>
<formControlPr xmlns="http://schemas.microsoft.com/office/spreadsheetml/2009/9/main" objectType="Radio" noThreeD="1"/>
</file>

<file path=xl/ctrlProps/ctrlProp32.xml><?xml version="1.0" encoding="utf-8"?>
<formControlPr xmlns="http://schemas.microsoft.com/office/spreadsheetml/2009/9/main" objectType="Radio" lockText="1" noThreeD="1"/>
</file>

<file path=xl/ctrlProps/ctrlProp33.xml><?xml version="1.0" encoding="utf-8"?>
<formControlPr xmlns="http://schemas.microsoft.com/office/spreadsheetml/2009/9/main" objectType="Radio" lockText="1" noThreeD="1"/>
</file>

<file path=xl/ctrlProps/ctrlProp34.xml><?xml version="1.0" encoding="utf-8"?>
<formControlPr xmlns="http://schemas.microsoft.com/office/spreadsheetml/2009/9/main" objectType="Radio" lockText="1" noThreeD="1"/>
</file>

<file path=xl/ctrlProps/ctrlProp35.xml><?xml version="1.0" encoding="utf-8"?>
<formControlPr xmlns="http://schemas.microsoft.com/office/spreadsheetml/2009/9/main" objectType="Radio" lockText="1" noThreeD="1"/>
</file>

<file path=xl/ctrlProps/ctrlProp36.xml><?xml version="1.0" encoding="utf-8"?>
<formControlPr xmlns="http://schemas.microsoft.com/office/spreadsheetml/2009/9/main" objectType="GBox" noThreeD="1"/>
</file>

<file path=xl/ctrlProps/ctrlProp37.xml><?xml version="1.0" encoding="utf-8"?>
<formControlPr xmlns="http://schemas.microsoft.com/office/spreadsheetml/2009/9/main" objectType="Radio" checked="Checked" firstButton="1" fmlaLink="data!$B$69" lockText="1" noThreeD="1"/>
</file>

<file path=xl/ctrlProps/ctrlProp38.xml><?xml version="1.0" encoding="utf-8"?>
<formControlPr xmlns="http://schemas.microsoft.com/office/spreadsheetml/2009/9/main" objectType="Radio" lockText="1" noThreeD="1"/>
</file>

<file path=xl/ctrlProps/ctrlProp39.xml><?xml version="1.0" encoding="utf-8"?>
<formControlPr xmlns="http://schemas.microsoft.com/office/spreadsheetml/2009/9/main" objectType="Radio" lockText="1" noThreeD="1"/>
</file>

<file path=xl/ctrlProps/ctrlProp40.xml><?xml version="1.0" encoding="utf-8"?>
<formControlPr xmlns="http://schemas.microsoft.com/office/spreadsheetml/2009/9/main" objectType="Radio" lockText="1" noThreeD="1"/>
</file>

<file path=xl/ctrlProps/ctrlProp41.xml><?xml version="1.0" encoding="utf-8"?>
<formControlPr xmlns="http://schemas.microsoft.com/office/spreadsheetml/2009/9/main" objectType="GBox" noThreeD="1"/>
</file>

<file path=xl/ctrlProps/ctrlProp42.xml><?xml version="1.0" encoding="utf-8"?>
<formControlPr xmlns="http://schemas.microsoft.com/office/spreadsheetml/2009/9/main" objectType="Radio" checked="Checked" firstButton="1" fmlaLink="data!$B$75" lockText="1" noThreeD="1"/>
</file>

<file path=xl/ctrlProps/ctrlProp43.xml><?xml version="1.0" encoding="utf-8"?>
<formControlPr xmlns="http://schemas.microsoft.com/office/spreadsheetml/2009/9/main" objectType="Radio" lockText="1" noThreeD="1"/>
</file>

<file path=xl/ctrlProps/ctrlProp44.xml><?xml version="1.0" encoding="utf-8"?>
<formControlPr xmlns="http://schemas.microsoft.com/office/spreadsheetml/2009/9/main" objectType="Radio" lockText="1" noThreeD="1"/>
</file>

<file path=xl/ctrlProps/ctrlProp45.xml><?xml version="1.0" encoding="utf-8"?>
<formControlPr xmlns="http://schemas.microsoft.com/office/spreadsheetml/2009/9/main" objectType="GBox" noThreeD="1"/>
</file>

<file path=xl/ctrlProps/ctrlProp46.xml><?xml version="1.0" encoding="utf-8"?>
<formControlPr xmlns="http://schemas.microsoft.com/office/spreadsheetml/2009/9/main" objectType="Radio" checked="Checked" firstButton="1" fmlaLink="data!$B$81" lockText="1" noThreeD="1"/>
</file>

<file path=xl/ctrlProps/ctrlProp47.xml><?xml version="1.0" encoding="utf-8"?>
<formControlPr xmlns="http://schemas.microsoft.com/office/spreadsheetml/2009/9/main" objectType="Radio" lockText="1" noThreeD="1"/>
</file>

<file path=xl/ctrlProps/ctrlProp48.xml><?xml version="1.0" encoding="utf-8"?>
<formControlPr xmlns="http://schemas.microsoft.com/office/spreadsheetml/2009/9/main" objectType="Radio" lockText="1" noThreeD="1"/>
</file>

<file path=xl/ctrlProps/ctrlProp49.xml><?xml version="1.0" encoding="utf-8"?>
<formControlPr xmlns="http://schemas.microsoft.com/office/spreadsheetml/2009/9/main" objectType="GBox" noThreeD="1"/>
</file>

<file path=xl/ctrlProps/ctrlProp50.xml><?xml version="1.0" encoding="utf-8"?>
<formControlPr xmlns="http://schemas.microsoft.com/office/spreadsheetml/2009/9/main" objectType="Radio" firstButton="1" fmlaLink="data!$B$86" lockText="1" noThreeD="1"/>
</file>

<file path=xl/ctrlProps/ctrlProp51.xml><?xml version="1.0" encoding="utf-8"?>
<formControlPr xmlns="http://schemas.microsoft.com/office/spreadsheetml/2009/9/main" objectType="Radio" lockText="1" noThreeD="1"/>
</file>

<file path=xl/ctrlProps/ctrlProp52.xml><?xml version="1.0" encoding="utf-8"?>
<formControlPr xmlns="http://schemas.microsoft.com/office/spreadsheetml/2009/9/main" objectType="Radio" checked="Checked" firstButton="1" fmlaLink="data!$C$43" lockText="1" noThreeD="1"/>
</file>

<file path=xl/ctrlProps/ctrlProp53.xml><?xml version="1.0" encoding="utf-8"?>
<formControlPr xmlns="http://schemas.microsoft.com/office/spreadsheetml/2009/9/main" objectType="Radio" lockText="1" noThreeD="1"/>
</file>

<file path=xl/ctrlProps/ctrlProp54.xml><?xml version="1.0" encoding="utf-8"?>
<formControlPr xmlns="http://schemas.microsoft.com/office/spreadsheetml/2009/9/main" objectType="GBox" noThreeD="1"/>
</file>

<file path=xl/ctrlProps/ctrlProp55.xml><?xml version="1.0" encoding="utf-8"?>
<formControlPr xmlns="http://schemas.microsoft.com/office/spreadsheetml/2009/9/main" objectType="Radio" lockText="1" noThreeD="1"/>
</file>

<file path=xl/ctrlProps/ctrlProp56.xml><?xml version="1.0" encoding="utf-8"?>
<formControlPr xmlns="http://schemas.microsoft.com/office/spreadsheetml/2009/9/main" objectType="Radio" lockText="1" noThreeD="1"/>
</file>

<file path=xl/ctrlProps/ctrlProp57.xml><?xml version="1.0" encoding="utf-8"?>
<formControlPr xmlns="http://schemas.microsoft.com/office/spreadsheetml/2009/9/main" objectType="Radio" lockText="1" noThreeD="1"/>
</file>

<file path=xl/ctrlProps/ctrlProp58.xml><?xml version="1.0" encoding="utf-8"?>
<formControlPr xmlns="http://schemas.microsoft.com/office/spreadsheetml/2009/9/main" objectType="Radio" lockText="1" noThreeD="1"/>
</file>

<file path=xl/ctrlProps/ctrlProp59.xml><?xml version="1.0" encoding="utf-8"?>
<formControlPr xmlns="http://schemas.microsoft.com/office/spreadsheetml/2009/9/main" objectType="Radio" lockText="1" noThreeD="1"/>
</file>

<file path=xl/ctrlProps/ctrlProp60.xml><?xml version="1.0" encoding="utf-8"?>
<formControlPr xmlns="http://schemas.microsoft.com/office/spreadsheetml/2009/9/main" objectType="Radio" checked="Checked" firstButton="1" fmlaLink="equations!$B$26" lockText="1" noThreeD="1"/>
</file>

<file path=xl/ctrlProps/ctrlProp61.xml><?xml version="1.0" encoding="utf-8"?>
<formControlPr xmlns="http://schemas.microsoft.com/office/spreadsheetml/2009/9/main" objectType="GBox" noThreeD="1"/>
</file>

<file path=xl/ctrlProps/ctrlProp62.xml><?xml version="1.0" encoding="utf-8"?>
<formControlPr xmlns="http://schemas.microsoft.com/office/spreadsheetml/2009/9/main" objectType="Radio" lockText="1" noThreeD="1"/>
</file>

<file path=xl/ctrlProps/ctrlProp63.xml><?xml version="1.0" encoding="utf-8"?>
<formControlPr xmlns="http://schemas.microsoft.com/office/spreadsheetml/2009/9/main" objectType="CheckBox" fmlaLink="equations!$B$32" lockText="1" noThreeD="1"/>
</file>

<file path=xl/ctrlProps/ctrlProp64.xml><?xml version="1.0" encoding="utf-8"?>
<formControlPr xmlns="http://schemas.microsoft.com/office/spreadsheetml/2009/9/main" objectType="GBox" noThreeD="1"/>
</file>

<file path=xl/ctrlProps/ctrlProp65.xml><?xml version="1.0" encoding="utf-8"?>
<formControlPr xmlns="http://schemas.microsoft.com/office/spreadsheetml/2009/9/main" objectType="Radio" checked="Checked" firstButton="1" fmlaLink="data!$B$55" lockText="1" noThreeD="1"/>
</file>

<file path=xl/ctrlProps/ctrlProp66.xml><?xml version="1.0" encoding="utf-8"?>
<formControlPr xmlns="http://schemas.microsoft.com/office/spreadsheetml/2009/9/main" objectType="Radio" lockText="1" noThreeD="1"/>
</file>

<file path=xl/ctrlProps/ctrlProp67.xml><?xml version="1.0" encoding="utf-8"?>
<formControlPr xmlns="http://schemas.microsoft.com/office/spreadsheetml/2009/9/main" objectType="Radio" lockText="1" noThreeD="1"/>
</file>

<file path=xl/ctrlProps/ctrlProp68.xml><?xml version="1.0" encoding="utf-8"?>
<formControlPr xmlns="http://schemas.microsoft.com/office/spreadsheetml/2009/9/main" objectType="Radio" lockText="1" noThreeD="1"/>
</file>

<file path=xl/ctrlProps/ctrlProp69.xml><?xml version="1.0" encoding="utf-8"?>
<formControlPr xmlns="http://schemas.microsoft.com/office/spreadsheetml/2009/9/main" objectType="GBox" noThreeD="1"/>
</file>

<file path=xl/ctrlProps/ctrlProp70.xml><?xml version="1.0" encoding="utf-8"?>
<formControlPr xmlns="http://schemas.microsoft.com/office/spreadsheetml/2009/9/main" objectType="Radio" checked="Checked" firstButton="1" fmlaLink="data!$B$28" lockText="1" noThreeD="1"/>
</file>

<file path=xl/ctrlProps/ctrlProp71.xml><?xml version="1.0" encoding="utf-8"?>
<formControlPr xmlns="http://schemas.microsoft.com/office/spreadsheetml/2009/9/main" objectType="Radio" lockText="1" noThreeD="1"/>
</file>

<file path=xl/ctrlProps/ctrlProp72.xml><?xml version="1.0" encoding="utf-8"?>
<formControlPr xmlns="http://schemas.microsoft.com/office/spreadsheetml/2009/9/main" objectType="Radio" lockText="1" noThreeD="1"/>
</file>

<file path=xl/ctrlProps/ctrlProp73.xml><?xml version="1.0" encoding="utf-8"?>
<formControlPr xmlns="http://schemas.microsoft.com/office/spreadsheetml/2009/9/main" objectType="Radio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11.emf"/><Relationship Id="rId1" Type="http://schemas.openxmlformats.org/officeDocument/2006/relationships/image" Target="../media/image3.png"/><Relationship Id="rId4" Type="http://schemas.openxmlformats.org/officeDocument/2006/relationships/image" Target="../media/image13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png"/><Relationship Id="rId1" Type="http://schemas.openxmlformats.org/officeDocument/2006/relationships/image" Target="../media/image2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9.emf"/><Relationship Id="rId2" Type="http://schemas.openxmlformats.org/officeDocument/2006/relationships/image" Target="../media/image8.emf"/><Relationship Id="rId1" Type="http://schemas.openxmlformats.org/officeDocument/2006/relationships/image" Target="../media/image7.emf"/><Relationship Id="rId4" Type="http://schemas.openxmlformats.org/officeDocument/2006/relationships/image" Target="../media/image10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15.emf"/><Relationship Id="rId1" Type="http://schemas.openxmlformats.org/officeDocument/2006/relationships/image" Target="../media/image14.emf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18.emf"/><Relationship Id="rId2" Type="http://schemas.openxmlformats.org/officeDocument/2006/relationships/image" Target="../media/image17.emf"/><Relationship Id="rId1" Type="http://schemas.openxmlformats.org/officeDocument/2006/relationships/image" Target="../media/image16.emf"/><Relationship Id="rId6" Type="http://schemas.openxmlformats.org/officeDocument/2006/relationships/image" Target="../media/image21.emf"/><Relationship Id="rId5" Type="http://schemas.openxmlformats.org/officeDocument/2006/relationships/image" Target="../media/image20.emf"/><Relationship Id="rId4" Type="http://schemas.openxmlformats.org/officeDocument/2006/relationships/image" Target="../media/image19.emf"/></Relationships>
</file>

<file path=xl/drawings/_rels/vmlDrawing4.vml.rels><?xml version="1.0" encoding="UTF-8" standalone="yes"?>
<Relationships xmlns="http://schemas.openxmlformats.org/package/2006/relationships"><Relationship Id="rId8" Type="http://schemas.openxmlformats.org/officeDocument/2006/relationships/image" Target="../media/image32.emf"/><Relationship Id="rId3" Type="http://schemas.openxmlformats.org/officeDocument/2006/relationships/image" Target="../media/image27.emf"/><Relationship Id="rId7" Type="http://schemas.openxmlformats.org/officeDocument/2006/relationships/image" Target="../media/image31.emf"/><Relationship Id="rId2" Type="http://schemas.openxmlformats.org/officeDocument/2006/relationships/image" Target="../media/image26.emf"/><Relationship Id="rId1" Type="http://schemas.openxmlformats.org/officeDocument/2006/relationships/image" Target="../media/image25.emf"/><Relationship Id="rId6" Type="http://schemas.openxmlformats.org/officeDocument/2006/relationships/image" Target="../media/image30.emf"/><Relationship Id="rId11" Type="http://schemas.openxmlformats.org/officeDocument/2006/relationships/image" Target="../media/image35.emf"/><Relationship Id="rId5" Type="http://schemas.openxmlformats.org/officeDocument/2006/relationships/image" Target="../media/image29.emf"/><Relationship Id="rId10" Type="http://schemas.openxmlformats.org/officeDocument/2006/relationships/image" Target="../media/image34.emf"/><Relationship Id="rId4" Type="http://schemas.openxmlformats.org/officeDocument/2006/relationships/image" Target="../media/image28.emf"/><Relationship Id="rId9" Type="http://schemas.openxmlformats.org/officeDocument/2006/relationships/image" Target="../media/image33.emf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7.emf"/><Relationship Id="rId1" Type="http://schemas.openxmlformats.org/officeDocument/2006/relationships/image" Target="../media/image3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20336</xdr:colOff>
          <xdr:row>7</xdr:row>
          <xdr:rowOff>139495</xdr:rowOff>
        </xdr:from>
        <xdr:to>
          <xdr:col>15</xdr:col>
          <xdr:colOff>383601</xdr:colOff>
          <xdr:row>9</xdr:row>
          <xdr:rowOff>68204</xdr:rowOff>
        </xdr:to>
        <xdr:grpSp>
          <xdr:nvGrpSpPr>
            <xdr:cNvPr id="2" name="Group 1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GrpSpPr/>
          </xdr:nvGrpSpPr>
          <xdr:grpSpPr>
            <a:xfrm>
              <a:off x="10250186" y="1758745"/>
              <a:ext cx="2677840" cy="385909"/>
              <a:chOff x="7896228" y="1285835"/>
              <a:chExt cx="2819400" cy="390534"/>
            </a:xfrm>
          </xdr:grpSpPr>
          <xdr:sp macro="" textlink="">
            <xdr:nvSpPr>
              <xdr:cNvPr id="1033" name="Option Button 9" hidden="1">
                <a:extLst>
                  <a:ext uri="{63B3BB69-23CF-44E3-9099-C40C66FF867C}">
                    <a14:compatExt spid="_x0000_s1033"/>
                  </a:ext>
                  <a:ext uri="{FF2B5EF4-FFF2-40B4-BE49-F238E27FC236}">
                    <a16:creationId xmlns:a16="http://schemas.microsoft.com/office/drawing/2014/main" id="{00000000-0008-0000-0000-000009040000}"/>
                  </a:ext>
                </a:extLst>
              </xdr:cNvPr>
              <xdr:cNvSpPr/>
            </xdr:nvSpPr>
            <xdr:spPr bwMode="auto">
              <a:xfrm>
                <a:off x="9425164" y="1400144"/>
                <a:ext cx="644077" cy="2095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4" name="Option Button 10" hidden="1">
                <a:extLst>
                  <a:ext uri="{63B3BB69-23CF-44E3-9099-C40C66FF867C}">
                    <a14:compatExt spid="_x0000_s1034"/>
                  </a:ext>
                  <a:ext uri="{FF2B5EF4-FFF2-40B4-BE49-F238E27FC236}">
                    <a16:creationId xmlns:a16="http://schemas.microsoft.com/office/drawing/2014/main" id="{00000000-0008-0000-0000-00000A040000}"/>
                  </a:ext>
                </a:extLst>
              </xdr:cNvPr>
              <xdr:cNvSpPr/>
            </xdr:nvSpPr>
            <xdr:spPr bwMode="auto">
              <a:xfrm>
                <a:off x="8664341" y="1389645"/>
                <a:ext cx="578578" cy="219844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0" name="Group Box 16" hidden="1">
                <a:extLst>
                  <a:ext uri="{63B3BB69-23CF-44E3-9099-C40C66FF867C}">
                    <a14:compatExt spid="_x0000_s1040"/>
                  </a:ext>
                  <a:ext uri="{FF2B5EF4-FFF2-40B4-BE49-F238E27FC236}">
                    <a16:creationId xmlns:a16="http://schemas.microsoft.com/office/drawing/2014/main" id="{00000000-0008-0000-0000-000010040000}"/>
                  </a:ext>
                </a:extLst>
              </xdr:cNvPr>
              <xdr:cNvSpPr/>
            </xdr:nvSpPr>
            <xdr:spPr bwMode="auto">
              <a:xfrm>
                <a:off x="7896228" y="1285835"/>
                <a:ext cx="2819400" cy="390534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587936</xdr:colOff>
          <xdr:row>79</xdr:row>
          <xdr:rowOff>3750</xdr:rowOff>
        </xdr:from>
        <xdr:to>
          <xdr:col>12</xdr:col>
          <xdr:colOff>410695</xdr:colOff>
          <xdr:row>80</xdr:row>
          <xdr:rowOff>3615</xdr:rowOff>
        </xdr:to>
        <xdr:grpSp>
          <xdr:nvGrpSpPr>
            <xdr:cNvPr id="17" name="Length">
              <a:extLst>
                <a:ext uri="{FF2B5EF4-FFF2-40B4-BE49-F238E27FC236}">
                  <a16:creationId xmlns:a16="http://schemas.microsoft.com/office/drawing/2014/main" id="{00000000-0008-0000-0000-000011000000}"/>
                </a:ext>
              </a:extLst>
            </xdr:cNvPr>
            <xdr:cNvGrpSpPr/>
          </xdr:nvGrpSpPr>
          <xdr:grpSpPr>
            <a:xfrm>
              <a:off x="4578911" y="19291875"/>
              <a:ext cx="6061634" cy="304665"/>
              <a:chOff x="4145778" y="15660614"/>
              <a:chExt cx="5603858" cy="280194"/>
            </a:xfrm>
          </xdr:grpSpPr>
          <xdr:sp macro="" textlink="">
            <xdr:nvSpPr>
              <xdr:cNvPr id="1052" name="Group Box 28" hidden="1">
                <a:extLst>
                  <a:ext uri="{63B3BB69-23CF-44E3-9099-C40C66FF867C}">
                    <a14:compatExt spid="_x0000_s1052"/>
                  </a:ext>
                  <a:ext uri="{FF2B5EF4-FFF2-40B4-BE49-F238E27FC236}">
                    <a16:creationId xmlns:a16="http://schemas.microsoft.com/office/drawing/2014/main" id="{00000000-0008-0000-0000-00001C040000}"/>
                  </a:ext>
                </a:extLst>
              </xdr:cNvPr>
              <xdr:cNvSpPr/>
            </xdr:nvSpPr>
            <xdr:spPr bwMode="auto">
              <a:xfrm>
                <a:off x="4145778" y="15660614"/>
                <a:ext cx="5603858" cy="280194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28</a:t>
                </a:r>
              </a:p>
            </xdr:txBody>
          </xdr:sp>
          <xdr:sp macro="" textlink="">
            <xdr:nvSpPr>
              <xdr:cNvPr id="1053" name="Option Button 29" hidden="1">
                <a:extLst>
                  <a:ext uri="{63B3BB69-23CF-44E3-9099-C40C66FF867C}">
                    <a14:compatExt spid="_x0000_s1053"/>
                  </a:ext>
                  <a:ext uri="{FF2B5EF4-FFF2-40B4-BE49-F238E27FC236}">
                    <a16:creationId xmlns:a16="http://schemas.microsoft.com/office/drawing/2014/main" id="{00000000-0008-0000-0000-00001D040000}"/>
                  </a:ext>
                </a:extLst>
              </xdr:cNvPr>
              <xdr:cNvSpPr/>
            </xdr:nvSpPr>
            <xdr:spPr bwMode="auto">
              <a:xfrm>
                <a:off x="4815888" y="15702719"/>
                <a:ext cx="786605" cy="19207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4" name="Option Button 30" hidden="1">
                <a:extLst>
                  <a:ext uri="{63B3BB69-23CF-44E3-9099-C40C66FF867C}">
                    <a14:compatExt spid="_x0000_s1054"/>
                  </a:ext>
                  <a:ext uri="{FF2B5EF4-FFF2-40B4-BE49-F238E27FC236}">
                    <a16:creationId xmlns:a16="http://schemas.microsoft.com/office/drawing/2014/main" id="{00000000-0008-0000-0000-00001E040000}"/>
                  </a:ext>
                </a:extLst>
              </xdr:cNvPr>
              <xdr:cNvSpPr/>
            </xdr:nvSpPr>
            <xdr:spPr bwMode="auto">
              <a:xfrm>
                <a:off x="6297784" y="15687539"/>
                <a:ext cx="804054" cy="21590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5" name="Option Button 31" hidden="1">
                <a:extLst>
                  <a:ext uri="{63B3BB69-23CF-44E3-9099-C40C66FF867C}">
                    <a14:compatExt spid="_x0000_s1055"/>
                  </a:ext>
                  <a:ext uri="{FF2B5EF4-FFF2-40B4-BE49-F238E27FC236}">
                    <a16:creationId xmlns:a16="http://schemas.microsoft.com/office/drawing/2014/main" id="{00000000-0008-0000-0000-00001F040000}"/>
                  </a:ext>
                </a:extLst>
              </xdr:cNvPr>
              <xdr:cNvSpPr/>
            </xdr:nvSpPr>
            <xdr:spPr bwMode="auto">
              <a:xfrm>
                <a:off x="7731087" y="15706241"/>
                <a:ext cx="781114" cy="1955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273325</xdr:colOff>
          <xdr:row>83</xdr:row>
          <xdr:rowOff>18096</xdr:rowOff>
        </xdr:from>
        <xdr:to>
          <xdr:col>11</xdr:col>
          <xdr:colOff>131489</xdr:colOff>
          <xdr:row>83</xdr:row>
          <xdr:rowOff>300425</xdr:rowOff>
        </xdr:to>
        <xdr:grpSp>
          <xdr:nvGrpSpPr>
            <xdr:cNvPr id="10" name="Side Profile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GrpSpPr/>
          </xdr:nvGrpSpPr>
          <xdr:grpSpPr>
            <a:xfrm>
              <a:off x="5045350" y="20525421"/>
              <a:ext cx="4525414" cy="282329"/>
              <a:chOff x="4977523" y="16568499"/>
              <a:chExt cx="4690354" cy="286542"/>
            </a:xfrm>
          </xdr:grpSpPr>
          <xdr:sp macro="" textlink="">
            <xdr:nvSpPr>
              <xdr:cNvPr id="1057" name="Option Button 33" hidden="1">
                <a:extLst>
                  <a:ext uri="{63B3BB69-23CF-44E3-9099-C40C66FF867C}">
                    <a14:compatExt spid="_x0000_s1057"/>
                  </a:ext>
                  <a:ext uri="{FF2B5EF4-FFF2-40B4-BE49-F238E27FC236}">
                    <a16:creationId xmlns:a16="http://schemas.microsoft.com/office/drawing/2014/main" id="{00000000-0008-0000-0000-000021040000}"/>
                  </a:ext>
                </a:extLst>
              </xdr:cNvPr>
              <xdr:cNvSpPr/>
            </xdr:nvSpPr>
            <xdr:spPr bwMode="auto">
              <a:xfrm>
                <a:off x="5234458" y="16617158"/>
                <a:ext cx="674549" cy="19684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8" name="Option Button 34" hidden="1">
                <a:extLst>
                  <a:ext uri="{63B3BB69-23CF-44E3-9099-C40C66FF867C}">
                    <a14:compatExt spid="_x0000_s1058"/>
                  </a:ext>
                  <a:ext uri="{FF2B5EF4-FFF2-40B4-BE49-F238E27FC236}">
                    <a16:creationId xmlns:a16="http://schemas.microsoft.com/office/drawing/2014/main" id="{00000000-0008-0000-0000-000022040000}"/>
                  </a:ext>
                </a:extLst>
              </xdr:cNvPr>
              <xdr:cNvSpPr/>
            </xdr:nvSpPr>
            <xdr:spPr bwMode="auto">
              <a:xfrm>
                <a:off x="6857746" y="16594506"/>
                <a:ext cx="896635" cy="22224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9" name="Group Box 35" hidden="1">
                <a:extLst>
                  <a:ext uri="{63B3BB69-23CF-44E3-9099-C40C66FF867C}">
                    <a14:compatExt spid="_x0000_s1059"/>
                  </a:ext>
                  <a:ext uri="{FF2B5EF4-FFF2-40B4-BE49-F238E27FC236}">
                    <a16:creationId xmlns:a16="http://schemas.microsoft.com/office/drawing/2014/main" id="{00000000-0008-0000-0000-000023040000}"/>
                  </a:ext>
                </a:extLst>
              </xdr:cNvPr>
              <xdr:cNvSpPr/>
            </xdr:nvSpPr>
            <xdr:spPr bwMode="auto">
              <a:xfrm>
                <a:off x="4977523" y="16568499"/>
                <a:ext cx="4690354" cy="286542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35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247650</xdr:colOff>
          <xdr:row>87</xdr:row>
          <xdr:rowOff>29448</xdr:rowOff>
        </xdr:from>
        <xdr:to>
          <xdr:col>8</xdr:col>
          <xdr:colOff>403688</xdr:colOff>
          <xdr:row>87</xdr:row>
          <xdr:rowOff>265172</xdr:rowOff>
        </xdr:to>
        <xdr:grpSp>
          <xdr:nvGrpSpPr>
            <xdr:cNvPr id="9" name="Barrel Colour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GrpSpPr/>
          </xdr:nvGrpSpPr>
          <xdr:grpSpPr>
            <a:xfrm>
              <a:off x="5019675" y="21755973"/>
              <a:ext cx="2451563" cy="235724"/>
              <a:chOff x="4673595" y="17780070"/>
              <a:chExt cx="3009900" cy="241301"/>
            </a:xfrm>
          </xdr:grpSpPr>
          <xdr:sp macro="" textlink="">
            <xdr:nvSpPr>
              <xdr:cNvPr id="1063" name="Option Button 39" hidden="1">
                <a:extLst>
                  <a:ext uri="{63B3BB69-23CF-44E3-9099-C40C66FF867C}">
                    <a14:compatExt spid="_x0000_s1063"/>
                  </a:ext>
                  <a:ext uri="{FF2B5EF4-FFF2-40B4-BE49-F238E27FC236}">
                    <a16:creationId xmlns:a16="http://schemas.microsoft.com/office/drawing/2014/main" id="{00000000-0008-0000-0000-000027040000}"/>
                  </a:ext>
                </a:extLst>
              </xdr:cNvPr>
              <xdr:cNvSpPr/>
            </xdr:nvSpPr>
            <xdr:spPr bwMode="auto">
              <a:xfrm>
                <a:off x="5006229" y="17818105"/>
                <a:ext cx="673104" cy="19526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4" name="Option Button 40" hidden="1">
                <a:extLst>
                  <a:ext uri="{63B3BB69-23CF-44E3-9099-C40C66FF867C}">
                    <a14:compatExt spid="_x0000_s1064"/>
                  </a:ext>
                  <a:ext uri="{FF2B5EF4-FFF2-40B4-BE49-F238E27FC236}">
                    <a16:creationId xmlns:a16="http://schemas.microsoft.com/office/drawing/2014/main" id="{00000000-0008-0000-0000-000028040000}"/>
                  </a:ext>
                </a:extLst>
              </xdr:cNvPr>
              <xdr:cNvSpPr/>
            </xdr:nvSpPr>
            <xdr:spPr bwMode="auto">
              <a:xfrm>
                <a:off x="6000676" y="17816942"/>
                <a:ext cx="622301" cy="18041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5" name="Group Box 41" hidden="1">
                <a:extLst>
                  <a:ext uri="{63B3BB69-23CF-44E3-9099-C40C66FF867C}">
                    <a14:compatExt spid="_x0000_s1065"/>
                  </a:ext>
                  <a:ext uri="{FF2B5EF4-FFF2-40B4-BE49-F238E27FC236}">
                    <a16:creationId xmlns:a16="http://schemas.microsoft.com/office/drawing/2014/main" id="{00000000-0008-0000-0000-000029040000}"/>
                  </a:ext>
                </a:extLst>
              </xdr:cNvPr>
              <xdr:cNvSpPr/>
            </xdr:nvSpPr>
            <xdr:spPr bwMode="auto">
              <a:xfrm>
                <a:off x="4673595" y="17780070"/>
                <a:ext cx="3009900" cy="241301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41</a:t>
                </a:r>
              </a:p>
            </xdr:txBody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314326</xdr:colOff>
          <xdr:row>86</xdr:row>
          <xdr:rowOff>28265</xdr:rowOff>
        </xdr:from>
        <xdr:to>
          <xdr:col>10</xdr:col>
          <xdr:colOff>395833</xdr:colOff>
          <xdr:row>86</xdr:row>
          <xdr:rowOff>266710</xdr:rowOff>
        </xdr:to>
        <xdr:grpSp>
          <xdr:nvGrpSpPr>
            <xdr:cNvPr id="4" name="Profile Colour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GrpSpPr/>
          </xdr:nvGrpSpPr>
          <xdr:grpSpPr>
            <a:xfrm>
              <a:off x="5086351" y="21449990"/>
              <a:ext cx="3958182" cy="238445"/>
              <a:chOff x="5502544" y="17475996"/>
              <a:chExt cx="4166926" cy="241298"/>
            </a:xfrm>
          </xdr:grpSpPr>
          <xdr:sp macro="" textlink="">
            <xdr:nvSpPr>
              <xdr:cNvPr id="1060" name="Option Button 36" hidden="1">
                <a:extLst>
                  <a:ext uri="{63B3BB69-23CF-44E3-9099-C40C66FF867C}">
                    <a14:compatExt spid="_x0000_s1060"/>
                  </a:ext>
                  <a:ext uri="{FF2B5EF4-FFF2-40B4-BE49-F238E27FC236}">
                    <a16:creationId xmlns:a16="http://schemas.microsoft.com/office/drawing/2014/main" id="{00000000-0008-0000-0000-000024040000}"/>
                  </a:ext>
                </a:extLst>
              </xdr:cNvPr>
              <xdr:cNvSpPr/>
            </xdr:nvSpPr>
            <xdr:spPr bwMode="auto">
              <a:xfrm>
                <a:off x="5748218" y="17500599"/>
                <a:ext cx="1028821" cy="20796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1" name="Option Button 37" hidden="1">
                <a:extLst>
                  <a:ext uri="{63B3BB69-23CF-44E3-9099-C40C66FF867C}">
                    <a14:compatExt spid="_x0000_s1061"/>
                  </a:ext>
                  <a:ext uri="{FF2B5EF4-FFF2-40B4-BE49-F238E27FC236}">
                    <a16:creationId xmlns:a16="http://schemas.microsoft.com/office/drawing/2014/main" id="{00000000-0008-0000-0000-000025040000}"/>
                  </a:ext>
                </a:extLst>
              </xdr:cNvPr>
              <xdr:cNvSpPr/>
            </xdr:nvSpPr>
            <xdr:spPr bwMode="auto">
              <a:xfrm>
                <a:off x="7398142" y="17500599"/>
                <a:ext cx="705040" cy="21113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2" name="Group Box 38" hidden="1">
                <a:extLst>
                  <a:ext uri="{63B3BB69-23CF-44E3-9099-C40C66FF867C}">
                    <a14:compatExt spid="_x0000_s1062"/>
                  </a:ext>
                  <a:ext uri="{FF2B5EF4-FFF2-40B4-BE49-F238E27FC236}">
                    <a16:creationId xmlns:a16="http://schemas.microsoft.com/office/drawing/2014/main" id="{00000000-0008-0000-0000-000026040000}"/>
                  </a:ext>
                </a:extLst>
              </xdr:cNvPr>
              <xdr:cNvSpPr/>
            </xdr:nvSpPr>
            <xdr:spPr bwMode="auto">
              <a:xfrm>
                <a:off x="5502544" y="17475996"/>
                <a:ext cx="4166926" cy="241298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38</a:t>
                </a:r>
              </a:p>
            </xdr:txBody>
          </xdr:sp>
          <xdr:sp macro="" textlink="">
            <xdr:nvSpPr>
              <xdr:cNvPr id="1066" name="Option Button 42" hidden="1">
                <a:extLst>
                  <a:ext uri="{63B3BB69-23CF-44E3-9099-C40C66FF867C}">
                    <a14:compatExt spid="_x0000_s1066"/>
                  </a:ext>
                  <a:ext uri="{FF2B5EF4-FFF2-40B4-BE49-F238E27FC236}">
                    <a16:creationId xmlns:a16="http://schemas.microsoft.com/office/drawing/2014/main" id="{00000000-0008-0000-0000-00002A040000}"/>
                  </a:ext>
                </a:extLst>
              </xdr:cNvPr>
              <xdr:cNvSpPr/>
            </xdr:nvSpPr>
            <xdr:spPr bwMode="auto">
              <a:xfrm>
                <a:off x="9030286" y="17496317"/>
                <a:ext cx="361844" cy="21113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296003</xdr:colOff>
          <xdr:row>15</xdr:row>
          <xdr:rowOff>153056</xdr:rowOff>
        </xdr:from>
        <xdr:to>
          <xdr:col>11</xdr:col>
          <xdr:colOff>545316</xdr:colOff>
          <xdr:row>21</xdr:row>
          <xdr:rowOff>128719</xdr:rowOff>
        </xdr:to>
        <xdr:grpSp>
          <xdr:nvGrpSpPr>
            <xdr:cNvPr id="5" name="Diffuser Dist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8944703" y="3601106"/>
              <a:ext cx="1039888" cy="1347263"/>
              <a:chOff x="7517459" y="3297842"/>
              <a:chExt cx="2141453" cy="1330141"/>
            </a:xfrm>
          </xdr:grpSpPr>
          <xdr:sp macro="" textlink="">
            <xdr:nvSpPr>
              <xdr:cNvPr id="1073" name="Group Box 49" hidden="1">
                <a:extLst>
                  <a:ext uri="{63B3BB69-23CF-44E3-9099-C40C66FF867C}">
                    <a14:compatExt spid="_x0000_s1073"/>
                  </a:ext>
                  <a:ext uri="{FF2B5EF4-FFF2-40B4-BE49-F238E27FC236}">
                    <a16:creationId xmlns:a16="http://schemas.microsoft.com/office/drawing/2014/main" id="{00000000-0008-0000-0000-000031040000}"/>
                  </a:ext>
                </a:extLst>
              </xdr:cNvPr>
              <xdr:cNvSpPr/>
            </xdr:nvSpPr>
            <xdr:spPr bwMode="auto">
              <a:xfrm>
                <a:off x="7517459" y="3297842"/>
                <a:ext cx="2141453" cy="1330141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49</a:t>
                </a:r>
              </a:p>
            </xdr:txBody>
          </xdr:sp>
          <xdr:sp macro="" textlink="">
            <xdr:nvSpPr>
              <xdr:cNvPr id="1074" name="Option Button 50" hidden="1">
                <a:extLst>
                  <a:ext uri="{63B3BB69-23CF-44E3-9099-C40C66FF867C}">
                    <a14:compatExt spid="_x0000_s1074"/>
                  </a:ext>
                  <a:ext uri="{FF2B5EF4-FFF2-40B4-BE49-F238E27FC236}">
                    <a16:creationId xmlns:a16="http://schemas.microsoft.com/office/drawing/2014/main" id="{00000000-0008-0000-0000-000032040000}"/>
                  </a:ext>
                </a:extLst>
              </xdr:cNvPr>
              <xdr:cNvSpPr/>
            </xdr:nvSpPr>
            <xdr:spPr bwMode="auto">
              <a:xfrm>
                <a:off x="7978028" y="3392657"/>
                <a:ext cx="1147477" cy="21468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75" name="Option Button 51" hidden="1">
                <a:extLst>
                  <a:ext uri="{63B3BB69-23CF-44E3-9099-C40C66FF867C}">
                    <a14:compatExt spid="_x0000_s1075"/>
                  </a:ext>
                  <a:ext uri="{FF2B5EF4-FFF2-40B4-BE49-F238E27FC236}">
                    <a16:creationId xmlns:a16="http://schemas.microsoft.com/office/drawing/2014/main" id="{00000000-0008-0000-0000-000033040000}"/>
                  </a:ext>
                </a:extLst>
              </xdr:cNvPr>
              <xdr:cNvSpPr/>
            </xdr:nvSpPr>
            <xdr:spPr bwMode="auto">
              <a:xfrm>
                <a:off x="7975217" y="3825328"/>
                <a:ext cx="1133608" cy="21468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76" name="Option Button 52" hidden="1">
                <a:extLst>
                  <a:ext uri="{63B3BB69-23CF-44E3-9099-C40C66FF867C}">
                    <a14:compatExt spid="_x0000_s1076"/>
                  </a:ext>
                  <a:ext uri="{FF2B5EF4-FFF2-40B4-BE49-F238E27FC236}">
                    <a16:creationId xmlns:a16="http://schemas.microsoft.com/office/drawing/2014/main" id="{00000000-0008-0000-0000-000034040000}"/>
                  </a:ext>
                </a:extLst>
              </xdr:cNvPr>
              <xdr:cNvSpPr/>
            </xdr:nvSpPr>
            <xdr:spPr bwMode="auto">
              <a:xfrm>
                <a:off x="7975217" y="4273563"/>
                <a:ext cx="1133608" cy="21468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1257489</xdr:colOff>
          <xdr:row>20</xdr:row>
          <xdr:rowOff>93140</xdr:rowOff>
        </xdr:from>
        <xdr:to>
          <xdr:col>6</xdr:col>
          <xdr:colOff>558709</xdr:colOff>
          <xdr:row>29</xdr:row>
          <xdr:rowOff>110771</xdr:rowOff>
        </xdr:to>
        <xdr:pic>
          <xdr:nvPicPr>
            <xdr:cNvPr id="8" name="Picture 7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getImage" spid="_x0000_s38048"/>
                </a:ext>
              </a:extLst>
            </xdr:cNvPicPr>
          </xdr:nvPicPr>
          <xdr:blipFill rotWithShape="1">
            <a:blip xmlns:r="http://schemas.openxmlformats.org/officeDocument/2006/relationships" r:embed="rId1"/>
            <a:srcRect t="-2" r="402" b="1431"/>
            <a:stretch>
              <a:fillRect/>
            </a:stretch>
          </xdr:blipFill>
          <xdr:spPr>
            <a:xfrm>
              <a:off x="3105339" y="4684190"/>
              <a:ext cx="2939770" cy="2075031"/>
            </a:xfrm>
            <a:prstGeom prst="rect">
              <a:avLst/>
            </a:prstGeom>
            <a:solidFill>
              <a:schemeClr val="bg1">
                <a:lumMod val="9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3</xdr:col>
          <xdr:colOff>2258163</xdr:colOff>
          <xdr:row>29</xdr:row>
          <xdr:rowOff>179089</xdr:rowOff>
        </xdr:from>
        <xdr:to>
          <xdr:col>4</xdr:col>
          <xdr:colOff>9904</xdr:colOff>
          <xdr:row>32</xdr:row>
          <xdr:rowOff>78236</xdr:rowOff>
        </xdr:to>
        <xdr:grpSp>
          <xdr:nvGrpSpPr>
            <xdr:cNvPr id="18" name="spigot">
              <a:extLst>
                <a:ext uri="{FF2B5EF4-FFF2-40B4-BE49-F238E27FC236}">
                  <a16:creationId xmlns:a16="http://schemas.microsoft.com/office/drawing/2014/main" id="{00000000-0008-0000-0000-000012000000}"/>
                </a:ext>
              </a:extLst>
            </xdr:cNvPr>
            <xdr:cNvGrpSpPr/>
          </xdr:nvGrpSpPr>
          <xdr:grpSpPr>
            <a:xfrm>
              <a:off x="3991713" y="6827539"/>
              <a:ext cx="9166" cy="584947"/>
              <a:chOff x="4355375" y="6647484"/>
              <a:chExt cx="1776417" cy="590535"/>
            </a:xfrm>
          </xdr:grpSpPr>
          <xdr:sp macro="" textlink="">
            <xdr:nvSpPr>
              <xdr:cNvPr id="1096" name="Group Box 72" hidden="1">
                <a:extLst>
                  <a:ext uri="{63B3BB69-23CF-44E3-9099-C40C66FF867C}">
                    <a14:compatExt spid="_x0000_s1096"/>
                  </a:ext>
                  <a:ext uri="{FF2B5EF4-FFF2-40B4-BE49-F238E27FC236}">
                    <a16:creationId xmlns:a16="http://schemas.microsoft.com/office/drawing/2014/main" id="{00000000-0008-0000-0000-000048040000}"/>
                  </a:ext>
                </a:extLst>
              </xdr:cNvPr>
              <xdr:cNvSpPr/>
            </xdr:nvSpPr>
            <xdr:spPr bwMode="auto">
              <a:xfrm>
                <a:off x="4355375" y="6647484"/>
                <a:ext cx="1776417" cy="590535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72</a:t>
                </a:r>
              </a:p>
            </xdr:txBody>
          </xdr:sp>
          <xdr:sp macro="" textlink="">
            <xdr:nvSpPr>
              <xdr:cNvPr id="1097" name="Option Button 73" hidden="1">
                <a:extLst>
                  <a:ext uri="{63B3BB69-23CF-44E3-9099-C40C66FF867C}">
                    <a14:compatExt spid="_x0000_s1097"/>
                  </a:ext>
                  <a:ext uri="{FF2B5EF4-FFF2-40B4-BE49-F238E27FC236}">
                    <a16:creationId xmlns:a16="http://schemas.microsoft.com/office/drawing/2014/main" id="{00000000-0008-0000-0000-000049040000}"/>
                  </a:ext>
                </a:extLst>
              </xdr:cNvPr>
              <xdr:cNvSpPr/>
            </xdr:nvSpPr>
            <xdr:spPr bwMode="auto">
              <a:xfrm>
                <a:off x="4399756" y="6719092"/>
                <a:ext cx="964374" cy="2317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98" name="Option Button 74" hidden="1">
                <a:extLst>
                  <a:ext uri="{63B3BB69-23CF-44E3-9099-C40C66FF867C}">
                    <a14:compatExt spid="_x0000_s1098"/>
                  </a:ext>
                  <a:ext uri="{FF2B5EF4-FFF2-40B4-BE49-F238E27FC236}">
                    <a16:creationId xmlns:a16="http://schemas.microsoft.com/office/drawing/2014/main" id="{00000000-0008-0000-0000-00004A040000}"/>
                  </a:ext>
                </a:extLst>
              </xdr:cNvPr>
              <xdr:cNvSpPr/>
            </xdr:nvSpPr>
            <xdr:spPr bwMode="auto">
              <a:xfrm>
                <a:off x="4406152" y="6949282"/>
                <a:ext cx="1048485" cy="23176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158849</xdr:colOff>
          <xdr:row>76</xdr:row>
          <xdr:rowOff>348201</xdr:rowOff>
        </xdr:from>
        <xdr:to>
          <xdr:col>14</xdr:col>
          <xdr:colOff>151978</xdr:colOff>
          <xdr:row>77</xdr:row>
          <xdr:rowOff>280514</xdr:rowOff>
        </xdr:to>
        <xdr:grpSp>
          <xdr:nvGrpSpPr>
            <xdr:cNvPr id="16" name="Slots">
              <a:extLst>
                <a:ext uri="{FF2B5EF4-FFF2-40B4-BE49-F238E27FC236}">
                  <a16:creationId xmlns:a16="http://schemas.microsoft.com/office/drawing/2014/main" id="{00000000-0008-0000-0000-000010000000}"/>
                </a:ext>
              </a:extLst>
            </xdr:cNvPr>
            <xdr:cNvGrpSpPr/>
          </xdr:nvGrpSpPr>
          <xdr:grpSpPr>
            <a:xfrm>
              <a:off x="4930874" y="18664776"/>
              <a:ext cx="6994004" cy="294263"/>
              <a:chOff x="4342601" y="15332869"/>
              <a:chExt cx="8336739" cy="300020"/>
            </a:xfrm>
          </xdr:grpSpPr>
          <xdr:sp macro="" textlink="">
            <xdr:nvSpPr>
              <xdr:cNvPr id="1041" name="Group Box 17" hidden="1">
                <a:extLst>
                  <a:ext uri="{63B3BB69-23CF-44E3-9099-C40C66FF867C}">
                    <a14:compatExt spid="_x0000_s1041"/>
                  </a:ext>
                  <a:ext uri="{FF2B5EF4-FFF2-40B4-BE49-F238E27FC236}">
                    <a16:creationId xmlns:a16="http://schemas.microsoft.com/office/drawing/2014/main" id="{00000000-0008-0000-0000-000011040000}"/>
                  </a:ext>
                </a:extLst>
              </xdr:cNvPr>
              <xdr:cNvSpPr/>
            </xdr:nvSpPr>
            <xdr:spPr bwMode="auto">
              <a:xfrm>
                <a:off x="4342601" y="15332869"/>
                <a:ext cx="8336739" cy="30002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17</a:t>
                </a:r>
              </a:p>
            </xdr:txBody>
          </xdr:sp>
          <xdr:sp macro="" textlink="">
            <xdr:nvSpPr>
              <xdr:cNvPr id="1043" name="Option Button 19" hidden="1">
                <a:extLst>
                  <a:ext uri="{63B3BB69-23CF-44E3-9099-C40C66FF867C}">
                    <a14:compatExt spid="_x0000_s1043"/>
                  </a:ext>
                  <a:ext uri="{FF2B5EF4-FFF2-40B4-BE49-F238E27FC236}">
                    <a16:creationId xmlns:a16="http://schemas.microsoft.com/office/drawing/2014/main" id="{00000000-0008-0000-0000-000013040000}"/>
                  </a:ext>
                </a:extLst>
              </xdr:cNvPr>
              <xdr:cNvSpPr/>
            </xdr:nvSpPr>
            <xdr:spPr bwMode="auto">
              <a:xfrm>
                <a:off x="5024773" y="15392026"/>
                <a:ext cx="509493" cy="21690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4" name="Option Button 20" hidden="1">
                <a:extLst>
                  <a:ext uri="{63B3BB69-23CF-44E3-9099-C40C66FF867C}">
                    <a14:compatExt spid="_x0000_s1044"/>
                  </a:ext>
                  <a:ext uri="{FF2B5EF4-FFF2-40B4-BE49-F238E27FC236}">
                    <a16:creationId xmlns:a16="http://schemas.microsoft.com/office/drawing/2014/main" id="{00000000-0008-0000-0000-000014040000}"/>
                  </a:ext>
                </a:extLst>
              </xdr:cNvPr>
              <xdr:cNvSpPr/>
            </xdr:nvSpPr>
            <xdr:spPr bwMode="auto">
              <a:xfrm>
                <a:off x="5950942" y="15392261"/>
                <a:ext cx="512909" cy="21790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5" name="Option Button 21" hidden="1">
                <a:extLst>
                  <a:ext uri="{63B3BB69-23CF-44E3-9099-C40C66FF867C}">
                    <a14:compatExt spid="_x0000_s1045"/>
                  </a:ext>
                  <a:ext uri="{FF2B5EF4-FFF2-40B4-BE49-F238E27FC236}">
                    <a16:creationId xmlns:a16="http://schemas.microsoft.com/office/drawing/2014/main" id="{00000000-0008-0000-0000-000015040000}"/>
                  </a:ext>
                </a:extLst>
              </xdr:cNvPr>
              <xdr:cNvSpPr/>
            </xdr:nvSpPr>
            <xdr:spPr bwMode="auto">
              <a:xfrm>
                <a:off x="6894817" y="15389060"/>
                <a:ext cx="497153" cy="22860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6" name="Option Button 22" hidden="1">
                <a:extLst>
                  <a:ext uri="{63B3BB69-23CF-44E3-9099-C40C66FF867C}">
                    <a14:compatExt spid="_x0000_s1046"/>
                  </a:ext>
                  <a:ext uri="{FF2B5EF4-FFF2-40B4-BE49-F238E27FC236}">
                    <a16:creationId xmlns:a16="http://schemas.microsoft.com/office/drawing/2014/main" id="{00000000-0008-0000-0000-000016040000}"/>
                  </a:ext>
                </a:extLst>
              </xdr:cNvPr>
              <xdr:cNvSpPr/>
            </xdr:nvSpPr>
            <xdr:spPr bwMode="auto">
              <a:xfrm>
                <a:off x="7816133" y="15399673"/>
                <a:ext cx="512682" cy="21404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7" name="Option Button 23" hidden="1">
                <a:extLst>
                  <a:ext uri="{63B3BB69-23CF-44E3-9099-C40C66FF867C}">
                    <a14:compatExt spid="_x0000_s1047"/>
                  </a:ext>
                  <a:ext uri="{FF2B5EF4-FFF2-40B4-BE49-F238E27FC236}">
                    <a16:creationId xmlns:a16="http://schemas.microsoft.com/office/drawing/2014/main" id="{00000000-0008-0000-0000-000017040000}"/>
                  </a:ext>
                </a:extLst>
              </xdr:cNvPr>
              <xdr:cNvSpPr/>
            </xdr:nvSpPr>
            <xdr:spPr bwMode="auto">
              <a:xfrm>
                <a:off x="8790140" y="15391447"/>
                <a:ext cx="516408" cy="2139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67" name="Option Button 43" hidden="1">
                <a:extLst>
                  <a:ext uri="{63B3BB69-23CF-44E3-9099-C40C66FF867C}">
                    <a14:compatExt spid="_x0000_s1067"/>
                  </a:ext>
                  <a:ext uri="{FF2B5EF4-FFF2-40B4-BE49-F238E27FC236}">
                    <a16:creationId xmlns:a16="http://schemas.microsoft.com/office/drawing/2014/main" id="{00000000-0008-0000-0000-00002B040000}"/>
                  </a:ext>
                </a:extLst>
              </xdr:cNvPr>
              <xdr:cNvSpPr/>
            </xdr:nvSpPr>
            <xdr:spPr bwMode="auto">
              <a:xfrm>
                <a:off x="9720292" y="15391956"/>
                <a:ext cx="512748" cy="21588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18" name="Option Button 94" hidden="1">
                <a:extLst>
                  <a:ext uri="{63B3BB69-23CF-44E3-9099-C40C66FF867C}">
                    <a14:compatExt spid="_x0000_s1118"/>
                  </a:ext>
                  <a:ext uri="{FF2B5EF4-FFF2-40B4-BE49-F238E27FC236}">
                    <a16:creationId xmlns:a16="http://schemas.microsoft.com/office/drawing/2014/main" id="{00000000-0008-0000-0000-00005E040000}"/>
                  </a:ext>
                </a:extLst>
              </xdr:cNvPr>
              <xdr:cNvSpPr/>
            </xdr:nvSpPr>
            <xdr:spPr bwMode="auto">
              <a:xfrm>
                <a:off x="10633076" y="15389886"/>
                <a:ext cx="519105" cy="22382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248479</xdr:colOff>
          <xdr:row>84</xdr:row>
          <xdr:rowOff>14430</xdr:rowOff>
        </xdr:from>
        <xdr:to>
          <xdr:col>15</xdr:col>
          <xdr:colOff>435300</xdr:colOff>
          <xdr:row>84</xdr:row>
          <xdr:rowOff>297150</xdr:rowOff>
        </xdr:to>
        <xdr:grpSp>
          <xdr:nvGrpSpPr>
            <xdr:cNvPr id="12" name="diffuser ends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GrpSpPr/>
          </xdr:nvGrpSpPr>
          <xdr:grpSpPr>
            <a:xfrm>
              <a:off x="5020504" y="20826555"/>
              <a:ext cx="7959221" cy="282720"/>
              <a:chOff x="5006043" y="16833553"/>
              <a:chExt cx="7856453" cy="288923"/>
            </a:xfrm>
          </xdr:grpSpPr>
          <xdr:sp macro="" textlink="">
            <xdr:nvSpPr>
              <xdr:cNvPr id="1145" name="Group Box 121" hidden="1">
                <a:extLst>
                  <a:ext uri="{63B3BB69-23CF-44E3-9099-C40C66FF867C}">
                    <a14:compatExt spid="_x0000_s1145"/>
                  </a:ext>
                  <a:ext uri="{FF2B5EF4-FFF2-40B4-BE49-F238E27FC236}">
                    <a16:creationId xmlns:a16="http://schemas.microsoft.com/office/drawing/2014/main" id="{00000000-0008-0000-0000-000079040000}"/>
                  </a:ext>
                </a:extLst>
              </xdr:cNvPr>
              <xdr:cNvSpPr/>
            </xdr:nvSpPr>
            <xdr:spPr bwMode="auto">
              <a:xfrm>
                <a:off x="5006043" y="16833553"/>
                <a:ext cx="7856453" cy="288923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121</a:t>
                </a:r>
              </a:p>
            </xdr:txBody>
          </xdr:sp>
          <xdr:sp macro="" textlink="">
            <xdr:nvSpPr>
              <xdr:cNvPr id="1146" name="Option Button 122" hidden="1">
                <a:extLst>
                  <a:ext uri="{63B3BB69-23CF-44E3-9099-C40C66FF867C}">
                    <a14:compatExt spid="_x0000_s1146"/>
                  </a:ext>
                  <a:ext uri="{FF2B5EF4-FFF2-40B4-BE49-F238E27FC236}">
                    <a16:creationId xmlns:a16="http://schemas.microsoft.com/office/drawing/2014/main" id="{00000000-0008-0000-0000-00007A040000}"/>
                  </a:ext>
                </a:extLst>
              </xdr:cNvPr>
              <xdr:cNvSpPr/>
            </xdr:nvSpPr>
            <xdr:spPr bwMode="auto">
              <a:xfrm>
                <a:off x="5268592" y="16864601"/>
                <a:ext cx="484076" cy="23173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47" name="Option Button 123" hidden="1">
                <a:extLst>
                  <a:ext uri="{63B3BB69-23CF-44E3-9099-C40C66FF867C}">
                    <a14:compatExt spid="_x0000_s1147"/>
                  </a:ext>
                  <a:ext uri="{FF2B5EF4-FFF2-40B4-BE49-F238E27FC236}">
                    <a16:creationId xmlns:a16="http://schemas.microsoft.com/office/drawing/2014/main" id="{00000000-0008-0000-0000-00007B040000}"/>
                  </a:ext>
                </a:extLst>
              </xdr:cNvPr>
              <xdr:cNvSpPr/>
            </xdr:nvSpPr>
            <xdr:spPr bwMode="auto">
              <a:xfrm>
                <a:off x="6835690" y="16864589"/>
                <a:ext cx="648171" cy="22831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48" name="Option Button 124" hidden="1">
                <a:extLst>
                  <a:ext uri="{63B3BB69-23CF-44E3-9099-C40C66FF867C}">
                    <a14:compatExt spid="_x0000_s1148"/>
                  </a:ext>
                  <a:ext uri="{FF2B5EF4-FFF2-40B4-BE49-F238E27FC236}">
                    <a16:creationId xmlns:a16="http://schemas.microsoft.com/office/drawing/2014/main" id="{00000000-0008-0000-0000-00007C040000}"/>
                  </a:ext>
                </a:extLst>
              </xdr:cNvPr>
              <xdr:cNvSpPr/>
            </xdr:nvSpPr>
            <xdr:spPr bwMode="auto">
              <a:xfrm>
                <a:off x="9174028" y="16858777"/>
                <a:ext cx="722013" cy="232678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49" name="Option Button 125" hidden="1">
                <a:extLst>
                  <a:ext uri="{63B3BB69-23CF-44E3-9099-C40C66FF867C}">
                    <a14:compatExt spid="_x0000_s1149"/>
                  </a:ext>
                  <a:ext uri="{FF2B5EF4-FFF2-40B4-BE49-F238E27FC236}">
                    <a16:creationId xmlns:a16="http://schemas.microsoft.com/office/drawing/2014/main" id="{00000000-0008-0000-0000-00007D040000}"/>
                  </a:ext>
                </a:extLst>
              </xdr:cNvPr>
              <xdr:cNvSpPr/>
            </xdr:nvSpPr>
            <xdr:spPr bwMode="auto">
              <a:xfrm>
                <a:off x="10604245" y="16858381"/>
                <a:ext cx="543313" cy="2326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276224</xdr:colOff>
          <xdr:row>85</xdr:row>
          <xdr:rowOff>3404</xdr:rowOff>
        </xdr:from>
        <xdr:to>
          <xdr:col>13</xdr:col>
          <xdr:colOff>427672</xdr:colOff>
          <xdr:row>85</xdr:row>
          <xdr:rowOff>287682</xdr:rowOff>
        </xdr:to>
        <xdr:grpSp>
          <xdr:nvGrpSpPr>
            <xdr:cNvPr id="13" name="Fixing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GrpSpPr/>
          </xdr:nvGrpSpPr>
          <xdr:grpSpPr>
            <a:xfrm>
              <a:off x="5048249" y="21120329"/>
              <a:ext cx="6390323" cy="284278"/>
              <a:chOff x="5036453" y="17139844"/>
              <a:chExt cx="6047109" cy="285750"/>
            </a:xfrm>
          </xdr:grpSpPr>
          <xdr:sp macro="" textlink="">
            <xdr:nvSpPr>
              <xdr:cNvPr id="1151" name="Group Box 127" hidden="1">
                <a:extLst>
                  <a:ext uri="{63B3BB69-23CF-44E3-9099-C40C66FF867C}">
                    <a14:compatExt spid="_x0000_s1151"/>
                  </a:ext>
                  <a:ext uri="{FF2B5EF4-FFF2-40B4-BE49-F238E27FC236}">
                    <a16:creationId xmlns:a16="http://schemas.microsoft.com/office/drawing/2014/main" id="{00000000-0008-0000-0000-00007F040000}"/>
                  </a:ext>
                </a:extLst>
              </xdr:cNvPr>
              <xdr:cNvSpPr/>
            </xdr:nvSpPr>
            <xdr:spPr bwMode="auto">
              <a:xfrm>
                <a:off x="5036453" y="17139844"/>
                <a:ext cx="6047109" cy="285750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127</a:t>
                </a:r>
              </a:p>
            </xdr:txBody>
          </xdr:sp>
          <xdr:sp macro="" textlink="">
            <xdr:nvSpPr>
              <xdr:cNvPr id="1152" name="Option Button 128" hidden="1">
                <a:extLst>
                  <a:ext uri="{63B3BB69-23CF-44E3-9099-C40C66FF867C}">
                    <a14:compatExt spid="_x0000_s1152"/>
                  </a:ext>
                  <a:ext uri="{FF2B5EF4-FFF2-40B4-BE49-F238E27FC236}">
                    <a16:creationId xmlns:a16="http://schemas.microsoft.com/office/drawing/2014/main" id="{00000000-0008-0000-0000-000080040000}"/>
                  </a:ext>
                </a:extLst>
              </xdr:cNvPr>
              <xdr:cNvSpPr/>
            </xdr:nvSpPr>
            <xdr:spPr bwMode="auto">
              <a:xfrm>
                <a:off x="5279816" y="17164123"/>
                <a:ext cx="603900" cy="23719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53" name="Option Button 129" hidden="1">
                <a:extLst>
                  <a:ext uri="{63B3BB69-23CF-44E3-9099-C40C66FF867C}">
                    <a14:compatExt spid="_x0000_s1153"/>
                  </a:ext>
                  <a:ext uri="{FF2B5EF4-FFF2-40B4-BE49-F238E27FC236}">
                    <a16:creationId xmlns:a16="http://schemas.microsoft.com/office/drawing/2014/main" id="{00000000-0008-0000-0000-000081040000}"/>
                  </a:ext>
                </a:extLst>
              </xdr:cNvPr>
              <xdr:cNvSpPr/>
            </xdr:nvSpPr>
            <xdr:spPr bwMode="auto">
              <a:xfrm>
                <a:off x="7524160" y="17180529"/>
                <a:ext cx="573542" cy="2304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59" name="Option Button 835" hidden="1">
                <a:extLst>
                  <a:ext uri="{63B3BB69-23CF-44E3-9099-C40C66FF867C}">
                    <a14:compatExt spid="_x0000_s1859"/>
                  </a:ext>
                  <a:ext uri="{FF2B5EF4-FFF2-40B4-BE49-F238E27FC236}">
                    <a16:creationId xmlns:a16="http://schemas.microsoft.com/office/drawing/2014/main" id="{00000000-0008-0000-0000-000043070000}"/>
                  </a:ext>
                </a:extLst>
              </xdr:cNvPr>
              <xdr:cNvSpPr/>
            </xdr:nvSpPr>
            <xdr:spPr bwMode="auto">
              <a:xfrm>
                <a:off x="8975731" y="17193202"/>
                <a:ext cx="750220" cy="23049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657225</xdr:colOff>
          <xdr:row>88</xdr:row>
          <xdr:rowOff>26269</xdr:rowOff>
        </xdr:from>
        <xdr:to>
          <xdr:col>12</xdr:col>
          <xdr:colOff>306052</xdr:colOff>
          <xdr:row>88</xdr:row>
          <xdr:rowOff>299934</xdr:rowOff>
        </xdr:to>
        <xdr:grpSp>
          <xdr:nvGrpSpPr>
            <xdr:cNvPr id="14" name="connectionbox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GrpSpPr/>
          </xdr:nvGrpSpPr>
          <xdr:grpSpPr>
            <a:xfrm>
              <a:off x="4648200" y="22057594"/>
              <a:ext cx="5887702" cy="273665"/>
              <a:chOff x="4306100" y="18094533"/>
              <a:chExt cx="6444455" cy="285748"/>
            </a:xfrm>
          </xdr:grpSpPr>
          <xdr:sp macro="" textlink="">
            <xdr:nvSpPr>
              <xdr:cNvPr id="1154" name="Group Box 130" hidden="1">
                <a:extLst>
                  <a:ext uri="{63B3BB69-23CF-44E3-9099-C40C66FF867C}">
                    <a14:compatExt spid="_x0000_s1154"/>
                  </a:ext>
                  <a:ext uri="{FF2B5EF4-FFF2-40B4-BE49-F238E27FC236}">
                    <a16:creationId xmlns:a16="http://schemas.microsoft.com/office/drawing/2014/main" id="{00000000-0008-0000-0000-000082040000}"/>
                  </a:ext>
                </a:extLst>
              </xdr:cNvPr>
              <xdr:cNvSpPr/>
            </xdr:nvSpPr>
            <xdr:spPr bwMode="auto">
              <a:xfrm>
                <a:off x="4306100" y="18094533"/>
                <a:ext cx="6444455" cy="285748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130</a:t>
                </a:r>
              </a:p>
            </xdr:txBody>
          </xdr:sp>
          <xdr:sp macro="" textlink="">
            <xdr:nvSpPr>
              <xdr:cNvPr id="1155" name="Option Button 131" hidden="1">
                <a:extLst>
                  <a:ext uri="{63B3BB69-23CF-44E3-9099-C40C66FF867C}">
                    <a14:compatExt spid="_x0000_s1155"/>
                  </a:ext>
                  <a:ext uri="{FF2B5EF4-FFF2-40B4-BE49-F238E27FC236}">
                    <a16:creationId xmlns:a16="http://schemas.microsoft.com/office/drawing/2014/main" id="{00000000-0008-0000-0000-000083040000}"/>
                  </a:ext>
                </a:extLst>
              </xdr:cNvPr>
              <xdr:cNvSpPr/>
            </xdr:nvSpPr>
            <xdr:spPr bwMode="auto">
              <a:xfrm>
                <a:off x="4985515" y="18112052"/>
                <a:ext cx="738865" cy="23727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56" name="Option Button 132" hidden="1">
                <a:extLst>
                  <a:ext uri="{63B3BB69-23CF-44E3-9099-C40C66FF867C}">
                    <a14:compatExt spid="_x0000_s1156"/>
                  </a:ext>
                  <a:ext uri="{FF2B5EF4-FFF2-40B4-BE49-F238E27FC236}">
                    <a16:creationId xmlns:a16="http://schemas.microsoft.com/office/drawing/2014/main" id="{00000000-0008-0000-0000-000084040000}"/>
                  </a:ext>
                </a:extLst>
              </xdr:cNvPr>
              <xdr:cNvSpPr/>
            </xdr:nvSpPr>
            <xdr:spPr bwMode="auto">
              <a:xfrm>
                <a:off x="6709369" y="18111565"/>
                <a:ext cx="429205" cy="24288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57" name="Option Button 133" hidden="1">
                <a:extLst>
                  <a:ext uri="{63B3BB69-23CF-44E3-9099-C40C66FF867C}">
                    <a14:compatExt spid="_x0000_s1157"/>
                  </a:ext>
                  <a:ext uri="{FF2B5EF4-FFF2-40B4-BE49-F238E27FC236}">
                    <a16:creationId xmlns:a16="http://schemas.microsoft.com/office/drawing/2014/main" id="{00000000-0008-0000-0000-000085040000}"/>
                  </a:ext>
                </a:extLst>
              </xdr:cNvPr>
              <xdr:cNvSpPr/>
            </xdr:nvSpPr>
            <xdr:spPr bwMode="auto">
              <a:xfrm>
                <a:off x="9334520" y="18106211"/>
                <a:ext cx="666750" cy="240503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762000</xdr:colOff>
          <xdr:row>89</xdr:row>
          <xdr:rowOff>13360</xdr:rowOff>
        </xdr:from>
        <xdr:to>
          <xdr:col>12</xdr:col>
          <xdr:colOff>572072</xdr:colOff>
          <xdr:row>89</xdr:row>
          <xdr:rowOff>300337</xdr:rowOff>
        </xdr:to>
        <xdr:grpSp>
          <xdr:nvGrpSpPr>
            <xdr:cNvPr id="15" name="accessories-connection">
              <a:extLst>
                <a:ext uri="{FF2B5EF4-FFF2-40B4-BE49-F238E27FC236}">
                  <a16:creationId xmlns:a16="http://schemas.microsoft.com/office/drawing/2014/main" id="{00000000-0008-0000-0000-00000F000000}"/>
                </a:ext>
              </a:extLst>
            </xdr:cNvPr>
            <xdr:cNvGrpSpPr/>
          </xdr:nvGrpSpPr>
          <xdr:grpSpPr>
            <a:xfrm>
              <a:off x="7038975" y="22349485"/>
              <a:ext cx="3762947" cy="286977"/>
              <a:chOff x="6216977" y="18409169"/>
              <a:chExt cx="4539930" cy="286543"/>
            </a:xfrm>
          </xdr:grpSpPr>
          <xdr:sp macro="" textlink="">
            <xdr:nvSpPr>
              <xdr:cNvPr id="1158" name="Group Box 134" hidden="1">
                <a:extLst>
                  <a:ext uri="{63B3BB69-23CF-44E3-9099-C40C66FF867C}">
                    <a14:compatExt spid="_x0000_s1158"/>
                  </a:ext>
                  <a:ext uri="{FF2B5EF4-FFF2-40B4-BE49-F238E27FC236}">
                    <a16:creationId xmlns:a16="http://schemas.microsoft.com/office/drawing/2014/main" id="{00000000-0008-0000-0000-000086040000}"/>
                  </a:ext>
                </a:extLst>
              </xdr:cNvPr>
              <xdr:cNvSpPr/>
            </xdr:nvSpPr>
            <xdr:spPr bwMode="auto">
              <a:xfrm>
                <a:off x="6216977" y="18409169"/>
                <a:ext cx="4539930" cy="286543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134</a:t>
                </a:r>
              </a:p>
            </xdr:txBody>
          </xdr:sp>
          <xdr:sp macro="" textlink="">
            <xdr:nvSpPr>
              <xdr:cNvPr id="1159" name="Option Button 135" hidden="1">
                <a:extLst>
                  <a:ext uri="{63B3BB69-23CF-44E3-9099-C40C66FF867C}">
                    <a14:compatExt spid="_x0000_s1159"/>
                  </a:ext>
                  <a:ext uri="{FF2B5EF4-FFF2-40B4-BE49-F238E27FC236}">
                    <a16:creationId xmlns:a16="http://schemas.microsoft.com/office/drawing/2014/main" id="{00000000-0008-0000-0000-000087040000}"/>
                  </a:ext>
                </a:extLst>
              </xdr:cNvPr>
              <xdr:cNvSpPr/>
            </xdr:nvSpPr>
            <xdr:spPr bwMode="auto">
              <a:xfrm>
                <a:off x="6499225" y="18430082"/>
                <a:ext cx="706437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160" name="Option Button 136" hidden="1">
                <a:extLst>
                  <a:ext uri="{63B3BB69-23CF-44E3-9099-C40C66FF867C}">
                    <a14:compatExt spid="_x0000_s1160"/>
                  </a:ext>
                  <a:ext uri="{FF2B5EF4-FFF2-40B4-BE49-F238E27FC236}">
                    <a16:creationId xmlns:a16="http://schemas.microsoft.com/office/drawing/2014/main" id="{00000000-0008-0000-0000-000088040000}"/>
                  </a:ext>
                </a:extLst>
              </xdr:cNvPr>
              <xdr:cNvSpPr/>
            </xdr:nvSpPr>
            <xdr:spPr bwMode="auto">
              <a:xfrm>
                <a:off x="8661440" y="18424525"/>
                <a:ext cx="396082" cy="23495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17548</xdr:colOff>
          <xdr:row>82</xdr:row>
          <xdr:rowOff>5894</xdr:rowOff>
        </xdr:from>
        <xdr:to>
          <xdr:col>15</xdr:col>
          <xdr:colOff>150870</xdr:colOff>
          <xdr:row>82</xdr:row>
          <xdr:rowOff>281466</xdr:rowOff>
        </xdr:to>
        <xdr:grpSp>
          <xdr:nvGrpSpPr>
            <xdr:cNvPr id="19" name="Direction setting">
              <a:extLst>
                <a:ext uri="{FF2B5EF4-FFF2-40B4-BE49-F238E27FC236}">
                  <a16:creationId xmlns:a16="http://schemas.microsoft.com/office/drawing/2014/main" id="{00000000-0008-0000-0000-000013000000}"/>
                </a:ext>
              </a:extLst>
            </xdr:cNvPr>
            <xdr:cNvGrpSpPr/>
          </xdr:nvGrpSpPr>
          <xdr:grpSpPr>
            <a:xfrm>
              <a:off x="4008523" y="20208419"/>
              <a:ext cx="8686772" cy="275572"/>
              <a:chOff x="3875725" y="16267267"/>
              <a:chExt cx="9047465" cy="281459"/>
            </a:xfrm>
          </xdr:grpSpPr>
          <xdr:sp macro="" textlink="">
            <xdr:nvSpPr>
              <xdr:cNvPr id="1081" name="Option Button 57" hidden="1">
                <a:extLst>
                  <a:ext uri="{63B3BB69-23CF-44E3-9099-C40C66FF867C}">
                    <a14:compatExt spid="_x0000_s1081"/>
                  </a:ext>
                  <a:ext uri="{FF2B5EF4-FFF2-40B4-BE49-F238E27FC236}">
                    <a16:creationId xmlns:a16="http://schemas.microsoft.com/office/drawing/2014/main" id="{00000000-0008-0000-0000-000039040000}"/>
                  </a:ext>
                </a:extLst>
              </xdr:cNvPr>
              <xdr:cNvSpPr/>
            </xdr:nvSpPr>
            <xdr:spPr bwMode="auto">
              <a:xfrm>
                <a:off x="5056260" y="16312955"/>
                <a:ext cx="377893" cy="215060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82" name="Option Button 58" hidden="1">
                <a:extLst>
                  <a:ext uri="{63B3BB69-23CF-44E3-9099-C40C66FF867C}">
                    <a14:compatExt spid="_x0000_s1082"/>
                  </a:ext>
                  <a:ext uri="{FF2B5EF4-FFF2-40B4-BE49-F238E27FC236}">
                    <a16:creationId xmlns:a16="http://schemas.microsoft.com/office/drawing/2014/main" id="{00000000-0008-0000-0000-00003A040000}"/>
                  </a:ext>
                </a:extLst>
              </xdr:cNvPr>
              <xdr:cNvSpPr/>
            </xdr:nvSpPr>
            <xdr:spPr bwMode="auto">
              <a:xfrm>
                <a:off x="6492491" y="16321189"/>
                <a:ext cx="361265" cy="21279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48" name="Group Box 24" hidden="1">
                <a:extLst>
                  <a:ext uri="{63B3BB69-23CF-44E3-9099-C40C66FF867C}">
                    <a14:compatExt spid="_x0000_s1048"/>
                  </a:ext>
                  <a:ext uri="{FF2B5EF4-FFF2-40B4-BE49-F238E27FC236}">
                    <a16:creationId xmlns:a16="http://schemas.microsoft.com/office/drawing/2014/main" id="{00000000-0008-0000-0000-000018040000}"/>
                  </a:ext>
                </a:extLst>
              </xdr:cNvPr>
              <xdr:cNvSpPr/>
            </xdr:nvSpPr>
            <xdr:spPr bwMode="auto">
              <a:xfrm>
                <a:off x="3875725" y="16267267"/>
                <a:ext cx="9047465" cy="281459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24</a:t>
                </a:r>
              </a:p>
            </xdr:txBody>
          </xdr:sp>
          <xdr:sp macro="" textlink="">
            <xdr:nvSpPr>
              <xdr:cNvPr id="1049" name="Option Button 25" hidden="1">
                <a:extLst>
                  <a:ext uri="{63B3BB69-23CF-44E3-9099-C40C66FF867C}">
                    <a14:compatExt spid="_x0000_s1049"/>
                  </a:ext>
                  <a:ext uri="{FF2B5EF4-FFF2-40B4-BE49-F238E27FC236}">
                    <a16:creationId xmlns:a16="http://schemas.microsoft.com/office/drawing/2014/main" id="{00000000-0008-0000-0000-000019040000}"/>
                  </a:ext>
                </a:extLst>
              </xdr:cNvPr>
              <xdr:cNvSpPr/>
            </xdr:nvSpPr>
            <xdr:spPr bwMode="auto">
              <a:xfrm>
                <a:off x="7663235" y="16317278"/>
                <a:ext cx="608302" cy="20598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0" name="Option Button 26" hidden="1">
                <a:extLst>
                  <a:ext uri="{63B3BB69-23CF-44E3-9099-C40C66FF867C}">
                    <a14:compatExt spid="_x0000_s1050"/>
                  </a:ext>
                  <a:ext uri="{FF2B5EF4-FFF2-40B4-BE49-F238E27FC236}">
                    <a16:creationId xmlns:a16="http://schemas.microsoft.com/office/drawing/2014/main" id="{00000000-0008-0000-0000-00001A040000}"/>
                  </a:ext>
                </a:extLst>
              </xdr:cNvPr>
              <xdr:cNvSpPr/>
            </xdr:nvSpPr>
            <xdr:spPr bwMode="auto">
              <a:xfrm>
                <a:off x="8681993" y="16320401"/>
                <a:ext cx="679898" cy="21328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51" name="Option Button 27" hidden="1">
                <a:extLst>
                  <a:ext uri="{63B3BB69-23CF-44E3-9099-C40C66FF867C}">
                    <a14:compatExt spid="_x0000_s1051"/>
                  </a:ext>
                  <a:ext uri="{FF2B5EF4-FFF2-40B4-BE49-F238E27FC236}">
                    <a16:creationId xmlns:a16="http://schemas.microsoft.com/office/drawing/2014/main" id="{00000000-0008-0000-0000-00001B040000}"/>
                  </a:ext>
                </a:extLst>
              </xdr:cNvPr>
              <xdr:cNvSpPr/>
            </xdr:nvSpPr>
            <xdr:spPr bwMode="auto">
              <a:xfrm>
                <a:off x="9474003" y="16310925"/>
                <a:ext cx="409930" cy="22224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201" name="Option Button 177" hidden="1">
                <a:extLst>
                  <a:ext uri="{63B3BB69-23CF-44E3-9099-C40C66FF867C}">
                    <a14:compatExt spid="_x0000_s1201"/>
                  </a:ext>
                  <a:ext uri="{FF2B5EF4-FFF2-40B4-BE49-F238E27FC236}">
                    <a16:creationId xmlns:a16="http://schemas.microsoft.com/office/drawing/2014/main" id="{00000000-0008-0000-0000-0000B1040000}"/>
                  </a:ext>
                </a:extLst>
              </xdr:cNvPr>
              <xdr:cNvSpPr/>
            </xdr:nvSpPr>
            <xdr:spPr bwMode="auto">
              <a:xfrm>
                <a:off x="10203645" y="16289928"/>
                <a:ext cx="350134" cy="241632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202" name="Option Button 178" hidden="1">
                <a:extLst>
                  <a:ext uri="{63B3BB69-23CF-44E3-9099-C40C66FF867C}">
                    <a14:compatExt spid="_x0000_s1202"/>
                  </a:ext>
                  <a:ext uri="{FF2B5EF4-FFF2-40B4-BE49-F238E27FC236}">
                    <a16:creationId xmlns:a16="http://schemas.microsoft.com/office/drawing/2014/main" id="{00000000-0008-0000-0000-0000B2040000}"/>
                  </a:ext>
                </a:extLst>
              </xdr:cNvPr>
              <xdr:cNvSpPr/>
            </xdr:nvSpPr>
            <xdr:spPr bwMode="auto">
              <a:xfrm>
                <a:off x="11145353" y="16305353"/>
                <a:ext cx="327300" cy="237616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427351</xdr:colOff>
          <xdr:row>49</xdr:row>
          <xdr:rowOff>219075</xdr:rowOff>
        </xdr:from>
        <xdr:to>
          <xdr:col>23</xdr:col>
          <xdr:colOff>1028700</xdr:colOff>
          <xdr:row>62</xdr:row>
          <xdr:rowOff>16606</xdr:rowOff>
        </xdr:to>
        <xdr:pic>
          <xdr:nvPicPr>
            <xdr:cNvPr id="26" name="Picture 25">
              <a:extLst>
                <a:ext uri="{FF2B5EF4-FFF2-40B4-BE49-F238E27FC236}">
                  <a16:creationId xmlns:a16="http://schemas.microsoft.com/office/drawing/2014/main" id="{00000000-0008-0000-0000-00001A000000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getCdiagram" spid="_x0000_s38049"/>
                </a:ext>
              </a:extLst>
            </xdr:cNvPicPr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6057876" y="11401425"/>
              <a:ext cx="4001774" cy="3264631"/>
            </a:xfrm>
            <a:prstGeom prst="rect">
              <a:avLst/>
            </a:prstGeom>
            <a:ln>
              <a:noFill/>
            </a:ln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12</xdr:col>
          <xdr:colOff>350445</xdr:colOff>
          <xdr:row>13</xdr:row>
          <xdr:rowOff>125380</xdr:rowOff>
        </xdr:from>
        <xdr:to>
          <xdr:col>17</xdr:col>
          <xdr:colOff>262014</xdr:colOff>
          <xdr:row>15</xdr:row>
          <xdr:rowOff>103076</xdr:rowOff>
        </xdr:to>
        <xdr:grpSp>
          <xdr:nvGrpSpPr>
            <xdr:cNvPr id="3" name="diffuser location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GrpSpPr/>
          </xdr:nvGrpSpPr>
          <xdr:grpSpPr>
            <a:xfrm>
              <a:off x="10580295" y="3116230"/>
              <a:ext cx="3769194" cy="434896"/>
              <a:chOff x="9485708" y="2628938"/>
              <a:chExt cx="4286079" cy="436103"/>
            </a:xfrm>
          </xdr:grpSpPr>
          <xdr:sp macro="" textlink="">
            <xdr:nvSpPr>
              <xdr:cNvPr id="1036" name="Option Button 12" hidden="1">
                <a:extLst>
                  <a:ext uri="{63B3BB69-23CF-44E3-9099-C40C66FF867C}">
                    <a14:compatExt spid="_x0000_s1036"/>
                  </a:ext>
                  <a:ext uri="{FF2B5EF4-FFF2-40B4-BE49-F238E27FC236}">
                    <a16:creationId xmlns:a16="http://schemas.microsoft.com/office/drawing/2014/main" id="{00000000-0008-0000-0000-00000C040000}"/>
                  </a:ext>
                </a:extLst>
              </xdr:cNvPr>
              <xdr:cNvSpPr/>
            </xdr:nvSpPr>
            <xdr:spPr bwMode="auto">
              <a:xfrm>
                <a:off x="10086138" y="2771772"/>
                <a:ext cx="340859" cy="18811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39" name="Group Box 15" hidden="1">
                <a:extLst>
                  <a:ext uri="{63B3BB69-23CF-44E3-9099-C40C66FF867C}">
                    <a14:compatExt spid="_x0000_s1039"/>
                  </a:ext>
                  <a:ext uri="{FF2B5EF4-FFF2-40B4-BE49-F238E27FC236}">
                    <a16:creationId xmlns:a16="http://schemas.microsoft.com/office/drawing/2014/main" id="{00000000-0008-0000-0000-00000F040000}"/>
                  </a:ext>
                </a:extLst>
              </xdr:cNvPr>
              <xdr:cNvSpPr/>
            </xdr:nvSpPr>
            <xdr:spPr bwMode="auto">
              <a:xfrm>
                <a:off x="9485708" y="2628938"/>
                <a:ext cx="4286079" cy="436103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</xdr:sp>
          <xdr:sp macro="" textlink="">
            <xdr:nvSpPr>
              <xdr:cNvPr id="1320" name="Option Button 296" hidden="1">
                <a:extLst>
                  <a:ext uri="{63B3BB69-23CF-44E3-9099-C40C66FF867C}">
                    <a14:compatExt spid="_x0000_s1320"/>
                  </a:ext>
                  <a:ext uri="{FF2B5EF4-FFF2-40B4-BE49-F238E27FC236}">
                    <a16:creationId xmlns:a16="http://schemas.microsoft.com/office/drawing/2014/main" id="{00000000-0008-0000-0000-000028050000}"/>
                  </a:ext>
                </a:extLst>
              </xdr:cNvPr>
              <xdr:cNvSpPr/>
            </xdr:nvSpPr>
            <xdr:spPr bwMode="auto">
              <a:xfrm>
                <a:off x="11372157" y="2750788"/>
                <a:ext cx="339156" cy="21532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371475</xdr:colOff>
          <xdr:row>26</xdr:row>
          <xdr:rowOff>9525</xdr:rowOff>
        </xdr:from>
        <xdr:to>
          <xdr:col>10</xdr:col>
          <xdr:colOff>676275</xdr:colOff>
          <xdr:row>27</xdr:row>
          <xdr:rowOff>0</xdr:rowOff>
        </xdr:to>
        <xdr:sp macro="" textlink="">
          <xdr:nvSpPr>
            <xdr:cNvPr id="1782" name="Check Box 758" hidden="1">
              <a:extLst>
                <a:ext uri="{63B3BB69-23CF-44E3-9099-C40C66FF867C}">
                  <a14:compatExt spid="_x0000_s1782"/>
                </a:ext>
                <a:ext uri="{FF2B5EF4-FFF2-40B4-BE49-F238E27FC236}">
                  <a16:creationId xmlns:a16="http://schemas.microsoft.com/office/drawing/2014/main" id="{00000000-0008-0000-0000-0000F606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21</xdr:col>
      <xdr:colOff>428625</xdr:colOff>
      <xdr:row>1</xdr:row>
      <xdr:rowOff>28575</xdr:rowOff>
    </xdr:from>
    <xdr:to>
      <xdr:col>23</xdr:col>
      <xdr:colOff>851652</xdr:colOff>
      <xdr:row>2</xdr:row>
      <xdr:rowOff>202742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602200" y="238125"/>
          <a:ext cx="2280402" cy="440867"/>
        </a:xfrm>
        <a:prstGeom prst="rect">
          <a:avLst/>
        </a:prstGeom>
      </xdr:spPr>
    </xdr:pic>
    <xdr:clientData/>
  </xdr:twoCellAnchor>
  <xdr:twoCellAnchor editAs="oneCell">
    <xdr:from>
      <xdr:col>17</xdr:col>
      <xdr:colOff>276225</xdr:colOff>
      <xdr:row>7</xdr:row>
      <xdr:rowOff>114300</xdr:rowOff>
    </xdr:from>
    <xdr:to>
      <xdr:col>22</xdr:col>
      <xdr:colOff>990600</xdr:colOff>
      <xdr:row>19</xdr:row>
      <xdr:rowOff>95250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488" t="12065" r="8927" b="21577"/>
        <a:stretch/>
      </xdr:blipFill>
      <xdr:spPr>
        <a:xfrm>
          <a:off x="14125575" y="1733550"/>
          <a:ext cx="4572000" cy="272415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499965</xdr:colOff>
          <xdr:row>52</xdr:row>
          <xdr:rowOff>100355</xdr:rowOff>
        </xdr:from>
        <xdr:to>
          <xdr:col>19</xdr:col>
          <xdr:colOff>433290</xdr:colOff>
          <xdr:row>55</xdr:row>
          <xdr:rowOff>241935</xdr:rowOff>
        </xdr:to>
        <xdr:pic>
          <xdr:nvPicPr>
            <xdr:cNvPr id="22" name="Graphic 21" descr="Image with solid fill">
              <a:extLst>
                <a:ext uri="{FF2B5EF4-FFF2-40B4-BE49-F238E27FC236}">
                  <a16:creationId xmlns:a16="http://schemas.microsoft.com/office/drawing/2014/main" id="{00000000-0008-0000-0000-000016000000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_getDirectionDiagram" spid="_x0000_s38050"/>
                </a:ext>
              </a:extLst>
            </xdr:cNvPicPr>
          </xdr:nvPicPr>
          <xdr:blipFill>
            <a:blip xmlns:r="http://schemas.openxmlformats.org/officeDocument/2006/relationships" r:embed="rId5"/>
            <a:stretch>
              <a:fillRect/>
            </a:stretch>
          </xdr:blipFill>
          <xdr:spPr>
            <a:xfrm>
              <a:off x="14587440" y="12082805"/>
              <a:ext cx="1476375" cy="941680"/>
            </a:xfrm>
            <a:prstGeom prst="rect">
              <a:avLst/>
            </a:prstGeom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361950</xdr:colOff>
          <xdr:row>79</xdr:row>
          <xdr:rowOff>247650</xdr:rowOff>
        </xdr:from>
        <xdr:to>
          <xdr:col>23</xdr:col>
          <xdr:colOff>571500</xdr:colOff>
          <xdr:row>91</xdr:row>
          <xdr:rowOff>262890</xdr:rowOff>
        </xdr:to>
        <xdr:pic>
          <xdr:nvPicPr>
            <xdr:cNvPr id="21" name="control_diagram" descr="Images with solid fill">
              <a:extLst>
                <a:ext uri="{FF2B5EF4-FFF2-40B4-BE49-F238E27FC236}">
                  <a16:creationId xmlns:a16="http://schemas.microsoft.com/office/drawing/2014/main" id="{00000000-0008-0000-0000-000015000000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_control_diagram" spid="_x0000_s38051"/>
                </a:ext>
              </a:extLst>
            </xdr:cNvPicPr>
          </xdr:nvPicPr>
          <xdr:blipFill>
            <a:blip xmlns:r="http://schemas.openxmlformats.org/officeDocument/2006/relationships" r:embed="rId6"/>
            <a:stretch>
              <a:fillRect/>
            </a:stretch>
          </xdr:blipFill>
          <xdr:spPr>
            <a:xfrm>
              <a:off x="14125575" y="18697575"/>
              <a:ext cx="5153025" cy="3467100"/>
            </a:xfrm>
            <a:prstGeom prst="rect">
              <a:avLst/>
            </a:prstGeom>
          </xdr:spPr>
        </xdr:pic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52629</xdr:colOff>
          <xdr:row>80</xdr:row>
          <xdr:rowOff>288999</xdr:rowOff>
        </xdr:from>
        <xdr:to>
          <xdr:col>13</xdr:col>
          <xdr:colOff>459730</xdr:colOff>
          <xdr:row>82</xdr:row>
          <xdr:rowOff>11279</xdr:rowOff>
        </xdr:to>
        <xdr:grpSp>
          <xdr:nvGrpSpPr>
            <xdr:cNvPr id="23" name="adjustment_type">
              <a:extLst>
                <a:ext uri="{FF2B5EF4-FFF2-40B4-BE49-F238E27FC236}">
                  <a16:creationId xmlns:a16="http://schemas.microsoft.com/office/drawing/2014/main" id="{00000000-0008-0000-0000-000017000000}"/>
                </a:ext>
              </a:extLst>
            </xdr:cNvPr>
            <xdr:cNvGrpSpPr/>
          </xdr:nvGrpSpPr>
          <xdr:grpSpPr>
            <a:xfrm>
              <a:off x="4043604" y="19881924"/>
              <a:ext cx="7427026" cy="331880"/>
              <a:chOff x="4171934" y="19041120"/>
              <a:chExt cx="7269958" cy="333375"/>
            </a:xfrm>
          </xdr:grpSpPr>
          <xdr:sp macro="" textlink="">
            <xdr:nvSpPr>
              <xdr:cNvPr id="1829" name="Group box adjtype" hidden="1">
                <a:extLst>
                  <a:ext uri="{63B3BB69-23CF-44E3-9099-C40C66FF867C}">
                    <a14:compatExt spid="_x0000_s1829"/>
                  </a:ext>
                  <a:ext uri="{FF2B5EF4-FFF2-40B4-BE49-F238E27FC236}">
                    <a16:creationId xmlns:a16="http://schemas.microsoft.com/office/drawing/2014/main" id="{00000000-0008-0000-0000-000025070000}"/>
                  </a:ext>
                </a:extLst>
              </xdr:cNvPr>
              <xdr:cNvSpPr/>
            </xdr:nvSpPr>
            <xdr:spPr bwMode="auto">
              <a:xfrm>
                <a:off x="4171934" y="19041120"/>
                <a:ext cx="7269958" cy="333375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805</a:t>
                </a:r>
              </a:p>
            </xdr:txBody>
          </xdr:sp>
          <xdr:sp macro="" textlink="">
            <xdr:nvSpPr>
              <xdr:cNvPr id="1830" name="Option Button 806" hidden="1">
                <a:extLst>
                  <a:ext uri="{63B3BB69-23CF-44E3-9099-C40C66FF867C}">
                    <a14:compatExt spid="_x0000_s1830"/>
                  </a:ext>
                  <a:ext uri="{FF2B5EF4-FFF2-40B4-BE49-F238E27FC236}">
                    <a16:creationId xmlns:a16="http://schemas.microsoft.com/office/drawing/2014/main" id="{00000000-0008-0000-0000-000026070000}"/>
                  </a:ext>
                </a:extLst>
              </xdr:cNvPr>
              <xdr:cNvSpPr/>
            </xdr:nvSpPr>
            <xdr:spPr bwMode="auto">
              <a:xfrm>
                <a:off x="5374649" y="19100368"/>
                <a:ext cx="380307" cy="2206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31" name="Option Button 807" hidden="1">
                <a:extLst>
                  <a:ext uri="{63B3BB69-23CF-44E3-9099-C40C66FF867C}">
                    <a14:compatExt spid="_x0000_s1831"/>
                  </a:ext>
                  <a:ext uri="{FF2B5EF4-FFF2-40B4-BE49-F238E27FC236}">
                    <a16:creationId xmlns:a16="http://schemas.microsoft.com/office/drawing/2014/main" id="{00000000-0008-0000-0000-000027070000}"/>
                  </a:ext>
                </a:extLst>
              </xdr:cNvPr>
              <xdr:cNvSpPr/>
            </xdr:nvSpPr>
            <xdr:spPr bwMode="auto">
              <a:xfrm>
                <a:off x="6177970" y="19100256"/>
                <a:ext cx="780881" cy="2206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832" name="Option Button 808" hidden="1">
                <a:extLst>
                  <a:ext uri="{63B3BB69-23CF-44E3-9099-C40C66FF867C}">
                    <a14:compatExt spid="_x0000_s1832"/>
                  </a:ext>
                  <a:ext uri="{FF2B5EF4-FFF2-40B4-BE49-F238E27FC236}">
                    <a16:creationId xmlns:a16="http://schemas.microsoft.com/office/drawing/2014/main" id="{00000000-0008-0000-0000-000028070000}"/>
                  </a:ext>
                </a:extLst>
              </xdr:cNvPr>
              <xdr:cNvSpPr/>
            </xdr:nvSpPr>
            <xdr:spPr bwMode="auto">
              <a:xfrm>
                <a:off x="7723240" y="19093384"/>
                <a:ext cx="647357" cy="220651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5395" name="Option Button 1059" hidden="1">
                <a:extLst>
                  <a:ext uri="{63B3BB69-23CF-44E3-9099-C40C66FF867C}">
                    <a14:compatExt spid="_x0000_s15395"/>
                  </a:ext>
                  <a:ext uri="{FF2B5EF4-FFF2-40B4-BE49-F238E27FC236}">
                    <a16:creationId xmlns:a16="http://schemas.microsoft.com/office/drawing/2014/main" id="{00000000-0008-0000-0000-0000233C0000}"/>
                  </a:ext>
                </a:extLst>
              </xdr:cNvPr>
              <xdr:cNvSpPr/>
            </xdr:nvSpPr>
            <xdr:spPr bwMode="auto">
              <a:xfrm>
                <a:off x="9849097" y="19097624"/>
                <a:ext cx="476250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76200</xdr:colOff>
          <xdr:row>78</xdr:row>
          <xdr:rowOff>6569</xdr:rowOff>
        </xdr:from>
        <xdr:to>
          <xdr:col>13</xdr:col>
          <xdr:colOff>552450</xdr:colOff>
          <xdr:row>78</xdr:row>
          <xdr:rowOff>295275</xdr:rowOff>
        </xdr:to>
        <xdr:grpSp>
          <xdr:nvGrpSpPr>
            <xdr:cNvPr id="11" name="supply/return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GrpSpPr/>
          </xdr:nvGrpSpPr>
          <xdr:grpSpPr>
            <a:xfrm>
              <a:off x="4067175" y="18989894"/>
              <a:ext cx="7496175" cy="288706"/>
              <a:chOff x="4595646" y="19115690"/>
              <a:chExt cx="6729900" cy="288706"/>
            </a:xfrm>
          </xdr:grpSpPr>
          <xdr:sp macro="" textlink="">
            <xdr:nvSpPr>
              <xdr:cNvPr id="16271" name="Group Box 1935" hidden="1">
                <a:extLst>
                  <a:ext uri="{63B3BB69-23CF-44E3-9099-C40C66FF867C}">
                    <a14:compatExt spid="_x0000_s16271"/>
                  </a:ext>
                  <a:ext uri="{FF2B5EF4-FFF2-40B4-BE49-F238E27FC236}">
                    <a16:creationId xmlns:a16="http://schemas.microsoft.com/office/drawing/2014/main" id="{00000000-0008-0000-0000-00008F3F0000}"/>
                  </a:ext>
                </a:extLst>
              </xdr:cNvPr>
              <xdr:cNvSpPr/>
            </xdr:nvSpPr>
            <xdr:spPr bwMode="auto">
              <a:xfrm>
                <a:off x="4595646" y="19115690"/>
                <a:ext cx="6729900" cy="288706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1935</a:t>
                </a:r>
              </a:p>
            </xdr:txBody>
          </xdr:sp>
          <xdr:sp macro="" textlink="">
            <xdr:nvSpPr>
              <xdr:cNvPr id="16272" name="Option Button 1936" hidden="1">
                <a:extLst>
                  <a:ext uri="{63B3BB69-23CF-44E3-9099-C40C66FF867C}">
                    <a14:compatExt spid="_x0000_s16272"/>
                  </a:ext>
                  <a:ext uri="{FF2B5EF4-FFF2-40B4-BE49-F238E27FC236}">
                    <a16:creationId xmlns:a16="http://schemas.microsoft.com/office/drawing/2014/main" id="{00000000-0008-0000-0000-0000903F0000}"/>
                  </a:ext>
                </a:extLst>
              </xdr:cNvPr>
              <xdr:cNvSpPr/>
            </xdr:nvSpPr>
            <xdr:spPr bwMode="auto">
              <a:xfrm>
                <a:off x="5634950" y="19162658"/>
                <a:ext cx="476250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6273" name="Option Button 1937" hidden="1">
                <a:extLst>
                  <a:ext uri="{63B3BB69-23CF-44E3-9099-C40C66FF867C}">
                    <a14:compatExt spid="_x0000_s16273"/>
                  </a:ext>
                  <a:ext uri="{FF2B5EF4-FFF2-40B4-BE49-F238E27FC236}">
                    <a16:creationId xmlns:a16="http://schemas.microsoft.com/office/drawing/2014/main" id="{00000000-0008-0000-0000-0000913F0000}"/>
                  </a:ext>
                </a:extLst>
              </xdr:cNvPr>
              <xdr:cNvSpPr/>
            </xdr:nvSpPr>
            <xdr:spPr bwMode="auto">
              <a:xfrm>
                <a:off x="7818751" y="19163787"/>
                <a:ext cx="543582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6274" name="Option Button 1938" hidden="1">
                <a:extLst>
                  <a:ext uri="{63B3BB69-23CF-44E3-9099-C40C66FF867C}">
                    <a14:compatExt spid="_x0000_s16274"/>
                  </a:ext>
                  <a:ext uri="{FF2B5EF4-FFF2-40B4-BE49-F238E27FC236}">
                    <a16:creationId xmlns:a16="http://schemas.microsoft.com/office/drawing/2014/main" id="{00000000-0008-0000-0000-0000923F0000}"/>
                  </a:ext>
                </a:extLst>
              </xdr:cNvPr>
              <xdr:cNvSpPr/>
            </xdr:nvSpPr>
            <xdr:spPr bwMode="auto">
              <a:xfrm>
                <a:off x="8939656" y="19159045"/>
                <a:ext cx="600732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45229</xdr:colOff>
          <xdr:row>7</xdr:row>
          <xdr:rowOff>107173</xdr:rowOff>
        </xdr:from>
        <xdr:to>
          <xdr:col>9</xdr:col>
          <xdr:colOff>90036</xdr:colOff>
          <xdr:row>9</xdr:row>
          <xdr:rowOff>167454</xdr:rowOff>
        </xdr:to>
        <xdr:grpSp>
          <xdr:nvGrpSpPr>
            <xdr:cNvPr id="24" name="units">
              <a:extLst>
                <a:ext uri="{FF2B5EF4-FFF2-40B4-BE49-F238E27FC236}">
                  <a16:creationId xmlns:a16="http://schemas.microsoft.com/office/drawing/2014/main" id="{00000000-0008-0000-0000-000018000000}"/>
                </a:ext>
              </a:extLst>
            </xdr:cNvPr>
            <xdr:cNvGrpSpPr/>
          </xdr:nvGrpSpPr>
          <xdr:grpSpPr>
            <a:xfrm>
              <a:off x="4817254" y="1726423"/>
              <a:ext cx="3130907" cy="517481"/>
              <a:chOff x="5403971" y="1718803"/>
              <a:chExt cx="2723237" cy="517481"/>
            </a:xfrm>
          </xdr:grpSpPr>
          <xdr:sp macro="" textlink="">
            <xdr:nvSpPr>
              <xdr:cNvPr id="1077" name="Group Box 53" hidden="1">
                <a:extLst>
                  <a:ext uri="{63B3BB69-23CF-44E3-9099-C40C66FF867C}">
                    <a14:compatExt spid="_x0000_s1077"/>
                  </a:ext>
                  <a:ext uri="{FF2B5EF4-FFF2-40B4-BE49-F238E27FC236}">
                    <a16:creationId xmlns:a16="http://schemas.microsoft.com/office/drawing/2014/main" id="{00000000-0008-0000-0000-000035040000}"/>
                  </a:ext>
                </a:extLst>
              </xdr:cNvPr>
              <xdr:cNvSpPr/>
            </xdr:nvSpPr>
            <xdr:spPr bwMode="auto">
              <a:xfrm>
                <a:off x="5403971" y="1718803"/>
                <a:ext cx="2723237" cy="517481"/>
              </a:xfrm>
              <a:prstGeom prst="rect">
                <a:avLst/>
              </a:prstGeom>
              <a:noFill/>
              <a:ln w="9525">
                <a:miter lim="800000"/>
                <a:headEnd/>
                <a:tailEnd/>
              </a:ln>
              <a:extLst>
                <a:ext uri="{909E8E84-426E-40DD-AFC4-6F175D3DCCD1}">
                  <a14:hiddenFill>
                    <a:noFill/>
                  </a14:hiddenFill>
                </a:ext>
              </a:extLst>
            </xdr:spPr>
            <xdr:txBody>
              <a:bodyPr vertOverflow="clip" wrap="none" lIns="27432" tIns="18288" rIns="0" bIns="0" anchor="t" upright="1"/>
              <a:lstStyle/>
              <a:p>
                <a:pPr algn="l" rtl="0">
                  <a:defRPr sz="1000"/>
                </a:pPr>
                <a:r>
                  <a:rPr lang="en-AU" sz="800" b="0" i="0" u="none" strike="noStrike" baseline="0">
                    <a:solidFill>
                      <a:srgbClr val="000000"/>
                    </a:solidFill>
                    <a:latin typeface="Segoe UI"/>
                    <a:cs typeface="Segoe UI"/>
                  </a:rPr>
                  <a:t>Group Box 53</a:t>
                </a:r>
              </a:p>
            </xdr:txBody>
          </xdr:sp>
          <xdr:sp macro="" textlink="">
            <xdr:nvSpPr>
              <xdr:cNvPr id="1078" name="Option Button 54" hidden="1">
                <a:extLst>
                  <a:ext uri="{63B3BB69-23CF-44E3-9099-C40C66FF867C}">
                    <a14:compatExt spid="_x0000_s1078"/>
                  </a:ext>
                  <a:ext uri="{FF2B5EF4-FFF2-40B4-BE49-F238E27FC236}">
                    <a16:creationId xmlns:a16="http://schemas.microsoft.com/office/drawing/2014/main" id="{00000000-0008-0000-0000-000036040000}"/>
                  </a:ext>
                </a:extLst>
              </xdr:cNvPr>
              <xdr:cNvSpPr/>
            </xdr:nvSpPr>
            <xdr:spPr bwMode="auto">
              <a:xfrm>
                <a:off x="5496907" y="1857599"/>
                <a:ext cx="478322" cy="217099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080" name="Option Button 56" hidden="1">
                <a:extLst>
                  <a:ext uri="{63B3BB69-23CF-44E3-9099-C40C66FF867C}">
                    <a14:compatExt spid="_x0000_s1080"/>
                  </a:ext>
                  <a:ext uri="{FF2B5EF4-FFF2-40B4-BE49-F238E27FC236}">
                    <a16:creationId xmlns:a16="http://schemas.microsoft.com/office/drawing/2014/main" id="{00000000-0008-0000-0000-000038040000}"/>
                  </a:ext>
                </a:extLst>
              </xdr:cNvPr>
              <xdr:cNvSpPr/>
            </xdr:nvSpPr>
            <xdr:spPr bwMode="auto">
              <a:xfrm>
                <a:off x="5999717" y="1854999"/>
                <a:ext cx="373705" cy="216537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  <xdr:sp macro="" textlink="">
            <xdr:nvSpPr>
              <xdr:cNvPr id="16339" name="Option Button 2003" hidden="1">
                <a:extLst>
                  <a:ext uri="{63B3BB69-23CF-44E3-9099-C40C66FF867C}">
                    <a14:compatExt spid="_x0000_s16339"/>
                  </a:ext>
                  <a:ext uri="{FF2B5EF4-FFF2-40B4-BE49-F238E27FC236}">
                    <a16:creationId xmlns:a16="http://schemas.microsoft.com/office/drawing/2014/main" id="{00000000-0008-0000-0000-0000D33F0000}"/>
                  </a:ext>
                </a:extLst>
              </xdr:cNvPr>
              <xdr:cNvSpPr/>
            </xdr:nvSpPr>
            <xdr:spPr bwMode="auto">
              <a:xfrm>
                <a:off x="6667110" y="1849755"/>
                <a:ext cx="485775" cy="219075"/>
              </a:xfrm>
              <a:prstGeom prst="rect">
                <a:avLst/>
              </a:prstGeom>
              <a:noFill/>
              <a:ln>
                <a:noFill/>
              </a:ln>
              <a:extLst>
                <a:ext uri="{909E8E84-426E-40DD-AFC4-6F175D3DCCD1}">
                  <a14:hiddenFill>
                    <a:solidFill>
                      <a:srgbClr val="FFFFFF" mc:Ignorable="a14" a14:legacySpreadsheetColorIndex="65"/>
                    </a:solidFill>
                  </a14:hiddenFill>
                </a:ext>
                <a:ext uri="{91240B29-F687-4F45-9708-019B960494DF}">
                  <a14:hiddenLine w="9525">
                    <a:solidFill>
                      <a:srgbClr val="000000" mc:Ignorable="a14" a14:legacySpreadsheetColorIndex="64"/>
                    </a:solidFill>
                    <a:miter lim="800000"/>
                    <a:headEnd/>
                    <a:tailEnd/>
                  </a14:hiddenLine>
                </a:ext>
              </a:extLst>
            </xdr:spPr>
          </xdr:sp>
        </xdr:grp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53</xdr:col>
      <xdr:colOff>103206</xdr:colOff>
      <xdr:row>122</xdr:row>
      <xdr:rowOff>163914</xdr:rowOff>
    </xdr:from>
    <xdr:to>
      <xdr:col>59</xdr:col>
      <xdr:colOff>243882</xdr:colOff>
      <xdr:row>151</xdr:row>
      <xdr:rowOff>37159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500062</xdr:colOff>
      <xdr:row>141</xdr:row>
      <xdr:rowOff>171450</xdr:rowOff>
    </xdr:from>
    <xdr:to>
      <xdr:col>14</xdr:col>
      <xdr:colOff>195262</xdr:colOff>
      <xdr:row>155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12929</xdr:colOff>
      <xdr:row>0</xdr:row>
      <xdr:rowOff>18532</xdr:rowOff>
    </xdr:from>
    <xdr:to>
      <xdr:col>0</xdr:col>
      <xdr:colOff>1672119</xdr:colOff>
      <xdr:row>1</xdr:row>
      <xdr:rowOff>13694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29" y="18532"/>
          <a:ext cx="1652840" cy="318546"/>
        </a:xfrm>
        <a:prstGeom prst="rect">
          <a:avLst/>
        </a:prstGeom>
      </xdr:spPr>
    </xdr:pic>
    <xdr:clientData/>
  </xdr:twoCellAnchor>
  <xdr:twoCellAnchor>
    <xdr:from>
      <xdr:col>0</xdr:col>
      <xdr:colOff>190500</xdr:colOff>
      <xdr:row>37</xdr:row>
      <xdr:rowOff>6136</xdr:rowOff>
    </xdr:from>
    <xdr:to>
      <xdr:col>5</xdr:col>
      <xdr:colOff>451755</xdr:colOff>
      <xdr:row>48</xdr:row>
      <xdr:rowOff>85861</xdr:rowOff>
    </xdr:to>
    <xdr:grpSp>
      <xdr:nvGrpSpPr>
        <xdr:cNvPr id="16" name="Group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GrpSpPr/>
      </xdr:nvGrpSpPr>
      <xdr:grpSpPr>
        <a:xfrm>
          <a:off x="190500" y="6502186"/>
          <a:ext cx="5776230" cy="1965675"/>
          <a:chOff x="152400" y="6012807"/>
          <a:chExt cx="5780863" cy="2008924"/>
        </a:xfrm>
      </xdr:grpSpPr>
      <mc:AlternateContent xmlns:mc="http://schemas.openxmlformats.org/markup-compatibility/2006" xmlns:a14="http://schemas.microsoft.com/office/drawing/2010/main">
        <mc:Choice Requires="a14">
          <xdr:pic>
            <xdr:nvPicPr>
              <xdr:cNvPr id="15" name="Picture 14">
                <a:extLst>
                  <a:ext uri="{FF2B5EF4-FFF2-40B4-BE49-F238E27FC236}">
                    <a16:creationId xmlns:a16="http://schemas.microsoft.com/office/drawing/2014/main" id="{00000000-0008-0000-0300-00000F000000}"/>
                  </a:ext>
                </a:extLst>
              </xdr:cNvPr>
              <xdr:cNvPicPr>
                <a:picLocks noChangeAspect="1"/>
                <a:extLst>
                  <a:ext uri="{84589F7E-364E-4C9E-8A38-B11213B215E9}">
                    <a14:cameraTool cellRange="getLayout" spid="_x0000_s25356"/>
                  </a:ext>
                </a:extLst>
              </xdr:cNvPicPr>
            </xdr:nvPicPr>
            <xdr:blipFill rotWithShape="1">
              <a:blip xmlns:r="http://schemas.openxmlformats.org/officeDocument/2006/relationships" r:embed="rId2"/>
              <a:srcRect l="1" t="1" r="-139" b="2094"/>
              <a:stretch>
                <a:fillRect/>
              </a:stretch>
            </xdr:blipFill>
            <xdr:spPr>
              <a:xfrm>
                <a:off x="2741455" y="6436883"/>
                <a:ext cx="2568441" cy="1414097"/>
              </a:xfrm>
              <a:prstGeom prst="rect">
                <a:avLst/>
              </a:prstGeom>
            </xdr:spPr>
          </xdr:pic>
        </mc:Choice>
        <mc:Fallback xmlns=""/>
      </mc:AlternateContent>
      <xdr:sp macro="" textlink="data!B197">
        <xdr:nvSpPr>
          <xdr:cNvPr id="4" name="TextBox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 txBox="1"/>
        </xdr:nvSpPr>
        <xdr:spPr>
          <a:xfrm>
            <a:off x="3063393" y="6012807"/>
            <a:ext cx="2739733" cy="15540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1634D166-96A6-4D47-8EB7-47CC175A07EB}" type="TxLink">
              <a:rPr lang="en-US" sz="1000" b="0" i="0" u="none" strike="noStrike">
                <a:solidFill>
                  <a:srgbClr val="000000"/>
                </a:solidFill>
                <a:latin typeface="Aptos" panose="020B0004020202020204" pitchFamily="34" charset="0"/>
                <a:cs typeface="Times New Roman" panose="02020603050405020304" pitchFamily="18" charset="0"/>
              </a:rPr>
              <a:pPr algn="ctr"/>
              <a:t>C Max (centre/perimeter) = Max Coverage Dist Centre Zone m / Max C/L Distance (m) Perimeter m</a:t>
            </a:fld>
            <a:endParaRPr lang="en-AU" sz="1000">
              <a:latin typeface="Aptos" panose="020B0004020202020204" pitchFamily="34" charset="0"/>
              <a:cs typeface="Times New Roman" panose="02020603050405020304" pitchFamily="18" charset="0"/>
            </a:endParaRPr>
          </a:p>
        </xdr:txBody>
      </xdr:sp>
      <xdr:sp macro="" textlink="data!B199">
        <xdr:nvSpPr>
          <xdr:cNvPr id="5" name="TextBox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SpPr txBox="1"/>
        </xdr:nvSpPr>
        <xdr:spPr>
          <a:xfrm>
            <a:off x="4013041" y="6311497"/>
            <a:ext cx="1261231" cy="14406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A94E2BDA-884C-42FE-87E4-C17DB21E57ED}" type="TxLink">
              <a:rPr lang="en-US" sz="1000" b="0" i="0" u="none" strike="noStrike">
                <a:solidFill>
                  <a:srgbClr val="000000"/>
                </a:solidFill>
                <a:latin typeface="Aptos" panose="020B0004020202020204" pitchFamily="34" charset="0"/>
                <a:cs typeface="Times New Roman" panose="02020603050405020304" pitchFamily="18" charset="0"/>
              </a:rPr>
              <a:pPr algn="ctr"/>
              <a:t>Nominal C = 9.9 m</a:t>
            </a:fld>
            <a:endParaRPr lang="en-AU" sz="1000">
              <a:latin typeface="Aptos" panose="020B0004020202020204" pitchFamily="34" charset="0"/>
              <a:cs typeface="Times New Roman" panose="02020603050405020304" pitchFamily="18" charset="0"/>
            </a:endParaRPr>
          </a:p>
        </xdr:txBody>
      </xdr:sp>
      <xdr:sp macro="" textlink="data!B198">
        <xdr:nvSpPr>
          <xdr:cNvPr id="6" name="TextBox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 txBox="1"/>
        </xdr:nvSpPr>
        <xdr:spPr>
          <a:xfrm>
            <a:off x="3282792" y="6167871"/>
            <a:ext cx="2650471" cy="143847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8BFA3744-B69E-4B17-BD7E-8807699B7E30}" type="TxLink">
              <a:rPr lang="en-US" sz="1000" b="0" i="0" u="none" strike="noStrike">
                <a:solidFill>
                  <a:srgbClr val="000000"/>
                </a:solidFill>
                <a:latin typeface="Aptos" panose="020B0004020202020204" pitchFamily="34" charset="0"/>
                <a:cs typeface="Times New Roman" panose="02020603050405020304" pitchFamily="18" charset="0"/>
              </a:rPr>
              <a:pPr algn="ctr"/>
              <a:t>C Min = Min C/L Distance (m) m</a:t>
            </a:fld>
            <a:endParaRPr lang="en-AU" sz="1000">
              <a:latin typeface="Aptos" panose="020B0004020202020204" pitchFamily="34" charset="0"/>
              <a:cs typeface="Times New Roman" panose="02020603050405020304" pitchFamily="18" charset="0"/>
            </a:endParaRPr>
          </a:p>
        </xdr:txBody>
      </xdr:sp>
      <xdr:sp macro="" textlink="data!B203">
        <xdr:nvSpPr>
          <xdr:cNvPr id="7" name="TextBox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 txBox="1"/>
        </xdr:nvSpPr>
        <xdr:spPr>
          <a:xfrm>
            <a:off x="152400" y="7195323"/>
            <a:ext cx="2741541" cy="2270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fld id="{C5910FEC-24D3-450C-BE68-D08905897E78}" type="TxLink">
              <a:rPr lang="en-US" sz="1000" b="0" i="0" u="none" strike="noStrike">
                <a:solidFill>
                  <a:srgbClr val="000000"/>
                </a:solidFill>
                <a:latin typeface="Aptos" panose="020B0004020202020204" pitchFamily="34" charset="0"/>
                <a:cs typeface="Times New Roman" panose="02020603050405020304" pitchFamily="18" charset="0"/>
              </a:rPr>
              <a:pPr algn="r"/>
              <a:t>Min Recommended Diffuser Height = Min Diffuser Height (m) m</a:t>
            </a:fld>
            <a:endParaRPr lang="en-AU" sz="1000">
              <a:latin typeface="Aptos" panose="020B0004020202020204" pitchFamily="34" charset="0"/>
              <a:cs typeface="Times New Roman" panose="02020603050405020304" pitchFamily="18" charset="0"/>
            </a:endParaRPr>
          </a:p>
        </xdr:txBody>
      </xdr:sp>
      <xdr:sp macro="" textlink="data!B202">
        <xdr:nvSpPr>
          <xdr:cNvPr id="12" name="TextBox 11">
            <a:extLst>
              <a:ext uri="{FF2B5EF4-FFF2-40B4-BE49-F238E27FC236}">
                <a16:creationId xmlns:a16="http://schemas.microsoft.com/office/drawing/2014/main" id="{00000000-0008-0000-0300-00000C000000}"/>
              </a:ext>
            </a:extLst>
          </xdr:cNvPr>
          <xdr:cNvSpPr txBox="1"/>
        </xdr:nvSpPr>
        <xdr:spPr>
          <a:xfrm>
            <a:off x="652903" y="6978913"/>
            <a:ext cx="2238453" cy="24441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fld id="{2D5AF254-0F1B-4629-97EF-6E8034350C7E}" type="TxLink">
              <a:rPr lang="en-US" sz="1000" b="0" i="0" u="none" strike="noStrike">
                <a:solidFill>
                  <a:srgbClr val="000000"/>
                </a:solidFill>
                <a:latin typeface="Aptos" panose="020B0004020202020204" pitchFamily="34" charset="0"/>
                <a:cs typeface="Times New Roman" panose="02020603050405020304" pitchFamily="18" charset="0"/>
              </a:rPr>
              <a:pPr algn="r"/>
              <a:t>Selected Diffuser Height = 2.7 m</a:t>
            </a:fld>
            <a:endParaRPr lang="en-AU" sz="800">
              <a:latin typeface="Aptos" panose="020B0004020202020204" pitchFamily="34" charset="0"/>
              <a:cs typeface="Times New Roman" panose="02020603050405020304" pitchFamily="18" charset="0"/>
            </a:endParaRPr>
          </a:p>
        </xdr:txBody>
      </xdr:sp>
      <xdr:sp macro="" textlink="data!B184">
        <xdr:nvSpPr>
          <xdr:cNvPr id="13" name="TextBox 12">
            <a:extLst>
              <a:ext uri="{FF2B5EF4-FFF2-40B4-BE49-F238E27FC236}">
                <a16:creationId xmlns:a16="http://schemas.microsoft.com/office/drawing/2014/main" id="{00000000-0008-0000-0300-00000D000000}"/>
              </a:ext>
            </a:extLst>
          </xdr:cNvPr>
          <xdr:cNvSpPr txBox="1"/>
        </xdr:nvSpPr>
        <xdr:spPr>
          <a:xfrm>
            <a:off x="1995441" y="7858190"/>
            <a:ext cx="3288699" cy="1635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r"/>
            <a:fld id="{1C4D6655-820B-454C-B02E-C772E0EC34A4}" type="TxLink">
              <a:rPr lang="en-US" sz="1000" b="0" i="0" u="none" strike="noStrike">
                <a:solidFill>
                  <a:srgbClr val="000000"/>
                </a:solidFill>
                <a:latin typeface="Aptos" panose="020B0004020202020204" pitchFamily="34" charset="0"/>
                <a:cs typeface="Times New Roman" panose="02020603050405020304" pitchFamily="18" charset="0"/>
              </a:rPr>
              <a:pPr algn="r"/>
              <a:t>Recommended distances for ≥ 90% ADPI (Selected)</a:t>
            </a:fld>
            <a:endParaRPr lang="en-AU" sz="800">
              <a:latin typeface="Aptos" panose="020B0004020202020204" pitchFamily="34" charset="0"/>
              <a:cs typeface="Times New Roman" panose="02020603050405020304" pitchFamily="18" charset="0"/>
            </a:endParaRPr>
          </a:p>
        </xdr:txBody>
      </xdr:sp>
      <xdr:sp macro="" textlink="data!B200">
        <xdr:nvSpPr>
          <xdr:cNvPr id="9" name="TextBox 8">
            <a:extLst>
              <a:ext uri="{FF2B5EF4-FFF2-40B4-BE49-F238E27FC236}">
                <a16:creationId xmlns:a16="http://schemas.microsoft.com/office/drawing/2014/main" id="{00000000-0008-0000-0300-000009000000}"/>
              </a:ext>
            </a:extLst>
          </xdr:cNvPr>
          <xdr:cNvSpPr txBox="1"/>
        </xdr:nvSpPr>
        <xdr:spPr>
          <a:xfrm>
            <a:off x="2964453" y="7278698"/>
            <a:ext cx="2278239" cy="594968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fld id="{AD07E4B6-66E8-4534-9E53-61BFB7711339}" type="TxLink">
              <a:rPr lang="en-US" sz="1000" b="0" i="0" u="none" strike="noStrike">
                <a:solidFill>
                  <a:srgbClr val="000000"/>
                </a:solidFill>
                <a:latin typeface="Aptos" panose="020B0004020202020204" pitchFamily="34" charset="0"/>
                <a:cs typeface="Times New Roman" panose="02020603050405020304" pitchFamily="18" charset="0"/>
              </a:rPr>
              <a:pPr algn="ctr"/>
              <a:t>Specific Airflow Rate = 5.03 L/s/m²
 @ Average C of 9.9 m</a:t>
            </a:fld>
            <a:endParaRPr lang="en-AU" sz="1000">
              <a:latin typeface="Aptos" panose="020B000402020202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 editAs="oneCell">
    <xdr:from>
      <xdr:col>3</xdr:col>
      <xdr:colOff>743779</xdr:colOff>
      <xdr:row>6</xdr:row>
      <xdr:rowOff>173272</xdr:rowOff>
    </xdr:from>
    <xdr:to>
      <xdr:col>5</xdr:col>
      <xdr:colOff>395909</xdr:colOff>
      <xdr:row>14</xdr:row>
      <xdr:rowOff>94886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68919" y="1369612"/>
          <a:ext cx="2151490" cy="1323694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433900</xdr:colOff>
          <xdr:row>22</xdr:row>
          <xdr:rowOff>33923</xdr:rowOff>
        </xdr:from>
        <xdr:to>
          <xdr:col>12</xdr:col>
          <xdr:colOff>524633</xdr:colOff>
          <xdr:row>41</xdr:row>
          <xdr:rowOff>85725</xdr:rowOff>
        </xdr:to>
        <xdr:pic>
          <xdr:nvPicPr>
            <xdr:cNvPr id="8" name="control_diagram" descr="Images with solid fill">
              <a:extLst>
                <a:ext uri="{FF2B5EF4-FFF2-40B4-BE49-F238E27FC236}">
                  <a16:creationId xmlns:a16="http://schemas.microsoft.com/office/drawing/2014/main" id="{00000000-0008-0000-0300-000008000000}"/>
                </a:ext>
              </a:extLst>
            </xdr:cNvPr>
            <xdr:cNvPicPr>
              <a:picLocks noChangeAspect="1"/>
              <a:extLst>
                <a:ext uri="{84589F7E-364E-4C9E-8A38-B11213B215E9}">
                  <a14:cameraTool cellRange="_control_diagram" spid="_x0000_s25357"/>
                </a:ext>
              </a:extLst>
            </xdr:cNvPicPr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6472750" y="3958223"/>
              <a:ext cx="5291383" cy="3309352"/>
            </a:xfrm>
            <a:prstGeom prst="rect">
              <a:avLst/>
            </a:prstGeom>
            <a:ln>
              <a:solidFill>
                <a:schemeClr val="tx1"/>
              </a:solidFill>
            </a:ln>
          </xdr:spPr>
        </xdr:pic>
        <xdr:clientData/>
      </xdr:twoCellAnchor>
    </mc:Choice>
    <mc:Fallback/>
  </mc:AlternateContent>
  <xdr:oneCellAnchor>
    <xdr:from>
      <xdr:col>6</xdr:col>
      <xdr:colOff>12929</xdr:colOff>
      <xdr:row>0</xdr:row>
      <xdr:rowOff>18532</xdr:rowOff>
    </xdr:from>
    <xdr:ext cx="1659190" cy="315202"/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29" y="18532"/>
          <a:ext cx="1659190" cy="315202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161925</xdr:colOff>
          <xdr:row>38</xdr:row>
          <xdr:rowOff>133350</xdr:rowOff>
        </xdr:from>
        <xdr:to>
          <xdr:col>7</xdr:col>
          <xdr:colOff>304800</xdr:colOff>
          <xdr:row>52</xdr:row>
          <xdr:rowOff>142875</xdr:rowOff>
        </xdr:to>
        <xdr:sp macro="" textlink="">
          <xdr:nvSpPr>
            <xdr:cNvPr id="7174" name="Object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4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180975</xdr:colOff>
          <xdr:row>53</xdr:row>
          <xdr:rowOff>123825</xdr:rowOff>
        </xdr:from>
        <xdr:to>
          <xdr:col>7</xdr:col>
          <xdr:colOff>323850</xdr:colOff>
          <xdr:row>66</xdr:row>
          <xdr:rowOff>161925</xdr:rowOff>
        </xdr:to>
        <xdr:sp macro="" textlink="">
          <xdr:nvSpPr>
            <xdr:cNvPr id="7175" name="Object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4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180975</xdr:colOff>
          <xdr:row>53</xdr:row>
          <xdr:rowOff>95250</xdr:rowOff>
        </xdr:from>
        <xdr:to>
          <xdr:col>14</xdr:col>
          <xdr:colOff>38100</xdr:colOff>
          <xdr:row>66</xdr:row>
          <xdr:rowOff>123825</xdr:rowOff>
        </xdr:to>
        <xdr:sp macro="" textlink="">
          <xdr:nvSpPr>
            <xdr:cNvPr id="7176" name="Object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4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180975</xdr:colOff>
          <xdr:row>38</xdr:row>
          <xdr:rowOff>76200</xdr:rowOff>
        </xdr:from>
        <xdr:to>
          <xdr:col>14</xdr:col>
          <xdr:colOff>104775</xdr:colOff>
          <xdr:row>52</xdr:row>
          <xdr:rowOff>114300</xdr:rowOff>
        </xdr:to>
        <xdr:sp macro="" textlink="">
          <xdr:nvSpPr>
            <xdr:cNvPr id="7178" name="Object 10" hidden="1">
              <a:extLst>
                <a:ext uri="{63B3BB69-23CF-44E3-9099-C40C66FF867C}">
                  <a14:compatExt spid="_x0000_s7178"/>
                </a:ext>
                <a:ext uri="{FF2B5EF4-FFF2-40B4-BE49-F238E27FC236}">
                  <a16:creationId xmlns:a16="http://schemas.microsoft.com/office/drawing/2014/main" id="{00000000-0008-0000-0400-00000A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</xdr:colOff>
          <xdr:row>26</xdr:row>
          <xdr:rowOff>57150</xdr:rowOff>
        </xdr:from>
        <xdr:to>
          <xdr:col>14</xdr:col>
          <xdr:colOff>619125</xdr:colOff>
          <xdr:row>36</xdr:row>
          <xdr:rowOff>104775</xdr:rowOff>
        </xdr:to>
        <xdr:sp macro="" textlink="">
          <xdr:nvSpPr>
            <xdr:cNvPr id="7180" name="Object 12" hidden="1">
              <a:extLst>
                <a:ext uri="{63B3BB69-23CF-44E3-9099-C40C66FF867C}">
                  <a14:compatExt spid="_x0000_s7180"/>
                </a:ext>
                <a:ext uri="{FF2B5EF4-FFF2-40B4-BE49-F238E27FC236}">
                  <a16:creationId xmlns:a16="http://schemas.microsoft.com/office/drawing/2014/main" id="{00000000-0008-0000-0400-00000C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89</xdr:row>
          <xdr:rowOff>0</xdr:rowOff>
        </xdr:from>
        <xdr:to>
          <xdr:col>17</xdr:col>
          <xdr:colOff>476250</xdr:colOff>
          <xdr:row>94</xdr:row>
          <xdr:rowOff>19050</xdr:rowOff>
        </xdr:to>
        <xdr:sp macro="" textlink="">
          <xdr:nvSpPr>
            <xdr:cNvPr id="7181" name="Object 13" hidden="1">
              <a:extLst>
                <a:ext uri="{63B3BB69-23CF-44E3-9099-C40C66FF867C}">
                  <a14:compatExt spid="_x0000_s7181"/>
                </a:ext>
                <a:ext uri="{FF2B5EF4-FFF2-40B4-BE49-F238E27FC236}">
                  <a16:creationId xmlns:a16="http://schemas.microsoft.com/office/drawing/2014/main" id="{00000000-0008-0000-0400-00000D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27385</xdr:colOff>
      <xdr:row>47</xdr:row>
      <xdr:rowOff>46975</xdr:rowOff>
    </xdr:from>
    <xdr:to>
      <xdr:col>16</xdr:col>
      <xdr:colOff>464344</xdr:colOff>
      <xdr:row>48</xdr:row>
      <xdr:rowOff>112917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8823723" y="9938688"/>
          <a:ext cx="1084659" cy="2564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Air Direction D</a:t>
          </a:r>
        </a:p>
      </xdr:txBody>
    </xdr:sp>
    <xdr:clientData/>
  </xdr:twoCellAnchor>
  <xdr:twoCellAnchor editAs="oneCell">
    <xdr:from>
      <xdr:col>2</xdr:col>
      <xdr:colOff>161925</xdr:colOff>
      <xdr:row>25</xdr:row>
      <xdr:rowOff>76200</xdr:rowOff>
    </xdr:from>
    <xdr:to>
      <xdr:col>12</xdr:col>
      <xdr:colOff>227829</xdr:colOff>
      <xdr:row>40</xdr:row>
      <xdr:rowOff>85367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57275" y="5886450"/>
          <a:ext cx="6542904" cy="2723792"/>
        </a:xfrm>
        <a:prstGeom prst="rect">
          <a:avLst/>
        </a:prstGeom>
      </xdr:spPr>
    </xdr:pic>
    <xdr:clientData/>
  </xdr:twoCellAnchor>
  <xdr:twoCellAnchor editAs="oneCell">
    <xdr:from>
      <xdr:col>14</xdr:col>
      <xdr:colOff>190500</xdr:colOff>
      <xdr:row>25</xdr:row>
      <xdr:rowOff>57150</xdr:rowOff>
    </xdr:from>
    <xdr:to>
      <xdr:col>24</xdr:col>
      <xdr:colOff>265928</xdr:colOff>
      <xdr:row>40</xdr:row>
      <xdr:rowOff>171079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339138" y="5867400"/>
          <a:ext cx="6552428" cy="2828554"/>
        </a:xfrm>
        <a:prstGeom prst="rect">
          <a:avLst/>
        </a:prstGeom>
      </xdr:spPr>
    </xdr:pic>
    <xdr:clientData/>
  </xdr:twoCellAnchor>
  <xdr:twoCellAnchor>
    <xdr:from>
      <xdr:col>6</xdr:col>
      <xdr:colOff>171450</xdr:colOff>
      <xdr:row>24</xdr:row>
      <xdr:rowOff>180975</xdr:rowOff>
    </xdr:from>
    <xdr:to>
      <xdr:col>10</xdr:col>
      <xdr:colOff>38100</xdr:colOff>
      <xdr:row>26</xdr:row>
      <xdr:rowOff>28575</xdr:rowOff>
    </xdr:to>
    <xdr:sp macro="" textlink="$E$30">
      <xdr:nvSpPr>
        <xdr:cNvPr id="5" name="TextBox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3657600" y="5810250"/>
          <a:ext cx="2457450" cy="209550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fld id="{6A2F7585-3581-45FF-86A1-49B2A3D64015}" type="TxLink">
            <a:rPr lang="en-US" sz="1400" b="1" i="0" u="none" strike="noStrike">
              <a:solidFill>
                <a:srgbClr val="000000"/>
              </a:solidFill>
              <a:latin typeface="+mn-lt"/>
              <a:cs typeface="Calibri Light" panose="020F0302020204030204" pitchFamily="34" charset="0"/>
            </a:rPr>
            <a:pPr algn="ctr"/>
            <a:t>#REF!</a:t>
          </a:fld>
          <a:endParaRPr lang="en-AU" sz="1400" b="1">
            <a:latin typeface="+mn-lt"/>
            <a:cs typeface="Calibri Light" panose="020F0302020204030204" pitchFamily="34" charset="0"/>
          </a:endParaRPr>
        </a:p>
      </xdr:txBody>
    </xdr:sp>
    <xdr:clientData/>
  </xdr:twoCellAnchor>
  <xdr:twoCellAnchor>
    <xdr:from>
      <xdr:col>16</xdr:col>
      <xdr:colOff>276225</xdr:colOff>
      <xdr:row>25</xdr:row>
      <xdr:rowOff>0</xdr:rowOff>
    </xdr:from>
    <xdr:to>
      <xdr:col>23</xdr:col>
      <xdr:colOff>571500</xdr:colOff>
      <xdr:row>26</xdr:row>
      <xdr:rowOff>76200</xdr:rowOff>
    </xdr:to>
    <xdr:sp macro="" textlink="$E$30">
      <xdr:nvSpPr>
        <xdr:cNvPr id="6" name="TextBox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9720263" y="5810250"/>
          <a:ext cx="4829175" cy="257175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fld id="{6A2F7585-3581-45FF-86A1-49B2A3D64015}" type="TxLink">
            <a:rPr lang="en-US" sz="1400" b="1" i="0" u="none" strike="noStrike">
              <a:solidFill>
                <a:srgbClr val="000000"/>
              </a:solidFill>
              <a:latin typeface="+mn-lt"/>
              <a:cs typeface="Calibri Light" panose="020F0302020204030204" pitchFamily="34" charset="0"/>
            </a:rPr>
            <a:pPr algn="ctr"/>
            <a:t>#REF!</a:t>
          </a:fld>
          <a:endParaRPr lang="en-AU" sz="1400" b="1">
            <a:latin typeface="+mn-lt"/>
            <a:cs typeface="Calibri Light" panose="020F0302020204030204" pitchFamily="34" charset="0"/>
          </a:endParaRPr>
        </a:p>
      </xdr:txBody>
    </xdr:sp>
    <xdr:clientData/>
  </xdr:twoCellAnchor>
  <xdr:twoCellAnchor>
    <xdr:from>
      <xdr:col>4</xdr:col>
      <xdr:colOff>228600</xdr:colOff>
      <xdr:row>40</xdr:row>
      <xdr:rowOff>57150</xdr:rowOff>
    </xdr:from>
    <xdr:to>
      <xdr:col>5</xdr:col>
      <xdr:colOff>276225</xdr:colOff>
      <xdr:row>41</xdr:row>
      <xdr:rowOff>142875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2419350" y="8582025"/>
          <a:ext cx="695325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Figure 1</a:t>
          </a:r>
        </a:p>
      </xdr:txBody>
    </xdr:sp>
    <xdr:clientData/>
  </xdr:twoCellAnchor>
  <xdr:twoCellAnchor>
    <xdr:from>
      <xdr:col>16</xdr:col>
      <xdr:colOff>190500</xdr:colOff>
      <xdr:row>40</xdr:row>
      <xdr:rowOff>76200</xdr:rowOff>
    </xdr:from>
    <xdr:to>
      <xdr:col>17</xdr:col>
      <xdr:colOff>238125</xdr:colOff>
      <xdr:row>41</xdr:row>
      <xdr:rowOff>161925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 txBox="1"/>
      </xdr:nvSpPr>
      <xdr:spPr>
        <a:xfrm>
          <a:off x="9634538" y="8601075"/>
          <a:ext cx="695325" cy="266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Figure 2</a:t>
          </a:r>
        </a:p>
      </xdr:txBody>
    </xdr:sp>
    <xdr:clientData/>
  </xdr:twoCellAnchor>
  <xdr:twoCellAnchor>
    <xdr:from>
      <xdr:col>7</xdr:col>
      <xdr:colOff>375044</xdr:colOff>
      <xdr:row>47</xdr:row>
      <xdr:rowOff>70880</xdr:rowOff>
    </xdr:from>
    <xdr:to>
      <xdr:col>9</xdr:col>
      <xdr:colOff>247954</xdr:colOff>
      <xdr:row>48</xdr:row>
      <xdr:rowOff>136822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SpPr txBox="1"/>
      </xdr:nvSpPr>
      <xdr:spPr>
        <a:xfrm>
          <a:off x="4508894" y="9962593"/>
          <a:ext cx="1168310" cy="2564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Air Direction A</a:t>
          </a:r>
        </a:p>
      </xdr:txBody>
    </xdr:sp>
    <xdr:clientData/>
  </xdr:twoCellAnchor>
  <xdr:twoCellAnchor>
    <xdr:from>
      <xdr:col>9</xdr:col>
      <xdr:colOff>516729</xdr:colOff>
      <xdr:row>47</xdr:row>
      <xdr:rowOff>65656</xdr:rowOff>
    </xdr:from>
    <xdr:to>
      <xdr:col>11</xdr:col>
      <xdr:colOff>362664</xdr:colOff>
      <xdr:row>48</xdr:row>
      <xdr:rowOff>131598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SpPr txBox="1"/>
      </xdr:nvSpPr>
      <xdr:spPr>
        <a:xfrm>
          <a:off x="5945979" y="9957369"/>
          <a:ext cx="1141335" cy="2564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Air Direction B</a:t>
          </a:r>
        </a:p>
      </xdr:txBody>
    </xdr:sp>
    <xdr:clientData/>
  </xdr:twoCellAnchor>
  <xdr:twoCellAnchor>
    <xdr:from>
      <xdr:col>12</xdr:col>
      <xdr:colOff>126206</xdr:colOff>
      <xdr:row>47</xdr:row>
      <xdr:rowOff>55309</xdr:rowOff>
    </xdr:from>
    <xdr:to>
      <xdr:col>14</xdr:col>
      <xdr:colOff>438150</xdr:colOff>
      <xdr:row>48</xdr:row>
      <xdr:rowOff>121251</xdr:rowOff>
    </xdr:to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7498556" y="9947022"/>
          <a:ext cx="1088232" cy="2564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AU" sz="1100"/>
            <a:t>Air Direction C</a:t>
          </a:r>
        </a:p>
      </xdr:txBody>
    </xdr:sp>
    <xdr:clientData/>
  </xdr:twoCellAnchor>
  <xdr:twoCellAnchor editAs="oneCell">
    <xdr:from>
      <xdr:col>20</xdr:col>
      <xdr:colOff>166687</xdr:colOff>
      <xdr:row>16</xdr:row>
      <xdr:rowOff>28575</xdr:rowOff>
    </xdr:from>
    <xdr:to>
      <xdr:col>23</xdr:col>
      <xdr:colOff>427853</xdr:colOff>
      <xdr:row>20</xdr:row>
      <xdr:rowOff>170031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6193" t="9026"/>
        <a:stretch/>
      </xdr:blipFill>
      <xdr:spPr>
        <a:xfrm>
          <a:off x="12201525" y="3948113"/>
          <a:ext cx="2204266" cy="1012993"/>
        </a:xfrm>
        <a:prstGeom prst="rect">
          <a:avLst/>
        </a:prstGeom>
      </xdr:spPr>
    </xdr:pic>
    <xdr:clientData/>
  </xdr:twoCellAnchor>
  <xdr:twoCellAnchor>
    <xdr:from>
      <xdr:col>19</xdr:col>
      <xdr:colOff>553641</xdr:colOff>
      <xdr:row>19</xdr:row>
      <xdr:rowOff>11907</xdr:rowOff>
    </xdr:from>
    <xdr:to>
      <xdr:col>20</xdr:col>
      <xdr:colOff>458390</xdr:colOff>
      <xdr:row>20</xdr:row>
      <xdr:rowOff>23813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SpPr txBox="1"/>
      </xdr:nvSpPr>
      <xdr:spPr>
        <a:xfrm>
          <a:off x="11940779" y="4574382"/>
          <a:ext cx="552449" cy="24050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100"/>
            <a:t>1.2</a:t>
          </a:r>
          <a:r>
            <a:rPr lang="en-AU" sz="1100" baseline="0"/>
            <a:t> m</a:t>
          </a:r>
        </a:p>
        <a:p>
          <a:pPr algn="ctr"/>
          <a:endParaRPr lang="en-AU" sz="1100"/>
        </a:p>
      </xdr:txBody>
    </xdr:sp>
    <xdr:clientData/>
  </xdr:twoCellAnchor>
  <xdr:twoCellAnchor>
    <xdr:from>
      <xdr:col>19</xdr:col>
      <xdr:colOff>553640</xdr:colOff>
      <xdr:row>16</xdr:row>
      <xdr:rowOff>197644</xdr:rowOff>
    </xdr:from>
    <xdr:to>
      <xdr:col>20</xdr:col>
      <xdr:colOff>460772</xdr:colOff>
      <xdr:row>18</xdr:row>
      <xdr:rowOff>16669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 txBox="1"/>
      </xdr:nvSpPr>
      <xdr:spPr>
        <a:xfrm>
          <a:off x="11940778" y="4102895"/>
          <a:ext cx="554832" cy="24764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100"/>
            <a:t>1.2</a:t>
          </a:r>
          <a:r>
            <a:rPr lang="en-AU" sz="1100" baseline="0"/>
            <a:t> m</a:t>
          </a:r>
        </a:p>
        <a:p>
          <a:pPr algn="ctr"/>
          <a:endParaRPr lang="en-AU" sz="1100"/>
        </a:p>
      </xdr:txBody>
    </xdr:sp>
    <xdr:clientData/>
  </xdr:twoCellAnchor>
  <xdr:twoCellAnchor>
    <xdr:from>
      <xdr:col>18</xdr:col>
      <xdr:colOff>517922</xdr:colOff>
      <xdr:row>17</xdr:row>
      <xdr:rowOff>235743</xdr:rowOff>
    </xdr:from>
    <xdr:to>
      <xdr:col>19</xdr:col>
      <xdr:colOff>441722</xdr:colOff>
      <xdr:row>19</xdr:row>
      <xdr:rowOff>35718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 txBox="1"/>
      </xdr:nvSpPr>
      <xdr:spPr>
        <a:xfrm>
          <a:off x="11257360" y="4336255"/>
          <a:ext cx="571500" cy="26193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100"/>
            <a:t>4.8 m</a:t>
          </a:r>
          <a:endParaRPr lang="en-AU" sz="1100" baseline="0"/>
        </a:p>
        <a:p>
          <a:endParaRPr lang="en-AU" sz="1100"/>
        </a:p>
      </xdr:txBody>
    </xdr:sp>
    <xdr:clientData/>
  </xdr:twoCellAnchor>
  <xdr:twoCellAnchor>
    <xdr:from>
      <xdr:col>20</xdr:col>
      <xdr:colOff>529828</xdr:colOff>
      <xdr:row>16</xdr:row>
      <xdr:rowOff>171450</xdr:rowOff>
    </xdr:from>
    <xdr:to>
      <xdr:col>20</xdr:col>
      <xdr:colOff>533400</xdr:colOff>
      <xdr:row>18</xdr:row>
      <xdr:rowOff>29766</xdr:rowOff>
    </xdr:to>
    <xdr:cxnSp macro="">
      <xdr:nvCxnSpPr>
        <xdr:cNvPr id="16" name="Straight Arrow Connector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CxnSpPr/>
      </xdr:nvCxnSpPr>
      <xdr:spPr>
        <a:xfrm flipH="1">
          <a:off x="12564666" y="4090988"/>
          <a:ext cx="3572" cy="272653"/>
        </a:xfrm>
        <a:prstGeom prst="straightConnector1">
          <a:avLst/>
        </a:prstGeom>
        <a:ln>
          <a:solidFill>
            <a:schemeClr val="tx2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523875</xdr:colOff>
      <xdr:row>18</xdr:row>
      <xdr:rowOff>219075</xdr:rowOff>
    </xdr:from>
    <xdr:to>
      <xdr:col>20</xdr:col>
      <xdr:colOff>526256</xdr:colOff>
      <xdr:row>20</xdr:row>
      <xdr:rowOff>35719</xdr:rowOff>
    </xdr:to>
    <xdr:cxnSp macro="">
      <xdr:nvCxnSpPr>
        <xdr:cNvPr id="17" name="Straight Arrow Connector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CxnSpPr/>
      </xdr:nvCxnSpPr>
      <xdr:spPr>
        <a:xfrm flipH="1">
          <a:off x="12558713" y="4552950"/>
          <a:ext cx="2381" cy="273844"/>
        </a:xfrm>
        <a:prstGeom prst="straightConnector1">
          <a:avLst/>
        </a:prstGeom>
        <a:ln>
          <a:solidFill>
            <a:schemeClr val="tx2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488156</xdr:colOff>
      <xdr:row>16</xdr:row>
      <xdr:rowOff>85725</xdr:rowOff>
    </xdr:from>
    <xdr:to>
      <xdr:col>19</xdr:col>
      <xdr:colOff>495300</xdr:colOff>
      <xdr:row>20</xdr:row>
      <xdr:rowOff>148828</xdr:rowOff>
    </xdr:to>
    <xdr:cxnSp macro="">
      <xdr:nvCxnSpPr>
        <xdr:cNvPr id="18" name="Straight Arrow Connector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CxnSpPr/>
      </xdr:nvCxnSpPr>
      <xdr:spPr>
        <a:xfrm flipH="1">
          <a:off x="11875294" y="4005263"/>
          <a:ext cx="7144" cy="934640"/>
        </a:xfrm>
        <a:prstGeom prst="straightConnector1">
          <a:avLst/>
        </a:prstGeom>
        <a:ln>
          <a:solidFill>
            <a:schemeClr val="tx2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583508</xdr:colOff>
      <xdr:row>45</xdr:row>
      <xdr:rowOff>5674</xdr:rowOff>
    </xdr:from>
    <xdr:to>
      <xdr:col>7</xdr:col>
      <xdr:colOff>570408</xdr:colOff>
      <xdr:row>46</xdr:row>
      <xdr:rowOff>34249</xdr:rowOff>
    </xdr:to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 txBox="1">
          <a:spLocks noChangeArrowheads="1"/>
        </xdr:cNvSpPr>
      </xdr:nvSpPr>
      <xdr:spPr bwMode="auto">
        <a:xfrm>
          <a:off x="4069658" y="9516387"/>
          <a:ext cx="6346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AU" sz="900" b="0" i="0" u="none" strike="noStrike" baseline="0">
              <a:solidFill>
                <a:srgbClr val="000000"/>
              </a:solidFill>
              <a:latin typeface="Calibri"/>
            </a:rPr>
            <a:t>0 to -15° </a:t>
          </a:r>
        </a:p>
        <a:p>
          <a:pPr algn="l" rtl="0">
            <a:defRPr sz="1000"/>
          </a:pPr>
          <a:endParaRPr lang="en-AU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9</xdr:col>
      <xdr:colOff>158354</xdr:colOff>
      <xdr:row>45</xdr:row>
      <xdr:rowOff>19050</xdr:rowOff>
    </xdr:from>
    <xdr:to>
      <xdr:col>10</xdr:col>
      <xdr:colOff>133351</xdr:colOff>
      <xdr:row>46</xdr:row>
      <xdr:rowOff>47625</xdr:rowOff>
    </xdr:to>
    <xdr:sp macro="" textlink="">
      <xdr:nvSpPr>
        <xdr:cNvPr id="20" name="Text Box 2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 txBox="1">
          <a:spLocks noChangeArrowheads="1"/>
        </xdr:cNvSpPr>
      </xdr:nvSpPr>
      <xdr:spPr bwMode="auto">
        <a:xfrm>
          <a:off x="5587604" y="9529763"/>
          <a:ext cx="622697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AU" sz="900" b="0" i="0" u="none" strike="noStrike" baseline="0">
              <a:solidFill>
                <a:srgbClr val="000000"/>
              </a:solidFill>
              <a:latin typeface="Calibri"/>
            </a:rPr>
            <a:t>0 to -30° </a:t>
          </a:r>
        </a:p>
        <a:p>
          <a:pPr algn="l" rtl="0">
            <a:defRPr sz="1000"/>
          </a:pPr>
          <a:endParaRPr lang="en-AU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10</xdr:col>
      <xdr:colOff>0</xdr:colOff>
      <xdr:row>44</xdr:row>
      <xdr:rowOff>28574</xdr:rowOff>
    </xdr:from>
    <xdr:to>
      <xdr:col>11</xdr:col>
      <xdr:colOff>476250</xdr:colOff>
      <xdr:row>46</xdr:row>
      <xdr:rowOff>4762</xdr:rowOff>
    </xdr:to>
    <xdr:grpSp>
      <xdr:nvGrpSpPr>
        <xdr:cNvPr id="21" name="Group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GrpSpPr>
          <a:grpSpLocks noChangeAspect="1"/>
        </xdr:cNvGrpSpPr>
      </xdr:nvGrpSpPr>
      <xdr:grpSpPr>
        <a:xfrm>
          <a:off x="5619750" y="9610724"/>
          <a:ext cx="1076325" cy="357188"/>
          <a:chOff x="5905500" y="9852660"/>
          <a:chExt cx="723900" cy="238125"/>
        </a:xfrm>
      </xdr:grpSpPr>
      <xdr:cxnSp macro="">
        <xdr:nvCxnSpPr>
          <xdr:cNvPr id="22" name="AutoShape 14">
            <a:extLst>
              <a:ext uri="{FF2B5EF4-FFF2-40B4-BE49-F238E27FC236}">
                <a16:creationId xmlns:a16="http://schemas.microsoft.com/office/drawing/2014/main" id="{00000000-0008-0000-0500-00001600000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6339840" y="9852660"/>
            <a:ext cx="0" cy="138785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23" name="AutoShape 15">
            <a:extLst>
              <a:ext uri="{FF2B5EF4-FFF2-40B4-BE49-F238E27FC236}">
                <a16:creationId xmlns:a16="http://schemas.microsoft.com/office/drawing/2014/main" id="{00000000-0008-0000-0500-00001700000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6195060" y="9852660"/>
            <a:ext cx="0" cy="138785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24" name="AutoShape 16">
            <a:extLst>
              <a:ext uri="{FF2B5EF4-FFF2-40B4-BE49-F238E27FC236}">
                <a16:creationId xmlns:a16="http://schemas.microsoft.com/office/drawing/2014/main" id="{00000000-0008-0000-0500-000018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5905500" y="9973914"/>
            <a:ext cx="231648" cy="0"/>
          </a:xfrm>
          <a:prstGeom prst="straightConnector1">
            <a:avLst/>
          </a:prstGeom>
          <a:noFill/>
          <a:ln w="254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25" name="Oval 17">
            <a:extLst>
              <a:ext uri="{FF2B5EF4-FFF2-40B4-BE49-F238E27FC236}">
                <a16:creationId xmlns:a16="http://schemas.microsoft.com/office/drawing/2014/main" id="{00000000-0008-0000-0500-000019000000}"/>
              </a:ext>
            </a:extLst>
          </xdr:cNvPr>
          <xdr:cNvSpPr>
            <a:spLocks noChangeArrowheads="1"/>
          </xdr:cNvSpPr>
        </xdr:nvSpPr>
        <xdr:spPr bwMode="auto">
          <a:xfrm>
            <a:off x="6195060" y="9880417"/>
            <a:ext cx="144780" cy="138785"/>
          </a:xfrm>
          <a:prstGeom prst="ellipse">
            <a:avLst/>
          </a:prstGeom>
          <a:solidFill>
            <a:srgbClr val="FFFFFF"/>
          </a:solidFill>
          <a:ln w="6350">
            <a:solidFill>
              <a:srgbClr val="000000"/>
            </a:solidFill>
            <a:round/>
            <a:headEnd/>
            <a:tailEnd/>
          </a:ln>
        </xdr:spPr>
      </xdr:sp>
      <xdr:cxnSp macro="">
        <xdr:nvCxnSpPr>
          <xdr:cNvPr id="26" name="AutoShape 18">
            <a:extLst>
              <a:ext uri="{FF2B5EF4-FFF2-40B4-BE49-F238E27FC236}">
                <a16:creationId xmlns:a16="http://schemas.microsoft.com/office/drawing/2014/main" id="{00000000-0008-0000-0500-00001A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6108192" y="9991445"/>
            <a:ext cx="86868" cy="0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27" name="AutoShape 19">
            <a:extLst>
              <a:ext uri="{FF2B5EF4-FFF2-40B4-BE49-F238E27FC236}">
                <a16:creationId xmlns:a16="http://schemas.microsoft.com/office/drawing/2014/main" id="{00000000-0008-0000-0500-00001B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6339840" y="9991445"/>
            <a:ext cx="86868" cy="0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28" name="AutoShape 20">
            <a:extLst>
              <a:ext uri="{FF2B5EF4-FFF2-40B4-BE49-F238E27FC236}">
                <a16:creationId xmlns:a16="http://schemas.microsoft.com/office/drawing/2014/main" id="{00000000-0008-0000-0500-00001C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6397752" y="9973914"/>
            <a:ext cx="231648" cy="0"/>
          </a:xfrm>
          <a:prstGeom prst="straightConnector1">
            <a:avLst/>
          </a:prstGeom>
          <a:noFill/>
          <a:ln w="25400">
            <a:solidFill>
              <a:srgbClr val="FFFFF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29" name="Freeform 21">
            <a:extLst>
              <a:ext uri="{FF2B5EF4-FFF2-40B4-BE49-F238E27FC236}">
                <a16:creationId xmlns:a16="http://schemas.microsoft.com/office/drawing/2014/main" id="{00000000-0008-0000-0500-00001D000000}"/>
              </a:ext>
            </a:extLst>
          </xdr:cNvPr>
          <xdr:cNvSpPr>
            <a:spLocks/>
          </xdr:cNvSpPr>
        </xdr:nvSpPr>
        <xdr:spPr bwMode="auto">
          <a:xfrm rot="279633">
            <a:off x="6059932" y="9934470"/>
            <a:ext cx="193548" cy="151933"/>
          </a:xfrm>
          <a:custGeom>
            <a:avLst/>
            <a:gdLst>
              <a:gd name="T0" fmla="*/ 323 w 342"/>
              <a:gd name="T1" fmla="*/ 0 h 368"/>
              <a:gd name="T2" fmla="*/ 323 w 342"/>
              <a:gd name="T3" fmla="*/ 171 h 368"/>
              <a:gd name="T4" fmla="*/ 209 w 342"/>
              <a:gd name="T5" fmla="*/ 311 h 368"/>
              <a:gd name="T6" fmla="*/ 0 w 342"/>
              <a:gd name="T7" fmla="*/ 368 h 3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342" h="368">
                <a:moveTo>
                  <a:pt x="323" y="0"/>
                </a:moveTo>
                <a:cubicBezTo>
                  <a:pt x="332" y="59"/>
                  <a:pt x="342" y="119"/>
                  <a:pt x="323" y="171"/>
                </a:cubicBezTo>
                <a:cubicBezTo>
                  <a:pt x="304" y="223"/>
                  <a:pt x="263" y="278"/>
                  <a:pt x="209" y="311"/>
                </a:cubicBezTo>
                <a:cubicBezTo>
                  <a:pt x="155" y="344"/>
                  <a:pt x="77" y="356"/>
                  <a:pt x="0" y="368"/>
                </a:cubicBezTo>
              </a:path>
            </a:pathLst>
          </a:custGeom>
          <a:noFill/>
          <a:ln w="19050" cap="flat">
            <a:solidFill>
              <a:srgbClr val="000000"/>
            </a:solidFill>
            <a:prstDash val="sysDot"/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cxnSp macro="">
        <xdr:nvCxnSpPr>
          <xdr:cNvPr id="30" name="AutoShape 22">
            <a:extLst>
              <a:ext uri="{FF2B5EF4-FFF2-40B4-BE49-F238E27FC236}">
                <a16:creationId xmlns:a16="http://schemas.microsoft.com/office/drawing/2014/main" id="{00000000-0008-0000-0500-00001E00000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5905500" y="10081046"/>
            <a:ext cx="144780" cy="9739"/>
          </a:xfrm>
          <a:prstGeom prst="straightConnector1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31" name="Freeform 23">
            <a:extLst>
              <a:ext uri="{FF2B5EF4-FFF2-40B4-BE49-F238E27FC236}">
                <a16:creationId xmlns:a16="http://schemas.microsoft.com/office/drawing/2014/main" id="{00000000-0008-0000-0500-00001F000000}"/>
              </a:ext>
            </a:extLst>
          </xdr:cNvPr>
          <xdr:cNvSpPr>
            <a:spLocks/>
          </xdr:cNvSpPr>
        </xdr:nvSpPr>
        <xdr:spPr bwMode="auto">
          <a:xfrm rot="21320367" flipH="1">
            <a:off x="6281928" y="9935444"/>
            <a:ext cx="193548" cy="151933"/>
          </a:xfrm>
          <a:custGeom>
            <a:avLst/>
            <a:gdLst>
              <a:gd name="T0" fmla="*/ 323 w 342"/>
              <a:gd name="T1" fmla="*/ 0 h 368"/>
              <a:gd name="T2" fmla="*/ 323 w 342"/>
              <a:gd name="T3" fmla="*/ 171 h 368"/>
              <a:gd name="T4" fmla="*/ 209 w 342"/>
              <a:gd name="T5" fmla="*/ 311 h 368"/>
              <a:gd name="T6" fmla="*/ 0 w 342"/>
              <a:gd name="T7" fmla="*/ 368 h 368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342" h="368">
                <a:moveTo>
                  <a:pt x="323" y="0"/>
                </a:moveTo>
                <a:cubicBezTo>
                  <a:pt x="332" y="59"/>
                  <a:pt x="342" y="119"/>
                  <a:pt x="323" y="171"/>
                </a:cubicBezTo>
                <a:cubicBezTo>
                  <a:pt x="304" y="223"/>
                  <a:pt x="263" y="278"/>
                  <a:pt x="209" y="311"/>
                </a:cubicBezTo>
                <a:cubicBezTo>
                  <a:pt x="155" y="344"/>
                  <a:pt x="77" y="356"/>
                  <a:pt x="0" y="368"/>
                </a:cubicBezTo>
              </a:path>
            </a:pathLst>
          </a:custGeom>
          <a:noFill/>
          <a:ln w="19050" cap="flat">
            <a:solidFill>
              <a:srgbClr val="000000"/>
            </a:solidFill>
            <a:prstDash val="sysDot"/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</xdr:grpSp>
    <xdr:clientData/>
  </xdr:twoCellAnchor>
  <xdr:twoCellAnchor>
    <xdr:from>
      <xdr:col>12</xdr:col>
      <xdr:colOff>23368</xdr:colOff>
      <xdr:row>45</xdr:row>
      <xdr:rowOff>131671</xdr:rowOff>
    </xdr:from>
    <xdr:to>
      <xdr:col>12</xdr:col>
      <xdr:colOff>504813</xdr:colOff>
      <xdr:row>46</xdr:row>
      <xdr:rowOff>160866</xdr:rowOff>
    </xdr:to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00000000-0008-0000-0500-000020000000}"/>
            </a:ext>
          </a:extLst>
        </xdr:cNvPr>
        <xdr:cNvSpPr txBox="1">
          <a:spLocks noChangeArrowheads="1"/>
        </xdr:cNvSpPr>
      </xdr:nvSpPr>
      <xdr:spPr bwMode="auto">
        <a:xfrm>
          <a:off x="7395718" y="9642384"/>
          <a:ext cx="481445" cy="2196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AU" sz="900" b="0" i="0" u="none" strike="noStrike" baseline="0">
              <a:solidFill>
                <a:srgbClr val="000000"/>
              </a:solidFill>
              <a:latin typeface="Calibri"/>
            </a:rPr>
            <a:t>≈ </a:t>
          </a:r>
          <a:r>
            <a:rPr lang="en-AU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-</a:t>
          </a:r>
          <a:r>
            <a:rPr lang="en-AU" sz="900" b="0" i="0" u="none" strike="noStrike" baseline="0">
              <a:solidFill>
                <a:srgbClr val="000000"/>
              </a:solidFill>
              <a:latin typeface="Calibri"/>
              <a:cs typeface="Times New Roman"/>
            </a:rPr>
            <a:t>45° </a:t>
          </a:r>
        </a:p>
        <a:p>
          <a:pPr algn="l" rtl="0">
            <a:defRPr sz="1000"/>
          </a:pPr>
          <a:endParaRPr lang="en-AU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15</xdr:col>
      <xdr:colOff>120253</xdr:colOff>
      <xdr:row>45</xdr:row>
      <xdr:rowOff>170260</xdr:rowOff>
    </xdr:from>
    <xdr:to>
      <xdr:col>15</xdr:col>
      <xdr:colOff>598884</xdr:colOff>
      <xdr:row>47</xdr:row>
      <xdr:rowOff>8335</xdr:rowOff>
    </xdr:to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00000000-0008-0000-0500-000021000000}"/>
            </a:ext>
          </a:extLst>
        </xdr:cNvPr>
        <xdr:cNvSpPr txBox="1">
          <a:spLocks noChangeArrowheads="1"/>
        </xdr:cNvSpPr>
      </xdr:nvSpPr>
      <xdr:spPr bwMode="auto">
        <a:xfrm>
          <a:off x="8916591" y="9680973"/>
          <a:ext cx="478631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n-AU" sz="900" b="0" i="0" u="none" strike="noStrike" baseline="0">
              <a:solidFill>
                <a:srgbClr val="000000"/>
              </a:solidFill>
              <a:latin typeface="Calibri"/>
            </a:rPr>
            <a:t>≈ </a:t>
          </a:r>
          <a:r>
            <a:rPr lang="en-AU" sz="9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-</a:t>
          </a:r>
          <a:r>
            <a:rPr lang="en-AU" sz="900" b="0" i="0" u="none" strike="noStrike" baseline="0">
              <a:solidFill>
                <a:srgbClr val="000000"/>
              </a:solidFill>
              <a:latin typeface="Calibri"/>
              <a:cs typeface="Times New Roman"/>
            </a:rPr>
            <a:t>60° </a:t>
          </a:r>
        </a:p>
        <a:p>
          <a:pPr algn="l" rtl="0">
            <a:defRPr sz="1000"/>
          </a:pPr>
          <a:endParaRPr lang="en-AU" sz="900" b="0" i="0" u="none" strike="noStrike" baseline="0">
            <a:solidFill>
              <a:srgbClr val="000000"/>
            </a:solidFill>
            <a:latin typeface="Calibri"/>
          </a:endParaRPr>
        </a:p>
      </xdr:txBody>
    </xdr:sp>
    <xdr:clientData/>
  </xdr:twoCellAnchor>
  <xdr:twoCellAnchor>
    <xdr:from>
      <xdr:col>15</xdr:col>
      <xdr:colOff>190500</xdr:colOff>
      <xdr:row>44</xdr:row>
      <xdr:rowOff>17859</xdr:rowOff>
    </xdr:from>
    <xdr:to>
      <xdr:col>16</xdr:col>
      <xdr:colOff>366713</xdr:colOff>
      <xdr:row>47</xdr:row>
      <xdr:rowOff>73224</xdr:rowOff>
    </xdr:to>
    <xdr:grpSp>
      <xdr:nvGrpSpPr>
        <xdr:cNvPr id="34" name="Group 33">
          <a:extLst>
            <a:ext uri="{FF2B5EF4-FFF2-40B4-BE49-F238E27FC236}">
              <a16:creationId xmlns:a16="http://schemas.microsoft.com/office/drawing/2014/main" id="{00000000-0008-0000-0500-000022000000}"/>
            </a:ext>
          </a:extLst>
        </xdr:cNvPr>
        <xdr:cNvGrpSpPr>
          <a:grpSpLocks noChangeAspect="1"/>
        </xdr:cNvGrpSpPr>
      </xdr:nvGrpSpPr>
      <xdr:grpSpPr>
        <a:xfrm>
          <a:off x="8334375" y="9600009"/>
          <a:ext cx="776288" cy="626865"/>
          <a:chOff x="8488680" y="9851469"/>
          <a:chExt cx="523875" cy="417910"/>
        </a:xfrm>
      </xdr:grpSpPr>
      <xdr:cxnSp macro="">
        <xdr:nvCxnSpPr>
          <xdr:cNvPr id="35" name="AutoShape 38">
            <a:extLst>
              <a:ext uri="{FF2B5EF4-FFF2-40B4-BE49-F238E27FC236}">
                <a16:creationId xmlns:a16="http://schemas.microsoft.com/office/drawing/2014/main" id="{00000000-0008-0000-0500-00002300000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8925136" y="9851469"/>
            <a:ext cx="0" cy="142875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6" name="AutoShape 39">
            <a:extLst>
              <a:ext uri="{FF2B5EF4-FFF2-40B4-BE49-F238E27FC236}">
                <a16:creationId xmlns:a16="http://schemas.microsoft.com/office/drawing/2014/main" id="{00000000-0008-0000-0500-00002400000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8779651" y="9851469"/>
            <a:ext cx="0" cy="142875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37" name="AutoShape 40">
            <a:extLst>
              <a:ext uri="{FF2B5EF4-FFF2-40B4-BE49-F238E27FC236}">
                <a16:creationId xmlns:a16="http://schemas.microsoft.com/office/drawing/2014/main" id="{00000000-0008-0000-0500-000025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8488680" y="9976564"/>
            <a:ext cx="232904" cy="0"/>
          </a:xfrm>
          <a:prstGeom prst="straightConnector1">
            <a:avLst/>
          </a:prstGeom>
          <a:noFill/>
          <a:ln w="254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38" name="Oval 41">
            <a:extLst>
              <a:ext uri="{FF2B5EF4-FFF2-40B4-BE49-F238E27FC236}">
                <a16:creationId xmlns:a16="http://schemas.microsoft.com/office/drawing/2014/main" id="{00000000-0008-0000-0500-000026000000}"/>
              </a:ext>
            </a:extLst>
          </xdr:cNvPr>
          <xdr:cNvSpPr>
            <a:spLocks noChangeArrowheads="1"/>
          </xdr:cNvSpPr>
        </xdr:nvSpPr>
        <xdr:spPr bwMode="auto">
          <a:xfrm>
            <a:off x="8779651" y="9880044"/>
            <a:ext cx="145485" cy="142875"/>
          </a:xfrm>
          <a:prstGeom prst="ellipse">
            <a:avLst/>
          </a:prstGeom>
          <a:solidFill>
            <a:srgbClr val="FFFFFF"/>
          </a:solidFill>
          <a:ln w="6350">
            <a:solidFill>
              <a:srgbClr val="000000"/>
            </a:solidFill>
            <a:round/>
            <a:headEnd/>
            <a:tailEnd/>
          </a:ln>
        </xdr:spPr>
      </xdr:sp>
      <xdr:cxnSp macro="">
        <xdr:nvCxnSpPr>
          <xdr:cNvPr id="39" name="AutoShape 42">
            <a:extLst>
              <a:ext uri="{FF2B5EF4-FFF2-40B4-BE49-F238E27FC236}">
                <a16:creationId xmlns:a16="http://schemas.microsoft.com/office/drawing/2014/main" id="{00000000-0008-0000-0500-000027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8692232" y="9994344"/>
            <a:ext cx="87419" cy="0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0" name="AutoShape 43">
            <a:extLst>
              <a:ext uri="{FF2B5EF4-FFF2-40B4-BE49-F238E27FC236}">
                <a16:creationId xmlns:a16="http://schemas.microsoft.com/office/drawing/2014/main" id="{00000000-0008-0000-0500-000028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8925136" y="9994344"/>
            <a:ext cx="87419" cy="0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41" name="Freeform 44">
            <a:extLst>
              <a:ext uri="{FF2B5EF4-FFF2-40B4-BE49-F238E27FC236}">
                <a16:creationId xmlns:a16="http://schemas.microsoft.com/office/drawing/2014/main" id="{00000000-0008-0000-0500-000029000000}"/>
              </a:ext>
            </a:extLst>
          </xdr:cNvPr>
          <xdr:cNvSpPr>
            <a:spLocks/>
          </xdr:cNvSpPr>
        </xdr:nvSpPr>
        <xdr:spPr bwMode="auto">
          <a:xfrm>
            <a:off x="8721584" y="9937829"/>
            <a:ext cx="116133" cy="227965"/>
          </a:xfrm>
          <a:custGeom>
            <a:avLst/>
            <a:gdLst>
              <a:gd name="T0" fmla="*/ 381 w 390"/>
              <a:gd name="T1" fmla="*/ 0 h 683"/>
              <a:gd name="T2" fmla="*/ 380 w 390"/>
              <a:gd name="T3" fmla="*/ 170 h 683"/>
              <a:gd name="T4" fmla="*/ 323 w 390"/>
              <a:gd name="T5" fmla="*/ 284 h 683"/>
              <a:gd name="T6" fmla="*/ 0 w 390"/>
              <a:gd name="T7" fmla="*/ 683 h 6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390" h="683">
                <a:moveTo>
                  <a:pt x="381" y="0"/>
                </a:moveTo>
                <a:cubicBezTo>
                  <a:pt x="385" y="61"/>
                  <a:pt x="390" y="123"/>
                  <a:pt x="380" y="170"/>
                </a:cubicBezTo>
                <a:cubicBezTo>
                  <a:pt x="370" y="217"/>
                  <a:pt x="386" y="199"/>
                  <a:pt x="323" y="284"/>
                </a:cubicBezTo>
                <a:cubicBezTo>
                  <a:pt x="260" y="369"/>
                  <a:pt x="130" y="526"/>
                  <a:pt x="0" y="683"/>
                </a:cubicBezTo>
              </a:path>
            </a:pathLst>
          </a:custGeom>
          <a:noFill/>
          <a:ln w="19050" cap="flat">
            <a:solidFill>
              <a:srgbClr val="000000"/>
            </a:solidFill>
            <a:prstDash val="sysDot"/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42" name="Freeform 45">
            <a:extLst>
              <a:ext uri="{FF2B5EF4-FFF2-40B4-BE49-F238E27FC236}">
                <a16:creationId xmlns:a16="http://schemas.microsoft.com/office/drawing/2014/main" id="{00000000-0008-0000-0500-00002A000000}"/>
              </a:ext>
            </a:extLst>
          </xdr:cNvPr>
          <xdr:cNvSpPr>
            <a:spLocks/>
          </xdr:cNvSpPr>
        </xdr:nvSpPr>
        <xdr:spPr bwMode="auto">
          <a:xfrm flipH="1">
            <a:off x="8867070" y="9937194"/>
            <a:ext cx="135914" cy="227965"/>
          </a:xfrm>
          <a:custGeom>
            <a:avLst/>
            <a:gdLst>
              <a:gd name="T0" fmla="*/ 381 w 390"/>
              <a:gd name="T1" fmla="*/ 0 h 683"/>
              <a:gd name="T2" fmla="*/ 380 w 390"/>
              <a:gd name="T3" fmla="*/ 170 h 683"/>
              <a:gd name="T4" fmla="*/ 323 w 390"/>
              <a:gd name="T5" fmla="*/ 284 h 683"/>
              <a:gd name="T6" fmla="*/ 0 w 390"/>
              <a:gd name="T7" fmla="*/ 683 h 6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390" h="683">
                <a:moveTo>
                  <a:pt x="381" y="0"/>
                </a:moveTo>
                <a:cubicBezTo>
                  <a:pt x="385" y="61"/>
                  <a:pt x="390" y="123"/>
                  <a:pt x="380" y="170"/>
                </a:cubicBezTo>
                <a:cubicBezTo>
                  <a:pt x="370" y="217"/>
                  <a:pt x="386" y="199"/>
                  <a:pt x="323" y="284"/>
                </a:cubicBezTo>
                <a:cubicBezTo>
                  <a:pt x="260" y="369"/>
                  <a:pt x="130" y="526"/>
                  <a:pt x="0" y="683"/>
                </a:cubicBezTo>
              </a:path>
            </a:pathLst>
          </a:custGeom>
          <a:noFill/>
          <a:ln w="19050" cap="flat">
            <a:solidFill>
              <a:srgbClr val="000000"/>
            </a:solidFill>
            <a:prstDash val="sysDot"/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cxnSp macro="">
        <xdr:nvCxnSpPr>
          <xdr:cNvPr id="43" name="AutoShape 46">
            <a:extLst>
              <a:ext uri="{FF2B5EF4-FFF2-40B4-BE49-F238E27FC236}">
                <a16:creationId xmlns:a16="http://schemas.microsoft.com/office/drawing/2014/main" id="{00000000-0008-0000-0500-00002B000000}"/>
              </a:ext>
            </a:extLst>
          </xdr:cNvPr>
          <xdr:cNvCxnSpPr>
            <a:cxnSpLocks noChangeShapeType="1"/>
          </xdr:cNvCxnSpPr>
        </xdr:nvCxnSpPr>
        <xdr:spPr bwMode="auto">
          <a:xfrm flipH="1">
            <a:off x="8643462" y="10164604"/>
            <a:ext cx="76200" cy="104775"/>
          </a:xfrm>
          <a:prstGeom prst="straightConnector1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12</xdr:col>
      <xdr:colOff>205461</xdr:colOff>
      <xdr:row>44</xdr:row>
      <xdr:rowOff>22629</xdr:rowOff>
    </xdr:from>
    <xdr:to>
      <xdr:col>14</xdr:col>
      <xdr:colOff>338132</xdr:colOff>
      <xdr:row>47</xdr:row>
      <xdr:rowOff>44529</xdr:rowOff>
    </xdr:to>
    <xdr:grpSp>
      <xdr:nvGrpSpPr>
        <xdr:cNvPr id="44" name="Group 43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GrpSpPr>
          <a:grpSpLocks noChangeAspect="1"/>
        </xdr:cNvGrpSpPr>
      </xdr:nvGrpSpPr>
      <xdr:grpSpPr>
        <a:xfrm>
          <a:off x="7025361" y="9604779"/>
          <a:ext cx="856571" cy="593400"/>
          <a:chOff x="7139661" y="9789564"/>
          <a:chExt cx="578667" cy="395600"/>
        </a:xfrm>
      </xdr:grpSpPr>
      <xdr:cxnSp macro="">
        <xdr:nvCxnSpPr>
          <xdr:cNvPr id="45" name="AutoShape 32">
            <a:extLst>
              <a:ext uri="{FF2B5EF4-FFF2-40B4-BE49-F238E27FC236}">
                <a16:creationId xmlns:a16="http://schemas.microsoft.com/office/drawing/2014/main" id="{00000000-0008-0000-0500-00002D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342542" y="9932067"/>
            <a:ext cx="87131" cy="0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6" name="AutoShape 33">
            <a:extLst>
              <a:ext uri="{FF2B5EF4-FFF2-40B4-BE49-F238E27FC236}">
                <a16:creationId xmlns:a16="http://schemas.microsoft.com/office/drawing/2014/main" id="{00000000-0008-0000-0500-00002E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577059" y="9932067"/>
            <a:ext cx="87131" cy="0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7" name="AutoShape 28">
            <a:extLst>
              <a:ext uri="{FF2B5EF4-FFF2-40B4-BE49-F238E27FC236}">
                <a16:creationId xmlns:a16="http://schemas.microsoft.com/office/drawing/2014/main" id="{00000000-0008-0000-0500-00002F00000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577059" y="9789564"/>
            <a:ext cx="0" cy="142503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8" name="AutoShape 29">
            <a:extLst>
              <a:ext uri="{FF2B5EF4-FFF2-40B4-BE49-F238E27FC236}">
                <a16:creationId xmlns:a16="http://schemas.microsoft.com/office/drawing/2014/main" id="{00000000-0008-0000-0500-00003000000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7429672" y="9789564"/>
            <a:ext cx="0" cy="142503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49" name="AutoShape 30">
            <a:extLst>
              <a:ext uri="{FF2B5EF4-FFF2-40B4-BE49-F238E27FC236}">
                <a16:creationId xmlns:a16="http://schemas.microsoft.com/office/drawing/2014/main" id="{00000000-0008-0000-0500-000031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7139661" y="9914333"/>
            <a:ext cx="232136" cy="0"/>
          </a:xfrm>
          <a:prstGeom prst="straightConnector1">
            <a:avLst/>
          </a:prstGeom>
          <a:noFill/>
          <a:ln w="254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50" name="Oval 31">
            <a:extLst>
              <a:ext uri="{FF2B5EF4-FFF2-40B4-BE49-F238E27FC236}">
                <a16:creationId xmlns:a16="http://schemas.microsoft.com/office/drawing/2014/main" id="{00000000-0008-0000-0500-000032000000}"/>
              </a:ext>
            </a:extLst>
          </xdr:cNvPr>
          <xdr:cNvSpPr>
            <a:spLocks noChangeArrowheads="1"/>
          </xdr:cNvSpPr>
        </xdr:nvSpPr>
        <xdr:spPr bwMode="auto">
          <a:xfrm>
            <a:off x="7429672" y="9818065"/>
            <a:ext cx="147387" cy="142503"/>
          </a:xfrm>
          <a:prstGeom prst="ellipse">
            <a:avLst/>
          </a:prstGeom>
          <a:solidFill>
            <a:srgbClr val="FFFFFF"/>
          </a:solidFill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1" name="Freeform 34">
            <a:extLst>
              <a:ext uri="{FF2B5EF4-FFF2-40B4-BE49-F238E27FC236}">
                <a16:creationId xmlns:a16="http://schemas.microsoft.com/office/drawing/2014/main" id="{00000000-0008-0000-0500-000033000000}"/>
              </a:ext>
            </a:extLst>
          </xdr:cNvPr>
          <xdr:cNvSpPr>
            <a:spLocks/>
          </xdr:cNvSpPr>
        </xdr:nvSpPr>
        <xdr:spPr bwMode="auto">
          <a:xfrm>
            <a:off x="7289119" y="9875699"/>
            <a:ext cx="198429" cy="227371"/>
          </a:xfrm>
          <a:custGeom>
            <a:avLst/>
            <a:gdLst>
              <a:gd name="T0" fmla="*/ 381 w 390"/>
              <a:gd name="T1" fmla="*/ 0 h 683"/>
              <a:gd name="T2" fmla="*/ 380 w 390"/>
              <a:gd name="T3" fmla="*/ 170 h 683"/>
              <a:gd name="T4" fmla="*/ 323 w 390"/>
              <a:gd name="T5" fmla="*/ 284 h 683"/>
              <a:gd name="T6" fmla="*/ 0 w 390"/>
              <a:gd name="T7" fmla="*/ 683 h 6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390" h="683">
                <a:moveTo>
                  <a:pt x="381" y="0"/>
                </a:moveTo>
                <a:cubicBezTo>
                  <a:pt x="385" y="61"/>
                  <a:pt x="390" y="123"/>
                  <a:pt x="380" y="170"/>
                </a:cubicBezTo>
                <a:cubicBezTo>
                  <a:pt x="370" y="217"/>
                  <a:pt x="386" y="199"/>
                  <a:pt x="323" y="284"/>
                </a:cubicBezTo>
                <a:cubicBezTo>
                  <a:pt x="260" y="369"/>
                  <a:pt x="130" y="526"/>
                  <a:pt x="0" y="683"/>
                </a:cubicBezTo>
              </a:path>
            </a:pathLst>
          </a:custGeom>
          <a:noFill/>
          <a:ln w="19050" cap="flat">
            <a:solidFill>
              <a:srgbClr val="000000"/>
            </a:solidFill>
            <a:prstDash val="sysDot"/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52" name="Freeform 35">
            <a:extLst>
              <a:ext uri="{FF2B5EF4-FFF2-40B4-BE49-F238E27FC236}">
                <a16:creationId xmlns:a16="http://schemas.microsoft.com/office/drawing/2014/main" id="{00000000-0008-0000-0500-000034000000}"/>
              </a:ext>
            </a:extLst>
          </xdr:cNvPr>
          <xdr:cNvSpPr>
            <a:spLocks/>
          </xdr:cNvSpPr>
        </xdr:nvSpPr>
        <xdr:spPr bwMode="auto">
          <a:xfrm flipH="1">
            <a:off x="7516803" y="9875066"/>
            <a:ext cx="201525" cy="227371"/>
          </a:xfrm>
          <a:custGeom>
            <a:avLst/>
            <a:gdLst>
              <a:gd name="T0" fmla="*/ 381 w 390"/>
              <a:gd name="T1" fmla="*/ 0 h 683"/>
              <a:gd name="T2" fmla="*/ 380 w 390"/>
              <a:gd name="T3" fmla="*/ 170 h 683"/>
              <a:gd name="T4" fmla="*/ 323 w 390"/>
              <a:gd name="T5" fmla="*/ 284 h 683"/>
              <a:gd name="T6" fmla="*/ 0 w 390"/>
              <a:gd name="T7" fmla="*/ 683 h 683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390" h="683">
                <a:moveTo>
                  <a:pt x="381" y="0"/>
                </a:moveTo>
                <a:cubicBezTo>
                  <a:pt x="385" y="61"/>
                  <a:pt x="390" y="123"/>
                  <a:pt x="380" y="170"/>
                </a:cubicBezTo>
                <a:cubicBezTo>
                  <a:pt x="370" y="217"/>
                  <a:pt x="386" y="199"/>
                  <a:pt x="323" y="284"/>
                </a:cubicBezTo>
                <a:cubicBezTo>
                  <a:pt x="260" y="369"/>
                  <a:pt x="130" y="526"/>
                  <a:pt x="0" y="683"/>
                </a:cubicBezTo>
              </a:path>
            </a:pathLst>
          </a:custGeom>
          <a:noFill/>
          <a:ln w="19050" cap="flat">
            <a:solidFill>
              <a:srgbClr val="000000"/>
            </a:solidFill>
            <a:prstDash val="sysDot"/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cxnSp macro="">
        <xdr:nvCxnSpPr>
          <xdr:cNvPr id="53" name="AutoShape 47">
            <a:extLst>
              <a:ext uri="{FF2B5EF4-FFF2-40B4-BE49-F238E27FC236}">
                <a16:creationId xmlns:a16="http://schemas.microsoft.com/office/drawing/2014/main" id="{00000000-0008-0000-0500-000035000000}"/>
              </a:ext>
            </a:extLst>
          </xdr:cNvPr>
          <xdr:cNvCxnSpPr>
            <a:cxnSpLocks noChangeShapeType="1"/>
          </xdr:cNvCxnSpPr>
        </xdr:nvCxnSpPr>
        <xdr:spPr bwMode="auto">
          <a:xfrm flipH="1">
            <a:off x="7184754" y="10108964"/>
            <a:ext cx="95250" cy="76200"/>
          </a:xfrm>
          <a:prstGeom prst="straightConnector1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7</xdr:col>
      <xdr:colOff>416901</xdr:colOff>
      <xdr:row>44</xdr:row>
      <xdr:rowOff>15241</xdr:rowOff>
    </xdr:from>
    <xdr:to>
      <xdr:col>9</xdr:col>
      <xdr:colOff>298280</xdr:colOff>
      <xdr:row>45</xdr:row>
      <xdr:rowOff>153354</xdr:rowOff>
    </xdr:to>
    <xdr:grpSp>
      <xdr:nvGrpSpPr>
        <xdr:cNvPr id="54" name="Group 53">
          <a:extLst>
            <a:ext uri="{FF2B5EF4-FFF2-40B4-BE49-F238E27FC236}">
              <a16:creationId xmlns:a16="http://schemas.microsoft.com/office/drawing/2014/main" id="{00000000-0008-0000-0500-000036000000}"/>
            </a:ext>
          </a:extLst>
        </xdr:cNvPr>
        <xdr:cNvGrpSpPr>
          <a:grpSpLocks noChangeAspect="1"/>
        </xdr:cNvGrpSpPr>
      </xdr:nvGrpSpPr>
      <xdr:grpSpPr>
        <a:xfrm>
          <a:off x="4236426" y="9597391"/>
          <a:ext cx="1081529" cy="328613"/>
          <a:chOff x="4485981" y="9852661"/>
          <a:chExt cx="733719" cy="219075"/>
        </a:xfrm>
      </xdr:grpSpPr>
      <xdr:cxnSp macro="">
        <xdr:nvCxnSpPr>
          <xdr:cNvPr id="55" name="AutoShape 3">
            <a:extLst>
              <a:ext uri="{FF2B5EF4-FFF2-40B4-BE49-F238E27FC236}">
                <a16:creationId xmlns:a16="http://schemas.microsoft.com/office/drawing/2014/main" id="{00000000-0008-0000-0500-00003700000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4929207" y="9852661"/>
            <a:ext cx="0" cy="146909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56" name="AutoShape 4">
            <a:extLst>
              <a:ext uri="{FF2B5EF4-FFF2-40B4-BE49-F238E27FC236}">
                <a16:creationId xmlns:a16="http://schemas.microsoft.com/office/drawing/2014/main" id="{00000000-0008-0000-0500-000038000000}"/>
              </a:ext>
            </a:extLst>
          </xdr:cNvPr>
          <xdr:cNvCxnSpPr>
            <a:cxnSpLocks noChangeShapeType="1"/>
          </xdr:cNvCxnSpPr>
        </xdr:nvCxnSpPr>
        <xdr:spPr bwMode="auto">
          <a:xfrm flipV="1">
            <a:off x="4783961" y="9852661"/>
            <a:ext cx="0" cy="146909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57" name="AutoShape 5">
            <a:extLst>
              <a:ext uri="{FF2B5EF4-FFF2-40B4-BE49-F238E27FC236}">
                <a16:creationId xmlns:a16="http://schemas.microsoft.com/office/drawing/2014/main" id="{00000000-0008-0000-0500-000039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493468" y="9981013"/>
            <a:ext cx="232394" cy="0"/>
          </a:xfrm>
          <a:prstGeom prst="straightConnector1">
            <a:avLst/>
          </a:prstGeom>
          <a:noFill/>
          <a:ln w="2540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58" name="Oval 6">
            <a:extLst>
              <a:ext uri="{FF2B5EF4-FFF2-40B4-BE49-F238E27FC236}">
                <a16:creationId xmlns:a16="http://schemas.microsoft.com/office/drawing/2014/main" id="{00000000-0008-0000-0500-00003A000000}"/>
              </a:ext>
            </a:extLst>
          </xdr:cNvPr>
          <xdr:cNvSpPr>
            <a:spLocks noChangeArrowheads="1"/>
          </xdr:cNvSpPr>
        </xdr:nvSpPr>
        <xdr:spPr bwMode="auto">
          <a:xfrm>
            <a:off x="4783961" y="9882043"/>
            <a:ext cx="145246" cy="146909"/>
          </a:xfrm>
          <a:prstGeom prst="ellipse">
            <a:avLst/>
          </a:prstGeom>
          <a:solidFill>
            <a:srgbClr val="FFFFFF"/>
          </a:solidFill>
          <a:ln w="6350">
            <a:solidFill>
              <a:srgbClr val="000000"/>
            </a:solidFill>
            <a:round/>
            <a:headEnd/>
            <a:tailEnd/>
          </a:ln>
        </xdr:spPr>
      </xdr:sp>
      <xdr:cxnSp macro="">
        <xdr:nvCxnSpPr>
          <xdr:cNvPr id="59" name="AutoShape 7">
            <a:extLst>
              <a:ext uri="{FF2B5EF4-FFF2-40B4-BE49-F238E27FC236}">
                <a16:creationId xmlns:a16="http://schemas.microsoft.com/office/drawing/2014/main" id="{00000000-0008-0000-0500-00003B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696813" y="9999570"/>
            <a:ext cx="87148" cy="0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60" name="AutoShape 8">
            <a:extLst>
              <a:ext uri="{FF2B5EF4-FFF2-40B4-BE49-F238E27FC236}">
                <a16:creationId xmlns:a16="http://schemas.microsoft.com/office/drawing/2014/main" id="{00000000-0008-0000-0500-00003C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929207" y="9999570"/>
            <a:ext cx="87148" cy="0"/>
          </a:xfrm>
          <a:prstGeom prst="straightConnector1">
            <a:avLst/>
          </a:prstGeom>
          <a:noFill/>
          <a:ln w="1587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sp macro="" textlink="">
        <xdr:nvSpPr>
          <xdr:cNvPr id="61" name="Freeform 9">
            <a:extLst>
              <a:ext uri="{FF2B5EF4-FFF2-40B4-BE49-F238E27FC236}">
                <a16:creationId xmlns:a16="http://schemas.microsoft.com/office/drawing/2014/main" id="{00000000-0008-0000-0500-00003D000000}"/>
              </a:ext>
            </a:extLst>
          </xdr:cNvPr>
          <xdr:cNvSpPr>
            <a:spLocks/>
          </xdr:cNvSpPr>
        </xdr:nvSpPr>
        <xdr:spPr bwMode="auto">
          <a:xfrm rot="274344">
            <a:off x="4648397" y="9940806"/>
            <a:ext cx="193662" cy="130930"/>
          </a:xfrm>
          <a:custGeom>
            <a:avLst/>
            <a:gdLst>
              <a:gd name="T0" fmla="*/ 570 w 588"/>
              <a:gd name="T1" fmla="*/ 0 h 399"/>
              <a:gd name="T2" fmla="*/ 570 w 588"/>
              <a:gd name="T3" fmla="*/ 171 h 399"/>
              <a:gd name="T4" fmla="*/ 460 w 588"/>
              <a:gd name="T5" fmla="*/ 342 h 399"/>
              <a:gd name="T6" fmla="*/ 0 w 588"/>
              <a:gd name="T7" fmla="*/ 399 h 3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588" h="399">
                <a:moveTo>
                  <a:pt x="570" y="0"/>
                </a:moveTo>
                <a:cubicBezTo>
                  <a:pt x="579" y="57"/>
                  <a:pt x="588" y="114"/>
                  <a:pt x="570" y="171"/>
                </a:cubicBezTo>
                <a:cubicBezTo>
                  <a:pt x="552" y="228"/>
                  <a:pt x="555" y="304"/>
                  <a:pt x="460" y="342"/>
                </a:cubicBezTo>
                <a:cubicBezTo>
                  <a:pt x="365" y="380"/>
                  <a:pt x="182" y="389"/>
                  <a:pt x="0" y="399"/>
                </a:cubicBezTo>
              </a:path>
            </a:pathLst>
          </a:custGeom>
          <a:noFill/>
          <a:ln w="19050" cap="flat">
            <a:solidFill>
              <a:srgbClr val="000000"/>
            </a:solidFill>
            <a:prstDash val="sysDot"/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sp macro="" textlink="">
        <xdr:nvSpPr>
          <xdr:cNvPr id="62" name="Freeform 10">
            <a:extLst>
              <a:ext uri="{FF2B5EF4-FFF2-40B4-BE49-F238E27FC236}">
                <a16:creationId xmlns:a16="http://schemas.microsoft.com/office/drawing/2014/main" id="{00000000-0008-0000-0500-00003E000000}"/>
              </a:ext>
            </a:extLst>
          </xdr:cNvPr>
          <xdr:cNvSpPr>
            <a:spLocks/>
          </xdr:cNvSpPr>
        </xdr:nvSpPr>
        <xdr:spPr bwMode="auto">
          <a:xfrm rot="21325656" flipH="1">
            <a:off x="4871109" y="9940806"/>
            <a:ext cx="193662" cy="130930"/>
          </a:xfrm>
          <a:custGeom>
            <a:avLst/>
            <a:gdLst>
              <a:gd name="T0" fmla="*/ 570 w 588"/>
              <a:gd name="T1" fmla="*/ 0 h 399"/>
              <a:gd name="T2" fmla="*/ 570 w 588"/>
              <a:gd name="T3" fmla="*/ 171 h 399"/>
              <a:gd name="T4" fmla="*/ 460 w 588"/>
              <a:gd name="T5" fmla="*/ 342 h 399"/>
              <a:gd name="T6" fmla="*/ 0 w 588"/>
              <a:gd name="T7" fmla="*/ 399 h 399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</a:cxnLst>
            <a:rect l="0" t="0" r="r" b="b"/>
            <a:pathLst>
              <a:path w="588" h="399">
                <a:moveTo>
                  <a:pt x="570" y="0"/>
                </a:moveTo>
                <a:cubicBezTo>
                  <a:pt x="579" y="57"/>
                  <a:pt x="588" y="114"/>
                  <a:pt x="570" y="171"/>
                </a:cubicBezTo>
                <a:cubicBezTo>
                  <a:pt x="552" y="228"/>
                  <a:pt x="555" y="304"/>
                  <a:pt x="460" y="342"/>
                </a:cubicBezTo>
                <a:cubicBezTo>
                  <a:pt x="365" y="380"/>
                  <a:pt x="182" y="389"/>
                  <a:pt x="0" y="399"/>
                </a:cubicBezTo>
              </a:path>
            </a:pathLst>
          </a:custGeom>
          <a:noFill/>
          <a:ln w="19050" cap="flat">
            <a:solidFill>
              <a:srgbClr val="000000"/>
            </a:solidFill>
            <a:prstDash val="sysDot"/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sp>
      <xdr:cxnSp macro="">
        <xdr:nvCxnSpPr>
          <xdr:cNvPr id="63" name="AutoShape 11">
            <a:extLst>
              <a:ext uri="{FF2B5EF4-FFF2-40B4-BE49-F238E27FC236}">
                <a16:creationId xmlns:a16="http://schemas.microsoft.com/office/drawing/2014/main" id="{00000000-0008-0000-0500-00003F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987306" y="9981013"/>
            <a:ext cx="232394" cy="0"/>
          </a:xfrm>
          <a:prstGeom prst="straightConnector1">
            <a:avLst/>
          </a:prstGeom>
          <a:noFill/>
          <a:ln w="25400">
            <a:solidFill>
              <a:srgbClr val="FFFFF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  <xdr:cxnSp macro="">
        <xdr:nvCxnSpPr>
          <xdr:cNvPr id="64" name="AutoShape 48">
            <a:extLst>
              <a:ext uri="{FF2B5EF4-FFF2-40B4-BE49-F238E27FC236}">
                <a16:creationId xmlns:a16="http://schemas.microsoft.com/office/drawing/2014/main" id="{00000000-0008-0000-0500-000040000000}"/>
              </a:ext>
            </a:extLst>
          </xdr:cNvPr>
          <xdr:cNvCxnSpPr>
            <a:cxnSpLocks noChangeShapeType="1"/>
          </xdr:cNvCxnSpPr>
        </xdr:nvCxnSpPr>
        <xdr:spPr bwMode="auto">
          <a:xfrm>
            <a:off x="4485981" y="10063676"/>
            <a:ext cx="152631" cy="0"/>
          </a:xfrm>
          <a:prstGeom prst="straightConnector1">
            <a:avLst/>
          </a:prstGeom>
          <a:noFill/>
          <a:ln w="6350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468727</xdr:colOff>
      <xdr:row>6</xdr:row>
      <xdr:rowOff>222755</xdr:rowOff>
    </xdr:from>
    <xdr:to>
      <xdr:col>12</xdr:col>
      <xdr:colOff>65783</xdr:colOff>
      <xdr:row>21</xdr:row>
      <xdr:rowOff>202506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50266"/>
        <a:stretch/>
      </xdr:blipFill>
      <xdr:spPr>
        <a:xfrm>
          <a:off x="1081048" y="1746755"/>
          <a:ext cx="7299324" cy="3668887"/>
        </a:xfrm>
        <a:prstGeom prst="rect">
          <a:avLst/>
        </a:prstGeom>
      </xdr:spPr>
    </xdr:pic>
    <xdr:clientData/>
  </xdr:twoCellAnchor>
  <xdr:twoCellAnchor editAs="oneCell">
    <xdr:from>
      <xdr:col>11</xdr:col>
      <xdr:colOff>416120</xdr:colOff>
      <xdr:row>6</xdr:row>
      <xdr:rowOff>218414</xdr:rowOff>
    </xdr:from>
    <xdr:to>
      <xdr:col>23</xdr:col>
      <xdr:colOff>373940</xdr:colOff>
      <xdr:row>21</xdr:row>
      <xdr:rowOff>211019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49954" b="273"/>
        <a:stretch/>
      </xdr:blipFill>
      <xdr:spPr>
        <a:xfrm>
          <a:off x="8024914" y="1742414"/>
          <a:ext cx="7212878" cy="3693139"/>
        </a:xfrm>
        <a:prstGeom prst="rect">
          <a:avLst/>
        </a:prstGeom>
      </xdr:spPr>
    </xdr:pic>
    <xdr:clientData/>
  </xdr:twoCellAnchor>
  <xdr:twoCellAnchor>
    <xdr:from>
      <xdr:col>11</xdr:col>
      <xdr:colOff>561723</xdr:colOff>
      <xdr:row>16</xdr:row>
      <xdr:rowOff>43865</xdr:rowOff>
    </xdr:from>
    <xdr:to>
      <xdr:col>12</xdr:col>
      <xdr:colOff>265194</xdr:colOff>
      <xdr:row>17</xdr:row>
      <xdr:rowOff>138363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/>
      </xdr:nvSpPr>
      <xdr:spPr>
        <a:xfrm rot="16200000">
          <a:off x="8209295" y="4031832"/>
          <a:ext cx="340143" cy="3150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100"/>
            <a:t>63</a:t>
          </a:r>
        </a:p>
      </xdr:txBody>
    </xdr:sp>
    <xdr:clientData/>
  </xdr:twoCellAnchor>
  <xdr:twoCellAnchor>
    <xdr:from>
      <xdr:col>8</xdr:col>
      <xdr:colOff>471701</xdr:colOff>
      <xdr:row>18</xdr:row>
      <xdr:rowOff>108104</xdr:rowOff>
    </xdr:from>
    <xdr:to>
      <xdr:col>9</xdr:col>
      <xdr:colOff>326571</xdr:colOff>
      <xdr:row>19</xdr:row>
      <xdr:rowOff>19624</xdr:rowOff>
    </xdr:to>
    <xdr:sp macro="" textlink="equations!C538">
      <xdr:nvSpPr>
        <xdr:cNvPr id="7" name="TextBox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/>
      </xdr:nvSpPr>
      <xdr:spPr>
        <a:xfrm>
          <a:off x="5005601" y="4636561"/>
          <a:ext cx="453584" cy="16189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CBB1DE82-7553-44E0-9A7B-EECBC4BFD65F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35</a:t>
          </a:fld>
          <a:endParaRPr lang="en-AU" sz="1050" b="0"/>
        </a:p>
      </xdr:txBody>
    </xdr:sp>
    <xdr:clientData/>
  </xdr:twoCellAnchor>
  <xdr:twoCellAnchor>
    <xdr:from>
      <xdr:col>11</xdr:col>
      <xdr:colOff>558715</xdr:colOff>
      <xdr:row>8</xdr:row>
      <xdr:rowOff>191252</xdr:rowOff>
    </xdr:from>
    <xdr:to>
      <xdr:col>12</xdr:col>
      <xdr:colOff>262186</xdr:colOff>
      <xdr:row>10</xdr:row>
      <xdr:rowOff>40105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/>
      </xdr:nvSpPr>
      <xdr:spPr>
        <a:xfrm rot="16200000">
          <a:off x="8206287" y="2214061"/>
          <a:ext cx="340143" cy="31507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AU" sz="1100"/>
            <a:t>63</a:t>
          </a:r>
        </a:p>
      </xdr:txBody>
    </xdr:sp>
    <xdr:clientData/>
  </xdr:twoCellAnchor>
  <xdr:twoCellAnchor>
    <xdr:from>
      <xdr:col>5</xdr:col>
      <xdr:colOff>554935</xdr:colOff>
      <xdr:row>18</xdr:row>
      <xdr:rowOff>124557</xdr:rowOff>
    </xdr:from>
    <xdr:to>
      <xdr:col>6</xdr:col>
      <xdr:colOff>258406</xdr:colOff>
      <xdr:row>20</xdr:row>
      <xdr:rowOff>102576</xdr:rowOff>
    </xdr:to>
    <xdr:sp macro="" textlink="equations!C537">
      <xdr:nvSpPr>
        <xdr:cNvPr id="9" name="TextBox 8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/>
      </xdr:nvSpPr>
      <xdr:spPr>
        <a:xfrm rot="16200000">
          <a:off x="3513286" y="4712937"/>
          <a:ext cx="476249" cy="3116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E4EA5317-2A82-4485-B91B-BD1FB2B83488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63</a:t>
          </a:fld>
          <a:endParaRPr lang="en-AU" sz="1050" b="0"/>
        </a:p>
      </xdr:txBody>
    </xdr:sp>
    <xdr:clientData/>
  </xdr:twoCellAnchor>
  <xdr:twoCellAnchor>
    <xdr:from>
      <xdr:col>11</xdr:col>
      <xdr:colOff>556847</xdr:colOff>
      <xdr:row>8</xdr:row>
      <xdr:rowOff>131883</xdr:rowOff>
    </xdr:from>
    <xdr:to>
      <xdr:col>12</xdr:col>
      <xdr:colOff>260318</xdr:colOff>
      <xdr:row>10</xdr:row>
      <xdr:rowOff>109901</xdr:rowOff>
    </xdr:to>
    <xdr:sp macro="" textlink="equations!C537">
      <xdr:nvSpPr>
        <xdr:cNvPr id="10" name="TextBox 9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/>
      </xdr:nvSpPr>
      <xdr:spPr>
        <a:xfrm rot="16200000">
          <a:off x="8101852" y="2229109"/>
          <a:ext cx="476249" cy="3116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E4EA5317-2A82-4485-B91B-BD1FB2B83488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63</a:t>
          </a:fld>
          <a:endParaRPr lang="en-AU" sz="1050" b="0"/>
        </a:p>
      </xdr:txBody>
    </xdr:sp>
    <xdr:clientData/>
  </xdr:twoCellAnchor>
  <xdr:twoCellAnchor>
    <xdr:from>
      <xdr:col>11</xdr:col>
      <xdr:colOff>562709</xdr:colOff>
      <xdr:row>15</xdr:row>
      <xdr:rowOff>232996</xdr:rowOff>
    </xdr:from>
    <xdr:to>
      <xdr:col>12</xdr:col>
      <xdr:colOff>266180</xdr:colOff>
      <xdr:row>17</xdr:row>
      <xdr:rowOff>211015</xdr:rowOff>
    </xdr:to>
    <xdr:sp macro="" textlink="equations!C537">
      <xdr:nvSpPr>
        <xdr:cNvPr id="11" name="TextBox 10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/>
      </xdr:nvSpPr>
      <xdr:spPr>
        <a:xfrm rot="16200000">
          <a:off x="8107714" y="4074030"/>
          <a:ext cx="476249" cy="31160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E4EA5317-2A82-4485-B91B-BD1FB2B83488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63</a:t>
          </a:fld>
          <a:endParaRPr lang="en-AU" sz="1050" b="0"/>
        </a:p>
      </xdr:txBody>
    </xdr:sp>
    <xdr:clientData/>
  </xdr:twoCellAnchor>
  <xdr:twoCellAnchor>
    <xdr:from>
      <xdr:col>10</xdr:col>
      <xdr:colOff>309483</xdr:colOff>
      <xdr:row>18</xdr:row>
      <xdr:rowOff>115765</xdr:rowOff>
    </xdr:from>
    <xdr:to>
      <xdr:col>11</xdr:col>
      <xdr:colOff>12954</xdr:colOff>
      <xdr:row>20</xdr:row>
      <xdr:rowOff>93784</xdr:rowOff>
    </xdr:to>
    <xdr:sp macro="" textlink="equations!C537">
      <xdr:nvSpPr>
        <xdr:cNvPr id="12" name="TextBox 11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 txBox="1"/>
      </xdr:nvSpPr>
      <xdr:spPr>
        <a:xfrm rot="16200000">
          <a:off x="6915909" y="4691689"/>
          <a:ext cx="473319" cy="31307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E4EA5317-2A82-4485-B91B-BD1FB2B83488}" type="TxLink">
            <a:rPr lang="en-US" sz="1100" b="0" i="0" u="none" strike="noStrike">
              <a:solidFill>
                <a:srgbClr val="000000"/>
              </a:solidFill>
              <a:latin typeface="Calibri"/>
              <a:cs typeface="Calibri"/>
            </a:rPr>
            <a:pPr algn="ctr"/>
            <a:t>63</a:t>
          </a:fld>
          <a:endParaRPr lang="en-AU" sz="1050" b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2</xdr:row>
          <xdr:rowOff>0</xdr:rowOff>
        </xdr:from>
        <xdr:to>
          <xdr:col>0</xdr:col>
          <xdr:colOff>3267075</xdr:colOff>
          <xdr:row>2</xdr:row>
          <xdr:rowOff>2085975</xdr:rowOff>
        </xdr:to>
        <xdr:sp macro="" textlink="">
          <xdr:nvSpPr>
            <xdr:cNvPr id="9226" name="Object 10" hidden="1">
              <a:extLst>
                <a:ext uri="{63B3BB69-23CF-44E3-9099-C40C66FF867C}">
                  <a14:compatExt spid="_x0000_s9226"/>
                </a:ext>
                <a:ext uri="{FF2B5EF4-FFF2-40B4-BE49-F238E27FC236}">
                  <a16:creationId xmlns:a16="http://schemas.microsoft.com/office/drawing/2014/main" id="{00000000-0008-0000-0700-00000A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0</xdr:col>
          <xdr:colOff>3267075</xdr:colOff>
          <xdr:row>3</xdr:row>
          <xdr:rowOff>2085975</xdr:rowOff>
        </xdr:to>
        <xdr:sp macro="" textlink="">
          <xdr:nvSpPr>
            <xdr:cNvPr id="9228" name="Object 12" hidden="1">
              <a:extLst>
                <a:ext uri="{63B3BB69-23CF-44E3-9099-C40C66FF867C}">
                  <a14:compatExt spid="_x0000_s9228"/>
                </a:ext>
                <a:ext uri="{FF2B5EF4-FFF2-40B4-BE49-F238E27FC236}">
                  <a16:creationId xmlns:a16="http://schemas.microsoft.com/office/drawing/2014/main" id="{00000000-0008-0000-0700-00000C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1</xdr:row>
          <xdr:rowOff>0</xdr:rowOff>
        </xdr:from>
        <xdr:to>
          <xdr:col>0</xdr:col>
          <xdr:colOff>3267075</xdr:colOff>
          <xdr:row>1</xdr:row>
          <xdr:rowOff>2085975</xdr:rowOff>
        </xdr:to>
        <xdr:sp macro="" textlink="">
          <xdr:nvSpPr>
            <xdr:cNvPr id="9230" name="Object 14" hidden="1">
              <a:extLst>
                <a:ext uri="{63B3BB69-23CF-44E3-9099-C40C66FF867C}">
                  <a14:compatExt spid="_x0000_s9230"/>
                </a:ext>
                <a:ext uri="{FF2B5EF4-FFF2-40B4-BE49-F238E27FC236}">
                  <a16:creationId xmlns:a16="http://schemas.microsoft.com/office/drawing/2014/main" id="{00000000-0008-0000-0700-00000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3267075</xdr:colOff>
          <xdr:row>0</xdr:row>
          <xdr:rowOff>2085975</xdr:rowOff>
        </xdr:to>
        <xdr:sp macro="" textlink="">
          <xdr:nvSpPr>
            <xdr:cNvPr id="9231" name="Object 15" hidden="1">
              <a:extLst>
                <a:ext uri="{63B3BB69-23CF-44E3-9099-C40C66FF867C}">
                  <a14:compatExt spid="_x0000_s9231"/>
                </a:ext>
                <a:ext uri="{FF2B5EF4-FFF2-40B4-BE49-F238E27FC236}">
                  <a16:creationId xmlns:a16="http://schemas.microsoft.com/office/drawing/2014/main" id="{00000000-0008-0000-0700-00000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5</xdr:row>
          <xdr:rowOff>0</xdr:rowOff>
        </xdr:from>
        <xdr:to>
          <xdr:col>0</xdr:col>
          <xdr:colOff>3209925</xdr:colOff>
          <xdr:row>5</xdr:row>
          <xdr:rowOff>1800225</xdr:rowOff>
        </xdr:to>
        <xdr:sp macro="" textlink="">
          <xdr:nvSpPr>
            <xdr:cNvPr id="9238" name="Object 22" hidden="1">
              <a:extLst>
                <a:ext uri="{63B3BB69-23CF-44E3-9099-C40C66FF867C}">
                  <a14:compatExt spid="_x0000_s9238"/>
                </a:ext>
                <a:ext uri="{FF2B5EF4-FFF2-40B4-BE49-F238E27FC236}">
                  <a16:creationId xmlns:a16="http://schemas.microsoft.com/office/drawing/2014/main" id="{00000000-0008-0000-0700-000016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6</xdr:row>
          <xdr:rowOff>0</xdr:rowOff>
        </xdr:from>
        <xdr:to>
          <xdr:col>0</xdr:col>
          <xdr:colOff>3209925</xdr:colOff>
          <xdr:row>6</xdr:row>
          <xdr:rowOff>1800225</xdr:rowOff>
        </xdr:to>
        <xdr:sp macro="" textlink="">
          <xdr:nvSpPr>
            <xdr:cNvPr id="9239" name="Object 23" hidden="1">
              <a:extLst>
                <a:ext uri="{63B3BB69-23CF-44E3-9099-C40C66FF867C}">
                  <a14:compatExt spid="_x0000_s9239"/>
                </a:ext>
                <a:ext uri="{FF2B5EF4-FFF2-40B4-BE49-F238E27FC236}">
                  <a16:creationId xmlns:a16="http://schemas.microsoft.com/office/drawing/2014/main" id="{00000000-0008-0000-0700-000017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9</xdr:row>
          <xdr:rowOff>0</xdr:rowOff>
        </xdr:from>
        <xdr:to>
          <xdr:col>2</xdr:col>
          <xdr:colOff>0</xdr:colOff>
          <xdr:row>10</xdr:row>
          <xdr:rowOff>19050</xdr:rowOff>
        </xdr:to>
        <xdr:sp macro="" textlink="">
          <xdr:nvSpPr>
            <xdr:cNvPr id="9246" name="Object 30" hidden="1">
              <a:extLst>
                <a:ext uri="{63B3BB69-23CF-44E3-9099-C40C66FF867C}">
                  <a14:compatExt spid="_x0000_s9246"/>
                </a:ext>
                <a:ext uri="{FF2B5EF4-FFF2-40B4-BE49-F238E27FC236}">
                  <a16:creationId xmlns:a16="http://schemas.microsoft.com/office/drawing/2014/main" id="{00000000-0008-0000-0700-00001E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10</xdr:row>
          <xdr:rowOff>0</xdr:rowOff>
        </xdr:from>
        <xdr:to>
          <xdr:col>2</xdr:col>
          <xdr:colOff>9525</xdr:colOff>
          <xdr:row>11</xdr:row>
          <xdr:rowOff>19050</xdr:rowOff>
        </xdr:to>
        <xdr:sp macro="" textlink="">
          <xdr:nvSpPr>
            <xdr:cNvPr id="9247" name="Object 31" hidden="1">
              <a:extLst>
                <a:ext uri="{63B3BB69-23CF-44E3-9099-C40C66FF867C}">
                  <a14:compatExt spid="_x0000_s9247"/>
                </a:ext>
                <a:ext uri="{FF2B5EF4-FFF2-40B4-BE49-F238E27FC236}">
                  <a16:creationId xmlns:a16="http://schemas.microsoft.com/office/drawing/2014/main" id="{00000000-0008-0000-0700-00001F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11</xdr:row>
          <xdr:rowOff>0</xdr:rowOff>
        </xdr:from>
        <xdr:to>
          <xdr:col>3</xdr:col>
          <xdr:colOff>1457325</xdr:colOff>
          <xdr:row>11</xdr:row>
          <xdr:rowOff>933450</xdr:rowOff>
        </xdr:to>
        <xdr:sp macro="" textlink="">
          <xdr:nvSpPr>
            <xdr:cNvPr id="9248" name="Object 32" hidden="1">
              <a:extLst>
                <a:ext uri="{63B3BB69-23CF-44E3-9099-C40C66FF867C}">
                  <a14:compatExt spid="_x0000_s9248"/>
                </a:ext>
                <a:ext uri="{FF2B5EF4-FFF2-40B4-BE49-F238E27FC236}">
                  <a16:creationId xmlns:a16="http://schemas.microsoft.com/office/drawing/2014/main" id="{00000000-0008-0000-0700-00002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12</xdr:row>
          <xdr:rowOff>0</xdr:rowOff>
        </xdr:from>
        <xdr:to>
          <xdr:col>3</xdr:col>
          <xdr:colOff>1447800</xdr:colOff>
          <xdr:row>13</xdr:row>
          <xdr:rowOff>28575</xdr:rowOff>
        </xdr:to>
        <xdr:sp macro="" textlink="">
          <xdr:nvSpPr>
            <xdr:cNvPr id="9249" name="Object 33" hidden="1">
              <a:extLst>
                <a:ext uri="{63B3BB69-23CF-44E3-9099-C40C66FF867C}">
                  <a14:compatExt spid="_x0000_s9249"/>
                </a:ext>
                <a:ext uri="{FF2B5EF4-FFF2-40B4-BE49-F238E27FC236}">
                  <a16:creationId xmlns:a16="http://schemas.microsoft.com/office/drawing/2014/main" id="{00000000-0008-0000-0700-00002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13</xdr:row>
          <xdr:rowOff>0</xdr:rowOff>
        </xdr:from>
        <xdr:to>
          <xdr:col>3</xdr:col>
          <xdr:colOff>1447800</xdr:colOff>
          <xdr:row>13</xdr:row>
          <xdr:rowOff>933450</xdr:rowOff>
        </xdr:to>
        <xdr:sp macro="" textlink="">
          <xdr:nvSpPr>
            <xdr:cNvPr id="9250" name="Object 34" hidden="1">
              <a:extLst>
                <a:ext uri="{63B3BB69-23CF-44E3-9099-C40C66FF867C}">
                  <a14:compatExt spid="_x0000_s9250"/>
                </a:ext>
                <a:ext uri="{FF2B5EF4-FFF2-40B4-BE49-F238E27FC236}">
                  <a16:creationId xmlns:a16="http://schemas.microsoft.com/office/drawing/2014/main" id="{00000000-0008-0000-0700-00002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219075</xdr:colOff>
      <xdr:row>0</xdr:row>
      <xdr:rowOff>9525</xdr:rowOff>
    </xdr:from>
    <xdr:to>
      <xdr:col>0</xdr:col>
      <xdr:colOff>4924425</xdr:colOff>
      <xdr:row>0</xdr:row>
      <xdr:rowOff>333376</xdr:rowOff>
    </xdr:to>
    <xdr:sp macro="" textlink="$A$4">
      <xdr:nvSpPr>
        <xdr:cNvPr id="3" name="Text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/>
      </xdr:nvSpPr>
      <xdr:spPr>
        <a:xfrm>
          <a:off x="219075" y="9525"/>
          <a:ext cx="4705350" cy="32385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fld id="{E82C5873-356A-4147-902B-FA5313947EAF}" type="TxLink">
            <a:rPr lang="en-US" sz="1000" b="0" i="0" u="none" strike="noStrike">
              <a:solidFill>
                <a:srgbClr val="000000"/>
              </a:solidFill>
              <a:latin typeface="Aptos" panose="020B0004020202020204" pitchFamily="34" charset="0"/>
              <a:cs typeface="Calibri"/>
            </a:rPr>
            <a:pPr algn="ctr"/>
            <a:t>Recommended Actuator Control for 0 slot at Max Airflow at 2.7 m</a:t>
          </a:fld>
          <a:endParaRPr lang="en-AU" sz="1000">
            <a:latin typeface="Aptos" panose="020B0004020202020204" pitchFamily="34" charset="0"/>
          </a:endParaRPr>
        </a:p>
      </xdr:txBody>
    </xdr:sp>
    <xdr:clientData/>
  </xdr:twoCellAnchor>
  <xdr:twoCellAnchor>
    <xdr:from>
      <xdr:col>0</xdr:col>
      <xdr:colOff>38100</xdr:colOff>
      <xdr:row>0</xdr:row>
      <xdr:rowOff>3190875</xdr:rowOff>
    </xdr:from>
    <xdr:to>
      <xdr:col>0</xdr:col>
      <xdr:colOff>695325</xdr:colOff>
      <xdr:row>0</xdr:row>
      <xdr:rowOff>3438525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38100" y="3190875"/>
          <a:ext cx="6572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AU" sz="1000">
              <a:solidFill>
                <a:schemeClr val="tx1"/>
              </a:solidFill>
              <a:latin typeface="Aptos" panose="020B0004020202020204" pitchFamily="34" charset="0"/>
            </a:rPr>
            <a:t>cooling</a:t>
          </a:r>
        </a:p>
      </xdr:txBody>
    </xdr:sp>
    <xdr:clientData/>
  </xdr:twoCellAnchor>
  <xdr:twoCellAnchor>
    <xdr:from>
      <xdr:col>0</xdr:col>
      <xdr:colOff>4333875</xdr:colOff>
      <xdr:row>0</xdr:row>
      <xdr:rowOff>3190875</xdr:rowOff>
    </xdr:from>
    <xdr:to>
      <xdr:col>0</xdr:col>
      <xdr:colOff>5076825</xdr:colOff>
      <xdr:row>0</xdr:row>
      <xdr:rowOff>3438525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/>
      </xdr:nvSpPr>
      <xdr:spPr>
        <a:xfrm>
          <a:off x="4333875" y="3190875"/>
          <a:ext cx="74295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en-AU" sz="1000">
              <a:solidFill>
                <a:schemeClr val="tx1"/>
              </a:solidFill>
              <a:latin typeface="Aptos" panose="020B0004020202020204" pitchFamily="34" charset="0"/>
            </a:rPr>
            <a:t>heating</a:t>
          </a:r>
          <a:endParaRPr lang="en-AU" sz="1050">
            <a:solidFill>
              <a:schemeClr val="tx1"/>
            </a:solidFill>
            <a:latin typeface="Aptos" panose="020B0004020202020204" pitchFamily="34" charset="0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0</xdr:row>
          <xdr:rowOff>523875</xdr:rowOff>
        </xdr:from>
        <xdr:to>
          <xdr:col>0</xdr:col>
          <xdr:colOff>1343025</xdr:colOff>
          <xdr:row>0</xdr:row>
          <xdr:rowOff>1028700</xdr:rowOff>
        </xdr:to>
        <xdr:sp macro="" textlink="">
          <xdr:nvSpPr>
            <xdr:cNvPr id="26625" name="Object 1" hidden="1">
              <a:extLst>
                <a:ext uri="{63B3BB69-23CF-44E3-9099-C40C66FF867C}">
                  <a14:compatExt spid="_x0000_s26625"/>
                </a:ext>
                <a:ext uri="{FF2B5EF4-FFF2-40B4-BE49-F238E27FC236}">
                  <a16:creationId xmlns:a16="http://schemas.microsoft.com/office/drawing/2014/main" id="{00000000-0008-0000-0800-00000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4514850</xdr:colOff>
          <xdr:row>0</xdr:row>
          <xdr:rowOff>2209800</xdr:rowOff>
        </xdr:from>
        <xdr:to>
          <xdr:col>0</xdr:col>
          <xdr:colOff>5191125</xdr:colOff>
          <xdr:row>0</xdr:row>
          <xdr:rowOff>2705100</xdr:rowOff>
        </xdr:to>
        <xdr:sp macro="" textlink="">
          <xdr:nvSpPr>
            <xdr:cNvPr id="26626" name="Object 2" hidden="1">
              <a:extLst>
                <a:ext uri="{63B3BB69-23CF-44E3-9099-C40C66FF867C}">
                  <a14:compatExt spid="_x0000_s26626"/>
                </a:ext>
                <a:ext uri="{FF2B5EF4-FFF2-40B4-BE49-F238E27FC236}">
                  <a16:creationId xmlns:a16="http://schemas.microsoft.com/office/drawing/2014/main" id="{00000000-0008-0000-0800-000002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2.xml"/><Relationship Id="rId21" Type="http://schemas.openxmlformats.org/officeDocument/2006/relationships/ctrlProp" Target="../ctrlProps/ctrlProp17.xml"/><Relationship Id="rId42" Type="http://schemas.openxmlformats.org/officeDocument/2006/relationships/ctrlProp" Target="../ctrlProps/ctrlProp38.xml"/><Relationship Id="rId47" Type="http://schemas.openxmlformats.org/officeDocument/2006/relationships/ctrlProp" Target="../ctrlProps/ctrlProp43.xml"/><Relationship Id="rId63" Type="http://schemas.openxmlformats.org/officeDocument/2006/relationships/ctrlProp" Target="../ctrlProps/ctrlProp59.xml"/><Relationship Id="rId68" Type="http://schemas.openxmlformats.org/officeDocument/2006/relationships/ctrlProp" Target="../ctrlProps/ctrlProp64.xml"/><Relationship Id="rId16" Type="http://schemas.openxmlformats.org/officeDocument/2006/relationships/ctrlProp" Target="../ctrlProps/ctrlProp12.xml"/><Relationship Id="rId11" Type="http://schemas.openxmlformats.org/officeDocument/2006/relationships/ctrlProp" Target="../ctrlProps/ctrlProp7.xml"/><Relationship Id="rId24" Type="http://schemas.openxmlformats.org/officeDocument/2006/relationships/ctrlProp" Target="../ctrlProps/ctrlProp20.xml"/><Relationship Id="rId32" Type="http://schemas.openxmlformats.org/officeDocument/2006/relationships/ctrlProp" Target="../ctrlProps/ctrlProp28.xml"/><Relationship Id="rId37" Type="http://schemas.openxmlformats.org/officeDocument/2006/relationships/ctrlProp" Target="../ctrlProps/ctrlProp33.xml"/><Relationship Id="rId40" Type="http://schemas.openxmlformats.org/officeDocument/2006/relationships/ctrlProp" Target="../ctrlProps/ctrlProp36.xml"/><Relationship Id="rId45" Type="http://schemas.openxmlformats.org/officeDocument/2006/relationships/ctrlProp" Target="../ctrlProps/ctrlProp41.xml"/><Relationship Id="rId53" Type="http://schemas.openxmlformats.org/officeDocument/2006/relationships/ctrlProp" Target="../ctrlProps/ctrlProp49.xml"/><Relationship Id="rId58" Type="http://schemas.openxmlformats.org/officeDocument/2006/relationships/ctrlProp" Target="../ctrlProps/ctrlProp54.xml"/><Relationship Id="rId66" Type="http://schemas.openxmlformats.org/officeDocument/2006/relationships/ctrlProp" Target="../ctrlProps/ctrlProp62.xml"/><Relationship Id="rId74" Type="http://schemas.openxmlformats.org/officeDocument/2006/relationships/ctrlProp" Target="../ctrlProps/ctrlProp70.xml"/><Relationship Id="rId5" Type="http://schemas.openxmlformats.org/officeDocument/2006/relationships/ctrlProp" Target="../ctrlProps/ctrlProp1.xml"/><Relationship Id="rId61" Type="http://schemas.openxmlformats.org/officeDocument/2006/relationships/ctrlProp" Target="../ctrlProps/ctrlProp57.xml"/><Relationship Id="rId19" Type="http://schemas.openxmlformats.org/officeDocument/2006/relationships/ctrlProp" Target="../ctrlProps/ctrlProp15.xml"/><Relationship Id="rId14" Type="http://schemas.openxmlformats.org/officeDocument/2006/relationships/ctrlProp" Target="../ctrlProps/ctrlProp10.xml"/><Relationship Id="rId22" Type="http://schemas.openxmlformats.org/officeDocument/2006/relationships/ctrlProp" Target="../ctrlProps/ctrlProp18.xml"/><Relationship Id="rId27" Type="http://schemas.openxmlformats.org/officeDocument/2006/relationships/ctrlProp" Target="../ctrlProps/ctrlProp23.xml"/><Relationship Id="rId30" Type="http://schemas.openxmlformats.org/officeDocument/2006/relationships/ctrlProp" Target="../ctrlProps/ctrlProp26.xml"/><Relationship Id="rId35" Type="http://schemas.openxmlformats.org/officeDocument/2006/relationships/ctrlProp" Target="../ctrlProps/ctrlProp31.xml"/><Relationship Id="rId43" Type="http://schemas.openxmlformats.org/officeDocument/2006/relationships/ctrlProp" Target="../ctrlProps/ctrlProp39.xml"/><Relationship Id="rId48" Type="http://schemas.openxmlformats.org/officeDocument/2006/relationships/ctrlProp" Target="../ctrlProps/ctrlProp44.xml"/><Relationship Id="rId56" Type="http://schemas.openxmlformats.org/officeDocument/2006/relationships/ctrlProp" Target="../ctrlProps/ctrlProp52.xml"/><Relationship Id="rId64" Type="http://schemas.openxmlformats.org/officeDocument/2006/relationships/ctrlProp" Target="../ctrlProps/ctrlProp60.xml"/><Relationship Id="rId69" Type="http://schemas.openxmlformats.org/officeDocument/2006/relationships/ctrlProp" Target="../ctrlProps/ctrlProp65.xml"/><Relationship Id="rId77" Type="http://schemas.openxmlformats.org/officeDocument/2006/relationships/ctrlProp" Target="../ctrlProps/ctrlProp73.xml"/><Relationship Id="rId8" Type="http://schemas.openxmlformats.org/officeDocument/2006/relationships/ctrlProp" Target="../ctrlProps/ctrlProp4.xml"/><Relationship Id="rId51" Type="http://schemas.openxmlformats.org/officeDocument/2006/relationships/ctrlProp" Target="../ctrlProps/ctrlProp47.xml"/><Relationship Id="rId72" Type="http://schemas.openxmlformats.org/officeDocument/2006/relationships/ctrlProp" Target="../ctrlProps/ctrlProp68.xml"/><Relationship Id="rId3" Type="http://schemas.openxmlformats.org/officeDocument/2006/relationships/drawing" Target="../drawings/drawing1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5" Type="http://schemas.openxmlformats.org/officeDocument/2006/relationships/ctrlProp" Target="../ctrlProps/ctrlProp21.xml"/><Relationship Id="rId33" Type="http://schemas.openxmlformats.org/officeDocument/2006/relationships/ctrlProp" Target="../ctrlProps/ctrlProp29.xml"/><Relationship Id="rId38" Type="http://schemas.openxmlformats.org/officeDocument/2006/relationships/ctrlProp" Target="../ctrlProps/ctrlProp34.xml"/><Relationship Id="rId46" Type="http://schemas.openxmlformats.org/officeDocument/2006/relationships/ctrlProp" Target="../ctrlProps/ctrlProp42.xml"/><Relationship Id="rId59" Type="http://schemas.openxmlformats.org/officeDocument/2006/relationships/ctrlProp" Target="../ctrlProps/ctrlProp55.xml"/><Relationship Id="rId67" Type="http://schemas.openxmlformats.org/officeDocument/2006/relationships/ctrlProp" Target="../ctrlProps/ctrlProp63.xml"/><Relationship Id="rId20" Type="http://schemas.openxmlformats.org/officeDocument/2006/relationships/ctrlProp" Target="../ctrlProps/ctrlProp16.xml"/><Relationship Id="rId41" Type="http://schemas.openxmlformats.org/officeDocument/2006/relationships/ctrlProp" Target="../ctrlProps/ctrlProp37.xml"/><Relationship Id="rId54" Type="http://schemas.openxmlformats.org/officeDocument/2006/relationships/ctrlProp" Target="../ctrlProps/ctrlProp50.xml"/><Relationship Id="rId62" Type="http://schemas.openxmlformats.org/officeDocument/2006/relationships/ctrlProp" Target="../ctrlProps/ctrlProp58.xml"/><Relationship Id="rId70" Type="http://schemas.openxmlformats.org/officeDocument/2006/relationships/ctrlProp" Target="../ctrlProps/ctrlProp66.xml"/><Relationship Id="rId75" Type="http://schemas.openxmlformats.org/officeDocument/2006/relationships/ctrlProp" Target="../ctrlProps/ctrlProp71.xml"/><Relationship Id="rId1" Type="http://schemas.openxmlformats.org/officeDocument/2006/relationships/hyperlink" Target="https://smartemp.com/products/smartemp-ljc-ad" TargetMode="External"/><Relationship Id="rId6" Type="http://schemas.openxmlformats.org/officeDocument/2006/relationships/ctrlProp" Target="../ctrlProps/ctrlProp2.xml"/><Relationship Id="rId15" Type="http://schemas.openxmlformats.org/officeDocument/2006/relationships/ctrlProp" Target="../ctrlProps/ctrlProp11.xml"/><Relationship Id="rId23" Type="http://schemas.openxmlformats.org/officeDocument/2006/relationships/ctrlProp" Target="../ctrlProps/ctrlProp19.xml"/><Relationship Id="rId28" Type="http://schemas.openxmlformats.org/officeDocument/2006/relationships/ctrlProp" Target="../ctrlProps/ctrlProp24.xml"/><Relationship Id="rId36" Type="http://schemas.openxmlformats.org/officeDocument/2006/relationships/ctrlProp" Target="../ctrlProps/ctrlProp32.xml"/><Relationship Id="rId49" Type="http://schemas.openxmlformats.org/officeDocument/2006/relationships/ctrlProp" Target="../ctrlProps/ctrlProp45.xml"/><Relationship Id="rId57" Type="http://schemas.openxmlformats.org/officeDocument/2006/relationships/ctrlProp" Target="../ctrlProps/ctrlProp53.xml"/><Relationship Id="rId10" Type="http://schemas.openxmlformats.org/officeDocument/2006/relationships/ctrlProp" Target="../ctrlProps/ctrlProp6.xml"/><Relationship Id="rId31" Type="http://schemas.openxmlformats.org/officeDocument/2006/relationships/ctrlProp" Target="../ctrlProps/ctrlProp27.xml"/><Relationship Id="rId44" Type="http://schemas.openxmlformats.org/officeDocument/2006/relationships/ctrlProp" Target="../ctrlProps/ctrlProp40.xml"/><Relationship Id="rId52" Type="http://schemas.openxmlformats.org/officeDocument/2006/relationships/ctrlProp" Target="../ctrlProps/ctrlProp48.xml"/><Relationship Id="rId60" Type="http://schemas.openxmlformats.org/officeDocument/2006/relationships/ctrlProp" Target="../ctrlProps/ctrlProp56.xml"/><Relationship Id="rId65" Type="http://schemas.openxmlformats.org/officeDocument/2006/relationships/ctrlProp" Target="../ctrlProps/ctrlProp61.xml"/><Relationship Id="rId73" Type="http://schemas.openxmlformats.org/officeDocument/2006/relationships/ctrlProp" Target="../ctrlProps/ctrlProp69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9" Type="http://schemas.openxmlformats.org/officeDocument/2006/relationships/ctrlProp" Target="../ctrlProps/ctrlProp35.xml"/><Relationship Id="rId34" Type="http://schemas.openxmlformats.org/officeDocument/2006/relationships/ctrlProp" Target="../ctrlProps/ctrlProp30.xml"/><Relationship Id="rId50" Type="http://schemas.openxmlformats.org/officeDocument/2006/relationships/ctrlProp" Target="../ctrlProps/ctrlProp46.xml"/><Relationship Id="rId55" Type="http://schemas.openxmlformats.org/officeDocument/2006/relationships/ctrlProp" Target="../ctrlProps/ctrlProp51.xml"/><Relationship Id="rId76" Type="http://schemas.openxmlformats.org/officeDocument/2006/relationships/ctrlProp" Target="../ctrlProps/ctrlProp72.xml"/><Relationship Id="rId7" Type="http://schemas.openxmlformats.org/officeDocument/2006/relationships/ctrlProp" Target="../ctrlProps/ctrlProp3.xml"/><Relationship Id="rId71" Type="http://schemas.openxmlformats.org/officeDocument/2006/relationships/ctrlProp" Target="../ctrlProps/ctrlProp67.xml"/><Relationship Id="rId2" Type="http://schemas.openxmlformats.org/officeDocument/2006/relationships/printerSettings" Target="../printerSettings/printerSettings1.bin"/><Relationship Id="rId29" Type="http://schemas.openxmlformats.org/officeDocument/2006/relationships/ctrlProp" Target="../ctrlProps/ctrlProp25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ackage" Target="../embeddings/Microsoft_Visio_Drawing2.vsdx"/><Relationship Id="rId13" Type="http://schemas.openxmlformats.org/officeDocument/2006/relationships/image" Target="../media/image20.emf"/><Relationship Id="rId3" Type="http://schemas.openxmlformats.org/officeDocument/2006/relationships/vmlDrawing" Target="../drawings/vmlDrawing3.vml"/><Relationship Id="rId7" Type="http://schemas.openxmlformats.org/officeDocument/2006/relationships/image" Target="../media/image17.emf"/><Relationship Id="rId12" Type="http://schemas.openxmlformats.org/officeDocument/2006/relationships/package" Target="../embeddings/Microsoft_Visio_Drawing4.vsdx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Microsoft_Visio_Drawing1.vsdx"/><Relationship Id="rId11" Type="http://schemas.openxmlformats.org/officeDocument/2006/relationships/image" Target="../media/image19.emf"/><Relationship Id="rId5" Type="http://schemas.openxmlformats.org/officeDocument/2006/relationships/image" Target="../media/image16.emf"/><Relationship Id="rId15" Type="http://schemas.openxmlformats.org/officeDocument/2006/relationships/image" Target="../media/image21.emf"/><Relationship Id="rId10" Type="http://schemas.openxmlformats.org/officeDocument/2006/relationships/package" Target="../embeddings/Microsoft_Visio_Drawing3.vsdx"/><Relationship Id="rId4" Type="http://schemas.openxmlformats.org/officeDocument/2006/relationships/package" Target="../embeddings/Microsoft_Visio_Drawing.vsdx"/><Relationship Id="rId9" Type="http://schemas.openxmlformats.org/officeDocument/2006/relationships/image" Target="../media/image18.emf"/><Relationship Id="rId14" Type="http://schemas.openxmlformats.org/officeDocument/2006/relationships/package" Target="../embeddings/Microsoft_Visio_Drawing5.vsdx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image" Target="../media/image27.emf"/><Relationship Id="rId13" Type="http://schemas.openxmlformats.org/officeDocument/2006/relationships/package" Target="../embeddings/Microsoft_Visio_Drawing11.vsdx"/><Relationship Id="rId18" Type="http://schemas.openxmlformats.org/officeDocument/2006/relationships/image" Target="../media/image32.emf"/><Relationship Id="rId3" Type="http://schemas.openxmlformats.org/officeDocument/2006/relationships/package" Target="../embeddings/Microsoft_Visio_Drawing6.vsdx"/><Relationship Id="rId21" Type="http://schemas.openxmlformats.org/officeDocument/2006/relationships/package" Target="../embeddings/Microsoft_Visio_Drawing15.vsdx"/><Relationship Id="rId7" Type="http://schemas.openxmlformats.org/officeDocument/2006/relationships/package" Target="../embeddings/Microsoft_Visio_Drawing8.vsdx"/><Relationship Id="rId12" Type="http://schemas.openxmlformats.org/officeDocument/2006/relationships/image" Target="../media/image29.emf"/><Relationship Id="rId17" Type="http://schemas.openxmlformats.org/officeDocument/2006/relationships/package" Target="../embeddings/Microsoft_Visio_Drawing13.vsdx"/><Relationship Id="rId2" Type="http://schemas.openxmlformats.org/officeDocument/2006/relationships/vmlDrawing" Target="../drawings/vmlDrawing4.vml"/><Relationship Id="rId16" Type="http://schemas.openxmlformats.org/officeDocument/2006/relationships/image" Target="../media/image31.emf"/><Relationship Id="rId20" Type="http://schemas.openxmlformats.org/officeDocument/2006/relationships/image" Target="../media/image33.emf"/><Relationship Id="rId1" Type="http://schemas.openxmlformats.org/officeDocument/2006/relationships/drawing" Target="../drawings/drawing7.xml"/><Relationship Id="rId6" Type="http://schemas.openxmlformats.org/officeDocument/2006/relationships/image" Target="../media/image26.emf"/><Relationship Id="rId11" Type="http://schemas.openxmlformats.org/officeDocument/2006/relationships/package" Target="../embeddings/Microsoft_Visio_Drawing10.vsdx"/><Relationship Id="rId24" Type="http://schemas.openxmlformats.org/officeDocument/2006/relationships/image" Target="../media/image35.emf"/><Relationship Id="rId5" Type="http://schemas.openxmlformats.org/officeDocument/2006/relationships/package" Target="../embeddings/Microsoft_Visio_Drawing7.vsdx"/><Relationship Id="rId15" Type="http://schemas.openxmlformats.org/officeDocument/2006/relationships/package" Target="../embeddings/Microsoft_Visio_Drawing12.vsdx"/><Relationship Id="rId23" Type="http://schemas.openxmlformats.org/officeDocument/2006/relationships/package" Target="../embeddings/Microsoft_Visio_Drawing16.vsdx"/><Relationship Id="rId10" Type="http://schemas.openxmlformats.org/officeDocument/2006/relationships/image" Target="../media/image28.emf"/><Relationship Id="rId19" Type="http://schemas.openxmlformats.org/officeDocument/2006/relationships/package" Target="../embeddings/Microsoft_Visio_Drawing14.vsdx"/><Relationship Id="rId4" Type="http://schemas.openxmlformats.org/officeDocument/2006/relationships/image" Target="../media/image25.emf"/><Relationship Id="rId9" Type="http://schemas.openxmlformats.org/officeDocument/2006/relationships/package" Target="../embeddings/Microsoft_Visio_Drawing9.vsdx"/><Relationship Id="rId14" Type="http://schemas.openxmlformats.org/officeDocument/2006/relationships/image" Target="../media/image30.emf"/><Relationship Id="rId22" Type="http://schemas.openxmlformats.org/officeDocument/2006/relationships/image" Target="../media/image34.emf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Visio_Drawing17.vsdx"/><Relationship Id="rId2" Type="http://schemas.openxmlformats.org/officeDocument/2006/relationships/vmlDrawing" Target="../drawings/vmlDrawing5.vml"/><Relationship Id="rId1" Type="http://schemas.openxmlformats.org/officeDocument/2006/relationships/drawing" Target="../drawings/drawing8.xml"/><Relationship Id="rId6" Type="http://schemas.openxmlformats.org/officeDocument/2006/relationships/image" Target="../media/image37.emf"/><Relationship Id="rId5" Type="http://schemas.openxmlformats.org/officeDocument/2006/relationships/package" Target="../embeddings/Microsoft_Visio_Drawing18.vsdx"/><Relationship Id="rId4" Type="http://schemas.openxmlformats.org/officeDocument/2006/relationships/image" Target="../media/image36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autoPageBreaks="0"/>
  </sheetPr>
  <dimension ref="A1:AD95"/>
  <sheetViews>
    <sheetView tabSelected="1" workbookViewId="0">
      <selection activeCell="E9" sqref="E9"/>
    </sheetView>
  </sheetViews>
  <sheetFormatPr defaultRowHeight="15" x14ac:dyDescent="0.25"/>
  <cols>
    <col min="1" max="1" width="2.85546875" customWidth="1"/>
    <col min="2" max="2" width="2.28515625" customWidth="1"/>
    <col min="3" max="3" width="22.5703125" customWidth="1"/>
    <col min="4" max="4" width="32.140625" customWidth="1"/>
    <col min="5" max="5" width="11.7109375" customWidth="1"/>
    <col min="6" max="6" width="10.7109375" customWidth="1"/>
    <col min="7" max="12" width="11.85546875" customWidth="1"/>
    <col min="13" max="13" width="11.7109375" customWidth="1"/>
    <col min="14" max="14" width="11.42578125" customWidth="1"/>
    <col min="15" max="22" width="11.5703125" customWidth="1"/>
    <col min="23" max="23" width="16.28515625" customWidth="1"/>
    <col min="24" max="24" width="17.85546875" customWidth="1"/>
  </cols>
  <sheetData>
    <row r="1" spans="1:30" ht="16.5" customHeight="1" x14ac:dyDescent="0.25">
      <c r="A1" s="50"/>
      <c r="B1" s="28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30"/>
      <c r="Q1" s="29"/>
      <c r="R1" s="29"/>
      <c r="S1" s="29"/>
      <c r="T1" s="29"/>
      <c r="U1" s="29"/>
      <c r="V1" s="29"/>
      <c r="W1" s="29"/>
      <c r="X1" s="29"/>
    </row>
    <row r="2" spans="1:30" ht="21" customHeight="1" x14ac:dyDescent="0.5">
      <c r="A2" s="50"/>
      <c r="B2" s="31"/>
      <c r="C2" s="30"/>
      <c r="D2" s="409" t="s">
        <v>83</v>
      </c>
      <c r="E2" s="32"/>
      <c r="F2" s="32"/>
      <c r="G2" s="30"/>
      <c r="H2" s="30"/>
      <c r="I2" s="30"/>
      <c r="J2" s="338"/>
      <c r="K2" s="30"/>
      <c r="L2" s="30"/>
      <c r="M2" s="30"/>
      <c r="N2" s="30"/>
      <c r="O2" s="30"/>
      <c r="P2" s="30"/>
      <c r="Q2" s="33"/>
      <c r="R2" s="33"/>
      <c r="S2" s="33"/>
      <c r="T2" s="33"/>
      <c r="U2" s="33"/>
      <c r="V2" s="33"/>
      <c r="W2" s="33"/>
      <c r="X2" s="33"/>
    </row>
    <row r="3" spans="1:30" ht="25.5" customHeight="1" x14ac:dyDescent="0.35">
      <c r="A3" s="50"/>
      <c r="B3" s="31"/>
      <c r="C3" s="30"/>
      <c r="D3" s="410" t="s">
        <v>484</v>
      </c>
      <c r="E3" s="34"/>
      <c r="F3" s="34"/>
      <c r="G3" s="30"/>
      <c r="H3" s="30"/>
      <c r="I3" s="30"/>
      <c r="J3" s="30"/>
      <c r="K3" s="30"/>
      <c r="L3" s="30"/>
      <c r="M3" s="30"/>
      <c r="N3" s="30"/>
      <c r="O3" s="30"/>
      <c r="P3" s="30"/>
      <c r="Q3" s="33"/>
      <c r="R3" s="33"/>
      <c r="S3" s="33"/>
      <c r="T3" s="33"/>
      <c r="U3" s="33"/>
      <c r="V3" s="33"/>
      <c r="W3" s="33"/>
      <c r="X3" s="33"/>
    </row>
    <row r="4" spans="1:30" ht="13.5" customHeight="1" x14ac:dyDescent="0.3">
      <c r="A4" s="50"/>
      <c r="B4" s="31"/>
      <c r="C4" s="30"/>
      <c r="D4" s="35"/>
      <c r="E4" s="35"/>
      <c r="F4" s="35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</row>
    <row r="5" spans="1:30" ht="25.5" customHeight="1" x14ac:dyDescent="0.3">
      <c r="A5" s="215"/>
      <c r="B5" s="16"/>
      <c r="C5" s="139" t="s">
        <v>188</v>
      </c>
      <c r="D5" s="427" t="s">
        <v>174</v>
      </c>
      <c r="E5" s="427"/>
      <c r="F5" s="427"/>
      <c r="G5" s="427"/>
      <c r="H5" s="427"/>
      <c r="I5" s="427"/>
      <c r="J5" s="337"/>
      <c r="K5" s="107"/>
      <c r="L5" s="107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7"/>
      <c r="X5" s="107"/>
      <c r="Y5" s="41"/>
    </row>
    <row r="6" spans="1:30" ht="7.5" customHeight="1" x14ac:dyDescent="0.25">
      <c r="A6" s="215"/>
      <c r="B6" s="16"/>
      <c r="C6" s="16"/>
      <c r="D6" s="16"/>
      <c r="E6" s="16"/>
      <c r="F6" s="16"/>
      <c r="G6" s="16"/>
      <c r="H6" s="16"/>
      <c r="I6" s="16"/>
      <c r="J6" s="16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41"/>
    </row>
    <row r="7" spans="1:30" ht="18" customHeight="1" thickBot="1" x14ac:dyDescent="0.35">
      <c r="A7" s="215"/>
      <c r="B7" s="16"/>
      <c r="C7" s="16"/>
      <c r="D7" s="429" t="s">
        <v>0</v>
      </c>
      <c r="E7" s="429"/>
      <c r="F7" s="429"/>
      <c r="G7" s="429"/>
      <c r="H7" s="40"/>
      <c r="I7" s="16"/>
      <c r="J7" s="16"/>
      <c r="K7" s="107"/>
      <c r="L7" s="108" t="s">
        <v>420</v>
      </c>
      <c r="M7" s="109"/>
      <c r="N7" s="110"/>
      <c r="O7" s="110"/>
      <c r="P7" s="107"/>
      <c r="Q7" s="107"/>
      <c r="R7" s="107"/>
      <c r="S7" s="107"/>
      <c r="T7" s="107"/>
      <c r="U7" s="107"/>
      <c r="V7" s="107"/>
      <c r="W7" s="107"/>
      <c r="X7" s="152" t="s">
        <v>888</v>
      </c>
      <c r="Y7" s="41"/>
    </row>
    <row r="8" spans="1:30" ht="18" customHeight="1" thickTop="1" x14ac:dyDescent="0.25">
      <c r="A8" s="215"/>
      <c r="B8" s="16"/>
      <c r="C8" s="16"/>
      <c r="D8" s="17"/>
      <c r="E8" s="17"/>
      <c r="F8" s="17"/>
      <c r="G8" s="16"/>
      <c r="H8" s="16"/>
      <c r="I8" s="16"/>
      <c r="J8" s="16"/>
      <c r="K8" s="107"/>
      <c r="L8" s="111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41"/>
    </row>
    <row r="9" spans="1:30" ht="18" customHeight="1" thickBot="1" x14ac:dyDescent="0.3">
      <c r="A9" s="215"/>
      <c r="B9" s="16"/>
      <c r="C9" s="16"/>
      <c r="D9" s="19" t="s">
        <v>746</v>
      </c>
      <c r="E9" s="24">
        <f ca="1">_defaultAirflow</f>
        <v>100</v>
      </c>
      <c r="F9" s="388" t="s">
        <v>5</v>
      </c>
      <c r="G9" s="408" t="s">
        <v>795</v>
      </c>
      <c r="H9" s="387" t="s">
        <v>715</v>
      </c>
      <c r="I9" s="263"/>
      <c r="J9" s="16"/>
      <c r="K9" s="107"/>
      <c r="L9" s="107"/>
      <c r="M9" s="195" t="s">
        <v>7</v>
      </c>
      <c r="N9" s="196" t="s">
        <v>60</v>
      </c>
      <c r="O9" s="196" t="s">
        <v>59</v>
      </c>
      <c r="P9" s="107"/>
      <c r="Q9" s="107"/>
      <c r="R9" s="107"/>
      <c r="S9" s="107"/>
      <c r="T9" s="107"/>
      <c r="U9" s="107"/>
      <c r="V9" s="107"/>
      <c r="W9" s="107"/>
      <c r="X9" s="107"/>
      <c r="Y9" s="41"/>
    </row>
    <row r="10" spans="1:30" ht="18" customHeight="1" thickTop="1" x14ac:dyDescent="0.25">
      <c r="A10" s="215"/>
      <c r="B10" s="16"/>
      <c r="C10" s="16"/>
      <c r="D10" s="19"/>
      <c r="E10" s="18" t="s">
        <v>347</v>
      </c>
      <c r="F10" s="18"/>
      <c r="G10" s="26"/>
      <c r="H10" s="16"/>
      <c r="I10" s="16"/>
      <c r="J10" s="16"/>
      <c r="K10" s="107"/>
      <c r="L10" s="107"/>
      <c r="M10" s="107"/>
      <c r="N10" s="107"/>
      <c r="O10" s="107"/>
      <c r="P10" s="107"/>
      <c r="Q10" s="107"/>
      <c r="R10" s="107"/>
      <c r="S10" s="107"/>
      <c r="T10" s="107"/>
      <c r="U10" s="107"/>
      <c r="V10" s="107"/>
      <c r="W10" s="107"/>
      <c r="X10" s="107"/>
      <c r="Y10" s="41"/>
    </row>
    <row r="11" spans="1:30" ht="18" customHeight="1" thickBot="1" x14ac:dyDescent="0.3">
      <c r="A11" s="215"/>
      <c r="B11" s="16"/>
      <c r="C11" s="16"/>
      <c r="D11" s="19" t="s">
        <v>82</v>
      </c>
      <c r="E11" s="24">
        <v>100</v>
      </c>
      <c r="F11" s="26" t="s">
        <v>722</v>
      </c>
      <c r="G11" s="343" t="s">
        <v>723</v>
      </c>
      <c r="H11" s="16"/>
      <c r="I11" s="80"/>
      <c r="J11" s="80"/>
      <c r="K11" s="107"/>
      <c r="L11" s="288" t="s">
        <v>623</v>
      </c>
      <c r="M11" s="131"/>
      <c r="N11" s="107"/>
      <c r="O11" s="107"/>
      <c r="P11" s="107"/>
      <c r="Q11" s="107"/>
      <c r="R11" s="107"/>
      <c r="S11" s="107"/>
      <c r="T11" s="107"/>
      <c r="U11" s="107"/>
      <c r="V11" s="107"/>
      <c r="W11" s="107"/>
      <c r="X11" s="107"/>
      <c r="Y11" s="100" t="s">
        <v>8</v>
      </c>
      <c r="Z11" s="101">
        <v>5</v>
      </c>
      <c r="AA11" s="102" t="s">
        <v>147</v>
      </c>
      <c r="AB11" s="102" t="s">
        <v>148</v>
      </c>
      <c r="AC11" s="102"/>
      <c r="AD11" s="102"/>
    </row>
    <row r="12" spans="1:30" ht="18" customHeight="1" thickTop="1" x14ac:dyDescent="0.25">
      <c r="A12" s="215"/>
      <c r="B12" s="16"/>
      <c r="C12" s="16"/>
      <c r="D12" s="19"/>
      <c r="E12" s="18"/>
      <c r="F12" s="26"/>
      <c r="G12" s="16"/>
      <c r="H12" s="16"/>
      <c r="I12" s="16"/>
      <c r="J12" s="16"/>
      <c r="K12" s="107"/>
      <c r="L12" s="107"/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41"/>
    </row>
    <row r="13" spans="1:30" ht="18" customHeight="1" thickBot="1" x14ac:dyDescent="0.3">
      <c r="A13" s="215"/>
      <c r="B13" s="16"/>
      <c r="C13" s="16"/>
      <c r="D13" s="19" t="s">
        <v>381</v>
      </c>
      <c r="E13" s="24">
        <f ca="1">_defaultPressure</f>
        <v>30</v>
      </c>
      <c r="F13" s="345" t="str">
        <f>equations!J9</f>
        <v>Pa</v>
      </c>
      <c r="G13" s="344" t="str">
        <f ca="1">data!B270</f>
        <v>default 30 Pa</v>
      </c>
      <c r="H13" s="16"/>
      <c r="I13" s="27"/>
      <c r="J13" s="27"/>
      <c r="K13" s="107"/>
      <c r="L13" s="107"/>
      <c r="M13" s="195" t="s">
        <v>70</v>
      </c>
      <c r="N13" s="105">
        <v>0.9</v>
      </c>
      <c r="O13" s="112"/>
      <c r="P13" s="125" t="s">
        <v>159</v>
      </c>
      <c r="Q13" s="107"/>
      <c r="R13" s="107"/>
      <c r="S13" s="107"/>
      <c r="T13" s="107"/>
      <c r="U13" s="107"/>
      <c r="V13" s="107"/>
      <c r="W13" s="107"/>
      <c r="X13" s="107"/>
      <c r="Y13" s="41"/>
    </row>
    <row r="14" spans="1:30" ht="18" customHeight="1" thickTop="1" x14ac:dyDescent="0.25">
      <c r="A14" s="215"/>
      <c r="B14" s="16"/>
      <c r="C14" s="16"/>
      <c r="D14" s="19"/>
      <c r="E14" s="18"/>
      <c r="F14" s="345"/>
      <c r="G14" s="346"/>
      <c r="H14" s="16"/>
      <c r="I14" s="16"/>
      <c r="J14" s="16"/>
      <c r="K14" s="107"/>
      <c r="L14" s="107"/>
      <c r="M14" s="107"/>
      <c r="N14" s="107"/>
      <c r="O14" s="107"/>
      <c r="P14" s="107"/>
      <c r="Q14" s="107"/>
      <c r="R14" s="107"/>
      <c r="S14" s="107"/>
      <c r="T14" s="107"/>
      <c r="U14" s="107"/>
      <c r="V14" s="107"/>
      <c r="W14" s="107"/>
      <c r="X14" s="107"/>
      <c r="Y14" s="41"/>
    </row>
    <row r="15" spans="1:30" ht="18" customHeight="1" thickBot="1" x14ac:dyDescent="0.3">
      <c r="A15" s="215"/>
      <c r="B15" s="16"/>
      <c r="C15" s="16"/>
      <c r="D15" s="20" t="s">
        <v>3</v>
      </c>
      <c r="E15" s="24">
        <f ca="1">_defaultDT</f>
        <v>-12</v>
      </c>
      <c r="F15" s="345" t="str">
        <f>equations!O9</f>
        <v>K</v>
      </c>
      <c r="G15" s="344" t="str">
        <f ca="1">data!B271</f>
        <v>0K to -16K (default -12K)</v>
      </c>
      <c r="H15" s="16"/>
      <c r="I15" s="27"/>
      <c r="J15" s="27"/>
      <c r="K15" s="107"/>
      <c r="L15" s="107"/>
      <c r="M15" s="195" t="s">
        <v>62</v>
      </c>
      <c r="N15" s="437" t="s">
        <v>35</v>
      </c>
      <c r="O15" s="437"/>
      <c r="P15" s="133" t="s">
        <v>66</v>
      </c>
      <c r="Q15" s="107"/>
      <c r="R15" s="107"/>
      <c r="S15" s="107"/>
      <c r="T15" s="107"/>
      <c r="U15" s="107"/>
      <c r="V15" s="107"/>
      <c r="W15" s="107"/>
      <c r="X15" s="107"/>
      <c r="Y15" s="41"/>
    </row>
    <row r="16" spans="1:30" ht="18" customHeight="1" thickTop="1" x14ac:dyDescent="0.25">
      <c r="A16" s="215"/>
      <c r="B16" s="16"/>
      <c r="C16" s="16"/>
      <c r="D16" s="19"/>
      <c r="E16" s="18"/>
      <c r="F16" s="345"/>
      <c r="G16" s="346"/>
      <c r="H16" s="16"/>
      <c r="I16" s="16"/>
      <c r="J16" s="16"/>
      <c r="K16" s="107"/>
      <c r="L16" s="107"/>
      <c r="M16" s="107"/>
      <c r="N16" s="107"/>
      <c r="O16" s="107"/>
      <c r="P16" s="107"/>
      <c r="Q16" s="107"/>
      <c r="R16" s="107"/>
      <c r="S16" s="107"/>
      <c r="T16" s="107"/>
      <c r="U16" s="107"/>
      <c r="V16" s="107"/>
      <c r="W16" s="107"/>
      <c r="X16" s="107"/>
      <c r="Y16" s="41"/>
    </row>
    <row r="17" spans="1:26" ht="18" customHeight="1" thickBot="1" x14ac:dyDescent="0.3">
      <c r="A17" s="215"/>
      <c r="B17" s="16"/>
      <c r="C17" s="16"/>
      <c r="D17" s="19" t="s">
        <v>102</v>
      </c>
      <c r="E17" s="24">
        <f ca="1">_defaultHeight</f>
        <v>2.7</v>
      </c>
      <c r="F17" s="345" t="str">
        <f>equations!$B$9</f>
        <v>m</v>
      </c>
      <c r="G17" s="344" t="str">
        <f ca="1">data!B272</f>
        <v>2 m to 10 m (heating and cooling)</v>
      </c>
      <c r="H17" s="16"/>
      <c r="I17" s="27"/>
      <c r="J17" s="27"/>
      <c r="K17" s="107"/>
      <c r="L17" s="209" t="s">
        <v>423</v>
      </c>
      <c r="M17" s="166"/>
      <c r="N17" s="116"/>
      <c r="O17" s="107"/>
      <c r="P17" s="214" t="s">
        <v>821</v>
      </c>
      <c r="Q17" s="107"/>
      <c r="R17" s="107"/>
      <c r="S17" s="107"/>
      <c r="T17" s="107"/>
      <c r="U17" s="107"/>
      <c r="V17" s="107"/>
      <c r="W17" s="107"/>
      <c r="X17" s="107"/>
      <c r="Y17" s="41"/>
    </row>
    <row r="18" spans="1:26" ht="18" customHeight="1" thickTop="1" x14ac:dyDescent="0.25">
      <c r="A18" s="215"/>
      <c r="B18" s="16"/>
      <c r="C18" s="16"/>
      <c r="D18" s="19"/>
      <c r="E18" s="18" t="s">
        <v>347</v>
      </c>
      <c r="F18" s="344" t="s">
        <v>724</v>
      </c>
      <c r="G18" s="344" t="str">
        <f ca="1">data!B273</f>
        <v>2 m to 15 m (cooling only)</v>
      </c>
      <c r="H18" s="16"/>
      <c r="I18" s="16"/>
      <c r="J18" s="16"/>
      <c r="K18" s="107"/>
      <c r="L18" s="210" t="s">
        <v>160</v>
      </c>
      <c r="M18" s="117"/>
      <c r="N18" s="257" t="str">
        <f ca="1">data!B274</f>
        <v>nominal distance = 9.9 m</v>
      </c>
      <c r="O18" s="134"/>
      <c r="P18" s="107"/>
      <c r="Q18" s="107"/>
      <c r="R18" s="107"/>
      <c r="S18" s="107"/>
      <c r="T18" s="107"/>
      <c r="U18" s="107"/>
      <c r="V18" s="107"/>
      <c r="W18" s="107"/>
      <c r="X18" s="107"/>
      <c r="Y18" s="41"/>
    </row>
    <row r="19" spans="1:26" ht="18" customHeight="1" thickBot="1" x14ac:dyDescent="0.3">
      <c r="A19" s="215"/>
      <c r="B19" s="16"/>
      <c r="C19" s="16"/>
      <c r="D19" s="19" t="s">
        <v>399</v>
      </c>
      <c r="E19" s="24">
        <f ca="1">_defaultRatio</f>
        <v>0.5</v>
      </c>
      <c r="F19" s="345" t="s">
        <v>725</v>
      </c>
      <c r="G19" s="344" t="s">
        <v>726</v>
      </c>
      <c r="H19" s="16"/>
      <c r="I19" s="27"/>
      <c r="J19" s="27"/>
      <c r="K19" s="107"/>
      <c r="L19" s="117"/>
      <c r="M19" s="115" t="s">
        <v>421</v>
      </c>
      <c r="N19" s="137">
        <f ca="1">_defaultCoverage</f>
        <v>7</v>
      </c>
      <c r="O19" s="114" t="str">
        <f>equations!B9</f>
        <v>m</v>
      </c>
      <c r="P19" s="214" t="s">
        <v>422</v>
      </c>
      <c r="Q19" s="107"/>
      <c r="R19" s="107"/>
      <c r="S19" s="107"/>
      <c r="T19" s="107"/>
      <c r="U19" s="107"/>
      <c r="V19" s="107"/>
      <c r="W19" s="107"/>
      <c r="X19" s="107"/>
      <c r="Y19" s="41"/>
    </row>
    <row r="20" spans="1:26" ht="18" customHeight="1" thickTop="1" x14ac:dyDescent="0.25">
      <c r="A20" s="215"/>
      <c r="B20" s="16"/>
      <c r="C20" s="16"/>
      <c r="D20" s="19"/>
      <c r="E20" s="19"/>
      <c r="F20" s="19"/>
      <c r="G20" s="16"/>
      <c r="H20" s="16"/>
      <c r="I20" s="16"/>
      <c r="J20" s="27"/>
      <c r="K20" s="116"/>
      <c r="L20" s="210" t="s">
        <v>160</v>
      </c>
      <c r="M20" s="117"/>
      <c r="N20" s="257" t="str">
        <f ca="1">data!B275</f>
        <v>average specific flow rate: 5.03 L/s/m²</v>
      </c>
      <c r="O20" s="138"/>
      <c r="P20" s="107"/>
      <c r="Q20" s="107"/>
      <c r="R20" s="107"/>
      <c r="S20" s="107"/>
      <c r="T20" s="287"/>
      <c r="U20" s="287"/>
      <c r="V20" s="287"/>
      <c r="W20" s="287"/>
      <c r="X20" s="107"/>
      <c r="Y20" s="41"/>
    </row>
    <row r="21" spans="1:26" ht="18" customHeight="1" thickBot="1" x14ac:dyDescent="0.3">
      <c r="A21" s="215"/>
      <c r="B21" s="16"/>
      <c r="C21" s="16"/>
      <c r="D21" s="19"/>
      <c r="E21" s="19"/>
      <c r="F21" s="19"/>
      <c r="G21" s="16"/>
      <c r="H21" s="16"/>
      <c r="I21" s="16"/>
      <c r="J21" s="76"/>
      <c r="K21" s="116"/>
      <c r="L21" s="211"/>
      <c r="M21" s="115" t="s">
        <v>163</v>
      </c>
      <c r="N21" s="350">
        <f ca="1">_defaultSpecFlow</f>
        <v>5</v>
      </c>
      <c r="O21" s="114" t="str">
        <f>equations!H9</f>
        <v>L/s/m²</v>
      </c>
      <c r="P21" s="136" t="str">
        <f ca="1">data!B276</f>
        <v>≤ 30 L/s/m²</v>
      </c>
      <c r="Q21" s="107"/>
      <c r="R21" s="107"/>
      <c r="S21" s="287"/>
      <c r="T21" s="287"/>
      <c r="U21" s="287"/>
      <c r="V21" s="287"/>
      <c r="W21" s="287"/>
      <c r="X21" s="107"/>
      <c r="Y21" s="41"/>
    </row>
    <row r="22" spans="1:26" ht="18" customHeight="1" thickTop="1" x14ac:dyDescent="0.25">
      <c r="A22" s="215"/>
      <c r="B22" s="16"/>
      <c r="C22" s="16"/>
      <c r="D22" s="19"/>
      <c r="E22" s="19"/>
      <c r="F22" s="19"/>
      <c r="G22" s="16"/>
      <c r="H22" s="16"/>
      <c r="I22" s="16"/>
      <c r="J22" s="27"/>
      <c r="K22" s="116"/>
      <c r="L22" s="209"/>
      <c r="M22" s="212"/>
      <c r="N22" s="257" t="str">
        <f ca="1">data!B277</f>
        <v>average diffuser coverage: 10 m</v>
      </c>
      <c r="O22" s="135"/>
      <c r="P22" s="116"/>
      <c r="Q22" s="116"/>
      <c r="R22" s="116"/>
      <c r="S22" s="287"/>
      <c r="T22" s="287"/>
      <c r="U22" s="287"/>
      <c r="V22" s="287"/>
      <c r="W22" s="287"/>
      <c r="X22" s="107"/>
      <c r="Y22" s="41"/>
    </row>
    <row r="23" spans="1:26" ht="18" customHeight="1" thickBot="1" x14ac:dyDescent="0.3">
      <c r="A23" s="215"/>
      <c r="B23" s="16"/>
      <c r="C23" s="16"/>
      <c r="D23" s="19"/>
      <c r="E23" s="19"/>
      <c r="F23" s="19"/>
      <c r="G23" s="16"/>
      <c r="H23" s="16"/>
      <c r="I23" s="16"/>
      <c r="J23" s="27"/>
      <c r="K23" s="116"/>
      <c r="L23" s="117"/>
      <c r="M23" s="115" t="s">
        <v>487</v>
      </c>
      <c r="N23" s="198">
        <f ca="1">_defaultTempCool</f>
        <v>23</v>
      </c>
      <c r="O23" s="132" t="str">
        <f>equations!L9</f>
        <v>°C</v>
      </c>
      <c r="P23" s="126" t="str">
        <f ca="1">data!B278</f>
        <v>20 °C to 26 °C (for draught rating)</v>
      </c>
      <c r="Q23" s="107"/>
      <c r="R23" s="107"/>
      <c r="S23" s="287"/>
      <c r="T23" s="287"/>
      <c r="U23" s="287"/>
      <c r="V23" s="287"/>
      <c r="W23" s="287"/>
      <c r="X23" s="107"/>
      <c r="Y23" s="41"/>
    </row>
    <row r="24" spans="1:26" ht="18" customHeight="1" thickTop="1" x14ac:dyDescent="0.25">
      <c r="A24" s="215"/>
      <c r="B24" s="16"/>
      <c r="C24" s="16"/>
      <c r="D24" s="19"/>
      <c r="E24" s="19"/>
      <c r="F24" s="19"/>
      <c r="G24" s="16"/>
      <c r="H24" s="16"/>
      <c r="I24" s="16"/>
      <c r="J24" s="27"/>
      <c r="K24" s="116"/>
      <c r="L24" s="107"/>
      <c r="M24" s="107"/>
      <c r="N24" s="107"/>
      <c r="O24" s="107"/>
      <c r="P24" s="107"/>
      <c r="Q24" s="107"/>
      <c r="R24" s="107"/>
      <c r="S24" s="287"/>
      <c r="T24" s="287"/>
      <c r="U24" s="287"/>
      <c r="V24" s="287"/>
      <c r="W24" s="287"/>
      <c r="X24" s="107"/>
      <c r="Y24" s="41"/>
    </row>
    <row r="25" spans="1:26" ht="18" customHeight="1" x14ac:dyDescent="0.25">
      <c r="A25" s="215"/>
      <c r="B25" s="16"/>
      <c r="C25" s="16"/>
      <c r="D25" s="19"/>
      <c r="E25" s="19"/>
      <c r="F25" s="19"/>
      <c r="G25" s="16"/>
      <c r="H25" s="16"/>
      <c r="I25" s="16"/>
      <c r="J25" s="27"/>
      <c r="K25" s="116"/>
      <c r="L25" s="288" t="s">
        <v>244</v>
      </c>
      <c r="M25" s="131"/>
      <c r="N25" s="107"/>
      <c r="O25" s="107"/>
      <c r="P25" s="107"/>
      <c r="Q25" s="107"/>
      <c r="R25" s="107"/>
      <c r="S25" s="287"/>
      <c r="T25" s="287"/>
      <c r="U25" s="287"/>
      <c r="V25" s="287"/>
      <c r="W25" s="107"/>
      <c r="X25" s="107"/>
      <c r="Y25" s="41"/>
      <c r="Z25" s="254"/>
    </row>
    <row r="26" spans="1:26" ht="18" customHeight="1" x14ac:dyDescent="0.25">
      <c r="A26" s="215"/>
      <c r="B26" s="16"/>
      <c r="C26" s="16"/>
      <c r="D26" s="19"/>
      <c r="E26" s="19"/>
      <c r="F26" s="19"/>
      <c r="G26" s="16"/>
      <c r="H26" s="16"/>
      <c r="I26" s="16"/>
      <c r="J26" s="27"/>
      <c r="K26" s="116"/>
      <c r="L26" s="117"/>
      <c r="M26" s="117"/>
      <c r="N26" s="107"/>
      <c r="O26" s="107"/>
      <c r="P26" s="107"/>
      <c r="Q26" s="107"/>
      <c r="R26" s="107"/>
      <c r="S26" s="287"/>
      <c r="T26" s="287"/>
      <c r="U26" s="287"/>
      <c r="V26" s="287"/>
      <c r="W26" s="287"/>
      <c r="X26" s="107"/>
      <c r="Y26" s="41"/>
    </row>
    <row r="27" spans="1:26" ht="18" customHeight="1" thickBot="1" x14ac:dyDescent="0.3">
      <c r="A27" s="215"/>
      <c r="B27" s="16"/>
      <c r="C27" s="16"/>
      <c r="D27" s="19"/>
      <c r="E27" s="19"/>
      <c r="F27" s="19"/>
      <c r="G27" s="16"/>
      <c r="H27" s="16"/>
      <c r="I27" s="16"/>
      <c r="J27" s="27"/>
      <c r="K27" s="116"/>
      <c r="L27" s="117"/>
      <c r="M27" s="213" t="s">
        <v>506</v>
      </c>
      <c r="N27" s="106">
        <f ca="1">_defaultTempHeat</f>
        <v>21</v>
      </c>
      <c r="O27" s="349" t="str">
        <f>equations!$L$9</f>
        <v>°C</v>
      </c>
      <c r="P27" s="125" t="s">
        <v>646</v>
      </c>
      <c r="Q27" s="107"/>
      <c r="R27" s="107"/>
      <c r="S27" s="287"/>
      <c r="T27" s="287"/>
      <c r="U27" s="287"/>
      <c r="V27" s="287"/>
      <c r="W27" s="287"/>
      <c r="X27" s="107"/>
      <c r="Y27" s="41"/>
    </row>
    <row r="28" spans="1:26" ht="18" customHeight="1" thickTop="1" x14ac:dyDescent="0.25">
      <c r="A28" s="215"/>
      <c r="B28" s="16"/>
      <c r="C28" s="16"/>
      <c r="D28" s="19"/>
      <c r="E28" s="19"/>
      <c r="F28" s="19"/>
      <c r="G28" s="16"/>
      <c r="H28" s="16"/>
      <c r="I28" s="16"/>
      <c r="J28" s="27"/>
      <c r="K28" s="116"/>
      <c r="L28" s="117"/>
      <c r="M28" s="117"/>
      <c r="N28" s="257" t="str">
        <f ca="1">data!B279</f>
        <v>auto room temp. (heating) = 21 °C</v>
      </c>
      <c r="O28" s="107"/>
      <c r="P28" s="107"/>
      <c r="Q28" s="107"/>
      <c r="R28" s="107"/>
      <c r="S28" s="287"/>
      <c r="T28" s="287"/>
      <c r="U28" s="287"/>
      <c r="V28" s="287"/>
      <c r="W28" s="287"/>
      <c r="X28" s="107"/>
      <c r="Y28" s="41"/>
    </row>
    <row r="29" spans="1:26" ht="18" customHeight="1" thickBot="1" x14ac:dyDescent="0.3">
      <c r="A29" s="215"/>
      <c r="B29" s="16"/>
      <c r="C29" s="16"/>
      <c r="D29" s="19"/>
      <c r="E29" s="19"/>
      <c r="F29" s="19"/>
      <c r="G29" s="16"/>
      <c r="H29" s="16"/>
      <c r="I29" s="16"/>
      <c r="J29" s="27"/>
      <c r="K29" s="116"/>
      <c r="L29" s="117"/>
      <c r="M29" s="213" t="s">
        <v>508</v>
      </c>
      <c r="N29" s="106">
        <f ca="1">_defaultSetback</f>
        <v>16</v>
      </c>
      <c r="O29" s="349" t="str">
        <f>equations!$L$9</f>
        <v>°C</v>
      </c>
      <c r="P29" s="125" t="str">
        <f ca="1">data!B280</f>
        <v>night setback temperature default (16 °C)</v>
      </c>
      <c r="Q29" s="107"/>
      <c r="R29" s="107"/>
      <c r="S29" s="287"/>
      <c r="T29" s="287"/>
      <c r="U29" s="287"/>
      <c r="V29" s="287"/>
      <c r="W29" s="287"/>
      <c r="X29" s="107"/>
      <c r="Y29" s="41"/>
    </row>
    <row r="30" spans="1:26" ht="18" customHeight="1" thickTop="1" x14ac:dyDescent="0.25">
      <c r="A30" s="215"/>
      <c r="B30" s="16"/>
      <c r="C30" s="16"/>
      <c r="D30" s="19"/>
      <c r="E30" s="19"/>
      <c r="F30" s="19"/>
      <c r="G30" s="16"/>
      <c r="H30" s="16"/>
      <c r="I30" s="16"/>
      <c r="J30" s="27"/>
      <c r="K30" s="107"/>
      <c r="L30" s="107"/>
      <c r="M30" s="113"/>
      <c r="N30" s="107"/>
      <c r="O30" s="114"/>
      <c r="P30" s="127"/>
      <c r="Q30" s="107"/>
      <c r="R30" s="107"/>
      <c r="S30" s="287"/>
      <c r="T30" s="287"/>
      <c r="U30" s="287"/>
      <c r="V30" s="287"/>
      <c r="W30" s="287"/>
      <c r="X30" s="107"/>
      <c r="Y30" s="41"/>
    </row>
    <row r="31" spans="1:26" ht="18" customHeight="1" thickBot="1" x14ac:dyDescent="0.3">
      <c r="A31" s="215"/>
      <c r="B31" s="16"/>
      <c r="C31" s="16"/>
      <c r="D31" s="203" t="s">
        <v>294</v>
      </c>
      <c r="E31" s="202" t="s">
        <v>295</v>
      </c>
      <c r="F31" s="202"/>
      <c r="G31" s="16"/>
      <c r="H31" s="16"/>
      <c r="I31" s="16"/>
      <c r="J31" s="27"/>
      <c r="K31" s="117"/>
      <c r="L31" s="107"/>
      <c r="M31" s="213" t="s">
        <v>507</v>
      </c>
      <c r="N31" s="106">
        <f ca="1">_defaultLowLevel</f>
        <v>0</v>
      </c>
      <c r="O31" s="112" t="s">
        <v>64</v>
      </c>
      <c r="P31" s="125" t="s">
        <v>81</v>
      </c>
      <c r="Q31" s="107"/>
      <c r="R31" s="107"/>
      <c r="S31" s="287"/>
      <c r="T31" s="287"/>
      <c r="U31" s="287"/>
      <c r="V31" s="287"/>
      <c r="W31" s="287"/>
      <c r="X31" s="107"/>
      <c r="Y31" s="41"/>
    </row>
    <row r="32" spans="1:26" ht="18" customHeight="1" thickTop="1" x14ac:dyDescent="0.25">
      <c r="A32" s="215"/>
      <c r="B32" s="16"/>
      <c r="C32" s="16"/>
      <c r="D32" s="17"/>
      <c r="E32" s="202" t="s">
        <v>296</v>
      </c>
      <c r="F32" s="202"/>
      <c r="G32" s="26"/>
      <c r="H32" s="26"/>
      <c r="I32" s="26"/>
      <c r="J32" s="26"/>
      <c r="K32" s="117"/>
      <c r="L32" s="107"/>
      <c r="M32" s="195"/>
      <c r="N32" s="116"/>
      <c r="O32" s="107"/>
      <c r="P32" s="107"/>
      <c r="Q32" s="107"/>
      <c r="R32" s="107"/>
      <c r="S32" s="287"/>
      <c r="T32" s="287"/>
      <c r="U32" s="287"/>
      <c r="V32" s="287"/>
      <c r="W32" s="287"/>
      <c r="X32" s="107"/>
      <c r="Y32" s="41"/>
    </row>
    <row r="33" spans="1:28" ht="18" customHeight="1" x14ac:dyDescent="0.25">
      <c r="A33" s="215"/>
      <c r="B33" s="16"/>
      <c r="C33" s="263" t="s">
        <v>848</v>
      </c>
      <c r="D33" s="19"/>
      <c r="E33" s="19"/>
      <c r="F33" s="19"/>
      <c r="G33" s="157"/>
      <c r="H33" s="26"/>
      <c r="I33" s="26"/>
      <c r="J33" s="26"/>
      <c r="K33" s="117"/>
      <c r="L33" s="116"/>
      <c r="M33" s="118"/>
      <c r="N33" s="119"/>
      <c r="O33" s="119"/>
      <c r="P33" s="107"/>
      <c r="Q33" s="107"/>
      <c r="R33" s="107"/>
      <c r="S33" s="287"/>
      <c r="T33" s="287"/>
      <c r="U33" s="287"/>
      <c r="V33" s="287"/>
      <c r="W33" s="287"/>
      <c r="X33" s="107"/>
      <c r="Y33" s="41"/>
    </row>
    <row r="34" spans="1:28" ht="18" customHeight="1" x14ac:dyDescent="0.25">
      <c r="A34" s="215"/>
      <c r="B34" s="16"/>
      <c r="C34" s="261" t="s">
        <v>559</v>
      </c>
      <c r="D34" s="262"/>
      <c r="E34" s="19"/>
      <c r="F34" s="19"/>
      <c r="G34" s="157"/>
      <c r="H34" s="26"/>
      <c r="I34" s="26"/>
      <c r="J34" s="26"/>
      <c r="K34" s="117"/>
      <c r="L34" s="107"/>
      <c r="M34" s="195" t="s">
        <v>71</v>
      </c>
      <c r="N34" s="119"/>
      <c r="O34" s="119"/>
      <c r="P34" s="107"/>
      <c r="Q34" s="107"/>
      <c r="R34" s="107"/>
      <c r="S34" s="259"/>
      <c r="T34" s="259"/>
      <c r="U34" s="394"/>
      <c r="V34" s="259"/>
      <c r="W34" s="259"/>
      <c r="X34" s="107"/>
      <c r="Y34" s="41"/>
    </row>
    <row r="35" spans="1:28" ht="17.100000000000001" customHeight="1" x14ac:dyDescent="0.25">
      <c r="A35" s="215"/>
      <c r="B35" s="16"/>
      <c r="C35" s="263" t="s">
        <v>566</v>
      </c>
      <c r="D35" s="430" t="s">
        <v>642</v>
      </c>
      <c r="E35" s="430"/>
      <c r="F35" s="430"/>
      <c r="G35" s="430"/>
      <c r="H35" s="430"/>
      <c r="I35" s="263"/>
      <c r="J35" s="26"/>
      <c r="K35" s="117"/>
      <c r="L35" s="116"/>
      <c r="M35" s="118" t="s">
        <v>72</v>
      </c>
      <c r="N35" s="119" t="s">
        <v>73</v>
      </c>
      <c r="O35" s="119"/>
      <c r="P35" s="107"/>
      <c r="Q35" s="107"/>
      <c r="R35" s="107"/>
      <c r="S35" s="259"/>
      <c r="T35" s="259"/>
      <c r="U35" s="259"/>
      <c r="V35" s="259"/>
      <c r="W35" s="259"/>
      <c r="X35" s="107"/>
      <c r="Y35" s="41"/>
    </row>
    <row r="36" spans="1:28" ht="17.100000000000001" customHeight="1" x14ac:dyDescent="0.25">
      <c r="A36" s="215"/>
      <c r="B36" s="16"/>
      <c r="C36" s="263" t="s">
        <v>560</v>
      </c>
      <c r="D36" s="263" t="s">
        <v>561</v>
      </c>
      <c r="E36" s="16"/>
      <c r="F36" s="16"/>
      <c r="G36" s="16"/>
      <c r="H36" s="26"/>
      <c r="I36" s="26"/>
      <c r="J36" s="158"/>
      <c r="K36" s="107"/>
      <c r="L36" s="116"/>
      <c r="M36" s="118" t="s">
        <v>74</v>
      </c>
      <c r="N36" s="119" t="s">
        <v>75</v>
      </c>
      <c r="O36" s="119"/>
      <c r="P36" s="107"/>
      <c r="Q36" s="107"/>
      <c r="R36" s="107"/>
      <c r="S36" s="107"/>
      <c r="T36" s="107"/>
      <c r="U36" s="107"/>
      <c r="V36" s="107"/>
      <c r="W36" s="107"/>
      <c r="X36" s="107"/>
      <c r="Y36" s="41"/>
    </row>
    <row r="37" spans="1:28" ht="17.100000000000001" customHeight="1" x14ac:dyDescent="0.25">
      <c r="A37" s="215"/>
      <c r="B37" s="16"/>
      <c r="C37" s="263" t="s">
        <v>562</v>
      </c>
      <c r="D37" s="263" t="s">
        <v>563</v>
      </c>
      <c r="E37" s="16"/>
      <c r="F37" s="16"/>
      <c r="G37" s="16"/>
      <c r="H37" s="16"/>
      <c r="I37" s="16"/>
      <c r="J37" s="158"/>
      <c r="K37" s="107"/>
      <c r="L37" s="118"/>
      <c r="M37" s="118" t="s">
        <v>76</v>
      </c>
      <c r="N37" s="119" t="s">
        <v>77</v>
      </c>
      <c r="O37" s="119"/>
      <c r="P37" s="117"/>
      <c r="Q37" s="107"/>
      <c r="R37" s="107"/>
      <c r="S37" s="107"/>
      <c r="T37" s="107"/>
      <c r="U37" s="394"/>
      <c r="V37" s="107"/>
      <c r="W37" s="107"/>
      <c r="X37" s="107"/>
      <c r="Y37" s="41"/>
    </row>
    <row r="38" spans="1:28" ht="17.100000000000001" customHeight="1" x14ac:dyDescent="0.25">
      <c r="A38" s="215"/>
      <c r="B38" s="16"/>
      <c r="C38" s="263" t="s">
        <v>564</v>
      </c>
      <c r="D38" s="263" t="s">
        <v>565</v>
      </c>
      <c r="E38" s="17"/>
      <c r="F38" s="17"/>
      <c r="G38" s="16"/>
      <c r="H38" s="16"/>
      <c r="I38" s="16"/>
      <c r="J38" s="157"/>
      <c r="K38" s="107"/>
      <c r="L38" s="118"/>
      <c r="M38" s="118" t="s">
        <v>78</v>
      </c>
      <c r="N38" s="119" t="s">
        <v>79</v>
      </c>
      <c r="O38" s="119"/>
      <c r="P38" s="117"/>
      <c r="Q38" s="107"/>
      <c r="R38" s="107"/>
      <c r="S38" s="107"/>
      <c r="T38" s="107"/>
      <c r="U38" s="394"/>
      <c r="V38" s="107"/>
      <c r="W38" s="107"/>
      <c r="X38" s="107"/>
      <c r="Y38" s="41"/>
    </row>
    <row r="39" spans="1:28" ht="17.100000000000001" customHeight="1" x14ac:dyDescent="0.25">
      <c r="A39" s="215"/>
      <c r="B39" s="16"/>
      <c r="C39" s="263" t="s">
        <v>590</v>
      </c>
      <c r="D39" s="264" t="s">
        <v>643</v>
      </c>
      <c r="E39" s="17"/>
      <c r="F39" s="17"/>
      <c r="G39" s="16"/>
      <c r="H39" s="16"/>
      <c r="I39" s="16"/>
      <c r="J39" s="15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41"/>
    </row>
    <row r="40" spans="1:28" ht="6" customHeight="1" x14ac:dyDescent="0.25">
      <c r="A40" s="215"/>
      <c r="B40" s="43"/>
      <c r="C40" s="45"/>
      <c r="D40" s="44"/>
      <c r="E40" s="44"/>
      <c r="F40" s="44"/>
      <c r="G40" s="45"/>
      <c r="H40" s="45"/>
      <c r="I40" s="45"/>
      <c r="J40" s="45"/>
      <c r="K40" s="120"/>
      <c r="L40" s="121"/>
      <c r="M40" s="122"/>
      <c r="N40" s="122"/>
      <c r="O40" s="120"/>
      <c r="P40" s="120"/>
      <c r="Q40" s="123"/>
      <c r="R40" s="123"/>
      <c r="S40" s="123"/>
      <c r="T40" s="123"/>
      <c r="U40" s="123"/>
      <c r="V40" s="123"/>
      <c r="W40" s="123"/>
      <c r="X40" s="124"/>
      <c r="Y40" s="41"/>
    </row>
    <row r="41" spans="1:28" ht="10.9" customHeight="1" x14ac:dyDescent="0.25">
      <c r="A41" s="215"/>
      <c r="B41" s="16"/>
      <c r="C41" s="16"/>
      <c r="D41" s="16"/>
      <c r="E41" s="21"/>
      <c r="F41" s="21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41"/>
    </row>
    <row r="42" spans="1:28" s="15" customFormat="1" ht="21" customHeight="1" x14ac:dyDescent="0.25">
      <c r="A42" s="216"/>
      <c r="B42" s="22"/>
      <c r="C42" s="218" t="s">
        <v>80</v>
      </c>
      <c r="D42" s="367" t="s">
        <v>502</v>
      </c>
      <c r="E42" s="367"/>
      <c r="F42" s="365"/>
      <c r="G42" s="79" t="s">
        <v>15</v>
      </c>
      <c r="H42" s="79" t="s">
        <v>54</v>
      </c>
      <c r="I42" s="79" t="s">
        <v>55</v>
      </c>
      <c r="J42" s="79" t="s">
        <v>56</v>
      </c>
      <c r="K42" s="79" t="s">
        <v>57</v>
      </c>
      <c r="L42" s="79" t="s">
        <v>58</v>
      </c>
      <c r="M42" s="37" t="s">
        <v>84</v>
      </c>
      <c r="N42" s="38" t="s">
        <v>85</v>
      </c>
      <c r="O42" s="39" t="s">
        <v>86</v>
      </c>
      <c r="P42" s="48" t="s">
        <v>90</v>
      </c>
      <c r="Q42" s="22"/>
      <c r="R42" s="22"/>
      <c r="S42" s="22"/>
      <c r="T42" s="22"/>
      <c r="U42" s="22"/>
      <c r="V42" s="22"/>
      <c r="W42" s="22"/>
      <c r="X42" s="22"/>
      <c r="Y42" s="42"/>
    </row>
    <row r="43" spans="1:28" s="15" customFormat="1" ht="21" customHeight="1" x14ac:dyDescent="0.25">
      <c r="A43" s="216"/>
      <c r="B43" s="129"/>
      <c r="C43" s="450" t="s">
        <v>306</v>
      </c>
      <c r="D43" s="23" t="s">
        <v>414</v>
      </c>
      <c r="E43" s="22"/>
      <c r="F43" s="201" t="str">
        <f>equations!$F$10</f>
        <v>[L/s/m]</v>
      </c>
      <c r="G43" s="179">
        <f ca="1">equations!B448</f>
        <v>100</v>
      </c>
      <c r="H43" s="179">
        <f ca="1">equations!C448</f>
        <v>100</v>
      </c>
      <c r="I43" s="179">
        <f ca="1">equations!D448</f>
        <v>100</v>
      </c>
      <c r="J43" s="179">
        <f ca="1">equations!E448</f>
        <v>100</v>
      </c>
      <c r="K43" s="179">
        <f ca="1">equations!F448</f>
        <v>100</v>
      </c>
      <c r="L43" s="179">
        <f ca="1">equations!G448</f>
        <v>100</v>
      </c>
      <c r="M43" s="241"/>
      <c r="N43" s="46" t="s">
        <v>665</v>
      </c>
      <c r="O43" s="46"/>
      <c r="P43" s="22"/>
      <c r="Q43" s="22"/>
      <c r="R43" s="22"/>
      <c r="S43" s="22"/>
      <c r="T43" s="22"/>
      <c r="U43" s="22"/>
      <c r="V43" s="22"/>
      <c r="W43" s="22"/>
      <c r="X43" s="22"/>
      <c r="Y43" s="42"/>
    </row>
    <row r="44" spans="1:28" s="15" customFormat="1" ht="21" customHeight="1" x14ac:dyDescent="0.25">
      <c r="A44" s="216"/>
      <c r="B44" s="129"/>
      <c r="C44" s="450"/>
      <c r="D44" s="86" t="s">
        <v>415</v>
      </c>
      <c r="E44" s="22"/>
      <c r="F44" s="201" t="str">
        <f>equations!$F$10</f>
        <v>[L/s/m]</v>
      </c>
      <c r="G44" s="180">
        <f ca="1">equations!B449</f>
        <v>53</v>
      </c>
      <c r="H44" s="180">
        <f ca="1">equations!C449</f>
        <v>108</v>
      </c>
      <c r="I44" s="180">
        <f ca="1">equations!D449</f>
        <v>164</v>
      </c>
      <c r="J44" s="180">
        <f ca="1">equations!E449</f>
        <v>228</v>
      </c>
      <c r="K44" s="180">
        <f ca="1">equations!F449</f>
        <v>283</v>
      </c>
      <c r="L44" s="180">
        <f ca="1">equations!G449</f>
        <v>339</v>
      </c>
      <c r="M44" s="242"/>
      <c r="N44" s="46" t="s">
        <v>661</v>
      </c>
      <c r="O44" s="46"/>
      <c r="P44" s="22"/>
      <c r="Q44" s="22"/>
      <c r="R44" s="22"/>
      <c r="S44" s="22"/>
      <c r="T44" s="22"/>
      <c r="U44" s="22"/>
      <c r="V44" s="22"/>
      <c r="W44" s="22"/>
      <c r="X44" s="22"/>
      <c r="Y44" s="42"/>
      <c r="AB44" s="49"/>
    </row>
    <row r="45" spans="1:28" s="15" customFormat="1" ht="21" customHeight="1" x14ac:dyDescent="0.25">
      <c r="A45" s="216"/>
      <c r="B45" s="129"/>
      <c r="C45" s="450"/>
      <c r="D45" s="23" t="s">
        <v>416</v>
      </c>
      <c r="E45" s="22"/>
      <c r="F45" s="201" t="str">
        <f>equations!$F$10</f>
        <v>[L/s/m]</v>
      </c>
      <c r="G45" s="179">
        <f ca="1">equations!B450</f>
        <v>100</v>
      </c>
      <c r="H45" s="179">
        <f ca="1">equations!C450</f>
        <v>100</v>
      </c>
      <c r="I45" s="179">
        <f ca="1">equations!D450</f>
        <v>100</v>
      </c>
      <c r="J45" s="179">
        <f ca="1">equations!E450</f>
        <v>100</v>
      </c>
      <c r="K45" s="179">
        <f ca="1">equations!F450</f>
        <v>100</v>
      </c>
      <c r="L45" s="179">
        <f ca="1">equations!G450</f>
        <v>100</v>
      </c>
      <c r="M45" s="241"/>
      <c r="N45" s="37"/>
      <c r="O45" s="46"/>
      <c r="P45" s="22"/>
      <c r="Q45" s="22"/>
      <c r="R45" s="22"/>
      <c r="S45" s="22"/>
      <c r="T45" s="22"/>
      <c r="U45" s="22"/>
      <c r="V45" s="22"/>
      <c r="W45" s="22"/>
      <c r="X45" s="22"/>
      <c r="Y45" s="42"/>
    </row>
    <row r="46" spans="1:28" s="15" customFormat="1" ht="21" customHeight="1" x14ac:dyDescent="0.25">
      <c r="A46" s="216"/>
      <c r="B46" s="129"/>
      <c r="C46" s="450"/>
      <c r="D46" s="86" t="str">
        <f ca="1">equations!A451</f>
        <v>Min Permissible Airflow @ ΔT = -12K</v>
      </c>
      <c r="E46" s="22"/>
      <c r="F46" s="201" t="str">
        <f>equations!$F$10</f>
        <v>[L/s/m]</v>
      </c>
      <c r="G46" s="204">
        <f ca="1">equations!B451</f>
        <v>13.6</v>
      </c>
      <c r="H46" s="191">
        <f ca="1">equations!C451</f>
        <v>28.8</v>
      </c>
      <c r="I46" s="191">
        <f ca="1">equations!D451</f>
        <v>43.6</v>
      </c>
      <c r="J46" s="191">
        <f ca="1">equations!E451</f>
        <v>58.1</v>
      </c>
      <c r="K46" s="191">
        <f ca="1">equations!F451</f>
        <v>73.3</v>
      </c>
      <c r="L46" s="191">
        <f ca="1">equations!G451</f>
        <v>88.9</v>
      </c>
      <c r="M46" s="243"/>
      <c r="N46" s="244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42"/>
    </row>
    <row r="47" spans="1:28" s="15" customFormat="1" ht="21" customHeight="1" x14ac:dyDescent="0.25">
      <c r="A47" s="216"/>
      <c r="B47" s="129"/>
      <c r="C47" s="450"/>
      <c r="D47" s="23" t="s">
        <v>37</v>
      </c>
      <c r="E47" s="22"/>
      <c r="F47" s="201"/>
      <c r="G47" s="181">
        <f>equations!B452</f>
        <v>1</v>
      </c>
      <c r="H47" s="181">
        <f>equations!C452</f>
        <v>1</v>
      </c>
      <c r="I47" s="181">
        <f>equations!D452</f>
        <v>1</v>
      </c>
      <c r="J47" s="181">
        <f>equations!E452</f>
        <v>1</v>
      </c>
      <c r="K47" s="181">
        <f>equations!F452</f>
        <v>1</v>
      </c>
      <c r="L47" s="181">
        <f>equations!G452</f>
        <v>1</v>
      </c>
      <c r="M47" s="245"/>
      <c r="N47" s="246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42"/>
    </row>
    <row r="48" spans="1:28" s="15" customFormat="1" ht="21" customHeight="1" x14ac:dyDescent="0.25">
      <c r="A48" s="216"/>
      <c r="B48" s="129"/>
      <c r="C48" s="451"/>
      <c r="D48" s="87" t="s">
        <v>38</v>
      </c>
      <c r="E48" s="366"/>
      <c r="F48" s="200"/>
      <c r="G48" s="182">
        <f ca="1">equations!B453</f>
        <v>0.14000000000000001</v>
      </c>
      <c r="H48" s="182">
        <f ca="1">equations!C453</f>
        <v>0.28999999999999998</v>
      </c>
      <c r="I48" s="182">
        <f ca="1">equations!D453</f>
        <v>0.44</v>
      </c>
      <c r="J48" s="182">
        <f ca="1">equations!E453</f>
        <v>0.57999999999999996</v>
      </c>
      <c r="K48" s="182">
        <f ca="1">equations!F453</f>
        <v>0.73</v>
      </c>
      <c r="L48" s="182">
        <f ca="1">equations!G453</f>
        <v>0.89</v>
      </c>
      <c r="M48" s="247"/>
      <c r="N48" s="248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42"/>
    </row>
    <row r="49" spans="1:28" s="15" customFormat="1" ht="21" customHeight="1" x14ac:dyDescent="0.25">
      <c r="A49" s="216"/>
      <c r="B49" s="129"/>
      <c r="C49" s="450" t="s">
        <v>649</v>
      </c>
      <c r="D49" s="23" t="s">
        <v>417</v>
      </c>
      <c r="E49" s="22"/>
      <c r="F49" s="363" t="str">
        <f>equations!$J$10</f>
        <v>[Pa]</v>
      </c>
      <c r="G49" s="354">
        <f ca="1">equations!B454</f>
        <v>107.8</v>
      </c>
      <c r="H49" s="354">
        <f ca="1">equations!C454</f>
        <v>25.9</v>
      </c>
      <c r="I49" s="354">
        <f ca="1">equations!D454</f>
        <v>11.2</v>
      </c>
      <c r="J49" s="354">
        <f ca="1">equations!E454</f>
        <v>5.8</v>
      </c>
      <c r="K49" s="354" t="str">
        <f ca="1">equations!F454</f>
        <v>&lt; 5</v>
      </c>
      <c r="L49" s="354" t="str">
        <f ca="1">equations!G454</f>
        <v>&lt; 5</v>
      </c>
      <c r="M49" s="438" t="s">
        <v>872</v>
      </c>
      <c r="N49" s="439"/>
      <c r="O49" s="439"/>
      <c r="P49" s="439"/>
      <c r="Q49" s="439"/>
      <c r="R49" s="439"/>
      <c r="S49" s="439"/>
      <c r="T49" s="22"/>
      <c r="U49" s="22"/>
      <c r="V49" s="22"/>
      <c r="W49" s="22"/>
      <c r="X49" s="22"/>
      <c r="Y49" s="42"/>
    </row>
    <row r="50" spans="1:28" s="15" customFormat="1" ht="21" customHeight="1" x14ac:dyDescent="0.25">
      <c r="A50" s="216"/>
      <c r="B50" s="129"/>
      <c r="C50" s="450"/>
      <c r="D50" s="23" t="s">
        <v>418</v>
      </c>
      <c r="E50" s="22"/>
      <c r="F50" s="363" t="str">
        <f>equations!$J$10</f>
        <v>[Pa]</v>
      </c>
      <c r="G50" s="355">
        <f ca="1">equations!B455</f>
        <v>127</v>
      </c>
      <c r="H50" s="355">
        <f ca="1">equations!C455</f>
        <v>28.4</v>
      </c>
      <c r="I50" s="355">
        <f ca="1">equations!D455</f>
        <v>12.4</v>
      </c>
      <c r="J50" s="355">
        <f ca="1">equations!E455</f>
        <v>7</v>
      </c>
      <c r="K50" s="355" t="str">
        <f ca="1">equations!F455</f>
        <v>&lt; 5</v>
      </c>
      <c r="L50" s="355" t="str">
        <f ca="1">equations!G455</f>
        <v>&lt; 5</v>
      </c>
      <c r="M50" s="438"/>
      <c r="N50" s="439"/>
      <c r="O50" s="439"/>
      <c r="P50" s="439"/>
      <c r="Q50" s="439"/>
      <c r="R50" s="439"/>
      <c r="S50" s="439"/>
      <c r="T50" s="22"/>
      <c r="U50" s="22"/>
      <c r="V50" s="22"/>
      <c r="W50" s="22"/>
      <c r="X50" s="22"/>
      <c r="Y50" s="42"/>
    </row>
    <row r="51" spans="1:28" s="15" customFormat="1" ht="21" customHeight="1" x14ac:dyDescent="0.25">
      <c r="A51" s="216"/>
      <c r="B51" s="129"/>
      <c r="C51" s="451"/>
      <c r="D51" s="87" t="s">
        <v>419</v>
      </c>
      <c r="E51" s="366"/>
      <c r="F51" s="252" t="str">
        <f>equations!$J$10</f>
        <v>[Pa]</v>
      </c>
      <c r="G51" s="356">
        <f ca="1">equations!B456</f>
        <v>30</v>
      </c>
      <c r="H51" s="356">
        <f ca="1">equations!C456</f>
        <v>30</v>
      </c>
      <c r="I51" s="356">
        <f ca="1">equations!D456</f>
        <v>30</v>
      </c>
      <c r="J51" s="356">
        <f ca="1">equations!E456</f>
        <v>30</v>
      </c>
      <c r="K51" s="356">
        <f ca="1">equations!F456</f>
        <v>30</v>
      </c>
      <c r="L51" s="356">
        <f ca="1">equations!G456</f>
        <v>30</v>
      </c>
      <c r="M51" s="243"/>
      <c r="N51" s="244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42"/>
    </row>
    <row r="52" spans="1:28" s="15" customFormat="1" ht="21" customHeight="1" x14ac:dyDescent="0.25">
      <c r="A52" s="216"/>
      <c r="B52" s="129"/>
      <c r="C52" s="450" t="s">
        <v>645</v>
      </c>
      <c r="D52" s="23" t="s">
        <v>181</v>
      </c>
      <c r="E52" s="22"/>
      <c r="F52" s="201" t="str">
        <f>equations!V10</f>
        <v>[db(A)/m]</v>
      </c>
      <c r="G52" s="183">
        <f ca="1">equations!B457</f>
        <v>44.9</v>
      </c>
      <c r="H52" s="183">
        <f ca="1">equations!C457</f>
        <v>36.9</v>
      </c>
      <c r="I52" s="183">
        <f ca="1">equations!D457</f>
        <v>29.2</v>
      </c>
      <c r="J52" s="183">
        <f ca="1">equations!E457</f>
        <v>21.2</v>
      </c>
      <c r="K52" s="183">
        <f ca="1">equations!F457</f>
        <v>16.899999999999999</v>
      </c>
      <c r="L52" s="183" t="str">
        <f ca="1">equations!G457</f>
        <v>&lt; 15</v>
      </c>
      <c r="M52" s="392" t="s">
        <v>789</v>
      </c>
      <c r="N52" s="249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42"/>
    </row>
    <row r="53" spans="1:28" s="15" customFormat="1" ht="21" customHeight="1" x14ac:dyDescent="0.25">
      <c r="A53" s="216"/>
      <c r="B53" s="129"/>
      <c r="C53" s="451"/>
      <c r="D53" s="206" t="s">
        <v>650</v>
      </c>
      <c r="E53" s="366"/>
      <c r="F53" s="200" t="str">
        <f>equations!W10</f>
        <v>[NC/m]</v>
      </c>
      <c r="G53" s="194">
        <f ca="1">equations!B458</f>
        <v>29.9</v>
      </c>
      <c r="H53" s="194">
        <f ca="1">equations!C458</f>
        <v>21.9</v>
      </c>
      <c r="I53" s="194">
        <f ca="1">equations!D458</f>
        <v>14.2</v>
      </c>
      <c r="J53" s="194" t="str">
        <f ca="1">equations!E458</f>
        <v>&lt; 10</v>
      </c>
      <c r="K53" s="194" t="str">
        <f ca="1">equations!F458</f>
        <v>&lt; 10</v>
      </c>
      <c r="L53" s="194" t="str">
        <f ca="1">equations!G458</f>
        <v>&lt; 10</v>
      </c>
      <c r="M53" s="293" t="s">
        <v>871</v>
      </c>
      <c r="N53" s="249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42"/>
    </row>
    <row r="54" spans="1:28" s="15" customFormat="1" ht="21" customHeight="1" x14ac:dyDescent="0.2">
      <c r="A54" s="216"/>
      <c r="B54" s="129"/>
      <c r="C54" s="452" t="s">
        <v>496</v>
      </c>
      <c r="D54" s="23" t="s">
        <v>495</v>
      </c>
      <c r="E54" s="22"/>
      <c r="F54" s="363"/>
      <c r="G54" s="183" t="str">
        <f ca="1">equations!B459</f>
        <v>A</v>
      </c>
      <c r="H54" s="183" t="str">
        <f ca="1">equations!C459</f>
        <v>A</v>
      </c>
      <c r="I54" s="183" t="str">
        <f ca="1">equations!D459</f>
        <v>A</v>
      </c>
      <c r="J54" s="183" t="str">
        <f ca="1">equations!E459</f>
        <v>A</v>
      </c>
      <c r="K54" s="183" t="str">
        <f ca="1">equations!F459</f>
        <v>A</v>
      </c>
      <c r="L54" s="183" t="str">
        <f ca="1">equations!G459</f>
        <v>A</v>
      </c>
      <c r="M54" s="289" t="s">
        <v>647</v>
      </c>
      <c r="N54" s="290"/>
      <c r="O54" s="291"/>
      <c r="P54" s="291"/>
      <c r="Q54" s="289"/>
      <c r="R54" s="289"/>
      <c r="S54" s="289"/>
      <c r="T54" s="289"/>
      <c r="U54" s="289"/>
      <c r="V54" s="289"/>
      <c r="W54" s="289"/>
      <c r="X54" s="292"/>
      <c r="Y54" s="42"/>
    </row>
    <row r="55" spans="1:28" s="15" customFormat="1" ht="21" customHeight="1" x14ac:dyDescent="0.25">
      <c r="A55" s="216"/>
      <c r="B55" s="129"/>
      <c r="C55" s="452"/>
      <c r="D55" s="207" t="s">
        <v>497</v>
      </c>
      <c r="E55" s="22"/>
      <c r="F55" s="363" t="str">
        <f>equations!$O$10</f>
        <v>[K]</v>
      </c>
      <c r="G55" s="193">
        <f ca="1">equations!B460</f>
        <v>15</v>
      </c>
      <c r="H55" s="193">
        <f ca="1">equations!C460</f>
        <v>15</v>
      </c>
      <c r="I55" s="193">
        <f ca="1">equations!D460</f>
        <v>15</v>
      </c>
      <c r="J55" s="302">
        <f ca="1">equations!E460</f>
        <v>15</v>
      </c>
      <c r="K55" s="193">
        <f ca="1">equations!F460</f>
        <v>15</v>
      </c>
      <c r="L55" s="193">
        <f ca="1">equations!G460</f>
        <v>15</v>
      </c>
      <c r="M55" s="445" t="str">
        <f>data!B287</f>
        <v xml:space="preserve">Rows 55:56: Typical max vertical temperature gradient 2 to 3°C/m
Row 57: Typical vertical temperature gradient ≤ 1°C/m
Vertical discharge: manual setting 'E' or with thermal/electric actuator.
Thermal and electric actuator available for 2 slots or more only.
</v>
      </c>
      <c r="N55" s="446"/>
      <c r="O55" s="446"/>
      <c r="P55" s="446"/>
      <c r="Q55" s="446"/>
      <c r="R55" s="446"/>
      <c r="S55" s="446"/>
      <c r="T55" s="446"/>
      <c r="U55" s="446"/>
      <c r="V55" s="446"/>
      <c r="W55" s="446"/>
      <c r="X55" s="415"/>
      <c r="Y55" s="42"/>
    </row>
    <row r="56" spans="1:28" s="15" customFormat="1" ht="21" customHeight="1" x14ac:dyDescent="0.25">
      <c r="A56" s="216"/>
      <c r="B56" s="129"/>
      <c r="C56" s="453"/>
      <c r="D56" s="208" t="s">
        <v>498</v>
      </c>
      <c r="E56" s="366"/>
      <c r="F56" s="252" t="str">
        <f>equations!$O$10</f>
        <v>[K]</v>
      </c>
      <c r="G56" s="255">
        <f ca="1">equations!B461</f>
        <v>15</v>
      </c>
      <c r="H56" s="255">
        <f ca="1">equations!C461</f>
        <v>15</v>
      </c>
      <c r="I56" s="255">
        <f ca="1">equations!D461</f>
        <v>15</v>
      </c>
      <c r="J56" s="255">
        <f ca="1">equations!E461</f>
        <v>15</v>
      </c>
      <c r="K56" s="255">
        <f ca="1">equations!F461</f>
        <v>13.3</v>
      </c>
      <c r="L56" s="255">
        <f ca="1">equations!G461</f>
        <v>11.6</v>
      </c>
      <c r="M56" s="445"/>
      <c r="N56" s="446"/>
      <c r="O56" s="446"/>
      <c r="P56" s="446"/>
      <c r="Q56" s="446"/>
      <c r="R56" s="446"/>
      <c r="S56" s="446"/>
      <c r="T56" s="446"/>
      <c r="U56" s="446"/>
      <c r="V56" s="446"/>
      <c r="W56" s="446"/>
      <c r="X56" s="415"/>
      <c r="Y56" s="42"/>
    </row>
    <row r="57" spans="1:28" s="15" customFormat="1" ht="21" customHeight="1" x14ac:dyDescent="0.25">
      <c r="A57" s="216"/>
      <c r="B57" s="130"/>
      <c r="C57" s="368" t="s">
        <v>628</v>
      </c>
      <c r="D57" s="369" t="s">
        <v>554</v>
      </c>
      <c r="E57" s="370"/>
      <c r="F57" s="371" t="str">
        <f>equations!$O$10</f>
        <v>[K]</v>
      </c>
      <c r="G57" s="232">
        <f ca="1">equations!B462</f>
        <v>20</v>
      </c>
      <c r="H57" s="232">
        <f ca="1">equations!C462</f>
        <v>20</v>
      </c>
      <c r="I57" s="232">
        <f ca="1">equations!D462</f>
        <v>20</v>
      </c>
      <c r="J57" s="303">
        <f ca="1">equations!E462</f>
        <v>13.8</v>
      </c>
      <c r="K57" s="232">
        <f ca="1">equations!F462</f>
        <v>9.3000000000000007</v>
      </c>
      <c r="L57" s="232">
        <f ca="1">equations!G462</f>
        <v>6.7</v>
      </c>
      <c r="M57" s="445"/>
      <c r="N57" s="446"/>
      <c r="O57" s="446"/>
      <c r="P57" s="446"/>
      <c r="Q57" s="446"/>
      <c r="R57" s="446"/>
      <c r="S57" s="446"/>
      <c r="T57" s="446"/>
      <c r="U57" s="446"/>
      <c r="V57" s="446"/>
      <c r="W57" s="446"/>
      <c r="X57" s="415"/>
      <c r="Y57" s="42"/>
    </row>
    <row r="58" spans="1:28" s="15" customFormat="1" ht="21" customHeight="1" x14ac:dyDescent="0.25">
      <c r="A58" s="216"/>
      <c r="B58" s="129"/>
      <c r="C58" s="449" t="s">
        <v>659</v>
      </c>
      <c r="D58" s="205" t="s">
        <v>408</v>
      </c>
      <c r="E58" s="22"/>
      <c r="F58" s="251" t="str">
        <f>equations!$B$10</f>
        <v>[m]</v>
      </c>
      <c r="G58" s="183">
        <f ca="1">equations!B463</f>
        <v>19.7</v>
      </c>
      <c r="H58" s="183">
        <f ca="1">equations!C463</f>
        <v>15.8</v>
      </c>
      <c r="I58" s="183">
        <f ca="1">equations!D463</f>
        <v>14.6</v>
      </c>
      <c r="J58" s="183">
        <f ca="1">equations!E463</f>
        <v>14.1</v>
      </c>
      <c r="K58" s="183">
        <f ca="1">equations!F463</f>
        <v>13.7</v>
      </c>
      <c r="L58" s="183">
        <f ca="1">equations!G463</f>
        <v>13.5</v>
      </c>
      <c r="M58" s="443" t="str">
        <f ca="1">data!B298</f>
        <v/>
      </c>
      <c r="N58" s="444"/>
      <c r="O58" s="444"/>
      <c r="P58" s="444"/>
      <c r="Q58" s="444"/>
      <c r="R58" s="444"/>
      <c r="S58" s="444"/>
      <c r="T58" s="444"/>
      <c r="U58" s="444"/>
      <c r="V58" s="444"/>
      <c r="W58" s="444"/>
      <c r="X58" s="415"/>
      <c r="Y58" s="42"/>
    </row>
    <row r="59" spans="1:28" s="15" customFormat="1" ht="21" customHeight="1" x14ac:dyDescent="0.25">
      <c r="A59" s="216"/>
      <c r="B59" s="129"/>
      <c r="C59" s="450"/>
      <c r="D59" s="23" t="s">
        <v>409</v>
      </c>
      <c r="E59" s="22"/>
      <c r="F59" s="363" t="str">
        <f>equations!$B$10</f>
        <v>[m]</v>
      </c>
      <c r="G59" s="183">
        <f ca="1">equations!B464</f>
        <v>19.7</v>
      </c>
      <c r="H59" s="183">
        <f ca="1">equations!C464</f>
        <v>15.8</v>
      </c>
      <c r="I59" s="183">
        <f ca="1">equations!D464</f>
        <v>14.6</v>
      </c>
      <c r="J59" s="183">
        <f ca="1">equations!E464</f>
        <v>14.1</v>
      </c>
      <c r="K59" s="183">
        <f ca="1">equations!F464</f>
        <v>13.7</v>
      </c>
      <c r="L59" s="183">
        <f ca="1">equations!G464</f>
        <v>13.5</v>
      </c>
      <c r="M59" s="443"/>
      <c r="N59" s="444"/>
      <c r="O59" s="444"/>
      <c r="P59" s="444"/>
      <c r="Q59" s="444"/>
      <c r="R59" s="444"/>
      <c r="S59" s="444"/>
      <c r="T59" s="444"/>
      <c r="U59" s="444"/>
      <c r="V59" s="444"/>
      <c r="W59" s="444"/>
      <c r="X59" s="289"/>
      <c r="Y59" s="42"/>
    </row>
    <row r="60" spans="1:28" s="15" customFormat="1" ht="21" customHeight="1" x14ac:dyDescent="0.25">
      <c r="A60" s="216"/>
      <c r="B60" s="129"/>
      <c r="C60" s="450"/>
      <c r="D60" s="23" t="s">
        <v>407</v>
      </c>
      <c r="E60" s="22"/>
      <c r="F60" s="363" t="str">
        <f>equations!$B$10</f>
        <v>[m]</v>
      </c>
      <c r="G60" s="183">
        <f ca="1">equations!B465</f>
        <v>8.3000000000000007</v>
      </c>
      <c r="H60" s="183">
        <f ca="1">equations!C465</f>
        <v>5.4</v>
      </c>
      <c r="I60" s="183">
        <f ca="1">equations!D465</f>
        <v>4.9000000000000004</v>
      </c>
      <c r="J60" s="183">
        <f ca="1">equations!E465</f>
        <v>4.7</v>
      </c>
      <c r="K60" s="183">
        <f ca="1">equations!F465</f>
        <v>4.5999999999999996</v>
      </c>
      <c r="L60" s="183">
        <f ca="1">equations!G465</f>
        <v>4.5</v>
      </c>
      <c r="M60" s="443"/>
      <c r="N60" s="444"/>
      <c r="O60" s="444"/>
      <c r="P60" s="444"/>
      <c r="Q60" s="444"/>
      <c r="R60" s="444"/>
      <c r="S60" s="444"/>
      <c r="T60" s="444"/>
      <c r="U60" s="444"/>
      <c r="V60" s="444"/>
      <c r="W60" s="444"/>
      <c r="X60" s="294"/>
      <c r="AB60" s="47"/>
    </row>
    <row r="61" spans="1:28" s="15" customFormat="1" ht="21" customHeight="1" x14ac:dyDescent="0.25">
      <c r="A61" s="216"/>
      <c r="B61" s="129"/>
      <c r="C61" s="451"/>
      <c r="D61" s="206" t="s">
        <v>410</v>
      </c>
      <c r="E61" s="366"/>
      <c r="F61" s="200" t="str">
        <f>equations!$B$10</f>
        <v>[m]</v>
      </c>
      <c r="G61" s="183">
        <f ca="1">equations!B466</f>
        <v>2.2999999999999998</v>
      </c>
      <c r="H61" s="183">
        <f ca="1">equations!C466</f>
        <v>2.4</v>
      </c>
      <c r="I61" s="183">
        <f ca="1">equations!D466</f>
        <v>2.4</v>
      </c>
      <c r="J61" s="183">
        <f ca="1">equations!E466</f>
        <v>2.5</v>
      </c>
      <c r="K61" s="183">
        <f ca="1">equations!F466</f>
        <v>2.5</v>
      </c>
      <c r="L61" s="183">
        <f ca="1">equations!G466</f>
        <v>2.6</v>
      </c>
      <c r="M61" s="443"/>
      <c r="N61" s="444"/>
      <c r="O61" s="444"/>
      <c r="P61" s="444"/>
      <c r="Q61" s="444"/>
      <c r="R61" s="444"/>
      <c r="S61" s="444"/>
      <c r="T61" s="444"/>
      <c r="U61" s="444"/>
      <c r="V61" s="444"/>
      <c r="W61" s="444"/>
      <c r="X61" s="289"/>
      <c r="Y61" s="42"/>
    </row>
    <row r="62" spans="1:28" s="15" customFormat="1" ht="21" customHeight="1" x14ac:dyDescent="0.25">
      <c r="A62" s="216"/>
      <c r="B62" s="129"/>
      <c r="C62" s="450" t="s">
        <v>253</v>
      </c>
      <c r="D62" s="23" t="s">
        <v>873</v>
      </c>
      <c r="E62" s="22"/>
      <c r="F62" s="201" t="str">
        <f>equations!$T$10</f>
        <v>[m/s]</v>
      </c>
      <c r="G62" s="177">
        <f ca="1">equations!B467</f>
        <v>0.17</v>
      </c>
      <c r="H62" s="177">
        <f ca="1">equations!C467</f>
        <v>0.15</v>
      </c>
      <c r="I62" s="177">
        <f ca="1">equations!D467</f>
        <v>0.14000000000000001</v>
      </c>
      <c r="J62" s="177">
        <f ca="1">equations!E467</f>
        <v>0.14000000000000001</v>
      </c>
      <c r="K62" s="177">
        <f ca="1">equations!F467</f>
        <v>0.13</v>
      </c>
      <c r="L62" s="177">
        <f ca="1">equations!G467</f>
        <v>0.13</v>
      </c>
      <c r="M62" s="447" t="str">
        <f ca="1">data!$B$300</f>
        <v>Comfort criteria valid for diffuser spacing of 9.9 m &amp; room temperature of 23°C (see cells L18:L21 &amp; L23)</v>
      </c>
      <c r="N62" s="448"/>
      <c r="O62" s="448"/>
      <c r="P62" s="448"/>
      <c r="Q62" s="448"/>
      <c r="R62" s="448"/>
      <c r="S62" s="448"/>
      <c r="T62" s="289"/>
      <c r="U62" s="289"/>
      <c r="V62" s="289"/>
      <c r="W62" s="289"/>
      <c r="X62" s="289"/>
      <c r="Y62" s="42"/>
    </row>
    <row r="63" spans="1:28" s="15" customFormat="1" ht="21" customHeight="1" x14ac:dyDescent="0.25">
      <c r="A63" s="216"/>
      <c r="B63" s="22"/>
      <c r="C63" s="450"/>
      <c r="D63" s="23" t="s">
        <v>166</v>
      </c>
      <c r="E63" s="22"/>
      <c r="F63" s="363"/>
      <c r="G63" s="184">
        <f ca="1">equations!B468</f>
        <v>0.16700000000000001</v>
      </c>
      <c r="H63" s="184">
        <f ca="1">equations!C468</f>
        <v>0.13800000000000001</v>
      </c>
      <c r="I63" s="184">
        <f ca="1">equations!D468</f>
        <v>0.129</v>
      </c>
      <c r="J63" s="184">
        <f ca="1">equations!E468</f>
        <v>0.124</v>
      </c>
      <c r="K63" s="184">
        <f ca="1">equations!F468</f>
        <v>0.121</v>
      </c>
      <c r="L63" s="184">
        <f ca="1">equations!G468</f>
        <v>0.11899999999999999</v>
      </c>
      <c r="M63" s="447"/>
      <c r="N63" s="448"/>
      <c r="O63" s="448"/>
      <c r="P63" s="448"/>
      <c r="Q63" s="448"/>
      <c r="R63" s="448"/>
      <c r="S63" s="448"/>
      <c r="T63" s="289"/>
      <c r="U63" s="289"/>
      <c r="V63" s="289"/>
      <c r="W63" s="289"/>
      <c r="X63" s="289"/>
      <c r="Y63" s="42"/>
    </row>
    <row r="64" spans="1:28" s="15" customFormat="1" ht="21" customHeight="1" x14ac:dyDescent="0.25">
      <c r="A64" s="216"/>
      <c r="B64" s="22"/>
      <c r="C64" s="450"/>
      <c r="D64" s="23" t="s">
        <v>167</v>
      </c>
      <c r="E64" s="22"/>
      <c r="F64" s="363"/>
      <c r="G64" s="184">
        <f ca="1">equations!B469</f>
        <v>8.5999999999999993E-2</v>
      </c>
      <c r="H64" s="184">
        <f ca="1">equations!C469</f>
        <v>7.3999999999999996E-2</v>
      </c>
      <c r="I64" s="184">
        <f ca="1">equations!D469</f>
        <v>7.0000000000000007E-2</v>
      </c>
      <c r="J64" s="184">
        <f ca="1">equations!E469</f>
        <v>6.9000000000000006E-2</v>
      </c>
      <c r="K64" s="184">
        <f ca="1">equations!F469</f>
        <v>6.7000000000000004E-2</v>
      </c>
      <c r="L64" s="184">
        <f ca="1">equations!G469</f>
        <v>6.7000000000000004E-2</v>
      </c>
      <c r="M64" s="37"/>
      <c r="N64" s="46"/>
      <c r="O64" s="289"/>
      <c r="P64" s="289"/>
      <c r="Q64" s="289"/>
      <c r="R64" s="289"/>
      <c r="S64" s="289"/>
      <c r="T64" s="289"/>
      <c r="U64" s="289"/>
      <c r="V64" s="289"/>
      <c r="W64" s="289"/>
      <c r="X64" s="289"/>
      <c r="Y64" s="42"/>
    </row>
    <row r="65" spans="1:26" s="15" customFormat="1" ht="21" customHeight="1" x14ac:dyDescent="0.25">
      <c r="A65" s="216"/>
      <c r="B65" s="22"/>
      <c r="C65" s="450"/>
      <c r="D65" s="23" t="s">
        <v>220</v>
      </c>
      <c r="E65" s="22"/>
      <c r="F65" s="363"/>
      <c r="G65" s="179" t="str">
        <f ca="1">"&lt; "&amp;equations!B470</f>
        <v>&lt; 0.4</v>
      </c>
      <c r="H65" s="183" t="str">
        <f ca="1">"&lt; "&amp;equations!C470</f>
        <v>&lt; 0.3</v>
      </c>
      <c r="I65" s="183" t="str">
        <f ca="1">"&lt; "&amp;equations!D470</f>
        <v>&lt; 0.3</v>
      </c>
      <c r="J65" s="183" t="str">
        <f ca="1">"&lt; "&amp;equations!E470</f>
        <v>&lt; 0.3</v>
      </c>
      <c r="K65" s="183" t="str">
        <f ca="1">"&lt; "&amp;equations!F470</f>
        <v>&lt; 0.3</v>
      </c>
      <c r="L65" s="183" t="str">
        <f ca="1">"&lt; "&amp;equations!G470</f>
        <v>&lt; 0.3</v>
      </c>
      <c r="M65" s="37"/>
      <c r="N65" s="46"/>
      <c r="O65" s="289"/>
      <c r="P65" s="289"/>
      <c r="Q65" s="289"/>
      <c r="R65" s="289"/>
      <c r="S65" s="289"/>
      <c r="T65" s="289"/>
      <c r="U65" s="289"/>
      <c r="V65" s="289"/>
      <c r="W65" s="289"/>
      <c r="X65" s="289"/>
      <c r="Y65" s="42"/>
    </row>
    <row r="66" spans="1:26" s="15" customFormat="1" ht="21" customHeight="1" x14ac:dyDescent="0.25">
      <c r="A66" s="216"/>
      <c r="B66" s="22"/>
      <c r="C66" s="451"/>
      <c r="D66" s="206" t="s">
        <v>221</v>
      </c>
      <c r="E66" s="366"/>
      <c r="F66" s="372"/>
      <c r="G66" s="185" t="str">
        <f ca="1">equations!B471</f>
        <v>B</v>
      </c>
      <c r="H66" s="186" t="str">
        <f ca="1">equations!C471</f>
        <v>B</v>
      </c>
      <c r="I66" s="187" t="str">
        <f ca="1">equations!D471</f>
        <v>B</v>
      </c>
      <c r="J66" s="186" t="str">
        <f ca="1">equations!E471</f>
        <v>B</v>
      </c>
      <c r="K66" s="187" t="str">
        <f ca="1">equations!F471</f>
        <v>B</v>
      </c>
      <c r="L66" s="187" t="str">
        <f ca="1">equations!G471</f>
        <v>B</v>
      </c>
      <c r="M66" s="295"/>
      <c r="N66" s="290"/>
      <c r="O66" s="289"/>
      <c r="P66" s="289"/>
      <c r="Q66" s="289"/>
      <c r="R66" s="289"/>
      <c r="S66" s="289"/>
      <c r="T66" s="289"/>
      <c r="U66" s="289"/>
      <c r="V66" s="289"/>
      <c r="W66" s="289"/>
      <c r="X66" s="289"/>
      <c r="Y66" s="42"/>
      <c r="Z66" s="256"/>
    </row>
    <row r="67" spans="1:26" s="15" customFormat="1" ht="21" customHeight="1" x14ac:dyDescent="0.25">
      <c r="A67" s="216"/>
      <c r="B67" s="22"/>
      <c r="C67" s="272" t="s">
        <v>598</v>
      </c>
      <c r="D67" s="369" t="s">
        <v>500</v>
      </c>
      <c r="E67" s="370"/>
      <c r="F67" s="373" t="str">
        <f>equations!$L$10</f>
        <v>[°C]</v>
      </c>
      <c r="G67" s="431" t="s">
        <v>629</v>
      </c>
      <c r="H67" s="362" t="str">
        <f ca="1">equations!C472</f>
        <v>n.r.</v>
      </c>
      <c r="I67" s="362" t="str">
        <f ca="1">equations!D472</f>
        <v>n.r.</v>
      </c>
      <c r="J67" s="362" t="str">
        <f ca="1">equations!E472</f>
        <v>30†</v>
      </c>
      <c r="K67" s="362" t="str">
        <f ca="1">equations!F472</f>
        <v>29</v>
      </c>
      <c r="L67" s="362" t="str">
        <f ca="1">equations!G472</f>
        <v>27</v>
      </c>
      <c r="M67" s="440" t="s">
        <v>846</v>
      </c>
      <c r="N67" s="441"/>
      <c r="O67" s="441"/>
      <c r="P67" s="441"/>
      <c r="Q67" s="441"/>
      <c r="R67" s="441"/>
      <c r="S67" s="441"/>
      <c r="T67" s="441"/>
      <c r="U67" s="441"/>
      <c r="V67" s="441"/>
      <c r="W67" s="441"/>
      <c r="X67" s="442"/>
      <c r="Y67" s="42"/>
      <c r="Z67" s="256"/>
    </row>
    <row r="68" spans="1:26" s="15" customFormat="1" ht="21" customHeight="1" x14ac:dyDescent="0.25">
      <c r="A68" s="216"/>
      <c r="B68" s="22"/>
      <c r="C68" s="452" t="s">
        <v>599</v>
      </c>
      <c r="D68" s="360" t="s">
        <v>593</v>
      </c>
      <c r="E68" s="22"/>
      <c r="F68" s="339" t="str">
        <f>equations!O10</f>
        <v>[K]</v>
      </c>
      <c r="G68" s="432"/>
      <c r="H68" s="361" t="str">
        <f ca="1">equations!C473</f>
        <v/>
      </c>
      <c r="I68" s="361" t="str">
        <f ca="1">equations!D473</f>
        <v/>
      </c>
      <c r="J68" s="361">
        <f ca="1">equations!E473</f>
        <v>14</v>
      </c>
      <c r="K68" s="361">
        <f ca="1">equations!F473</f>
        <v>13.3</v>
      </c>
      <c r="L68" s="361">
        <f ca="1">equations!G473</f>
        <v>10.7</v>
      </c>
      <c r="M68" s="440"/>
      <c r="N68" s="441"/>
      <c r="O68" s="441"/>
      <c r="P68" s="441"/>
      <c r="Q68" s="441"/>
      <c r="R68" s="441"/>
      <c r="S68" s="441"/>
      <c r="T68" s="441"/>
      <c r="U68" s="441"/>
      <c r="V68" s="441"/>
      <c r="W68" s="441"/>
      <c r="X68" s="442"/>
      <c r="Y68" s="42"/>
      <c r="Z68" s="256"/>
    </row>
    <row r="69" spans="1:26" s="15" customFormat="1" ht="21" customHeight="1" x14ac:dyDescent="0.25">
      <c r="A69" s="216"/>
      <c r="B69" s="22"/>
      <c r="C69" s="452"/>
      <c r="D69" s="23" t="s">
        <v>594</v>
      </c>
      <c r="E69" s="22"/>
      <c r="F69" s="364"/>
      <c r="G69" s="432"/>
      <c r="H69" s="270" t="str">
        <f ca="1">equations!C474</f>
        <v/>
      </c>
      <c r="I69" s="270" t="str">
        <f ca="1">equations!D474</f>
        <v/>
      </c>
      <c r="J69" s="270">
        <f ca="1">equations!E474</f>
        <v>1.0090259519421836</v>
      </c>
      <c r="K69" s="270">
        <f ca="1">equations!F474</f>
        <v>1.1966969094763962</v>
      </c>
      <c r="L69" s="270">
        <f ca="1">equations!G474</f>
        <v>1.2642680783236233</v>
      </c>
      <c r="M69" s="440"/>
      <c r="N69" s="441"/>
      <c r="O69" s="441"/>
      <c r="P69" s="441"/>
      <c r="Q69" s="441"/>
      <c r="R69" s="441"/>
      <c r="S69" s="441"/>
      <c r="T69" s="441"/>
      <c r="U69" s="441"/>
      <c r="V69" s="441"/>
      <c r="W69" s="441"/>
      <c r="X69" s="442"/>
      <c r="Y69" s="42"/>
      <c r="Z69" s="256"/>
    </row>
    <row r="70" spans="1:26" s="15" customFormat="1" ht="21" customHeight="1" x14ac:dyDescent="0.25">
      <c r="A70" s="216"/>
      <c r="B70" s="22"/>
      <c r="C70" s="452"/>
      <c r="D70" s="23" t="s">
        <v>595</v>
      </c>
      <c r="E70" s="22"/>
      <c r="F70" s="364"/>
      <c r="G70" s="432"/>
      <c r="H70" s="270" t="str">
        <f ca="1">equations!C475</f>
        <v/>
      </c>
      <c r="I70" s="270" t="str">
        <f ca="1">equations!D475</f>
        <v/>
      </c>
      <c r="J70" s="270">
        <f ca="1">equations!E475</f>
        <v>1.0181333716928298</v>
      </c>
      <c r="K70" s="270">
        <f ca="1">equations!F475</f>
        <v>1.4320834931503579</v>
      </c>
      <c r="L70" s="270">
        <f ca="1">equations!G475</f>
        <v>1.5983737738681074</v>
      </c>
      <c r="M70" s="440"/>
      <c r="N70" s="441"/>
      <c r="O70" s="441"/>
      <c r="P70" s="441"/>
      <c r="Q70" s="441"/>
      <c r="R70" s="441"/>
      <c r="S70" s="441"/>
      <c r="T70" s="441"/>
      <c r="U70" s="441"/>
      <c r="V70" s="441"/>
      <c r="W70" s="441"/>
      <c r="X70" s="442"/>
      <c r="Y70" s="42"/>
    </row>
    <row r="71" spans="1:26" s="15" customFormat="1" ht="21" customHeight="1" x14ac:dyDescent="0.25">
      <c r="A71" s="216"/>
      <c r="B71" s="22"/>
      <c r="C71" s="453"/>
      <c r="D71" s="273" t="s">
        <v>597</v>
      </c>
      <c r="E71" s="366"/>
      <c r="F71" s="374" t="s">
        <v>64</v>
      </c>
      <c r="G71" s="433"/>
      <c r="H71" s="274" t="str">
        <f ca="1">equations!C476</f>
        <v/>
      </c>
      <c r="I71" s="274" t="str">
        <f ca="1">equations!D476</f>
        <v/>
      </c>
      <c r="J71" s="274">
        <f ca="1">equations!E476</f>
        <v>0.99105478711938944</v>
      </c>
      <c r="K71" s="274">
        <f ca="1">equations!F476</f>
        <v>0.83563347751732797</v>
      </c>
      <c r="L71" s="274">
        <f ca="1">equations!G476</f>
        <v>0.79097148551434293</v>
      </c>
      <c r="M71" s="440"/>
      <c r="N71" s="441"/>
      <c r="O71" s="441"/>
      <c r="P71" s="441"/>
      <c r="Q71" s="441"/>
      <c r="R71" s="441"/>
      <c r="S71" s="441"/>
      <c r="T71" s="441"/>
      <c r="U71" s="441"/>
      <c r="V71" s="441"/>
      <c r="W71" s="441"/>
      <c r="X71" s="442"/>
      <c r="Y71" s="42"/>
    </row>
    <row r="72" spans="1:26" s="15" customFormat="1" ht="21" customHeight="1" x14ac:dyDescent="0.25">
      <c r="A72" s="216"/>
      <c r="B72" s="129"/>
      <c r="C72" s="450" t="s">
        <v>660</v>
      </c>
      <c r="D72" s="23" t="s">
        <v>411</v>
      </c>
      <c r="E72" s="22"/>
      <c r="F72" s="201" t="str">
        <f>equations!$R$10</f>
        <v>[mm]</v>
      </c>
      <c r="G72" s="176">
        <f>'Dimensions &amp; Connection Box'!M25</f>
        <v>43.5</v>
      </c>
      <c r="H72" s="297">
        <f>'Dimensions &amp; Connection Box'!N25</f>
        <v>85.5</v>
      </c>
      <c r="I72" s="297">
        <f>'Dimensions &amp; Connection Box'!O25</f>
        <v>127.5</v>
      </c>
      <c r="J72" s="177">
        <f>'Dimensions &amp; Connection Box'!P25</f>
        <v>169.5</v>
      </c>
      <c r="K72" s="177">
        <f>'Dimensions &amp; Connection Box'!Q25</f>
        <v>211.5</v>
      </c>
      <c r="L72" s="177">
        <f>'Dimensions &amp; Connection Box'!R25</f>
        <v>253.5</v>
      </c>
      <c r="M72" s="289" t="s">
        <v>657</v>
      </c>
      <c r="N72" s="233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42"/>
    </row>
    <row r="73" spans="1:26" s="15" customFormat="1" ht="21" customHeight="1" x14ac:dyDescent="0.25">
      <c r="A73" s="216"/>
      <c r="B73" s="129"/>
      <c r="C73" s="450"/>
      <c r="D73" s="23" t="s">
        <v>412</v>
      </c>
      <c r="E73" s="22"/>
      <c r="F73" s="363" t="str">
        <f>equations!$R$10</f>
        <v>[mm]</v>
      </c>
      <c r="G73" s="176">
        <f>'Dimensions &amp; Connection Box'!M26</f>
        <v>72</v>
      </c>
      <c r="H73" s="176">
        <f>'Dimensions &amp; Connection Box'!N26</f>
        <v>114</v>
      </c>
      <c r="I73" s="176">
        <f>'Dimensions &amp; Connection Box'!O26</f>
        <v>156</v>
      </c>
      <c r="J73" s="176">
        <f>'Dimensions &amp; Connection Box'!P26</f>
        <v>198</v>
      </c>
      <c r="K73" s="176">
        <f>'Dimensions &amp; Connection Box'!Q26</f>
        <v>240</v>
      </c>
      <c r="L73" s="176">
        <f>'Dimensions &amp; Connection Box'!R26</f>
        <v>282</v>
      </c>
      <c r="M73" s="289"/>
      <c r="N73" s="233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42"/>
    </row>
    <row r="74" spans="1:26" s="15" customFormat="1" ht="21" customHeight="1" x14ac:dyDescent="0.25">
      <c r="A74" s="216"/>
      <c r="B74" s="129"/>
      <c r="C74" s="451"/>
      <c r="D74" s="206" t="s">
        <v>413</v>
      </c>
      <c r="E74" s="366"/>
      <c r="F74" s="252" t="str">
        <f>equations!$R$10</f>
        <v>[mm]</v>
      </c>
      <c r="G74" s="178">
        <f>'Dimensions &amp; Connection Box'!M27</f>
        <v>38</v>
      </c>
      <c r="H74" s="178">
        <f>'Dimensions &amp; Connection Box'!N27</f>
        <v>80</v>
      </c>
      <c r="I74" s="178">
        <f>'Dimensions &amp; Connection Box'!O27</f>
        <v>122</v>
      </c>
      <c r="J74" s="178">
        <f>'Dimensions &amp; Connection Box'!P27</f>
        <v>164</v>
      </c>
      <c r="K74" s="178">
        <f>'Dimensions &amp; Connection Box'!Q27</f>
        <v>206</v>
      </c>
      <c r="L74" s="178">
        <f>'Dimensions &amp; Connection Box'!R27</f>
        <v>248</v>
      </c>
      <c r="M74" s="227"/>
      <c r="N74" s="233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42"/>
    </row>
    <row r="75" spans="1:26" s="15" customFormat="1" ht="21" customHeight="1" x14ac:dyDescent="0.25">
      <c r="A75" s="216"/>
      <c r="B75" s="22"/>
      <c r="C75" s="390" t="s">
        <v>644</v>
      </c>
      <c r="D75" s="23" t="str">
        <f>equations!A477</f>
        <v>Nominal Spigot Size / 1200 mm</v>
      </c>
      <c r="E75" s="22"/>
      <c r="F75" s="340" t="str">
        <f>equations!$R$10</f>
        <v>[mm]</v>
      </c>
      <c r="G75" s="188" t="str">
        <f ca="1">equations!B477</f>
        <v>DN250</v>
      </c>
      <c r="H75" s="189" t="str">
        <f ca="1">equations!C477</f>
        <v>DN250</v>
      </c>
      <c r="I75" s="189" t="str">
        <f ca="1">equations!D477</f>
        <v>DN250</v>
      </c>
      <c r="J75" s="189" t="str">
        <f ca="1">equations!E477</f>
        <v>DN250</v>
      </c>
      <c r="K75" s="189" t="str">
        <f ca="1">equations!F477</f>
        <v>DN250</v>
      </c>
      <c r="L75" s="189" t="str">
        <f ca="1">equations!G477</f>
        <v>DN250</v>
      </c>
      <c r="M75" s="307" t="s">
        <v>803</v>
      </c>
      <c r="N75" s="249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42"/>
    </row>
    <row r="76" spans="1:26" s="15" customFormat="1" ht="15.75" customHeight="1" x14ac:dyDescent="0.25">
      <c r="A76" s="216"/>
      <c r="B76" s="22"/>
      <c r="C76" s="22"/>
      <c r="D76" s="23"/>
      <c r="E76" s="23"/>
      <c r="F76" s="23"/>
      <c r="G76" s="46"/>
      <c r="H76" s="46"/>
      <c r="I76" s="46"/>
      <c r="J76" s="46"/>
      <c r="K76" s="46"/>
      <c r="L76" s="46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42"/>
    </row>
    <row r="77" spans="1:26" s="15" customFormat="1" ht="28.5" customHeight="1" x14ac:dyDescent="0.2">
      <c r="A77" s="216"/>
      <c r="B77" s="81"/>
      <c r="C77" s="81"/>
      <c r="D77" s="140" t="s">
        <v>194</v>
      </c>
      <c r="E77" s="140"/>
      <c r="F77" s="140"/>
      <c r="G77" s="82"/>
      <c r="H77" s="82"/>
      <c r="I77" s="82"/>
      <c r="J77" s="82"/>
      <c r="K77" s="82"/>
      <c r="L77" s="82"/>
      <c r="M77" s="82"/>
      <c r="N77" s="82"/>
      <c r="O77" s="426" t="s">
        <v>124</v>
      </c>
      <c r="P77" s="81"/>
      <c r="Q77" s="81"/>
      <c r="R77" s="81"/>
      <c r="S77" s="81"/>
      <c r="T77" s="81"/>
      <c r="U77" s="81"/>
      <c r="V77" s="81"/>
      <c r="W77" s="81"/>
      <c r="X77" s="81"/>
      <c r="Y77" s="42"/>
    </row>
    <row r="78" spans="1:26" s="15" customFormat="1" ht="24" customHeight="1" x14ac:dyDescent="0.25">
      <c r="A78" s="216"/>
      <c r="B78" s="81"/>
      <c r="C78" s="81"/>
      <c r="D78" s="377" t="s">
        <v>125</v>
      </c>
      <c r="E78" s="377"/>
      <c r="F78" s="83"/>
      <c r="G78" s="81" t="s">
        <v>138</v>
      </c>
      <c r="H78" s="81" t="s">
        <v>137</v>
      </c>
      <c r="I78" s="81" t="s">
        <v>139</v>
      </c>
      <c r="J78" s="81" t="s">
        <v>140</v>
      </c>
      <c r="K78" s="81" t="s">
        <v>141</v>
      </c>
      <c r="L78" s="81" t="s">
        <v>142</v>
      </c>
      <c r="M78" s="81" t="s">
        <v>368</v>
      </c>
      <c r="N78" s="81"/>
      <c r="O78" s="329" t="s">
        <v>546</v>
      </c>
      <c r="P78" s="166"/>
      <c r="Q78" s="82"/>
      <c r="R78" s="82"/>
      <c r="S78" s="82"/>
      <c r="T78" s="82"/>
      <c r="U78" s="82"/>
      <c r="V78" s="82"/>
      <c r="W78" s="82"/>
      <c r="X78" s="81"/>
      <c r="Y78" s="42"/>
    </row>
    <row r="79" spans="1:26" s="15" customFormat="1" ht="24" customHeight="1" x14ac:dyDescent="0.25">
      <c r="A79" s="216"/>
      <c r="B79" s="81"/>
      <c r="C79" s="81"/>
      <c r="D79" s="83" t="s">
        <v>686</v>
      </c>
      <c r="E79" s="375"/>
      <c r="F79" s="83"/>
      <c r="G79" s="166" t="s">
        <v>687</v>
      </c>
      <c r="H79" s="166"/>
      <c r="I79" s="117"/>
      <c r="J79" s="117" t="s">
        <v>688</v>
      </c>
      <c r="K79" s="166"/>
      <c r="L79" s="168" t="s">
        <v>690</v>
      </c>
      <c r="M79" s="81"/>
      <c r="N79" s="81"/>
      <c r="O79" s="330" t="s">
        <v>689</v>
      </c>
      <c r="P79" s="166"/>
      <c r="Q79" s="82"/>
      <c r="R79" s="82"/>
      <c r="S79" s="82"/>
      <c r="T79" s="82"/>
      <c r="U79" s="82"/>
      <c r="V79" s="82"/>
      <c r="W79" s="82"/>
      <c r="X79" s="81"/>
      <c r="Y79" s="42"/>
    </row>
    <row r="80" spans="1:26" s="15" customFormat="1" ht="24" customHeight="1" x14ac:dyDescent="0.25">
      <c r="A80" s="216"/>
      <c r="B80" s="81"/>
      <c r="C80" s="81"/>
      <c r="D80" s="85" t="s">
        <v>196</v>
      </c>
      <c r="E80" s="170"/>
      <c r="F80" s="199"/>
      <c r="G80" s="166" t="str">
        <f>data!E10</f>
        <v>1200* mm (neck)</v>
      </c>
      <c r="H80" s="166"/>
      <c r="I80" s="166" t="str">
        <f>data!E11</f>
        <v>1195 mm (face)</v>
      </c>
      <c r="J80" s="166"/>
      <c r="K80" s="166" t="str">
        <f>data!E12</f>
        <v>custom^ ≤ 1200 mm (neck)</v>
      </c>
      <c r="L80" s="166"/>
      <c r="M80" s="84"/>
      <c r="N80" s="82"/>
      <c r="O80" s="329" t="s">
        <v>187</v>
      </c>
      <c r="P80" s="81"/>
      <c r="Q80" s="81"/>
      <c r="R80" s="81"/>
      <c r="S80" s="81"/>
      <c r="T80" s="81"/>
      <c r="U80" s="81"/>
      <c r="V80" s="81"/>
      <c r="W80" s="81"/>
      <c r="X80" s="81"/>
      <c r="Y80" s="42"/>
    </row>
    <row r="81" spans="1:25" s="15" customFormat="1" ht="24" customHeight="1" x14ac:dyDescent="0.25">
      <c r="A81" s="216"/>
      <c r="B81" s="81"/>
      <c r="C81" s="81"/>
      <c r="D81" s="85" t="s">
        <v>89</v>
      </c>
      <c r="E81" s="170"/>
      <c r="F81" s="199"/>
      <c r="G81" s="169" t="str">
        <f>IF(equations!B22=2,"2-way blow selected (see Cell L9)","1-way blow selected (see Cell L9)")</f>
        <v>2-way blow selected (see Cell L9)</v>
      </c>
      <c r="H81" s="81"/>
      <c r="I81" s="166"/>
      <c r="J81" s="167"/>
      <c r="K81" s="166"/>
      <c r="L81" s="166"/>
      <c r="M81" s="82"/>
      <c r="N81" s="82"/>
      <c r="O81" s="330"/>
      <c r="P81" s="81"/>
      <c r="Q81" s="81"/>
      <c r="R81" s="81"/>
      <c r="S81" s="81"/>
      <c r="T81" s="81"/>
      <c r="U81" s="81"/>
      <c r="V81" s="81"/>
      <c r="W81" s="81"/>
      <c r="X81" s="81"/>
      <c r="Y81" s="42"/>
    </row>
    <row r="82" spans="1:25" s="15" customFormat="1" ht="24" customHeight="1" x14ac:dyDescent="0.25">
      <c r="A82" s="216"/>
      <c r="B82" s="81"/>
      <c r="C82" s="81"/>
      <c r="D82" s="85" t="s">
        <v>530</v>
      </c>
      <c r="E82" s="170"/>
      <c r="F82" s="199"/>
      <c r="G82" s="166" t="s">
        <v>531</v>
      </c>
      <c r="H82" s="166" t="str">
        <f ca="1">data!D52</f>
        <v>thermal actuator</v>
      </c>
      <c r="I82" s="166"/>
      <c r="J82" s="166" t="s">
        <v>532</v>
      </c>
      <c r="K82" s="166"/>
      <c r="L82" s="166"/>
      <c r="M82" s="81"/>
      <c r="N82" s="269" t="s">
        <v>583</v>
      </c>
      <c r="O82" s="330" t="str">
        <f>data!E55</f>
        <v>manual adjustment only</v>
      </c>
      <c r="P82" s="81"/>
      <c r="Q82" s="81"/>
      <c r="R82" s="81"/>
      <c r="S82" s="81"/>
      <c r="T82" s="81"/>
      <c r="U82" s="81"/>
      <c r="V82" s="81"/>
      <c r="W82" s="81"/>
      <c r="X82" s="81"/>
      <c r="Y82" s="42"/>
    </row>
    <row r="83" spans="1:25" s="15" customFormat="1" ht="24" customHeight="1" x14ac:dyDescent="0.25">
      <c r="A83" s="216"/>
      <c r="B83" s="81"/>
      <c r="C83" s="81"/>
      <c r="D83" s="85" t="s">
        <v>169</v>
      </c>
      <c r="E83" s="376"/>
      <c r="F83" s="164"/>
      <c r="G83" s="168" t="s">
        <v>584</v>
      </c>
      <c r="H83" s="434" t="str">
        <f>data!C39</f>
        <v>A (0 to -15°)</v>
      </c>
      <c r="I83" s="434"/>
      <c r="J83" s="166" t="str">
        <f>data!D39</f>
        <v>B (0 to -30°)</v>
      </c>
      <c r="K83" s="81" t="str">
        <f>data!E39</f>
        <v>C (≈ -45°)</v>
      </c>
      <c r="L83" s="81" t="str">
        <f>data!F39</f>
        <v>D (≈ -60°)</v>
      </c>
      <c r="M83" s="81" t="str">
        <f>data!G39</f>
        <v>E (vertical)</v>
      </c>
      <c r="N83" s="81" t="s">
        <v>368</v>
      </c>
      <c r="O83" s="418" t="s">
        <v>867</v>
      </c>
      <c r="P83" s="81"/>
      <c r="Q83" s="81"/>
      <c r="R83" s="81"/>
      <c r="S83" s="81"/>
      <c r="T83" s="81"/>
      <c r="U83" s="81"/>
      <c r="V83" s="81"/>
      <c r="W83" s="81"/>
      <c r="X83" s="81"/>
      <c r="Y83" s="42"/>
    </row>
    <row r="84" spans="1:25" s="15" customFormat="1" ht="24" customHeight="1" x14ac:dyDescent="0.25">
      <c r="A84" s="216"/>
      <c r="B84" s="81"/>
      <c r="C84" s="81"/>
      <c r="D84" s="85" t="s">
        <v>197</v>
      </c>
      <c r="E84" s="170"/>
      <c r="F84" s="199"/>
      <c r="G84" s="166" t="s">
        <v>129</v>
      </c>
      <c r="H84" s="81"/>
      <c r="I84" s="166" t="s">
        <v>128</v>
      </c>
      <c r="J84" s="81"/>
      <c r="K84" s="167"/>
      <c r="L84" s="167"/>
      <c r="M84" s="84"/>
      <c r="N84" s="82"/>
      <c r="O84" s="331"/>
      <c r="P84" s="81"/>
      <c r="Q84" s="81"/>
      <c r="R84" s="81"/>
      <c r="S84" s="81"/>
      <c r="T84" s="81"/>
      <c r="U84" s="81"/>
      <c r="V84" s="81"/>
      <c r="W84" s="81"/>
      <c r="X84" s="81"/>
      <c r="Y84" s="42"/>
    </row>
    <row r="85" spans="1:25" s="15" customFormat="1" ht="24" customHeight="1" x14ac:dyDescent="0.25">
      <c r="A85" s="216"/>
      <c r="B85" s="81"/>
      <c r="C85" s="81"/>
      <c r="D85" s="85" t="s">
        <v>325</v>
      </c>
      <c r="E85" s="170"/>
      <c r="F85" s="199"/>
      <c r="G85" s="117" t="s">
        <v>331</v>
      </c>
      <c r="H85" s="174"/>
      <c r="I85" s="166" t="s">
        <v>327</v>
      </c>
      <c r="J85" s="166"/>
      <c r="K85" s="167"/>
      <c r="L85" s="117" t="s">
        <v>328</v>
      </c>
      <c r="M85" s="173"/>
      <c r="N85" s="168" t="s">
        <v>330</v>
      </c>
      <c r="O85" s="329" t="s">
        <v>857</v>
      </c>
      <c r="P85" s="81"/>
      <c r="Q85" s="81"/>
      <c r="R85" s="81"/>
      <c r="S85" s="81"/>
      <c r="T85" s="81"/>
      <c r="U85" s="81"/>
      <c r="V85" s="81"/>
      <c r="W85" s="81"/>
      <c r="X85" s="81"/>
      <c r="Y85" s="42"/>
    </row>
    <row r="86" spans="1:25" s="15" customFormat="1" ht="24" customHeight="1" x14ac:dyDescent="0.25">
      <c r="A86" s="216"/>
      <c r="B86" s="81"/>
      <c r="C86" s="81"/>
      <c r="D86" s="85" t="s">
        <v>326</v>
      </c>
      <c r="E86" s="170"/>
      <c r="F86" s="199"/>
      <c r="G86" s="166" t="s">
        <v>586</v>
      </c>
      <c r="H86" s="166"/>
      <c r="I86" s="81"/>
      <c r="J86" s="166" t="s">
        <v>668</v>
      </c>
      <c r="K86" s="168"/>
      <c r="L86" s="166" t="s">
        <v>545</v>
      </c>
      <c r="M86" s="84"/>
      <c r="N86" s="82"/>
      <c r="O86" s="329"/>
      <c r="P86" s="81"/>
      <c r="Q86" s="81"/>
      <c r="R86" s="81"/>
      <c r="S86" s="81"/>
      <c r="T86" s="81"/>
      <c r="U86" s="81"/>
      <c r="V86" s="81"/>
      <c r="W86" s="81"/>
      <c r="X86" s="81"/>
      <c r="Y86" s="42"/>
    </row>
    <row r="87" spans="1:25" s="15" customFormat="1" ht="24" customHeight="1" x14ac:dyDescent="0.25">
      <c r="A87" s="216"/>
      <c r="B87" s="81"/>
      <c r="C87" s="81"/>
      <c r="D87" s="85" t="s">
        <v>136</v>
      </c>
      <c r="E87" s="170"/>
      <c r="F87" s="199"/>
      <c r="G87" s="166" t="s">
        <v>132</v>
      </c>
      <c r="H87" s="81"/>
      <c r="I87" s="166" t="s">
        <v>133</v>
      </c>
      <c r="J87" s="169"/>
      <c r="K87" s="166" t="s">
        <v>329</v>
      </c>
      <c r="L87" s="81"/>
      <c r="M87" s="84"/>
      <c r="N87" s="82"/>
      <c r="O87" s="329"/>
      <c r="P87" s="81"/>
      <c r="Q87" s="81"/>
      <c r="R87" s="81"/>
      <c r="S87" s="81"/>
      <c r="T87" s="81"/>
      <c r="U87" s="81"/>
      <c r="V87" s="81"/>
      <c r="W87" s="81"/>
      <c r="X87" s="81"/>
      <c r="Y87" s="42"/>
    </row>
    <row r="88" spans="1:25" s="15" customFormat="1" ht="24" customHeight="1" x14ac:dyDescent="0.25">
      <c r="A88" s="216"/>
      <c r="B88" s="81"/>
      <c r="C88" s="81"/>
      <c r="D88" s="170" t="s">
        <v>123</v>
      </c>
      <c r="E88" s="170"/>
      <c r="F88" s="199"/>
      <c r="G88" s="166" t="s">
        <v>135</v>
      </c>
      <c r="H88" s="166" t="s">
        <v>134</v>
      </c>
      <c r="I88" s="81"/>
      <c r="J88" s="167"/>
      <c r="K88" s="167"/>
      <c r="L88" s="166"/>
      <c r="M88" s="84"/>
      <c r="N88" s="82"/>
      <c r="O88" s="329"/>
      <c r="P88" s="81"/>
      <c r="Q88" s="81"/>
      <c r="R88" s="81"/>
      <c r="S88" s="81"/>
      <c r="T88" s="81"/>
      <c r="U88" s="81"/>
      <c r="V88" s="81"/>
      <c r="W88" s="81"/>
      <c r="X88" s="81"/>
      <c r="Y88" s="42"/>
    </row>
    <row r="89" spans="1:25" s="15" customFormat="1" ht="24" customHeight="1" x14ac:dyDescent="0.25">
      <c r="A89" s="216"/>
      <c r="B89" s="81"/>
      <c r="C89" s="81"/>
      <c r="D89" s="170" t="s">
        <v>339</v>
      </c>
      <c r="E89" s="170"/>
      <c r="F89" s="199"/>
      <c r="G89" s="166" t="s">
        <v>683</v>
      </c>
      <c r="H89" s="166"/>
      <c r="I89" s="166" t="s">
        <v>332</v>
      </c>
      <c r="J89" s="81"/>
      <c r="K89" s="164"/>
      <c r="L89" s="166" t="s">
        <v>333</v>
      </c>
      <c r="M89" s="82"/>
      <c r="N89" s="82"/>
      <c r="O89" s="331"/>
      <c r="P89" s="81"/>
      <c r="Q89" s="81"/>
      <c r="R89" s="81"/>
      <c r="S89" s="81"/>
      <c r="T89" s="81"/>
      <c r="U89" s="81"/>
      <c r="V89" s="81"/>
      <c r="W89" s="81"/>
      <c r="X89" s="81"/>
      <c r="Y89" s="42"/>
    </row>
    <row r="90" spans="1:25" s="15" customFormat="1" ht="24" customHeight="1" x14ac:dyDescent="0.25">
      <c r="A90" s="216"/>
      <c r="B90" s="81"/>
      <c r="C90" s="81"/>
      <c r="D90" s="199"/>
      <c r="E90" s="199"/>
      <c r="F90" s="199"/>
      <c r="G90" s="164"/>
      <c r="H90" s="165"/>
      <c r="I90" s="325"/>
      <c r="J90" s="81" t="s">
        <v>348</v>
      </c>
      <c r="K90" s="164"/>
      <c r="L90" s="166" t="s">
        <v>349</v>
      </c>
      <c r="M90" s="82"/>
      <c r="N90" s="326"/>
      <c r="O90" s="329" t="s">
        <v>424</v>
      </c>
      <c r="P90" s="81"/>
      <c r="Q90" s="81"/>
      <c r="R90" s="81"/>
      <c r="S90" s="81"/>
      <c r="T90" s="81"/>
      <c r="U90" s="81"/>
      <c r="V90" s="81"/>
      <c r="W90" s="81"/>
      <c r="X90" s="81"/>
      <c r="Y90" s="42"/>
    </row>
    <row r="91" spans="1:25" s="15" customFormat="1" ht="7.9" customHeight="1" thickBot="1" x14ac:dyDescent="0.3">
      <c r="A91" s="216"/>
      <c r="B91" s="81"/>
      <c r="C91" s="81"/>
      <c r="D91" s="199"/>
      <c r="E91" s="199"/>
      <c r="F91" s="199"/>
      <c r="G91" s="164"/>
      <c r="H91" s="165"/>
      <c r="I91" s="165"/>
      <c r="J91" s="81"/>
      <c r="K91" s="164"/>
      <c r="L91" s="166"/>
      <c r="M91" s="327"/>
      <c r="N91" s="327"/>
      <c r="O91" s="327"/>
      <c r="P91" s="328"/>
      <c r="Q91" s="328"/>
      <c r="R91" s="81"/>
      <c r="S91" s="81"/>
      <c r="T91" s="81"/>
      <c r="U91" s="81"/>
      <c r="V91" s="81"/>
      <c r="W91" s="81"/>
      <c r="X91" s="81"/>
      <c r="Y91" s="42"/>
    </row>
    <row r="92" spans="1:25" s="15" customFormat="1" ht="24" customHeight="1" x14ac:dyDescent="0.25">
      <c r="A92" s="216"/>
      <c r="B92" s="81"/>
      <c r="C92" s="81"/>
      <c r="D92" s="159" t="s">
        <v>143</v>
      </c>
      <c r="E92" s="159"/>
      <c r="F92" s="435" t="str">
        <f>_product_code</f>
        <v>Please select length and number of slots</v>
      </c>
      <c r="G92" s="435"/>
      <c r="H92" s="435"/>
      <c r="I92" s="435"/>
      <c r="J92" s="435"/>
      <c r="K92" s="435"/>
      <c r="L92" s="435"/>
      <c r="M92" s="82" t="s">
        <v>547</v>
      </c>
      <c r="N92" s="82"/>
      <c r="O92" s="81"/>
      <c r="P92" s="81"/>
      <c r="Q92" s="81"/>
      <c r="R92" s="81"/>
      <c r="S92" s="81"/>
      <c r="T92" s="81"/>
      <c r="U92" s="81"/>
      <c r="V92" s="81"/>
      <c r="W92" s="81"/>
      <c r="X92" s="81"/>
      <c r="Y92" s="42"/>
    </row>
    <row r="93" spans="1:25" ht="99" customHeight="1" x14ac:dyDescent="0.25">
      <c r="A93" s="215"/>
      <c r="B93" s="107"/>
      <c r="C93" s="107"/>
      <c r="D93" s="171"/>
      <c r="E93" s="171"/>
      <c r="F93" s="436" t="str">
        <f ca="1">data!B320</f>
        <v xml:space="preserve">• LJC-AD (supply air)
• 1200 mm neck length; (number of slots not selected)
• 2-way blow
• discharge direction manually set to 'Air Pattern Setting'
</v>
      </c>
      <c r="G93" s="436"/>
      <c r="H93" s="436"/>
      <c r="I93" s="436" t="str">
        <f>data!C320</f>
        <v xml:space="preserve">• profile powder coated to RAL9003 with black barrels
• with side flanges
• with two end flanges
• fixing by others; without accessories
• no connection box  
</v>
      </c>
      <c r="J93" s="436"/>
      <c r="K93" s="436"/>
      <c r="L93" s="436"/>
      <c r="M93" s="141" t="s">
        <v>868</v>
      </c>
      <c r="N93" s="107"/>
      <c r="O93" s="107"/>
      <c r="P93" s="107"/>
      <c r="Q93" s="107"/>
      <c r="R93" s="107"/>
      <c r="S93" s="107"/>
      <c r="T93" s="107"/>
      <c r="U93" s="107"/>
      <c r="V93" s="107"/>
      <c r="W93" s="107"/>
      <c r="X93" s="107"/>
      <c r="Y93" s="41"/>
    </row>
    <row r="94" spans="1:25" ht="15.75" x14ac:dyDescent="0.25">
      <c r="A94" s="50"/>
      <c r="B94" s="172"/>
      <c r="C94" s="107"/>
      <c r="D94" s="171"/>
      <c r="E94" s="171"/>
      <c r="F94" s="171"/>
      <c r="G94" s="107"/>
      <c r="H94" s="107"/>
      <c r="I94" s="107"/>
      <c r="J94" s="107"/>
      <c r="K94" s="107"/>
      <c r="L94" s="107"/>
      <c r="M94" s="141"/>
      <c r="N94" s="107"/>
      <c r="O94" s="107"/>
      <c r="P94" s="107"/>
      <c r="Q94" s="107"/>
      <c r="R94" s="107"/>
      <c r="S94" s="107"/>
      <c r="T94" s="107"/>
      <c r="U94" s="107"/>
      <c r="V94" s="107"/>
      <c r="W94" s="107"/>
      <c r="X94" s="107"/>
    </row>
    <row r="95" spans="1:25" ht="15.75" x14ac:dyDescent="0.25">
      <c r="A95" s="217"/>
      <c r="B95" s="36"/>
      <c r="C95" s="36"/>
      <c r="D95" s="36"/>
      <c r="E95" s="36"/>
      <c r="F95" s="36"/>
      <c r="G95" s="36"/>
      <c r="H95" s="36"/>
      <c r="I95" s="428" t="s">
        <v>88</v>
      </c>
      <c r="J95" s="428"/>
      <c r="K95" s="428"/>
      <c r="L95" s="428"/>
      <c r="M95" s="428"/>
      <c r="N95" s="36"/>
      <c r="O95" s="104"/>
      <c r="P95" s="104"/>
      <c r="Q95" s="104" t="s">
        <v>870</v>
      </c>
      <c r="R95" s="104"/>
      <c r="S95" s="104"/>
      <c r="T95" s="104"/>
      <c r="U95" s="104"/>
      <c r="V95" s="104"/>
      <c r="W95" s="104"/>
      <c r="X95" s="104"/>
    </row>
  </sheetData>
  <sheetProtection algorithmName="SHA-512" hashValue="35cfbr6ZCmhPALDoFfCuZnlG5gkZxaGd/9HJfATZeOPm7rDYx0z/q5KggQLeO3FA9lEd8seXRRz3MqNFvu38pg==" saltValue="t0PhnMnXhAMCeKrrfk2+Pg==" spinCount="100000" sheet="1" selectLockedCells="1"/>
  <protectedRanges>
    <protectedRange sqref="N23" name="inputs"/>
  </protectedRanges>
  <mergeCells count="23">
    <mergeCell ref="C58:C61"/>
    <mergeCell ref="C62:C66"/>
    <mergeCell ref="C72:C74"/>
    <mergeCell ref="C43:C48"/>
    <mergeCell ref="C49:C51"/>
    <mergeCell ref="C52:C53"/>
    <mergeCell ref="C54:C56"/>
    <mergeCell ref="C68:C71"/>
    <mergeCell ref="N15:O15"/>
    <mergeCell ref="M49:S50"/>
    <mergeCell ref="M67:X71"/>
    <mergeCell ref="M58:W61"/>
    <mergeCell ref="M55:W57"/>
    <mergeCell ref="M62:S63"/>
    <mergeCell ref="D5:I5"/>
    <mergeCell ref="I95:M95"/>
    <mergeCell ref="D7:G7"/>
    <mergeCell ref="D35:H35"/>
    <mergeCell ref="G67:G71"/>
    <mergeCell ref="H83:I83"/>
    <mergeCell ref="F92:L92"/>
    <mergeCell ref="F93:H93"/>
    <mergeCell ref="I93:L93"/>
  </mergeCells>
  <phoneticPr fontId="62" type="noConversion"/>
  <conditionalFormatting sqref="G49:L50">
    <cfRule type="expression" dxfId="39" priority="86">
      <formula>ISTEXT(G49)</formula>
    </cfRule>
  </conditionalFormatting>
  <dataValidations count="1">
    <dataValidation type="list" allowBlank="1" showInputMessage="1" showErrorMessage="1" sqref="N13" xr:uid="{00000000-0002-0000-0000-000000000000}">
      <formula1>adpi.</formula1>
    </dataValidation>
  </dataValidations>
  <hyperlinks>
    <hyperlink ref="I95:M95" r:id="rId1" display="click here to see product on smartair.asia" xr:uid="{00000000-0004-0000-0000-000000000000}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3" r:id="rId5" name="Option Button 9">
              <controlPr defaultSize="0" autoFill="0" autoLine="0" autoPict="0">
                <anchor moveWithCells="1">
                  <from>
                    <xdr:col>13</xdr:col>
                    <xdr:colOff>695325</xdr:colOff>
                    <xdr:row>8</xdr:row>
                    <xdr:rowOff>28575</xdr:rowOff>
                  </from>
                  <to>
                    <xdr:col>14</xdr:col>
                    <xdr:colOff>542925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6" name="Option Button 10">
              <controlPr defaultSize="0" autoFill="0" autoLine="0" autoPict="0">
                <anchor moveWithCells="1">
                  <from>
                    <xdr:col>12</xdr:col>
                    <xdr:colOff>752475</xdr:colOff>
                    <xdr:row>8</xdr:row>
                    <xdr:rowOff>9525</xdr:rowOff>
                  </from>
                  <to>
                    <xdr:col>13</xdr:col>
                    <xdr:colOff>514350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7" name="Group Box 16">
              <controlPr defaultSize="0" autoFill="0" autoPict="0">
                <anchor moveWithCells="1">
                  <from>
                    <xdr:col>12</xdr:col>
                    <xdr:colOff>19050</xdr:colOff>
                    <xdr:row>7</xdr:row>
                    <xdr:rowOff>142875</xdr:rowOff>
                  </from>
                  <to>
                    <xdr:col>15</xdr:col>
                    <xdr:colOff>381000</xdr:colOff>
                    <xdr:row>9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8" name="Group Box 28">
              <controlPr defaultSize="0" autoFill="0" autoPict="0">
                <anchor moveWithCells="1">
                  <from>
                    <xdr:col>4</xdr:col>
                    <xdr:colOff>590550</xdr:colOff>
                    <xdr:row>79</xdr:row>
                    <xdr:rowOff>0</xdr:rowOff>
                  </from>
                  <to>
                    <xdr:col>12</xdr:col>
                    <xdr:colOff>409575</xdr:colOff>
                    <xdr:row>80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9" name="Option Button 29">
              <controlPr defaultSize="0" autoFill="0" autoLine="0" autoPict="0">
                <anchor moveWithCells="1">
                  <from>
                    <xdr:col>5</xdr:col>
                    <xdr:colOff>533400</xdr:colOff>
                    <xdr:row>79</xdr:row>
                    <xdr:rowOff>47625</xdr:rowOff>
                  </from>
                  <to>
                    <xdr:col>6</xdr:col>
                    <xdr:colOff>666750</xdr:colOff>
                    <xdr:row>79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0" name="Option Button 30">
              <controlPr defaultSize="0" autoFill="0" autoLine="0" autoPict="0">
                <anchor moveWithCells="1">
                  <from>
                    <xdr:col>7</xdr:col>
                    <xdr:colOff>628650</xdr:colOff>
                    <xdr:row>79</xdr:row>
                    <xdr:rowOff>28575</xdr:rowOff>
                  </from>
                  <to>
                    <xdr:col>8</xdr:col>
                    <xdr:colOff>704850</xdr:colOff>
                    <xdr:row>79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1" name="Option Button 31">
              <controlPr defaultSize="0" autoFill="0" autoLine="0" autoPict="0">
                <anchor moveWithCells="1">
                  <from>
                    <xdr:col>9</xdr:col>
                    <xdr:colOff>600075</xdr:colOff>
                    <xdr:row>79</xdr:row>
                    <xdr:rowOff>57150</xdr:rowOff>
                  </from>
                  <to>
                    <xdr:col>10</xdr:col>
                    <xdr:colOff>657225</xdr:colOff>
                    <xdr:row>79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2" name="Option Button 33">
              <controlPr defaultSize="0" autoFill="0" autoLine="0" autoPict="0">
                <anchor moveWithCells="1">
                  <from>
                    <xdr:col>5</xdr:col>
                    <xdr:colOff>523875</xdr:colOff>
                    <xdr:row>83</xdr:row>
                    <xdr:rowOff>66675</xdr:rowOff>
                  </from>
                  <to>
                    <xdr:col>6</xdr:col>
                    <xdr:colOff>457200</xdr:colOff>
                    <xdr:row>83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3" name="Option Button 34">
              <controlPr defaultSize="0" autoFill="0" autoLine="0" autoPict="0">
                <anchor moveWithCells="1">
                  <from>
                    <xdr:col>7</xdr:col>
                    <xdr:colOff>581025</xdr:colOff>
                    <xdr:row>83</xdr:row>
                    <xdr:rowOff>47625</xdr:rowOff>
                  </from>
                  <to>
                    <xdr:col>8</xdr:col>
                    <xdr:colOff>657225</xdr:colOff>
                    <xdr:row>83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4" name="Group Box 35">
              <controlPr defaultSize="0" autoFill="0" autoPict="0">
                <anchor moveWithCells="1">
                  <from>
                    <xdr:col>5</xdr:col>
                    <xdr:colOff>276225</xdr:colOff>
                    <xdr:row>83</xdr:row>
                    <xdr:rowOff>19050</xdr:rowOff>
                  </from>
                  <to>
                    <xdr:col>11</xdr:col>
                    <xdr:colOff>133350</xdr:colOff>
                    <xdr:row>83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5" name="Option Button 39">
              <controlPr defaultSize="0" autoFill="0" autoLine="0" autoPict="0">
                <anchor moveWithCells="1">
                  <from>
                    <xdr:col>5</xdr:col>
                    <xdr:colOff>514350</xdr:colOff>
                    <xdr:row>87</xdr:row>
                    <xdr:rowOff>66675</xdr:rowOff>
                  </from>
                  <to>
                    <xdr:col>6</xdr:col>
                    <xdr:colOff>352425</xdr:colOff>
                    <xdr:row>87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6" name="Option Button 40">
              <controlPr defaultSize="0" autoFill="0" autoLine="0" autoPict="0">
                <anchor moveWithCells="1">
                  <from>
                    <xdr:col>6</xdr:col>
                    <xdr:colOff>609600</xdr:colOff>
                    <xdr:row>87</xdr:row>
                    <xdr:rowOff>66675</xdr:rowOff>
                  </from>
                  <to>
                    <xdr:col>7</xdr:col>
                    <xdr:colOff>333375</xdr:colOff>
                    <xdr:row>87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7" name="Group Box 41">
              <controlPr defaultSize="0" autoFill="0" autoPict="0">
                <anchor moveWithCells="1">
                  <from>
                    <xdr:col>5</xdr:col>
                    <xdr:colOff>247650</xdr:colOff>
                    <xdr:row>87</xdr:row>
                    <xdr:rowOff>28575</xdr:rowOff>
                  </from>
                  <to>
                    <xdr:col>8</xdr:col>
                    <xdr:colOff>400050</xdr:colOff>
                    <xdr:row>87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8" name="Option Button 36">
              <controlPr defaultSize="0" autoFill="0" autoLine="0" autoPict="0">
                <anchor moveWithCells="1">
                  <from>
                    <xdr:col>5</xdr:col>
                    <xdr:colOff>552450</xdr:colOff>
                    <xdr:row>86</xdr:row>
                    <xdr:rowOff>57150</xdr:rowOff>
                  </from>
                  <to>
                    <xdr:col>7</xdr:col>
                    <xdr:colOff>19050</xdr:colOff>
                    <xdr:row>86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19" name="Option Button 37">
              <controlPr defaultSize="0" autoFill="0" autoLine="0" autoPict="0">
                <anchor moveWithCells="1">
                  <from>
                    <xdr:col>7</xdr:col>
                    <xdr:colOff>609600</xdr:colOff>
                    <xdr:row>86</xdr:row>
                    <xdr:rowOff>57150</xdr:rowOff>
                  </from>
                  <to>
                    <xdr:col>8</xdr:col>
                    <xdr:colOff>485775</xdr:colOff>
                    <xdr:row>86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0" name="Group Box 38">
              <controlPr defaultSize="0" autoFill="0" autoPict="0">
                <anchor moveWithCells="1">
                  <from>
                    <xdr:col>5</xdr:col>
                    <xdr:colOff>314325</xdr:colOff>
                    <xdr:row>86</xdr:row>
                    <xdr:rowOff>28575</xdr:rowOff>
                  </from>
                  <to>
                    <xdr:col>10</xdr:col>
                    <xdr:colOff>400050</xdr:colOff>
                    <xdr:row>86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1" name="Option Button 42">
              <controlPr defaultSize="0" autoFill="0" autoLine="0" autoPict="0">
                <anchor moveWithCells="1">
                  <from>
                    <xdr:col>9</xdr:col>
                    <xdr:colOff>581025</xdr:colOff>
                    <xdr:row>86</xdr:row>
                    <xdr:rowOff>47625</xdr:rowOff>
                  </from>
                  <to>
                    <xdr:col>10</xdr:col>
                    <xdr:colOff>133350</xdr:colOff>
                    <xdr:row>86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22" name="Group Box 49">
              <controlPr defaultSize="0" autoFill="0" autoPict="0">
                <anchor moveWithCells="1">
                  <from>
                    <xdr:col>10</xdr:col>
                    <xdr:colOff>295275</xdr:colOff>
                    <xdr:row>15</xdr:row>
                    <xdr:rowOff>152400</xdr:rowOff>
                  </from>
                  <to>
                    <xdr:col>11</xdr:col>
                    <xdr:colOff>542925</xdr:colOff>
                    <xdr:row>21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23" name="Option Button 50">
              <controlPr defaultSize="0" autoFill="0" autoLine="0" autoPict="0">
                <anchor moveWithCells="1">
                  <from>
                    <xdr:col>10</xdr:col>
                    <xdr:colOff>523875</xdr:colOff>
                    <xdr:row>16</xdr:row>
                    <xdr:rowOff>19050</xdr:rowOff>
                  </from>
                  <to>
                    <xdr:col>11</xdr:col>
                    <xdr:colOff>285750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24" name="Option Button 51">
              <controlPr defaultSize="0" autoFill="0" autoLine="0" autoPict="0">
                <anchor moveWithCells="1">
                  <from>
                    <xdr:col>10</xdr:col>
                    <xdr:colOff>514350</xdr:colOff>
                    <xdr:row>18</xdr:row>
                    <xdr:rowOff>0</xdr:rowOff>
                  </from>
                  <to>
                    <xdr:col>11</xdr:col>
                    <xdr:colOff>276225</xdr:colOff>
                    <xdr:row>18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25" name="Option Button 52">
              <controlPr defaultSize="0" autoFill="0" autoLine="0" autoPict="0">
                <anchor moveWithCells="1">
                  <from>
                    <xdr:col>10</xdr:col>
                    <xdr:colOff>514350</xdr:colOff>
                    <xdr:row>19</xdr:row>
                    <xdr:rowOff>228600</xdr:rowOff>
                  </from>
                  <to>
                    <xdr:col>11</xdr:col>
                    <xdr:colOff>276225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26" name="Group Box 53">
              <controlPr defaultSize="0" autoFill="0" autoPict="0">
                <anchor moveWithCells="1">
                  <from>
                    <xdr:col>5</xdr:col>
                    <xdr:colOff>47625</xdr:colOff>
                    <xdr:row>7</xdr:row>
                    <xdr:rowOff>104775</xdr:rowOff>
                  </from>
                  <to>
                    <xdr:col>9</xdr:col>
                    <xdr:colOff>85725</xdr:colOff>
                    <xdr:row>9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27" name="Option Button 54">
              <controlPr defaultSize="0" autoFill="0" autoLine="0" autoPict="0">
                <anchor moveWithCells="1">
                  <from>
                    <xdr:col>5</xdr:col>
                    <xdr:colOff>152400</xdr:colOff>
                    <xdr:row>8</xdr:row>
                    <xdr:rowOff>19050</xdr:rowOff>
                  </from>
                  <to>
                    <xdr:col>5</xdr:col>
                    <xdr:colOff>704850</xdr:colOff>
                    <xdr:row>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0" r:id="rId28" name="Option Button 56">
              <controlPr defaultSize="0" autoFill="0" autoLine="0" autoPict="0">
                <anchor moveWithCells="1">
                  <from>
                    <xdr:col>6</xdr:col>
                    <xdr:colOff>19050</xdr:colOff>
                    <xdr:row>8</xdr:row>
                    <xdr:rowOff>19050</xdr:rowOff>
                  </from>
                  <to>
                    <xdr:col>6</xdr:col>
                    <xdr:colOff>447675</xdr:colOff>
                    <xdr:row>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29" name="Group Box 72">
              <controlPr defaultSize="0" autoFill="0" autoPict="0">
                <anchor moveWithCells="1">
                  <from>
                    <xdr:col>4</xdr:col>
                    <xdr:colOff>0</xdr:colOff>
                    <xdr:row>29</xdr:row>
                    <xdr:rowOff>180975</xdr:rowOff>
                  </from>
                  <to>
                    <xdr:col>4</xdr:col>
                    <xdr:colOff>9525</xdr:colOff>
                    <xdr:row>32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30" name="Option Button 73">
              <controlPr defaultSize="0" autoFill="0" autoLine="0" autoPict="0">
                <anchor moveWithCells="1">
                  <from>
                    <xdr:col>4</xdr:col>
                    <xdr:colOff>0</xdr:colOff>
                    <xdr:row>30</xdr:row>
                    <xdr:rowOff>19050</xdr:rowOff>
                  </from>
                  <to>
                    <xdr:col>4</xdr:col>
                    <xdr:colOff>9525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31" name="Option Button 74">
              <controlPr defaultSize="0" autoFill="0" autoLine="0" autoPict="0">
                <anchor moveWithCells="1">
                  <from>
                    <xdr:col>4</xdr:col>
                    <xdr:colOff>0</xdr:colOff>
                    <xdr:row>31</xdr:row>
                    <xdr:rowOff>19050</xdr:rowOff>
                  </from>
                  <to>
                    <xdr:col>4</xdr:col>
                    <xdr:colOff>9525</xdr:colOff>
                    <xdr:row>32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32" name="Group Box 17">
              <controlPr defaultSize="0" autoFill="0" autoPict="0">
                <anchor moveWithCells="1">
                  <from>
                    <xdr:col>5</xdr:col>
                    <xdr:colOff>161925</xdr:colOff>
                    <xdr:row>76</xdr:row>
                    <xdr:rowOff>352425</xdr:rowOff>
                  </from>
                  <to>
                    <xdr:col>14</xdr:col>
                    <xdr:colOff>152400</xdr:colOff>
                    <xdr:row>77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33" name="Option Button 19">
              <controlPr defaultSize="0" autoFill="0" autoLine="0" autoPict="0">
                <anchor moveWithCells="1">
                  <from>
                    <xdr:col>6</xdr:col>
                    <xdr:colOff>19050</xdr:colOff>
                    <xdr:row>77</xdr:row>
                    <xdr:rowOff>47625</xdr:rowOff>
                  </from>
                  <to>
                    <xdr:col>6</xdr:col>
                    <xdr:colOff>447675</xdr:colOff>
                    <xdr:row>77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34" name="Option Button 20">
              <controlPr defaultSize="0" autoFill="0" autoLine="0" autoPict="0">
                <anchor moveWithCells="1">
                  <from>
                    <xdr:col>7</xdr:col>
                    <xdr:colOff>0</xdr:colOff>
                    <xdr:row>77</xdr:row>
                    <xdr:rowOff>47625</xdr:rowOff>
                  </from>
                  <to>
                    <xdr:col>7</xdr:col>
                    <xdr:colOff>438150</xdr:colOff>
                    <xdr:row>77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35" name="Option Button 21">
              <controlPr defaultSize="0" autoFill="0" autoLine="0" autoPict="0">
                <anchor moveWithCells="1">
                  <from>
                    <xdr:col>8</xdr:col>
                    <xdr:colOff>0</xdr:colOff>
                    <xdr:row>77</xdr:row>
                    <xdr:rowOff>38100</xdr:rowOff>
                  </from>
                  <to>
                    <xdr:col>8</xdr:col>
                    <xdr:colOff>419100</xdr:colOff>
                    <xdr:row>77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36" name="Option Button 22">
              <controlPr defaultSize="0" autoFill="0" autoLine="0" autoPict="0">
                <anchor moveWithCells="1">
                  <from>
                    <xdr:col>8</xdr:col>
                    <xdr:colOff>781050</xdr:colOff>
                    <xdr:row>77</xdr:row>
                    <xdr:rowOff>47625</xdr:rowOff>
                  </from>
                  <to>
                    <xdr:col>9</xdr:col>
                    <xdr:colOff>419100</xdr:colOff>
                    <xdr:row>77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37" name="Option Button 23">
              <controlPr defaultSize="0" autoFill="0" autoLine="0" autoPict="0">
                <anchor moveWithCells="1">
                  <from>
                    <xdr:col>10</xdr:col>
                    <xdr:colOff>9525</xdr:colOff>
                    <xdr:row>77</xdr:row>
                    <xdr:rowOff>47625</xdr:rowOff>
                  </from>
                  <to>
                    <xdr:col>10</xdr:col>
                    <xdr:colOff>447675</xdr:colOff>
                    <xdr:row>77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8" name="Option Button 43">
              <controlPr defaultSize="0" autoFill="0" autoLine="0" autoPict="0">
                <anchor moveWithCells="1">
                  <from>
                    <xdr:col>11</xdr:col>
                    <xdr:colOff>0</xdr:colOff>
                    <xdr:row>77</xdr:row>
                    <xdr:rowOff>47625</xdr:rowOff>
                  </from>
                  <to>
                    <xdr:col>11</xdr:col>
                    <xdr:colOff>428625</xdr:colOff>
                    <xdr:row>77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8" r:id="rId39" name="Option Button 94">
              <controlPr defaultSize="0" autoFill="0" autoLine="0" autoPict="0">
                <anchor moveWithCells="1">
                  <from>
                    <xdr:col>11</xdr:col>
                    <xdr:colOff>771525</xdr:colOff>
                    <xdr:row>77</xdr:row>
                    <xdr:rowOff>38100</xdr:rowOff>
                  </from>
                  <to>
                    <xdr:col>12</xdr:col>
                    <xdr:colOff>409575</xdr:colOff>
                    <xdr:row>77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5" r:id="rId40" name="Group Box 121">
              <controlPr defaultSize="0" autoFill="0" autoPict="0">
                <anchor moveWithCells="1">
                  <from>
                    <xdr:col>5</xdr:col>
                    <xdr:colOff>247650</xdr:colOff>
                    <xdr:row>84</xdr:row>
                    <xdr:rowOff>19050</xdr:rowOff>
                  </from>
                  <to>
                    <xdr:col>15</xdr:col>
                    <xdr:colOff>438150</xdr:colOff>
                    <xdr:row>84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6" r:id="rId41" name="Option Button 122">
              <controlPr defaultSize="0" autoFill="0" autoLine="0" autoPict="0">
                <anchor moveWithCells="1">
                  <from>
                    <xdr:col>5</xdr:col>
                    <xdr:colOff>514350</xdr:colOff>
                    <xdr:row>84</xdr:row>
                    <xdr:rowOff>47625</xdr:rowOff>
                  </from>
                  <to>
                    <xdr:col>6</xdr:col>
                    <xdr:colOff>285750</xdr:colOff>
                    <xdr:row>84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7" r:id="rId42" name="Option Button 123">
              <controlPr defaultSize="0" autoFill="0" autoLine="0" autoPict="0">
                <anchor moveWithCells="1">
                  <from>
                    <xdr:col>7</xdr:col>
                    <xdr:colOff>600075</xdr:colOff>
                    <xdr:row>84</xdr:row>
                    <xdr:rowOff>47625</xdr:rowOff>
                  </from>
                  <to>
                    <xdr:col>8</xdr:col>
                    <xdr:colOff>466725</xdr:colOff>
                    <xdr:row>84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8" r:id="rId43" name="Option Button 124">
              <controlPr defaultSize="0" autoFill="0" autoLine="0" autoPict="0">
                <anchor moveWithCells="1">
                  <from>
                    <xdr:col>10</xdr:col>
                    <xdr:colOff>590550</xdr:colOff>
                    <xdr:row>84</xdr:row>
                    <xdr:rowOff>38100</xdr:rowOff>
                  </from>
                  <to>
                    <xdr:col>11</xdr:col>
                    <xdr:colOff>533400</xdr:colOff>
                    <xdr:row>84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49" r:id="rId44" name="Option Button 125">
              <controlPr defaultSize="0" autoFill="0" autoLine="0" autoPict="0">
                <anchor moveWithCells="1">
                  <from>
                    <xdr:col>12</xdr:col>
                    <xdr:colOff>466725</xdr:colOff>
                    <xdr:row>84</xdr:row>
                    <xdr:rowOff>38100</xdr:rowOff>
                  </from>
                  <to>
                    <xdr:col>13</xdr:col>
                    <xdr:colOff>228600</xdr:colOff>
                    <xdr:row>84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1" r:id="rId45" name="Group Box 127">
              <controlPr defaultSize="0" autoFill="0" autoPict="0">
                <anchor moveWithCells="1">
                  <from>
                    <xdr:col>5</xdr:col>
                    <xdr:colOff>276225</xdr:colOff>
                    <xdr:row>85</xdr:row>
                    <xdr:rowOff>0</xdr:rowOff>
                  </from>
                  <to>
                    <xdr:col>13</xdr:col>
                    <xdr:colOff>428625</xdr:colOff>
                    <xdr:row>85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2" r:id="rId46" name="Option Button 128">
              <controlPr defaultSize="0" autoFill="0" autoLine="0" autoPict="0">
                <anchor moveWithCells="1">
                  <from>
                    <xdr:col>5</xdr:col>
                    <xdr:colOff>533400</xdr:colOff>
                    <xdr:row>85</xdr:row>
                    <xdr:rowOff>28575</xdr:rowOff>
                  </from>
                  <to>
                    <xdr:col>6</xdr:col>
                    <xdr:colOff>457200</xdr:colOff>
                    <xdr:row>85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3" r:id="rId47" name="Option Button 129">
              <controlPr defaultSize="0" autoFill="0" autoLine="0" autoPict="0">
                <anchor moveWithCells="1">
                  <from>
                    <xdr:col>8</xdr:col>
                    <xdr:colOff>609600</xdr:colOff>
                    <xdr:row>85</xdr:row>
                    <xdr:rowOff>47625</xdr:rowOff>
                  </from>
                  <to>
                    <xdr:col>9</xdr:col>
                    <xdr:colOff>428625</xdr:colOff>
                    <xdr:row>85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59" r:id="rId48" name="Option Button 835">
              <controlPr defaultSize="0" autoFill="0" autoLine="0" autoPict="0">
                <anchor moveWithCells="1">
                  <from>
                    <xdr:col>10</xdr:col>
                    <xdr:colOff>561975</xdr:colOff>
                    <xdr:row>85</xdr:row>
                    <xdr:rowOff>57150</xdr:rowOff>
                  </from>
                  <to>
                    <xdr:col>11</xdr:col>
                    <xdr:colOff>561975</xdr:colOff>
                    <xdr:row>85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4" r:id="rId49" name="Group Box 130">
              <controlPr defaultSize="0" autoFill="0" autoPict="0">
                <anchor moveWithCells="1">
                  <from>
                    <xdr:col>4</xdr:col>
                    <xdr:colOff>657225</xdr:colOff>
                    <xdr:row>88</xdr:row>
                    <xdr:rowOff>28575</xdr:rowOff>
                  </from>
                  <to>
                    <xdr:col>12</xdr:col>
                    <xdr:colOff>304800</xdr:colOff>
                    <xdr:row>88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5" r:id="rId50" name="Option Button 131">
              <controlPr defaultSize="0" autoFill="0" autoLine="0" autoPict="0">
                <anchor moveWithCells="1">
                  <from>
                    <xdr:col>5</xdr:col>
                    <xdr:colOff>495300</xdr:colOff>
                    <xdr:row>88</xdr:row>
                    <xdr:rowOff>47625</xdr:rowOff>
                  </from>
                  <to>
                    <xdr:col>6</xdr:col>
                    <xdr:colOff>457200</xdr:colOff>
                    <xdr:row>88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6" r:id="rId51" name="Option Button 132">
              <controlPr defaultSize="0" autoFill="0" autoLine="0" autoPict="0">
                <anchor moveWithCells="1">
                  <from>
                    <xdr:col>7</xdr:col>
                    <xdr:colOff>571500</xdr:colOff>
                    <xdr:row>88</xdr:row>
                    <xdr:rowOff>38100</xdr:rowOff>
                  </from>
                  <to>
                    <xdr:col>8</xdr:col>
                    <xdr:colOff>171450</xdr:colOff>
                    <xdr:row>88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7" r:id="rId52" name="Option Button 133">
              <controlPr defaultSize="0" autoFill="0" autoLine="0" autoPict="0">
                <anchor moveWithCells="1">
                  <from>
                    <xdr:col>10</xdr:col>
                    <xdr:colOff>590550</xdr:colOff>
                    <xdr:row>88</xdr:row>
                    <xdr:rowOff>38100</xdr:rowOff>
                  </from>
                  <to>
                    <xdr:col>11</xdr:col>
                    <xdr:colOff>409575</xdr:colOff>
                    <xdr:row>88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8" r:id="rId53" name="Group Box 134">
              <controlPr defaultSize="0" autoFill="0" autoPict="0">
                <anchor moveWithCells="1">
                  <from>
                    <xdr:col>7</xdr:col>
                    <xdr:colOff>762000</xdr:colOff>
                    <xdr:row>89</xdr:row>
                    <xdr:rowOff>9525</xdr:rowOff>
                  </from>
                  <to>
                    <xdr:col>12</xdr:col>
                    <xdr:colOff>571500</xdr:colOff>
                    <xdr:row>89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59" r:id="rId54" name="Option Button 135">
              <controlPr defaultSize="0" autoFill="0" autoLine="0" autoPict="0">
                <anchor moveWithCells="1">
                  <from>
                    <xdr:col>8</xdr:col>
                    <xdr:colOff>209550</xdr:colOff>
                    <xdr:row>89</xdr:row>
                    <xdr:rowOff>38100</xdr:rowOff>
                  </from>
                  <to>
                    <xdr:col>9</xdr:col>
                    <xdr:colOff>0</xdr:colOff>
                    <xdr:row>89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60" r:id="rId55" name="Option Button 136">
              <controlPr defaultSize="0" autoFill="0" autoLine="0" autoPict="0">
                <anchor moveWithCells="1">
                  <from>
                    <xdr:col>10</xdr:col>
                    <xdr:colOff>419100</xdr:colOff>
                    <xdr:row>89</xdr:row>
                    <xdr:rowOff>28575</xdr:rowOff>
                  </from>
                  <to>
                    <xdr:col>10</xdr:col>
                    <xdr:colOff>742950</xdr:colOff>
                    <xdr:row>89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56" name="Option Button 57">
              <controlPr defaultSize="0" autoFill="0" autoLine="0" autoPict="0">
                <anchor moveWithCells="1">
                  <from>
                    <xdr:col>5</xdr:col>
                    <xdr:colOff>371475</xdr:colOff>
                    <xdr:row>82</xdr:row>
                    <xdr:rowOff>47625</xdr:rowOff>
                  </from>
                  <to>
                    <xdr:col>6</xdr:col>
                    <xdr:colOff>19050</xdr:colOff>
                    <xdr:row>82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7" name="Option Button 58">
              <controlPr defaultSize="0" autoFill="0" autoLine="0" autoPict="0">
                <anchor moveWithCells="1">
                  <from>
                    <xdr:col>7</xdr:col>
                    <xdr:colOff>247650</xdr:colOff>
                    <xdr:row>82</xdr:row>
                    <xdr:rowOff>57150</xdr:rowOff>
                  </from>
                  <to>
                    <xdr:col>7</xdr:col>
                    <xdr:colOff>590550</xdr:colOff>
                    <xdr:row>82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8" name="Group Box 24">
              <controlPr defaultSize="0" autoFill="0" autoPict="0">
                <anchor moveWithCells="1">
                  <from>
                    <xdr:col>4</xdr:col>
                    <xdr:colOff>19050</xdr:colOff>
                    <xdr:row>82</xdr:row>
                    <xdr:rowOff>9525</xdr:rowOff>
                  </from>
                  <to>
                    <xdr:col>15</xdr:col>
                    <xdr:colOff>152400</xdr:colOff>
                    <xdr:row>82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59" name="Option Button 25">
              <controlPr defaultSize="0" autoFill="0" autoLine="0" autoPict="0">
                <anchor moveWithCells="1">
                  <from>
                    <xdr:col>8</xdr:col>
                    <xdr:colOff>581025</xdr:colOff>
                    <xdr:row>82</xdr:row>
                    <xdr:rowOff>57150</xdr:rowOff>
                  </from>
                  <to>
                    <xdr:col>9</xdr:col>
                    <xdr:colOff>371475</xdr:colOff>
                    <xdr:row>82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60" name="Option Button 26">
              <controlPr defaultSize="0" autoFill="0" autoLine="0" autoPict="0">
                <anchor moveWithCells="1">
                  <from>
                    <xdr:col>9</xdr:col>
                    <xdr:colOff>762000</xdr:colOff>
                    <xdr:row>82</xdr:row>
                    <xdr:rowOff>57150</xdr:rowOff>
                  </from>
                  <to>
                    <xdr:col>10</xdr:col>
                    <xdr:colOff>628650</xdr:colOff>
                    <xdr:row>82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61" name="Option Button 27">
              <controlPr defaultSize="0" autoFill="0" autoLine="0" autoPict="0">
                <anchor moveWithCells="1">
                  <from>
                    <xdr:col>10</xdr:col>
                    <xdr:colOff>733425</xdr:colOff>
                    <xdr:row>82</xdr:row>
                    <xdr:rowOff>47625</xdr:rowOff>
                  </from>
                  <to>
                    <xdr:col>11</xdr:col>
                    <xdr:colOff>333375</xdr:colOff>
                    <xdr:row>82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1" r:id="rId62" name="Option Button 177">
              <controlPr defaultSize="0" autoFill="0" autoLine="0" autoPict="0">
                <anchor moveWithCells="1">
                  <from>
                    <xdr:col>11</xdr:col>
                    <xdr:colOff>647700</xdr:colOff>
                    <xdr:row>82</xdr:row>
                    <xdr:rowOff>28575</xdr:rowOff>
                  </from>
                  <to>
                    <xdr:col>12</xdr:col>
                    <xdr:colOff>190500</xdr:colOff>
                    <xdr:row>82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02" r:id="rId63" name="Option Button 178">
              <controlPr defaultSize="0" autoFill="0" autoLine="0" autoPict="0">
                <anchor moveWithCells="1">
                  <from>
                    <xdr:col>12</xdr:col>
                    <xdr:colOff>762000</xdr:colOff>
                    <xdr:row>82</xdr:row>
                    <xdr:rowOff>47625</xdr:rowOff>
                  </from>
                  <to>
                    <xdr:col>13</xdr:col>
                    <xdr:colOff>295275</xdr:colOff>
                    <xdr:row>82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4" name="Option Button 12">
              <controlPr defaultSize="0" autoFill="0" autoLine="0" autoPict="0">
                <anchor moveWithCells="1">
                  <from>
                    <xdr:col>13</xdr:col>
                    <xdr:colOff>95250</xdr:colOff>
                    <xdr:row>14</xdr:row>
                    <xdr:rowOff>38100</xdr:rowOff>
                  </from>
                  <to>
                    <xdr:col>13</xdr:col>
                    <xdr:colOff>400050</xdr:colOff>
                    <xdr:row>14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65" name="Group Box 15">
              <controlPr defaultSize="0" autoFill="0" autoPict="0">
                <anchor moveWithCells="1">
                  <from>
                    <xdr:col>12</xdr:col>
                    <xdr:colOff>352425</xdr:colOff>
                    <xdr:row>13</xdr:row>
                    <xdr:rowOff>123825</xdr:rowOff>
                  </from>
                  <to>
                    <xdr:col>17</xdr:col>
                    <xdr:colOff>266700</xdr:colOff>
                    <xdr:row>15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20" r:id="rId66" name="Option Button 296">
              <controlPr defaultSize="0" autoFill="0" autoLine="0" autoPict="0">
                <anchor moveWithCells="1">
                  <from>
                    <xdr:col>14</xdr:col>
                    <xdr:colOff>466725</xdr:colOff>
                    <xdr:row>14</xdr:row>
                    <xdr:rowOff>19050</xdr:rowOff>
                  </from>
                  <to>
                    <xdr:col>14</xdr:col>
                    <xdr:colOff>762000</xdr:colOff>
                    <xdr:row>15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782" r:id="rId67" name="Check Box 758">
              <controlPr defaultSize="0" autoFill="0" autoLine="0" autoPict="0">
                <anchor moveWithCells="1">
                  <from>
                    <xdr:col>10</xdr:col>
                    <xdr:colOff>371475</xdr:colOff>
                    <xdr:row>26</xdr:row>
                    <xdr:rowOff>9525</xdr:rowOff>
                  </from>
                  <to>
                    <xdr:col>10</xdr:col>
                    <xdr:colOff>676275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29" r:id="rId68" name="Group box adjtype">
              <controlPr defaultSize="0" autoFill="0" autoPict="0">
                <anchor moveWithCells="1">
                  <from>
                    <xdr:col>4</xdr:col>
                    <xdr:colOff>57150</xdr:colOff>
                    <xdr:row>80</xdr:row>
                    <xdr:rowOff>285750</xdr:rowOff>
                  </from>
                  <to>
                    <xdr:col>13</xdr:col>
                    <xdr:colOff>457200</xdr:colOff>
                    <xdr:row>82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0" r:id="rId69" name="Option Button 806">
              <controlPr defaultSize="0" autoFill="0" autoLine="0" autoPict="0">
                <anchor moveWithCells="1">
                  <from>
                    <xdr:col>5</xdr:col>
                    <xdr:colOff>504825</xdr:colOff>
                    <xdr:row>81</xdr:row>
                    <xdr:rowOff>47625</xdr:rowOff>
                  </from>
                  <to>
                    <xdr:col>6</xdr:col>
                    <xdr:colOff>171450</xdr:colOff>
                    <xdr:row>81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1" r:id="rId70" name="Option Button 807">
              <controlPr defaultSize="0" autoFill="0" autoLine="0" autoPict="0">
                <anchor moveWithCells="1">
                  <from>
                    <xdr:col>6</xdr:col>
                    <xdr:colOff>609600</xdr:colOff>
                    <xdr:row>81</xdr:row>
                    <xdr:rowOff>47625</xdr:rowOff>
                  </from>
                  <to>
                    <xdr:col>7</xdr:col>
                    <xdr:colOff>609600</xdr:colOff>
                    <xdr:row>81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32" r:id="rId71" name="Option Button 808">
              <controlPr defaultSize="0" autoFill="0" autoLine="0" autoPict="0">
                <anchor moveWithCells="1">
                  <from>
                    <xdr:col>8</xdr:col>
                    <xdr:colOff>600075</xdr:colOff>
                    <xdr:row>81</xdr:row>
                    <xdr:rowOff>38100</xdr:rowOff>
                  </from>
                  <to>
                    <xdr:col>9</xdr:col>
                    <xdr:colOff>476250</xdr:colOff>
                    <xdr:row>81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395" r:id="rId72" name="Option Button 1059">
              <controlPr defaultSize="0" autoFill="0" autoLine="0" autoPict="0">
                <anchor moveWithCells="1">
                  <from>
                    <xdr:col>11</xdr:col>
                    <xdr:colOff>400050</xdr:colOff>
                    <xdr:row>81</xdr:row>
                    <xdr:rowOff>38100</xdr:rowOff>
                  </from>
                  <to>
                    <xdr:col>12</xdr:col>
                    <xdr:colOff>104775</xdr:colOff>
                    <xdr:row>81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71" r:id="rId73" name="Group Box 1935">
              <controlPr defaultSize="0" autoFill="0" autoPict="0">
                <anchor moveWithCells="1">
                  <from>
                    <xdr:col>4</xdr:col>
                    <xdr:colOff>76200</xdr:colOff>
                    <xdr:row>78</xdr:row>
                    <xdr:rowOff>9525</xdr:rowOff>
                  </from>
                  <to>
                    <xdr:col>13</xdr:col>
                    <xdr:colOff>552450</xdr:colOff>
                    <xdr:row>78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72" r:id="rId74" name="Option Button 1936">
              <controlPr defaultSize="0" autoFill="0" autoLine="0" autoPict="0">
                <anchor moveWithCells="1">
                  <from>
                    <xdr:col>5</xdr:col>
                    <xdr:colOff>457200</xdr:colOff>
                    <xdr:row>78</xdr:row>
                    <xdr:rowOff>57150</xdr:rowOff>
                  </from>
                  <to>
                    <xdr:col>6</xdr:col>
                    <xdr:colOff>266700</xdr:colOff>
                    <xdr:row>78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73" r:id="rId75" name="Option Button 1937">
              <controlPr defaultSize="0" autoFill="0" autoLine="0" autoPict="0">
                <anchor moveWithCells="1">
                  <from>
                    <xdr:col>8</xdr:col>
                    <xdr:colOff>590550</xdr:colOff>
                    <xdr:row>78</xdr:row>
                    <xdr:rowOff>57150</xdr:rowOff>
                  </from>
                  <to>
                    <xdr:col>9</xdr:col>
                    <xdr:colOff>400050</xdr:colOff>
                    <xdr:row>78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274" r:id="rId76" name="Option Button 1938">
              <controlPr defaultSize="0" autoFill="0" autoLine="0" autoPict="0">
                <anchor moveWithCells="1">
                  <from>
                    <xdr:col>10</xdr:col>
                    <xdr:colOff>257175</xdr:colOff>
                    <xdr:row>78</xdr:row>
                    <xdr:rowOff>47625</xdr:rowOff>
                  </from>
                  <to>
                    <xdr:col>11</xdr:col>
                    <xdr:colOff>133350</xdr:colOff>
                    <xdr:row>78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39" r:id="rId77" name="Option Button 2003">
              <controlPr defaultSize="0" autoFill="0" autoLine="0" autoPict="0">
                <anchor moveWithCells="1">
                  <from>
                    <xdr:col>6</xdr:col>
                    <xdr:colOff>781050</xdr:colOff>
                    <xdr:row>8</xdr:row>
                    <xdr:rowOff>9525</xdr:rowOff>
                  </from>
                  <to>
                    <xdr:col>7</xdr:col>
                    <xdr:colOff>552450</xdr:colOff>
                    <xdr:row>9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5" id="{E65152CC-3D49-4E37-BB1C-55327A487DBA}">
            <xm:f>NOT(data!$C$29)</xm:f>
            <x14:dxf>
              <font>
                <color theme="0" tint="-0.34998626667073579"/>
              </font>
            </x14:dxf>
          </x14:cfRule>
          <xm:sqref>D83:N83</xm:sqref>
        </x14:conditionalFormatting>
        <x14:conditionalFormatting xmlns:xm="http://schemas.microsoft.com/office/excel/2006/main">
          <x14:cfRule type="expression" priority="8" id="{00000000-000E-0000-0000-000006000000}">
            <xm:f>equations!$K$495</xm:f>
            <x14:dxf>
              <font>
                <color rgb="FFC00000"/>
              </font>
              <fill>
                <patternFill>
                  <bgColor theme="0"/>
                </patternFill>
              </fill>
            </x14:dxf>
          </x14:cfRule>
          <xm:sqref>E17</xm:sqref>
        </x14:conditionalFormatting>
        <x14:conditionalFormatting xmlns:xm="http://schemas.microsoft.com/office/excel/2006/main">
          <x14:cfRule type="expression" priority="18" id="{00000000-000E-0000-0000-000001000000}">
            <xm:f>equations!B$497</xm:f>
            <x14:dxf>
              <fill>
                <patternFill>
                  <bgColor theme="0" tint="-0.14996795556505021"/>
                </patternFill>
              </fill>
            </x14:dxf>
          </x14:cfRule>
          <xm:sqref>G42:L67 H68:L71 G72:L75</xm:sqref>
        </x14:conditionalFormatting>
        <x14:conditionalFormatting xmlns:xm="http://schemas.microsoft.com/office/excel/2006/main">
          <x14:cfRule type="expression" priority="17" id="{8F14D191-CEA6-45E1-84D8-2F4204CBDB9D}">
            <xm:f>equations!C$485</xm:f>
            <x14:dxf>
              <font>
                <color rgb="FFC00000"/>
              </font>
            </x14:dxf>
          </x14:cfRule>
          <xm:sqref>G44:L44 G49:L50</xm:sqref>
        </x14:conditionalFormatting>
        <x14:conditionalFormatting xmlns:xm="http://schemas.microsoft.com/office/excel/2006/main">
          <x14:cfRule type="expression" priority="16" id="{21C5C552-6772-4F09-B4A8-CEB088940620}">
            <xm:f>equations!B$486</xm:f>
            <x14:dxf>
              <font>
                <color rgb="FFC00000"/>
              </font>
            </x14:dxf>
          </x14:cfRule>
          <xm:sqref>G46:L46 G48:L48</xm:sqref>
        </x14:conditionalFormatting>
        <x14:conditionalFormatting xmlns:xm="http://schemas.microsoft.com/office/excel/2006/main">
          <x14:cfRule type="expression" priority="26" id="{72F6AB3C-F6E0-4588-BFF9-4C6A6C42C979}">
            <xm:f>equations!B491</xm:f>
            <x14:dxf>
              <font>
                <color rgb="FFC00000"/>
              </font>
            </x14:dxf>
          </x14:cfRule>
          <xm:sqref>G58:L59</xm:sqref>
        </x14:conditionalFormatting>
        <x14:conditionalFormatting xmlns:xm="http://schemas.microsoft.com/office/excel/2006/main">
          <x14:cfRule type="expression" priority="1" id="{A8DA4289-FB1B-4280-936F-EF09233C40AF}">
            <xm:f>AND(equations!B$489:B$490)</xm:f>
            <x14:dxf>
              <font>
                <color rgb="FFC00000"/>
              </font>
            </x14:dxf>
          </x14:cfRule>
          <x14:cfRule type="expression" priority="12" id="{44D16564-9F9F-434B-84A3-0C323FED5D30}">
            <xm:f>equations!B$493</xm:f>
            <x14:dxf>
              <font>
                <color rgb="FFC00000"/>
              </font>
            </x14:dxf>
          </x14:cfRule>
          <xm:sqref>G60:L60</xm:sqref>
        </x14:conditionalFormatting>
        <x14:conditionalFormatting xmlns:xm="http://schemas.microsoft.com/office/excel/2006/main">
          <x14:cfRule type="expression" priority="133" id="{00000000-000E-0000-0000-000083000000}">
            <xm:f>equations!B$495</xm:f>
            <x14:dxf>
              <font>
                <color rgb="FFC00000"/>
              </font>
            </x14:dxf>
          </x14:cfRule>
          <xm:sqref>G61:L61</xm:sqref>
        </x14:conditionalFormatting>
        <x14:conditionalFormatting xmlns:xm="http://schemas.microsoft.com/office/excel/2006/main">
          <x14:cfRule type="expression" priority="7" id="{94F7260A-2FAE-4050-AE25-3DBC57C716A8}">
            <xm:f>data!$C$47</xm:f>
            <x14:dxf>
              <font>
                <color theme="0" tint="-0.34998626667073579"/>
              </font>
            </x14:dxf>
          </x14:cfRule>
          <xm:sqref>H82</xm:sqref>
        </x14:conditionalFormatting>
        <x14:conditionalFormatting xmlns:xm="http://schemas.microsoft.com/office/excel/2006/main">
          <x14:cfRule type="expression" priority="15" id="{B2713504-576B-4DC4-81C8-76E9528495A1}">
            <xm:f>(data!$B$87=0)</xm:f>
            <x14:dxf>
              <font>
                <color theme="0" tint="-0.34998626667073579"/>
              </font>
            </x14:dxf>
          </x14:cfRule>
          <xm:sqref>J90:J91 L90:L91</xm:sqref>
        </x14:conditionalFormatting>
        <x14:conditionalFormatting xmlns:xm="http://schemas.microsoft.com/office/excel/2006/main">
          <x14:cfRule type="expression" priority="6" id="{9C3D0D89-51E6-4EF8-94E2-AC8AE6A384D3}">
            <xm:f>data!$D$47</xm:f>
            <x14:dxf>
              <font>
                <color theme="0" tint="-0.34998626667073579"/>
              </font>
            </x14:dxf>
          </x14:cfRule>
          <xm:sqref>J82:N82</xm:sqref>
        </x14:conditionalFormatting>
        <x14:conditionalFormatting xmlns:xm="http://schemas.microsoft.com/office/excel/2006/main">
          <x14:cfRule type="expression" priority="31" id="{DD1941B6-910C-4127-B1A7-5C75B3420BF4}">
            <xm:f>(equations!$B$28&lt;&gt;1)</xm:f>
            <x14:dxf>
              <font>
                <color theme="0" tint="-0.34998626667073579"/>
              </font>
            </x14:dxf>
          </x14:cfRule>
          <xm:sqref>L17</xm:sqref>
        </x14:conditionalFormatting>
        <x14:conditionalFormatting xmlns:xm="http://schemas.microsoft.com/office/excel/2006/main">
          <x14:cfRule type="expression" priority="14" id="{AFF03A08-00A8-40C6-A860-4580F02B0623}">
            <xm:f>(equations!$B$28&lt;&gt;3)</xm:f>
            <x14:dxf>
              <font>
                <color theme="0" tint="-0.34998626667073579"/>
              </font>
            </x14:dxf>
          </x14:cfRule>
          <xm:sqref>L21:M21</xm:sqref>
        </x14:conditionalFormatting>
        <x14:conditionalFormatting xmlns:xm="http://schemas.microsoft.com/office/excel/2006/main">
          <x14:cfRule type="expression" priority="35" id="{C7A11C0F-3B07-4115-9257-86718ED35A67}">
            <xm:f>(equations!$B$28&lt;&gt;2)</xm:f>
            <x14:dxf>
              <font>
                <color theme="0" tint="-0.34998626667073579"/>
              </font>
            </x14:dxf>
          </x14:cfRule>
          <xm:sqref>M19 O19</xm:sqref>
        </x14:conditionalFormatting>
        <x14:conditionalFormatting xmlns:xm="http://schemas.microsoft.com/office/excel/2006/main">
          <x14:cfRule type="expression" priority="120" id="{00000000-000E-0000-0000-000021000000}">
            <xm:f>data!$B$293</xm:f>
            <x14:dxf>
              <font>
                <color rgb="FFC00000"/>
              </font>
            </x14:dxf>
          </x14:cfRule>
          <xm:sqref>M58</xm:sqref>
        </x14:conditionalFormatting>
        <x14:conditionalFormatting xmlns:xm="http://schemas.microsoft.com/office/excel/2006/main">
          <x14:cfRule type="expression" priority="188" id="{D1922230-C9FF-4672-9E31-C9BC7DE883C0}">
            <xm:f>AND(equations!$B$28=2,OR(equations!$K$488,equations!$K$494))</xm:f>
            <x14:dxf>
              <font>
                <color rgb="FFC00000"/>
              </font>
            </x14:dxf>
          </x14:cfRule>
          <x14:cfRule type="expression" priority="189" id="{3CBFB7BF-D524-40A8-9479-FE86855BC34C}">
            <xm:f>(equations!$B$28&lt;&gt;2)</xm:f>
            <x14:dxf>
              <font>
                <color theme="1" tint="0.24994659260841701"/>
              </font>
              <fill>
                <patternFill>
                  <bgColor theme="1" tint="0.49998474074526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N19</xm:sqref>
        </x14:conditionalFormatting>
        <x14:conditionalFormatting xmlns:xm="http://schemas.microsoft.com/office/excel/2006/main">
          <x14:cfRule type="expression" priority="33" id="{A8B561BF-4A13-4E28-9668-0B0ED126E20B}">
            <xm:f>(equations!$B$28&lt;&gt;3)</xm:f>
            <x14:dxf>
              <font>
                <color theme="1" tint="0.24994659260841701"/>
              </font>
              <fill>
                <patternFill>
                  <bgColor theme="1" tint="0.49998474074526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  <vertical/>
                <horizontal/>
              </border>
            </x14:dxf>
          </x14:cfRule>
          <xm:sqref>N21</xm:sqref>
        </x14:conditionalFormatting>
        <x14:conditionalFormatting xmlns:xm="http://schemas.microsoft.com/office/excel/2006/main">
          <x14:cfRule type="expression" priority="11" id="{30A1B896-D0AB-4D83-8C02-BBDAE6682339}">
            <xm:f>NOT(equations!$B$32)</xm:f>
            <x14:dxf>
              <font>
                <color theme="1" tint="0.499984740745262"/>
              </font>
              <fill>
                <patternFill>
                  <bgColor theme="1" tint="0.499984740745262"/>
                </patternFill>
              </fill>
              <border>
                <left style="thin">
                  <color auto="1"/>
                </left>
                <right style="thin">
                  <color auto="1"/>
                </right>
                <top style="thin">
                  <color auto="1"/>
                </top>
                <bottom style="thin">
                  <color auto="1"/>
                </bottom>
              </border>
            </x14:dxf>
          </x14:cfRule>
          <xm:sqref>N27</xm:sqref>
        </x14:conditionalFormatting>
        <x14:conditionalFormatting xmlns:xm="http://schemas.microsoft.com/office/excel/2006/main">
          <x14:cfRule type="expression" priority="9" id="{0070EDD4-3058-4BAB-8DDF-484ED94B36DF}">
            <xm:f>equations!$B$32</xm:f>
            <x14:dxf>
              <font>
                <color theme="0" tint="-0.14996795556505021"/>
              </font>
            </x14:dxf>
          </x14:cfRule>
          <xm:sqref>N28</xm:sqref>
        </x14:conditionalFormatting>
        <x14:conditionalFormatting xmlns:xm="http://schemas.microsoft.com/office/excel/2006/main">
          <x14:cfRule type="expression" priority="28" id="{5AEDF4DC-307D-4794-A665-B6734A374481}">
            <xm:f>(equations!$B$28&lt;&gt;1)</xm:f>
            <x14:dxf>
              <font>
                <color theme="0" tint="-0.14996795556505021"/>
              </font>
            </x14:dxf>
          </x14:cfRule>
          <xm:sqref>N18:O18</xm:sqref>
        </x14:conditionalFormatting>
        <x14:conditionalFormatting xmlns:xm="http://schemas.microsoft.com/office/excel/2006/main">
          <x14:cfRule type="expression" priority="30" id="{C2078D13-9E87-4A23-ADDF-B1BBE77E32CB}">
            <xm:f>(equations!$B$28&lt;&gt;2)</xm:f>
            <x14:dxf>
              <font>
                <color theme="0" tint="-0.14996795556505021"/>
              </font>
            </x14:dxf>
          </x14:cfRule>
          <xm:sqref>N20:O20</xm:sqref>
        </x14:conditionalFormatting>
        <x14:conditionalFormatting xmlns:xm="http://schemas.microsoft.com/office/excel/2006/main">
          <x14:cfRule type="expression" priority="29" id="{92F06EC8-3997-43C9-AF25-CC06BCE157B0}">
            <xm:f>(equations!$B$28&lt;&gt;3)</xm:f>
            <x14:dxf>
              <font>
                <color theme="0" tint="-0.14996795556505021"/>
              </font>
            </x14:dxf>
          </x14:cfRule>
          <xm:sqref>N22:O22</xm:sqref>
        </x14:conditionalFormatting>
        <x14:conditionalFormatting xmlns:xm="http://schemas.microsoft.com/office/excel/2006/main">
          <x14:cfRule type="expression" priority="32" id="{E7FC1B7A-3562-44EB-B017-F665F5AA0563}">
            <xm:f>(equations!$B$28&lt;&gt;3)</xm:f>
            <x14:dxf>
              <font>
                <color theme="0" tint="-0.34998626667073579"/>
              </font>
            </x14:dxf>
          </x14:cfRule>
          <xm:sqref>O21</xm:sqref>
        </x14:conditionalFormatting>
        <x14:conditionalFormatting xmlns:xm="http://schemas.microsoft.com/office/excel/2006/main">
          <x14:cfRule type="expression" priority="2" id="{2184F302-170A-4CF6-996D-63190DC2B219}">
            <xm:f>NOT(data!$C$29)</xm:f>
            <x14:dxf>
              <font>
                <color theme="1"/>
              </font>
            </x14:dxf>
          </x14:cfRule>
          <xm:sqref>O83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Q549"/>
  <sheetViews>
    <sheetView topLeftCell="A280" workbookViewId="0">
      <selection activeCell="L421" sqref="L421"/>
    </sheetView>
  </sheetViews>
  <sheetFormatPr defaultRowHeight="15" x14ac:dyDescent="0.25"/>
  <cols>
    <col min="1" max="1" width="41.140625" customWidth="1"/>
    <col min="2" max="2" width="9.85546875" customWidth="1"/>
    <col min="3" max="4" width="10.85546875" customWidth="1"/>
    <col min="5" max="5" width="11.42578125" customWidth="1"/>
    <col min="6" max="6" width="12.140625" customWidth="1"/>
    <col min="8" max="8" width="13" customWidth="1"/>
    <col min="9" max="9" width="11" customWidth="1"/>
    <col min="10" max="10" width="9.140625" customWidth="1"/>
    <col min="11" max="11" width="10.42578125" customWidth="1"/>
    <col min="12" max="12" width="7.140625" customWidth="1"/>
    <col min="13" max="13" width="5" customWidth="1"/>
    <col min="15" max="15" width="7" customWidth="1"/>
    <col min="16" max="16" width="7.85546875" customWidth="1"/>
    <col min="22" max="22" width="12.7109375" customWidth="1"/>
  </cols>
  <sheetData>
    <row r="1" spans="1:24" ht="20.25" thickBot="1" x14ac:dyDescent="0.35">
      <c r="A1" s="2" t="s">
        <v>172</v>
      </c>
    </row>
    <row r="2" spans="1:24" ht="15.75" thickTop="1" x14ac:dyDescent="0.25"/>
    <row r="3" spans="1:24" x14ac:dyDescent="0.25">
      <c r="B3" s="454" t="s">
        <v>122</v>
      </c>
      <c r="C3" s="455"/>
      <c r="D3" s="454" t="s">
        <v>729</v>
      </c>
      <c r="E3" s="455"/>
      <c r="F3" s="454" t="s">
        <v>728</v>
      </c>
      <c r="G3" s="455"/>
      <c r="H3" s="454" t="s">
        <v>727</v>
      </c>
      <c r="I3" s="455"/>
      <c r="J3" s="454" t="s">
        <v>734</v>
      </c>
      <c r="K3" s="455"/>
      <c r="L3" s="454" t="s">
        <v>736</v>
      </c>
      <c r="M3" s="458"/>
      <c r="N3" s="455"/>
      <c r="O3" s="454" t="s">
        <v>747</v>
      </c>
      <c r="P3" s="458"/>
      <c r="Q3" s="458"/>
      <c r="R3" s="454" t="s">
        <v>122</v>
      </c>
      <c r="S3" s="455"/>
      <c r="T3" s="454" t="s">
        <v>779</v>
      </c>
      <c r="U3" s="458"/>
      <c r="V3" s="458" t="s">
        <v>782</v>
      </c>
      <c r="W3" s="458"/>
    </row>
    <row r="4" spans="1:24" x14ac:dyDescent="0.25">
      <c r="A4" t="s">
        <v>334</v>
      </c>
      <c r="B4" s="219" t="s">
        <v>730</v>
      </c>
      <c r="C4" s="341" t="s">
        <v>731</v>
      </c>
      <c r="D4" s="219" t="s">
        <v>730</v>
      </c>
      <c r="E4" s="341" t="s">
        <v>731</v>
      </c>
      <c r="F4" s="219" t="s">
        <v>730</v>
      </c>
      <c r="G4" s="341" t="s">
        <v>731</v>
      </c>
      <c r="H4" s="219" t="s">
        <v>730</v>
      </c>
      <c r="I4" s="341" t="s">
        <v>731</v>
      </c>
      <c r="J4" s="219" t="s">
        <v>730</v>
      </c>
      <c r="K4" s="341" t="s">
        <v>731</v>
      </c>
      <c r="L4" s="219" t="s">
        <v>730</v>
      </c>
      <c r="N4" s="341" t="s">
        <v>731</v>
      </c>
      <c r="O4" s="219" t="s">
        <v>730</v>
      </c>
      <c r="Q4" s="341" t="s">
        <v>731</v>
      </c>
      <c r="R4" s="219" t="s">
        <v>730</v>
      </c>
      <c r="S4" s="341" t="s">
        <v>731</v>
      </c>
      <c r="T4" s="219" t="s">
        <v>730</v>
      </c>
      <c r="U4" s="341" t="s">
        <v>731</v>
      </c>
      <c r="X4" t="s">
        <v>785</v>
      </c>
    </row>
    <row r="5" spans="1:24" x14ac:dyDescent="0.25">
      <c r="A5">
        <v>1</v>
      </c>
      <c r="B5" s="219" t="s">
        <v>149</v>
      </c>
      <c r="C5" s="341">
        <v>1</v>
      </c>
      <c r="D5" s="219" t="s">
        <v>712</v>
      </c>
      <c r="E5" s="341">
        <v>1</v>
      </c>
      <c r="F5" s="219" t="s">
        <v>5</v>
      </c>
      <c r="G5" s="341">
        <v>1</v>
      </c>
      <c r="H5" s="219" t="s">
        <v>716</v>
      </c>
      <c r="I5" s="341">
        <v>1</v>
      </c>
      <c r="J5" s="219" t="s">
        <v>6</v>
      </c>
      <c r="K5" s="341">
        <v>1</v>
      </c>
      <c r="L5" s="342" t="s">
        <v>737</v>
      </c>
      <c r="M5" s="162" t="s">
        <v>91</v>
      </c>
      <c r="N5" s="341" t="b">
        <v>0</v>
      </c>
      <c r="O5" s="342" t="s">
        <v>344</v>
      </c>
      <c r="P5" s="162">
        <v>1</v>
      </c>
      <c r="Q5" s="341" t="b">
        <v>0</v>
      </c>
      <c r="R5" s="219" t="s">
        <v>205</v>
      </c>
      <c r="S5" s="341">
        <v>1</v>
      </c>
      <c r="T5" t="s">
        <v>154</v>
      </c>
      <c r="U5">
        <v>1</v>
      </c>
      <c r="V5" s="128" t="s">
        <v>783</v>
      </c>
      <c r="W5" t="s">
        <v>786</v>
      </c>
      <c r="X5">
        <v>0</v>
      </c>
    </row>
    <row r="6" spans="1:24" x14ac:dyDescent="0.25">
      <c r="A6">
        <v>2</v>
      </c>
      <c r="B6" s="219" t="s">
        <v>149</v>
      </c>
      <c r="C6" s="341">
        <v>1</v>
      </c>
      <c r="D6" s="219" t="s">
        <v>713</v>
      </c>
      <c r="E6" s="341">
        <f>1/3.6</f>
        <v>0.27777777777777779</v>
      </c>
      <c r="F6" s="219" t="s">
        <v>658</v>
      </c>
      <c r="G6" s="341">
        <f>1/3.6</f>
        <v>0.27777777777777779</v>
      </c>
      <c r="H6" s="219" t="s">
        <v>717</v>
      </c>
      <c r="I6" s="341">
        <f>1/3.6</f>
        <v>0.27777777777777779</v>
      </c>
      <c r="J6" s="219" t="s">
        <v>6</v>
      </c>
      <c r="K6" s="341">
        <v>1</v>
      </c>
      <c r="L6" s="342" t="s">
        <v>737</v>
      </c>
      <c r="M6" s="162" t="s">
        <v>91</v>
      </c>
      <c r="N6" s="341" t="b">
        <v>0</v>
      </c>
      <c r="O6" s="342" t="s">
        <v>344</v>
      </c>
      <c r="P6" s="162">
        <v>1</v>
      </c>
      <c r="Q6" s="341" t="b">
        <v>0</v>
      </c>
      <c r="R6" s="219" t="s">
        <v>205</v>
      </c>
      <c r="S6" s="341">
        <v>1</v>
      </c>
      <c r="T6" t="s">
        <v>154</v>
      </c>
      <c r="U6">
        <v>1</v>
      </c>
      <c r="V6" s="128" t="s">
        <v>783</v>
      </c>
      <c r="W6" t="s">
        <v>786</v>
      </c>
      <c r="X6">
        <v>0</v>
      </c>
    </row>
    <row r="7" spans="1:24" x14ac:dyDescent="0.25">
      <c r="A7">
        <v>3</v>
      </c>
      <c r="B7" s="219" t="s">
        <v>720</v>
      </c>
      <c r="C7" s="341">
        <f>1/3.28084</f>
        <v>0.30479999024640031</v>
      </c>
      <c r="D7" s="219" t="s">
        <v>714</v>
      </c>
      <c r="E7" s="341">
        <v>0.47194744999999999</v>
      </c>
      <c r="F7" s="219" t="s">
        <v>715</v>
      </c>
      <c r="G7" s="341">
        <v>1.548384071858</v>
      </c>
      <c r="H7" s="219" t="s">
        <v>718</v>
      </c>
      <c r="I7" s="341">
        <v>5.0800003983146009</v>
      </c>
      <c r="J7" s="219" t="s">
        <v>735</v>
      </c>
      <c r="K7" s="341">
        <v>248.84</v>
      </c>
      <c r="L7" s="342" t="s">
        <v>738</v>
      </c>
      <c r="M7" s="162" t="s">
        <v>767</v>
      </c>
      <c r="N7" s="341" t="b">
        <v>1</v>
      </c>
      <c r="O7" s="342" t="s">
        <v>781</v>
      </c>
      <c r="P7" s="352">
        <f>5/9</f>
        <v>0.55555555555555558</v>
      </c>
      <c r="Q7" s="341" t="b">
        <v>1</v>
      </c>
      <c r="R7" s="219" t="s">
        <v>770</v>
      </c>
      <c r="S7" s="341">
        <v>25.4</v>
      </c>
      <c r="T7" t="s">
        <v>780</v>
      </c>
      <c r="U7">
        <v>0.30479999024640031</v>
      </c>
      <c r="V7" s="128" t="s">
        <v>784</v>
      </c>
      <c r="W7" t="s">
        <v>787</v>
      </c>
      <c r="X7">
        <f>10*LOG(4*C7/1)</f>
        <v>0.86074940098102071</v>
      </c>
    </row>
    <row r="8" spans="1:24" x14ac:dyDescent="0.25">
      <c r="A8" t="s">
        <v>172</v>
      </c>
      <c r="B8">
        <v>1</v>
      </c>
    </row>
    <row r="9" spans="1:24" x14ac:dyDescent="0.25">
      <c r="A9" t="s">
        <v>173</v>
      </c>
      <c r="B9" t="str" cm="1">
        <f t="array" ref="B9:X9">VLOOKUP(B8,$A$5:$X$7,{2,3,4,5,6,7,8,9,10,11,12,13,14,15,16,17,18,19,20,21,22,23,24},0)</f>
        <v>m</v>
      </c>
      <c r="C9">
        <v>1</v>
      </c>
      <c r="D9" t="str">
        <v>L/s</v>
      </c>
      <c r="E9">
        <v>1</v>
      </c>
      <c r="F9" t="str">
        <v>L/s/m</v>
      </c>
      <c r="G9">
        <v>1</v>
      </c>
      <c r="H9" t="str">
        <v>L/s/m²</v>
      </c>
      <c r="I9">
        <v>1</v>
      </c>
      <c r="J9" t="str">
        <v>Pa</v>
      </c>
      <c r="K9">
        <v>1</v>
      </c>
      <c r="L9" t="str">
        <v>°C</v>
      </c>
      <c r="M9" t="str">
        <v>C</v>
      </c>
      <c r="N9" t="b">
        <v>0</v>
      </c>
      <c r="O9" t="str">
        <v>K</v>
      </c>
      <c r="P9">
        <v>1</v>
      </c>
      <c r="Q9" t="b">
        <v>0</v>
      </c>
      <c r="R9" t="str">
        <v>mm</v>
      </c>
      <c r="S9">
        <v>1</v>
      </c>
      <c r="T9" t="str">
        <v>m/s</v>
      </c>
      <c r="U9">
        <v>1</v>
      </c>
      <c r="V9" t="str">
        <v>db(A)/m</v>
      </c>
      <c r="W9" t="str">
        <v>NC/m</v>
      </c>
      <c r="X9">
        <v>0</v>
      </c>
    </row>
    <row r="10" spans="1:24" x14ac:dyDescent="0.25">
      <c r="A10" t="s">
        <v>732</v>
      </c>
      <c r="B10" t="str">
        <f>"["&amp;B9&amp;"]"</f>
        <v>[m]</v>
      </c>
      <c r="C10" t="str">
        <f>B5&amp;"/"&amp;B9</f>
        <v>m/m</v>
      </c>
      <c r="D10" t="str">
        <f t="shared" ref="D10:L10" si="0">"["&amp;D9&amp;"]"</f>
        <v>[L/s]</v>
      </c>
      <c r="E10" t="str">
        <f>D5&amp;"/"&amp;D9</f>
        <v>L/s/L/s</v>
      </c>
      <c r="F10" t="str">
        <f t="shared" si="0"/>
        <v>[L/s/m]</v>
      </c>
      <c r="G10" t="str">
        <f>F5&amp;"/"&amp;F9</f>
        <v>L/s/m/L/s/m</v>
      </c>
      <c r="H10" t="str">
        <f t="shared" si="0"/>
        <v>[L/s/m²]</v>
      </c>
      <c r="I10" t="str">
        <f>H5&amp;"/"&amp;H9</f>
        <v>L/s/m²/L/s/m²</v>
      </c>
      <c r="J10" t="str">
        <f t="shared" si="0"/>
        <v>[Pa]</v>
      </c>
      <c r="K10" t="str">
        <f>J5&amp;"/"&amp;J9</f>
        <v>Pa/Pa</v>
      </c>
      <c r="L10" t="str">
        <f t="shared" si="0"/>
        <v>[°C]</v>
      </c>
      <c r="M10" t="str">
        <f>L5&amp;"/"&amp;L9</f>
        <v>°C/°C</v>
      </c>
      <c r="O10" t="str">
        <f t="shared" ref="O10" si="1">"["&amp;O9&amp;"]"</f>
        <v>[K]</v>
      </c>
      <c r="P10" t="str">
        <f>O5&amp;"/"&amp;O9</f>
        <v>K/K</v>
      </c>
      <c r="R10" t="str">
        <f t="shared" ref="R10:W10" si="2">"["&amp;R9&amp;"]"</f>
        <v>[mm]</v>
      </c>
      <c r="S10" t="str">
        <f>R5&amp;"/"&amp;R9</f>
        <v>mm/mm</v>
      </c>
      <c r="T10" t="str">
        <f t="shared" si="2"/>
        <v>[m/s]</v>
      </c>
      <c r="U10" t="str">
        <f>T5&amp;"/"&amp;T9</f>
        <v>m/s/m/s</v>
      </c>
      <c r="V10" t="str">
        <f t="shared" si="2"/>
        <v>[db(A)/m]</v>
      </c>
      <c r="W10" t="str">
        <f t="shared" si="2"/>
        <v>[NC/m]</v>
      </c>
      <c r="X10" t="str">
        <f>W5&amp;"/"&amp;W9</f>
        <v>NC/m/NC/m</v>
      </c>
    </row>
    <row r="11" spans="1:24" x14ac:dyDescent="0.25">
      <c r="A11" t="s">
        <v>733</v>
      </c>
    </row>
    <row r="14" spans="1:24" ht="20.25" thickBot="1" x14ac:dyDescent="0.35">
      <c r="A14" s="2" t="s">
        <v>10</v>
      </c>
    </row>
    <row r="15" spans="1:24" ht="15.75" thickTop="1" x14ac:dyDescent="0.25"/>
    <row r="16" spans="1:24" x14ac:dyDescent="0.25">
      <c r="A16" t="s">
        <v>1</v>
      </c>
      <c r="B16">
        <f ca="1">'LJC-AD'!E9</f>
        <v>100</v>
      </c>
      <c r="C16" t="str">
        <f>F9</f>
        <v>L/s/m</v>
      </c>
    </row>
    <row r="17" spans="1:7" x14ac:dyDescent="0.25">
      <c r="A17" t="s">
        <v>2</v>
      </c>
      <c r="B17">
        <f>'LJC-AD'!E11</f>
        <v>100</v>
      </c>
      <c r="G17" s="6"/>
    </row>
    <row r="18" spans="1:7" x14ac:dyDescent="0.25">
      <c r="A18" t="s">
        <v>11</v>
      </c>
      <c r="B18">
        <f ca="1">'LJC-AD'!E13</f>
        <v>30</v>
      </c>
      <c r="C18" t="str">
        <f>$J$9</f>
        <v>Pa</v>
      </c>
    </row>
    <row r="19" spans="1:7" x14ac:dyDescent="0.25">
      <c r="A19" t="s">
        <v>12</v>
      </c>
      <c r="B19">
        <f ca="1">'LJC-AD'!E15</f>
        <v>-12</v>
      </c>
      <c r="C19" t="str">
        <f>$L$9</f>
        <v>°C</v>
      </c>
    </row>
    <row r="20" spans="1:7" x14ac:dyDescent="0.25">
      <c r="A20" t="s">
        <v>4</v>
      </c>
      <c r="B20">
        <f ca="1">'LJC-AD'!E17</f>
        <v>2.7</v>
      </c>
      <c r="C20" t="str">
        <f>B9</f>
        <v>m</v>
      </c>
    </row>
    <row r="21" spans="1:7" x14ac:dyDescent="0.25">
      <c r="A21" t="s">
        <v>16</v>
      </c>
      <c r="B21">
        <f ca="1">'LJC-AD'!E19</f>
        <v>0.5</v>
      </c>
    </row>
    <row r="22" spans="1:7" x14ac:dyDescent="0.25">
      <c r="A22" t="s">
        <v>7</v>
      </c>
      <c r="B22" s="25">
        <v>2</v>
      </c>
    </row>
    <row r="23" spans="1:7" x14ac:dyDescent="0.25">
      <c r="A23" t="s">
        <v>164</v>
      </c>
      <c r="B23">
        <f ca="1">'LJC-AD'!N21</f>
        <v>5</v>
      </c>
      <c r="C23" t="str">
        <f>H9</f>
        <v>L/s/m²</v>
      </c>
    </row>
    <row r="24" spans="1:7" x14ac:dyDescent="0.25">
      <c r="A24" t="s">
        <v>9</v>
      </c>
      <c r="B24">
        <f>'LJC-AD'!N13</f>
        <v>0.9</v>
      </c>
    </row>
    <row r="25" spans="1:7" x14ac:dyDescent="0.25">
      <c r="A25" t="s">
        <v>65</v>
      </c>
      <c r="B25">
        <f ca="1">'LJC-AD'!N31</f>
        <v>0</v>
      </c>
    </row>
    <row r="26" spans="1:7" x14ac:dyDescent="0.25">
      <c r="A26" t="s">
        <v>61</v>
      </c>
      <c r="B26" s="25">
        <v>1</v>
      </c>
    </row>
    <row r="27" spans="1:7" x14ac:dyDescent="0.25">
      <c r="A27" t="s">
        <v>151</v>
      </c>
      <c r="B27">
        <f ca="1">'LJC-AD'!N19</f>
        <v>7</v>
      </c>
      <c r="C27" t="str">
        <f>B9</f>
        <v>m</v>
      </c>
    </row>
    <row r="28" spans="1:7" x14ac:dyDescent="0.25">
      <c r="A28" t="s">
        <v>161</v>
      </c>
      <c r="B28">
        <v>1</v>
      </c>
    </row>
    <row r="29" spans="1:7" x14ac:dyDescent="0.25">
      <c r="A29" t="s">
        <v>486</v>
      </c>
      <c r="B29">
        <v>12</v>
      </c>
      <c r="C29" t="s">
        <v>344</v>
      </c>
    </row>
    <row r="30" spans="1:7" x14ac:dyDescent="0.25">
      <c r="A30" t="s">
        <v>487</v>
      </c>
      <c r="B30">
        <f ca="1">'LJC-AD'!N23</f>
        <v>23</v>
      </c>
      <c r="C30" t="str">
        <f>$L$9</f>
        <v>°C</v>
      </c>
    </row>
    <row r="31" spans="1:7" x14ac:dyDescent="0.25">
      <c r="A31" t="s">
        <v>529</v>
      </c>
      <c r="B31" t="b">
        <v>0</v>
      </c>
    </row>
    <row r="32" spans="1:7" x14ac:dyDescent="0.25">
      <c r="A32" t="s">
        <v>526</v>
      </c>
      <c r="B32" t="b">
        <v>0</v>
      </c>
    </row>
    <row r="33" spans="1:3" x14ac:dyDescent="0.25">
      <c r="A33" t="s">
        <v>528</v>
      </c>
      <c r="B33">
        <f ca="1">'LJC-AD'!N27</f>
        <v>21</v>
      </c>
      <c r="C33" t="str">
        <f>$L$9</f>
        <v>°C</v>
      </c>
    </row>
    <row r="34" spans="1:3" x14ac:dyDescent="0.25">
      <c r="A34" t="s">
        <v>509</v>
      </c>
      <c r="B34">
        <f ca="1">'LJC-AD'!N29</f>
        <v>16</v>
      </c>
      <c r="C34" t="str">
        <f>$L$9</f>
        <v>°C</v>
      </c>
    </row>
    <row r="36" spans="1:3" ht="20.25" thickBot="1" x14ac:dyDescent="0.35">
      <c r="A36" s="2" t="s">
        <v>721</v>
      </c>
    </row>
    <row r="37" spans="1:3" ht="15.75" thickTop="1" x14ac:dyDescent="0.25"/>
    <row r="38" spans="1:3" x14ac:dyDescent="0.25">
      <c r="A38" t="s">
        <v>1</v>
      </c>
      <c r="B38">
        <f ca="1">B16*$E$9</f>
        <v>100</v>
      </c>
      <c r="C38" t="s">
        <v>5</v>
      </c>
    </row>
    <row r="39" spans="1:3" x14ac:dyDescent="0.25">
      <c r="A39" t="s">
        <v>2</v>
      </c>
      <c r="B39">
        <f>B17/100</f>
        <v>1</v>
      </c>
    </row>
    <row r="40" spans="1:3" x14ac:dyDescent="0.25">
      <c r="A40" t="s">
        <v>292</v>
      </c>
      <c r="B40">
        <f ca="1">B38*B39</f>
        <v>100</v>
      </c>
    </row>
    <row r="41" spans="1:3" x14ac:dyDescent="0.25">
      <c r="A41" t="s">
        <v>11</v>
      </c>
      <c r="B41">
        <f ca="1">B18*K9</f>
        <v>30</v>
      </c>
      <c r="C41" t="s">
        <v>6</v>
      </c>
    </row>
    <row r="42" spans="1:3" x14ac:dyDescent="0.25">
      <c r="A42" t="s">
        <v>12</v>
      </c>
      <c r="B42">
        <f ca="1">ABS(B19*P9)</f>
        <v>12</v>
      </c>
      <c r="C42" t="s">
        <v>91</v>
      </c>
    </row>
    <row r="43" spans="1:3" x14ac:dyDescent="0.25">
      <c r="A43" t="s">
        <v>102</v>
      </c>
      <c r="B43">
        <f ca="1">B20*C9</f>
        <v>2.7</v>
      </c>
      <c r="C43" t="s">
        <v>149</v>
      </c>
    </row>
    <row r="44" spans="1:3" x14ac:dyDescent="0.25">
      <c r="A44" t="s">
        <v>16</v>
      </c>
      <c r="B44">
        <f ca="1">B21</f>
        <v>0.5</v>
      </c>
    </row>
    <row r="45" spans="1:3" x14ac:dyDescent="0.25">
      <c r="A45" t="s">
        <v>7</v>
      </c>
      <c r="B45">
        <f>B22</f>
        <v>2</v>
      </c>
    </row>
    <row r="47" spans="1:3" x14ac:dyDescent="0.25">
      <c r="A47" t="s">
        <v>9</v>
      </c>
      <c r="B47" s="11">
        <f>B24</f>
        <v>0.9</v>
      </c>
    </row>
    <row r="48" spans="1:3" x14ac:dyDescent="0.25">
      <c r="A48" t="s">
        <v>520</v>
      </c>
      <c r="B48" s="11">
        <f ca="1">B25/100</f>
        <v>0</v>
      </c>
    </row>
    <row r="49" spans="1:3" x14ac:dyDescent="0.25">
      <c r="A49" t="s">
        <v>130</v>
      </c>
      <c r="B49" s="77">
        <f>VLOOKUP(equations!B47,data!A2:B5,2,0)</f>
        <v>0.25</v>
      </c>
    </row>
    <row r="50" spans="1:3" x14ac:dyDescent="0.25">
      <c r="A50" t="s">
        <v>63</v>
      </c>
      <c r="B50" s="14">
        <f>B26-1</f>
        <v>0</v>
      </c>
      <c r="C50" t="str">
        <f>IF(B50=0,"Closed","Free")</f>
        <v>Closed</v>
      </c>
    </row>
    <row r="51" spans="1:3" x14ac:dyDescent="0.25">
      <c r="A51" t="s">
        <v>67</v>
      </c>
      <c r="B51">
        <f>IF(B50=1,0.833,1)</f>
        <v>1</v>
      </c>
    </row>
    <row r="52" spans="1:3" x14ac:dyDescent="0.25">
      <c r="A52" t="s">
        <v>880</v>
      </c>
      <c r="B52">
        <f ca="1">B27*C9</f>
        <v>7</v>
      </c>
      <c r="C52" t="s">
        <v>149</v>
      </c>
    </row>
    <row r="53" spans="1:3" x14ac:dyDescent="0.25">
      <c r="A53" t="s">
        <v>164</v>
      </c>
      <c r="B53">
        <f ca="1">B23*I9</f>
        <v>5</v>
      </c>
      <c r="C53" t="s">
        <v>879</v>
      </c>
    </row>
    <row r="55" spans="1:3" x14ac:dyDescent="0.25">
      <c r="A55" t="s">
        <v>487</v>
      </c>
      <c r="B55">
        <f ca="1">ROUND(IF($N$9,CONVERT(B30,"F","C"),B30),1)</f>
        <v>23</v>
      </c>
      <c r="C55" t="s">
        <v>91</v>
      </c>
    </row>
    <row r="56" spans="1:3" x14ac:dyDescent="0.25">
      <c r="A56" t="s">
        <v>528</v>
      </c>
      <c r="B56">
        <f ca="1">ROUND(IF($N$9,CONVERT(B33,"F","C"),B33),1)</f>
        <v>21</v>
      </c>
      <c r="C56" t="s">
        <v>91</v>
      </c>
    </row>
    <row r="57" spans="1:3" x14ac:dyDescent="0.25">
      <c r="A57" t="s">
        <v>509</v>
      </c>
      <c r="B57">
        <f ca="1">ROUND(IF($N$9,CONVERT(B34,"F","C"),B34),1)</f>
        <v>16</v>
      </c>
      <c r="C57" t="s">
        <v>91</v>
      </c>
    </row>
    <row r="58" spans="1:3" x14ac:dyDescent="0.25">
      <c r="A58" t="s">
        <v>527</v>
      </c>
      <c r="B58">
        <f ca="1">IF(B32,B56,B55-2)</f>
        <v>21</v>
      </c>
      <c r="C58" t="s">
        <v>91</v>
      </c>
    </row>
    <row r="70" spans="1:21" x14ac:dyDescent="0.25">
      <c r="I70" t="s">
        <v>297</v>
      </c>
      <c r="M70" t="s">
        <v>298</v>
      </c>
      <c r="O70" t="s">
        <v>299</v>
      </c>
      <c r="R70" t="s">
        <v>769</v>
      </c>
    </row>
    <row r="71" spans="1:21" x14ac:dyDescent="0.25">
      <c r="A71" t="s">
        <v>68</v>
      </c>
      <c r="B71">
        <f>IF(B50=1,1.1,1)</f>
        <v>1</v>
      </c>
      <c r="D71" s="304" t="s">
        <v>621</v>
      </c>
      <c r="E71" s="3" t="s">
        <v>622</v>
      </c>
      <c r="H71">
        <v>1</v>
      </c>
      <c r="I71">
        <v>150</v>
      </c>
      <c r="J71" s="155">
        <f>PI()*(I71/2000)^2</f>
        <v>1.7671458676442587E-2</v>
      </c>
      <c r="K71" s="6">
        <f ca="1">IF($B$38/1000*1.2/J71&gt;3.6,0,$B$38/1000*1.2/J71)</f>
        <v>0</v>
      </c>
      <c r="L71">
        <v>1</v>
      </c>
      <c r="M71">
        <v>160</v>
      </c>
      <c r="N71" s="155">
        <f t="shared" ref="N71:N76" si="3">PI()*(M71/2000)^2</f>
        <v>2.0106192982974676E-2</v>
      </c>
      <c r="O71" s="6">
        <f ca="1">IF($B$38/1000*1.2/N71&gt;3.6,0,$B$38/1000*1.2/N71)</f>
        <v>0</v>
      </c>
      <c r="Q71">
        <v>1</v>
      </c>
      <c r="R71">
        <v>6</v>
      </c>
      <c r="S71">
        <f>CONVERT(R71,"in","m")*1000</f>
        <v>152.4</v>
      </c>
      <c r="T71" s="155">
        <f>PI()*(S71/2000)^2</f>
        <v>1.8241469247509919E-2</v>
      </c>
      <c r="U71" s="6">
        <f ca="1">IF($B$38/1000*1.2/T71&gt;3.6,0,$B$38/1000*1.2/T71)</f>
        <v>0</v>
      </c>
    </row>
    <row r="72" spans="1:21" x14ac:dyDescent="0.25">
      <c r="A72" t="s">
        <v>521</v>
      </c>
      <c r="B72">
        <f ca="1">IF(B43&gt;4.5,B43,D74*$B$43+E74)</f>
        <v>1.7000000000000002</v>
      </c>
      <c r="D72">
        <v>2.7</v>
      </c>
      <c r="E72">
        <v>1.7</v>
      </c>
      <c r="H72">
        <v>2</v>
      </c>
      <c r="I72">
        <v>200</v>
      </c>
      <c r="J72" s="155">
        <f t="shared" ref="J72:J76" si="4">PI()*(I72/2000)^2</f>
        <v>3.1415926535897934E-2</v>
      </c>
      <c r="K72" s="6">
        <f t="shared" ref="K72:K76" ca="1" si="5">IF($B$38/1000*1.2/J72&gt;3.6,0,$B$38/1000*1.2/J72)</f>
        <v>0</v>
      </c>
      <c r="L72">
        <v>2</v>
      </c>
      <c r="M72">
        <v>200</v>
      </c>
      <c r="N72" s="155">
        <f t="shared" si="3"/>
        <v>3.1415926535897934E-2</v>
      </c>
      <c r="O72" s="6">
        <f t="shared" ref="O72:O76" ca="1" si="6">IF($B$38/1000*1.2/N72&gt;3.6,0,$B$38/1000*1.2/N72)</f>
        <v>0</v>
      </c>
      <c r="P72">
        <f t="shared" ref="P72:P75" si="7">N72/N71</f>
        <v>1.5625000000000002</v>
      </c>
      <c r="Q72">
        <v>2</v>
      </c>
      <c r="R72">
        <v>7</v>
      </c>
      <c r="S72">
        <f t="shared" ref="S72:S76" si="8">CONVERT(R72,"in","m")*1000</f>
        <v>177.8</v>
      </c>
      <c r="T72" s="155">
        <f t="shared" ref="T72:T76" si="9">PI()*(S72/2000)^2</f>
        <v>2.4828666475777392E-2</v>
      </c>
      <c r="U72" s="6">
        <f t="shared" ref="U72:U76" ca="1" si="10">IF($B$38/1000*1.2/T72&gt;3.6,0,$B$38/1000*1.2/T72)</f>
        <v>0</v>
      </c>
    </row>
    <row r="73" spans="1:21" x14ac:dyDescent="0.25">
      <c r="D73" s="149">
        <v>5</v>
      </c>
      <c r="E73" s="149">
        <v>5</v>
      </c>
      <c r="H73">
        <v>3</v>
      </c>
      <c r="I73">
        <v>250</v>
      </c>
      <c r="J73" s="155">
        <f t="shared" si="4"/>
        <v>4.9087385212340517E-2</v>
      </c>
      <c r="K73" s="6">
        <f t="shared" ca="1" si="5"/>
        <v>2.4446199258915122</v>
      </c>
      <c r="L73">
        <v>3</v>
      </c>
      <c r="M73">
        <v>250</v>
      </c>
      <c r="N73" s="155">
        <f t="shared" si="3"/>
        <v>4.9087385212340517E-2</v>
      </c>
      <c r="O73" s="6">
        <f t="shared" ca="1" si="6"/>
        <v>2.4446199258915122</v>
      </c>
      <c r="P73">
        <f t="shared" si="7"/>
        <v>1.5624999999999998</v>
      </c>
      <c r="Q73">
        <v>3</v>
      </c>
      <c r="R73">
        <v>10</v>
      </c>
      <c r="S73">
        <f t="shared" si="8"/>
        <v>254</v>
      </c>
      <c r="T73" s="155">
        <f t="shared" si="9"/>
        <v>5.0670747909749778E-2</v>
      </c>
      <c r="U73" s="6">
        <f t="shared" ca="1" si="10"/>
        <v>2.3682302896679817</v>
      </c>
    </row>
    <row r="74" spans="1:21" x14ac:dyDescent="0.25">
      <c r="D74" s="6">
        <f>SLOPE(E72:E73,D72:D73)</f>
        <v>1.4347826086956523</v>
      </c>
      <c r="E74" s="6">
        <f>INTERCEPT(E72:E73,D72:D73)</f>
        <v>-2.1739130434782612</v>
      </c>
      <c r="H74">
        <v>4</v>
      </c>
      <c r="I74">
        <v>300</v>
      </c>
      <c r="J74" s="155">
        <f t="shared" si="4"/>
        <v>7.0685834705770348E-2</v>
      </c>
      <c r="K74" s="6">
        <f t="shared" ca="1" si="5"/>
        <v>1.6976527263135501</v>
      </c>
      <c r="L74">
        <v>4</v>
      </c>
      <c r="M74">
        <v>315</v>
      </c>
      <c r="N74" s="155">
        <f t="shared" si="3"/>
        <v>7.793113276311181E-2</v>
      </c>
      <c r="O74" s="6">
        <f t="shared" ca="1" si="6"/>
        <v>1.5398210669510659</v>
      </c>
      <c r="P74">
        <f t="shared" si="7"/>
        <v>1.5876000000000001</v>
      </c>
      <c r="Q74">
        <v>4</v>
      </c>
      <c r="R74">
        <v>12</v>
      </c>
      <c r="S74">
        <f t="shared" si="8"/>
        <v>304.8</v>
      </c>
      <c r="T74" s="155">
        <f t="shared" si="9"/>
        <v>7.2965876990039674E-2</v>
      </c>
      <c r="U74" s="6">
        <f t="shared" ca="1" si="10"/>
        <v>1.6446043678249875</v>
      </c>
    </row>
    <row r="75" spans="1:21" x14ac:dyDescent="0.25">
      <c r="A75" t="s">
        <v>131</v>
      </c>
      <c r="B75" s="4">
        <f ca="1">(34-$B$55)*($B$49-0.05)^0.62*(0.37*B49*40+3.14)/100</f>
        <v>0.27738781792388134</v>
      </c>
      <c r="F75" s="6"/>
      <c r="H75">
        <v>5</v>
      </c>
      <c r="I75">
        <v>350</v>
      </c>
      <c r="J75" s="155">
        <f t="shared" si="4"/>
        <v>9.6211275016187398E-2</v>
      </c>
      <c r="K75" s="6">
        <f t="shared" ca="1" si="5"/>
        <v>1.2472550642303637</v>
      </c>
      <c r="L75">
        <v>5</v>
      </c>
      <c r="M75">
        <v>355</v>
      </c>
      <c r="N75" s="155">
        <f t="shared" si="3"/>
        <v>9.8979803542163416E-2</v>
      </c>
      <c r="O75" s="6">
        <f t="shared" ca="1" si="6"/>
        <v>1.2123685409102918</v>
      </c>
      <c r="P75">
        <f t="shared" si="7"/>
        <v>1.2700932224741748</v>
      </c>
      <c r="Q75">
        <v>5</v>
      </c>
      <c r="R75">
        <v>14</v>
      </c>
      <c r="S75">
        <f t="shared" si="8"/>
        <v>355.6</v>
      </c>
      <c r="T75" s="155">
        <f t="shared" si="9"/>
        <v>9.931466590310957E-2</v>
      </c>
      <c r="U75" s="6">
        <f t="shared" ca="1" si="10"/>
        <v>1.2082807600346845</v>
      </c>
    </row>
    <row r="76" spans="1:21" x14ac:dyDescent="0.25">
      <c r="A76" t="s">
        <v>257</v>
      </c>
      <c r="B76" s="6">
        <f ca="1">B352</f>
        <v>9.934244246142212</v>
      </c>
      <c r="H76">
        <v>6</v>
      </c>
      <c r="I76">
        <v>400</v>
      </c>
      <c r="J76" s="155">
        <f t="shared" si="4"/>
        <v>0.12566370614359174</v>
      </c>
      <c r="K76" s="6">
        <f t="shared" ca="1" si="5"/>
        <v>0.95492965855137191</v>
      </c>
      <c r="L76">
        <v>6</v>
      </c>
      <c r="M76">
        <v>400</v>
      </c>
      <c r="N76" s="155">
        <f t="shared" si="3"/>
        <v>0.12566370614359174</v>
      </c>
      <c r="O76" s="6">
        <f t="shared" ca="1" si="6"/>
        <v>0.95492965855137191</v>
      </c>
      <c r="P76">
        <f>N76/N75</f>
        <v>1.2695893671890499</v>
      </c>
      <c r="Q76">
        <v>6</v>
      </c>
      <c r="R76">
        <v>16</v>
      </c>
      <c r="S76">
        <f t="shared" si="8"/>
        <v>406.4</v>
      </c>
      <c r="T76" s="155">
        <f t="shared" si="9"/>
        <v>0.12971711464895941</v>
      </c>
      <c r="U76" s="6">
        <f t="shared" ca="1" si="10"/>
        <v>0.92508995690155549</v>
      </c>
    </row>
    <row r="77" spans="1:21" x14ac:dyDescent="0.25">
      <c r="B77" s="6"/>
      <c r="D77" s="6"/>
      <c r="E77" s="6"/>
      <c r="F77" s="6"/>
      <c r="H77" s="296">
        <f ca="1">H76+1-COUNTIF(K71:K76,"&gt;0")</f>
        <v>3</v>
      </c>
      <c r="I77" s="268">
        <f ca="1">VLOOKUP($H$77,$H$71:$K$76,2,0)</f>
        <v>250</v>
      </c>
      <c r="J77" s="268">
        <f ca="1">VLOOKUP($H$77,$H$71:$K$76,3,0)</f>
        <v>4.9087385212340517E-2</v>
      </c>
      <c r="K77" s="268">
        <f ca="1">VLOOKUP($H$77,$H$71:$K$76,4,0)</f>
        <v>2.4446199258915122</v>
      </c>
      <c r="L77" s="296">
        <f ca="1">L76+1-COUNTIF(O71:O76,"&gt;0")</f>
        <v>3</v>
      </c>
      <c r="M77" s="268">
        <f ca="1">VLOOKUP($L$77,$L$71:$O$76,2,0)</f>
        <v>250</v>
      </c>
      <c r="N77" s="268">
        <f ca="1">VLOOKUP($L$77,$L$71:$O$76,3,0)</f>
        <v>4.9087385212340517E-2</v>
      </c>
      <c r="O77" s="268">
        <f ca="1">VLOOKUP($L$77,$L$71:$O$76,4,0)</f>
        <v>2.4446199258915122</v>
      </c>
      <c r="Q77" s="296">
        <f ca="1">Q76+1-COUNTIF(U71:U76,"&gt;0")</f>
        <v>3</v>
      </c>
      <c r="R77" s="268">
        <f ca="1">VLOOKUP($Q$77,$Q$71:$U$76,2,0)</f>
        <v>10</v>
      </c>
      <c r="S77" s="268">
        <f ca="1">VLOOKUP($Q$77,$Q$71:$U$76,3,0)</f>
        <v>254</v>
      </c>
      <c r="T77" s="268">
        <f ca="1">VLOOKUP($Q$77,$Q$71:$U$76,4,0)</f>
        <v>5.0670747909749778E-2</v>
      </c>
      <c r="U77" s="268">
        <f ca="1">VLOOKUP($Q$77,$Q$71:$U$76,5,0)</f>
        <v>2.3682302896679817</v>
      </c>
    </row>
    <row r="78" spans="1:21" x14ac:dyDescent="0.25">
      <c r="B78" s="6"/>
      <c r="D78" s="6"/>
      <c r="E78" s="6"/>
      <c r="F78" s="6"/>
      <c r="H78" s="296"/>
      <c r="L78" s="6"/>
      <c r="Q78" s="6"/>
    </row>
    <row r="79" spans="1:21" x14ac:dyDescent="0.25">
      <c r="A79" t="s">
        <v>300</v>
      </c>
      <c r="B79" s="154">
        <v>1</v>
      </c>
      <c r="D79" s="353" t="s">
        <v>334</v>
      </c>
      <c r="E79" s="353" t="s">
        <v>294</v>
      </c>
      <c r="F79" s="353" t="s">
        <v>155</v>
      </c>
      <c r="G79" s="353" t="s">
        <v>277</v>
      </c>
      <c r="H79" s="353"/>
    </row>
    <row r="80" spans="1:21" x14ac:dyDescent="0.25">
      <c r="A80" t="s">
        <v>771</v>
      </c>
      <c r="B80">
        <f>IF(B8=3,3,B79)</f>
        <v>1</v>
      </c>
      <c r="D80" s="353">
        <v>1</v>
      </c>
      <c r="E80" s="353">
        <f ca="1">I77</f>
        <v>250</v>
      </c>
      <c r="F80" s="353">
        <f t="shared" ref="F80:G80" ca="1" si="11">J77</f>
        <v>4.9087385212340517E-2</v>
      </c>
      <c r="G80" s="353">
        <f t="shared" ca="1" si="11"/>
        <v>2.4446199258915122</v>
      </c>
      <c r="H80" s="353" t="s">
        <v>205</v>
      </c>
    </row>
    <row r="81" spans="1:8" x14ac:dyDescent="0.25">
      <c r="A81" t="s">
        <v>288</v>
      </c>
      <c r="B81" s="154">
        <f ca="1">VLOOKUP($B$80,$D$80:$G$82,2,0)</f>
        <v>250</v>
      </c>
      <c r="C81" s="154" t="str">
        <f>VLOOKUP($B$80,$D$80:$H$82,5,0)</f>
        <v>mm</v>
      </c>
      <c r="D81" s="353">
        <v>2</v>
      </c>
      <c r="E81" s="353">
        <f ca="1">M77</f>
        <v>250</v>
      </c>
      <c r="F81" s="353">
        <f t="shared" ref="F81:G81" ca="1" si="12">N77</f>
        <v>4.9087385212340517E-2</v>
      </c>
      <c r="G81" s="353">
        <f t="shared" ca="1" si="12"/>
        <v>2.4446199258915122</v>
      </c>
      <c r="H81" s="353" t="s">
        <v>205</v>
      </c>
    </row>
    <row r="82" spans="1:8" x14ac:dyDescent="0.25">
      <c r="A82" t="s">
        <v>290</v>
      </c>
      <c r="B82" s="155">
        <f ca="1">VLOOKUP($B$80,$D$80:$G$82,3,0)</f>
        <v>4.9087385212340517E-2</v>
      </c>
      <c r="C82" t="s">
        <v>156</v>
      </c>
      <c r="D82" s="353">
        <v>3</v>
      </c>
      <c r="E82" s="353">
        <f ca="1">R77</f>
        <v>10</v>
      </c>
      <c r="F82" s="353">
        <f ca="1">T77</f>
        <v>5.0670747909749778E-2</v>
      </c>
      <c r="G82" s="353">
        <f ca="1">U77</f>
        <v>2.3682302896679817</v>
      </c>
      <c r="H82" s="353" t="s">
        <v>770</v>
      </c>
    </row>
    <row r="83" spans="1:8" x14ac:dyDescent="0.25">
      <c r="A83" t="s">
        <v>291</v>
      </c>
      <c r="B83" s="7">
        <f ca="1">VLOOKUP($B$80,$D$80:$G$82,4,0)</f>
        <v>2.4446199258915122</v>
      </c>
      <c r="C83" t="s">
        <v>154</v>
      </c>
    </row>
    <row r="84" spans="1:8" x14ac:dyDescent="0.25">
      <c r="B84" s="6"/>
    </row>
    <row r="85" spans="1:8" x14ac:dyDescent="0.25">
      <c r="A85" t="s">
        <v>231</v>
      </c>
      <c r="B85" s="6">
        <f>IF($B$50=1,0.85,1)</f>
        <v>1</v>
      </c>
    </row>
    <row r="86" spans="1:8" x14ac:dyDescent="0.25">
      <c r="A86" t="s">
        <v>232</v>
      </c>
      <c r="B86" s="6">
        <f>IF($B$50=1,0.8,1)</f>
        <v>1</v>
      </c>
    </row>
    <row r="88" spans="1:8" x14ac:dyDescent="0.25">
      <c r="A88" t="s">
        <v>13</v>
      </c>
      <c r="B88">
        <f ca="1">B38*B39</f>
        <v>100</v>
      </c>
      <c r="D88" t="s">
        <v>14</v>
      </c>
    </row>
    <row r="90" spans="1:8" x14ac:dyDescent="0.25">
      <c r="A90" t="s">
        <v>233</v>
      </c>
      <c r="B90">
        <f ca="1">IFERROR(ROUND(C90*B16,1),"custom")</f>
        <v>120</v>
      </c>
      <c r="C90">
        <f>D90/1000</f>
        <v>1.2</v>
      </c>
      <c r="D90">
        <f>IF(data!B13=1,1200,IF(data!B13=2,1163,""))</f>
        <v>1200</v>
      </c>
    </row>
    <row r="92" spans="1:8" x14ac:dyDescent="0.25">
      <c r="A92" s="253" t="s">
        <v>27</v>
      </c>
    </row>
    <row r="93" spans="1:8" x14ac:dyDescent="0.25">
      <c r="A93" s="3"/>
    </row>
    <row r="94" spans="1:8" x14ac:dyDescent="0.25">
      <c r="A94" t="s">
        <v>26</v>
      </c>
      <c r="B94" s="7">
        <f ca="1">D94*SQRT($B$38)+E94</f>
        <v>2.6012</v>
      </c>
      <c r="D94" s="197">
        <v>4.2819999999999997E-2</v>
      </c>
      <c r="E94" s="197">
        <v>2.173</v>
      </c>
    </row>
    <row r="95" spans="1:8" x14ac:dyDescent="0.25">
      <c r="A95" t="s">
        <v>25</v>
      </c>
      <c r="B95" s="7">
        <f ca="1">D94*SQRT($B$38*2)+E94</f>
        <v>2.7785662474081594</v>
      </c>
      <c r="F95" s="5"/>
    </row>
    <row r="96" spans="1:8" x14ac:dyDescent="0.25">
      <c r="A96" t="s">
        <v>425</v>
      </c>
      <c r="B96" s="7">
        <f ca="1">IF($B$45=2,$B$94,$B$95)</f>
        <v>2.6012</v>
      </c>
      <c r="F96" s="5"/>
    </row>
    <row r="97" spans="1:17" x14ac:dyDescent="0.25">
      <c r="A97" s="3"/>
    </row>
    <row r="98" spans="1:17" x14ac:dyDescent="0.25">
      <c r="A98" t="s">
        <v>9</v>
      </c>
    </row>
    <row r="99" spans="1:17" x14ac:dyDescent="0.25">
      <c r="A99" t="s">
        <v>27</v>
      </c>
      <c r="B99" s="11">
        <v>0.95</v>
      </c>
      <c r="C99">
        <f ca="1">C100+0.1</f>
        <v>2.7012</v>
      </c>
    </row>
    <row r="100" spans="1:17" x14ac:dyDescent="0.25">
      <c r="B100" s="11">
        <v>0.9</v>
      </c>
      <c r="C100" s="7">
        <f ca="1">B96</f>
        <v>2.6012</v>
      </c>
    </row>
    <row r="101" spans="1:17" x14ac:dyDescent="0.25">
      <c r="B101" s="11">
        <v>0.8</v>
      </c>
      <c r="C101">
        <f ca="1">C100-0.1</f>
        <v>2.5011999999999999</v>
      </c>
    </row>
    <row r="102" spans="1:17" x14ac:dyDescent="0.25">
      <c r="B102" s="11">
        <v>0.7</v>
      </c>
      <c r="C102">
        <f ca="1">C101-0.1</f>
        <v>2.4011999999999998</v>
      </c>
    </row>
    <row r="104" spans="1:17" x14ac:dyDescent="0.25">
      <c r="A104" s="253" t="s">
        <v>34</v>
      </c>
      <c r="B104" t="s">
        <v>401</v>
      </c>
      <c r="F104" t="s">
        <v>400</v>
      </c>
      <c r="K104" t="s">
        <v>437</v>
      </c>
    </row>
    <row r="105" spans="1:17" x14ac:dyDescent="0.25">
      <c r="D105" t="s">
        <v>224</v>
      </c>
      <c r="H105" t="s">
        <v>224</v>
      </c>
      <c r="L105" s="219" t="s">
        <v>60</v>
      </c>
      <c r="N105" s="219" t="s">
        <v>59</v>
      </c>
      <c r="P105" s="219" t="s">
        <v>334</v>
      </c>
    </row>
    <row r="106" spans="1:17" x14ac:dyDescent="0.25">
      <c r="A106" t="s">
        <v>222</v>
      </c>
      <c r="B106" t="s">
        <v>223</v>
      </c>
      <c r="C106" t="s">
        <v>204</v>
      </c>
      <c r="D106" t="s">
        <v>152</v>
      </c>
      <c r="F106" t="s">
        <v>223</v>
      </c>
      <c r="G106" t="s">
        <v>204</v>
      </c>
      <c r="H106" t="s">
        <v>152</v>
      </c>
      <c r="L106" s="219" t="s">
        <v>223</v>
      </c>
      <c r="M106" t="s">
        <v>204</v>
      </c>
      <c r="N106" s="219" t="s">
        <v>223</v>
      </c>
      <c r="O106" t="s">
        <v>204</v>
      </c>
      <c r="P106" s="219" t="s">
        <v>223</v>
      </c>
      <c r="Q106" t="s">
        <v>204</v>
      </c>
    </row>
    <row r="107" spans="1:17" x14ac:dyDescent="0.25">
      <c r="A107">
        <v>2.7</v>
      </c>
      <c r="B107">
        <v>4510</v>
      </c>
      <c r="C107">
        <v>2.2692999999999999</v>
      </c>
      <c r="D107">
        <f>B107*$B$49^C107</f>
        <v>194.05364448580664</v>
      </c>
      <c r="F107">
        <v>2886</v>
      </c>
      <c r="G107">
        <v>2.1520000000000001</v>
      </c>
      <c r="H107">
        <f>F107*$B$49^G107</f>
        <v>146.10437655638026</v>
      </c>
      <c r="K107">
        <v>2.7</v>
      </c>
      <c r="L107" s="219">
        <v>2.4549999999999999E-2</v>
      </c>
      <c r="M107">
        <v>0.4405</v>
      </c>
      <c r="N107" s="219">
        <v>2.4660000000000001E-2</v>
      </c>
      <c r="O107">
        <v>0.4647</v>
      </c>
      <c r="P107" s="219">
        <f>IF($B$45=2,L107,N107)</f>
        <v>2.4549999999999999E-2</v>
      </c>
      <c r="Q107">
        <f>IF($B$45=2,M107,O107)</f>
        <v>0.4405</v>
      </c>
    </row>
    <row r="108" spans="1:17" x14ac:dyDescent="0.25">
      <c r="A108">
        <v>4</v>
      </c>
      <c r="B108">
        <v>3884</v>
      </c>
      <c r="C108">
        <v>2.2425999999999999</v>
      </c>
      <c r="D108">
        <f t="shared" ref="D108:D109" si="13">B108*$B$49^C108</f>
        <v>173.42012091102143</v>
      </c>
      <c r="F108">
        <v>2651</v>
      </c>
      <c r="G108">
        <v>2.1749999999999998</v>
      </c>
      <c r="H108">
        <f t="shared" ref="H108:H109" si="14">F108*$B$49^G108</f>
        <v>129.99577772026794</v>
      </c>
      <c r="K108">
        <v>4</v>
      </c>
      <c r="L108" s="219">
        <v>2.5100000000000001E-2</v>
      </c>
      <c r="M108">
        <v>0.44579999999999997</v>
      </c>
      <c r="N108" s="219">
        <v>2.6689999999999998E-2</v>
      </c>
      <c r="O108">
        <v>0.4597</v>
      </c>
      <c r="P108" s="219">
        <f t="shared" ref="P108:P109" si="15">IF($B$45=2,L108,N108)</f>
        <v>2.5100000000000001E-2</v>
      </c>
      <c r="Q108">
        <f t="shared" ref="Q108:Q109" si="16">IF($B$45=2,M108,O108)</f>
        <v>0.44579999999999997</v>
      </c>
    </row>
    <row r="109" spans="1:17" x14ac:dyDescent="0.25">
      <c r="A109">
        <v>10.0001</v>
      </c>
      <c r="B109">
        <v>3435</v>
      </c>
      <c r="C109">
        <v>2.2753999999999999</v>
      </c>
      <c r="D109">
        <f t="shared" si="13"/>
        <v>146.55459415179587</v>
      </c>
      <c r="F109">
        <v>2317</v>
      </c>
      <c r="G109">
        <v>2.194</v>
      </c>
      <c r="H109">
        <f t="shared" si="14"/>
        <v>110.66401245665284</v>
      </c>
      <c r="K109">
        <v>10.0001</v>
      </c>
      <c r="L109" s="219">
        <v>2.7969999999999998E-2</v>
      </c>
      <c r="M109">
        <v>0.43909999999999999</v>
      </c>
      <c r="N109" s="219">
        <v>2.9270000000000001E-2</v>
      </c>
      <c r="O109">
        <v>0.45569999999999999</v>
      </c>
      <c r="P109" s="219">
        <f t="shared" si="15"/>
        <v>2.7969999999999998E-2</v>
      </c>
      <c r="Q109">
        <f t="shared" si="16"/>
        <v>0.43909999999999999</v>
      </c>
    </row>
    <row r="110" spans="1:17" x14ac:dyDescent="0.25">
      <c r="B110" t="s">
        <v>203</v>
      </c>
      <c r="C110" t="s">
        <v>204</v>
      </c>
      <c r="F110" t="s">
        <v>203</v>
      </c>
      <c r="G110" t="s">
        <v>204</v>
      </c>
      <c r="K110" s="11"/>
    </row>
    <row r="111" spans="1:17" x14ac:dyDescent="0.25">
      <c r="A111" s="149">
        <f ca="1">B43</f>
        <v>2.7</v>
      </c>
      <c r="B111" s="149">
        <f>EXP(INDEX(LINEST(LN(D107:D109),LN(A107:A109),,),1,2))</f>
        <v>235.85800421193721</v>
      </c>
      <c r="C111" s="149">
        <f>INDEX(LINEST(LN(D107:D109),LN(A107:A109),,),1)</f>
        <v>-0.20897278485293347</v>
      </c>
      <c r="D111" s="151">
        <f ca="1">B111*A111^C111</f>
        <v>191.64934187208348</v>
      </c>
      <c r="E111" s="149" t="s">
        <v>153</v>
      </c>
      <c r="F111" s="149">
        <f>EXP(INDEX(LINEST(LN(H107:H109),LN(A107:A109),,),1,2))</f>
        <v>176.59451316795503</v>
      </c>
      <c r="G111" s="149">
        <f>INDEX(LINEST(LN(H107:H109),LN(A107:A109),,),1)</f>
        <v>-0.20572782138797652</v>
      </c>
      <c r="H111" s="151">
        <f ca="1">F111*A111^G111</f>
        <v>143.95729528493115</v>
      </c>
      <c r="I111" s="149" t="s">
        <v>153</v>
      </c>
    </row>
    <row r="112" spans="1:17" x14ac:dyDescent="0.25">
      <c r="A112" t="s">
        <v>402</v>
      </c>
      <c r="B112">
        <f ca="1">IF($B$45=2,D111,H111)</f>
        <v>191.64934187208348</v>
      </c>
      <c r="D112" s="3"/>
      <c r="H112" s="3"/>
    </row>
    <row r="113" spans="1:68" x14ac:dyDescent="0.25">
      <c r="A113" t="s">
        <v>242</v>
      </c>
      <c r="B113">
        <f ca="1">$B$112/$B$42</f>
        <v>15.97077848934029</v>
      </c>
      <c r="C113" t="s">
        <v>157</v>
      </c>
    </row>
    <row r="114" spans="1:68" x14ac:dyDescent="0.25">
      <c r="A114" t="s">
        <v>243</v>
      </c>
      <c r="B114">
        <f ca="1">B113+B115</f>
        <v>19.97077848934029</v>
      </c>
      <c r="C114" t="s">
        <v>157</v>
      </c>
    </row>
    <row r="115" spans="1:68" x14ac:dyDescent="0.25">
      <c r="A115" t="s">
        <v>250</v>
      </c>
      <c r="B115">
        <v>4</v>
      </c>
    </row>
    <row r="117" spans="1:68" x14ac:dyDescent="0.25">
      <c r="A117" t="s">
        <v>499</v>
      </c>
      <c r="B117">
        <f ca="1">B44^0.151</f>
        <v>0.90062597984792936</v>
      </c>
    </row>
    <row r="119" spans="1:68" x14ac:dyDescent="0.25">
      <c r="A119" s="253" t="s">
        <v>28</v>
      </c>
    </row>
    <row r="120" spans="1:68" x14ac:dyDescent="0.25">
      <c r="A120" t="s">
        <v>9</v>
      </c>
      <c r="B120" t="s">
        <v>227</v>
      </c>
      <c r="C120" t="s">
        <v>228</v>
      </c>
      <c r="E120" t="s">
        <v>234</v>
      </c>
      <c r="F120" t="s">
        <v>235</v>
      </c>
    </row>
    <row r="121" spans="1:68" x14ac:dyDescent="0.25">
      <c r="A121" s="1">
        <v>0.95</v>
      </c>
      <c r="B121">
        <v>1.91</v>
      </c>
      <c r="C121">
        <v>2.54</v>
      </c>
      <c r="E121">
        <v>5.3170379048810661</v>
      </c>
      <c r="F121">
        <v>4.4308649207342219</v>
      </c>
      <c r="H121" s="1"/>
    </row>
    <row r="122" spans="1:68" x14ac:dyDescent="0.25">
      <c r="A122" s="1">
        <v>0.9</v>
      </c>
      <c r="B122">
        <v>1.5</v>
      </c>
      <c r="C122">
        <v>2</v>
      </c>
      <c r="E122">
        <v>6</v>
      </c>
      <c r="F122">
        <v>5</v>
      </c>
      <c r="H122" s="1"/>
    </row>
    <row r="123" spans="1:68" x14ac:dyDescent="0.25">
      <c r="A123" s="1">
        <v>0.8</v>
      </c>
      <c r="B123">
        <v>1</v>
      </c>
      <c r="C123">
        <v>1.32</v>
      </c>
      <c r="E123">
        <v>7.3659241902378696</v>
      </c>
      <c r="F123">
        <v>6.138270158531558</v>
      </c>
      <c r="H123" s="1"/>
    </row>
    <row r="124" spans="1:68" x14ac:dyDescent="0.25">
      <c r="A124" s="150">
        <v>0.7</v>
      </c>
      <c r="B124" s="149">
        <v>0.7</v>
      </c>
      <c r="C124" s="149">
        <v>0.94</v>
      </c>
      <c r="D124" s="149"/>
      <c r="E124" s="149">
        <v>8.7318483804757356</v>
      </c>
      <c r="F124" s="149">
        <v>7.2765403170631142</v>
      </c>
      <c r="H124" s="1"/>
      <c r="BK124" t="s">
        <v>362</v>
      </c>
      <c r="BL124" t="s">
        <v>22</v>
      </c>
      <c r="BM124" t="s">
        <v>363</v>
      </c>
      <c r="BO124" t="s">
        <v>98</v>
      </c>
      <c r="BP124" t="s">
        <v>99</v>
      </c>
    </row>
    <row r="125" spans="1:68" x14ac:dyDescent="0.25">
      <c r="A125" s="1" t="s">
        <v>236</v>
      </c>
      <c r="B125">
        <f>VLOOKUP($B$47,A121:F124,2,0)</f>
        <v>1.5</v>
      </c>
      <c r="D125" t="s">
        <v>240</v>
      </c>
      <c r="E125">
        <f>VLOOKUP($B$47,A121:F124,5,0)</f>
        <v>6</v>
      </c>
      <c r="BK125">
        <v>130</v>
      </c>
      <c r="BL125" s="6">
        <f>BK125^2*$BA$178+BK125*$BB$178+$BC$178</f>
        <v>0</v>
      </c>
      <c r="BM125">
        <f>(BK125/$AY$163)^2*$AY$166</f>
        <v>1.788051991231387</v>
      </c>
      <c r="BO125">
        <v>15.324</v>
      </c>
      <c r="BP125">
        <v>-2.6400999999999999</v>
      </c>
    </row>
    <row r="126" spans="1:68" x14ac:dyDescent="0.25">
      <c r="A126" s="1" t="s">
        <v>237</v>
      </c>
      <c r="B126" s="149">
        <f>VLOOKUP($B$47,A121:F124,3,0)</f>
        <v>2</v>
      </c>
      <c r="C126" s="149"/>
      <c r="D126" s="149"/>
      <c r="E126" s="149">
        <f>VLOOKUP($B$47,A121:F124,6,0)</f>
        <v>5</v>
      </c>
      <c r="BK126">
        <v>210</v>
      </c>
      <c r="BL126" s="6">
        <f>BK126^2*$BA$178+BK126*$BB$178+$BC$178</f>
        <v>0</v>
      </c>
      <c r="BM126">
        <f>(BK126/$AY$163)^2*$AY$166</f>
        <v>4.6658634800771699</v>
      </c>
      <c r="BP126" s="10"/>
    </row>
    <row r="127" spans="1:68" x14ac:dyDescent="0.25">
      <c r="BK127">
        <v>280</v>
      </c>
      <c r="BL127" s="6">
        <f>BK127^2*$BA$178+BK127*$BB$178+$BC$178</f>
        <v>0</v>
      </c>
      <c r="BM127">
        <f>(BK127/$AY$163)^2*$AY$166</f>
        <v>8.2948684090260798</v>
      </c>
      <c r="BP127" s="10"/>
    </row>
    <row r="128" spans="1:68" x14ac:dyDescent="0.25">
      <c r="A128" s="253" t="s">
        <v>403</v>
      </c>
      <c r="BL128" s="6"/>
      <c r="BP128" s="10"/>
    </row>
    <row r="129" spans="1:68" x14ac:dyDescent="0.25">
      <c r="A129" t="s">
        <v>9</v>
      </c>
      <c r="B129" t="s">
        <v>227</v>
      </c>
      <c r="C129" t="s">
        <v>228</v>
      </c>
      <c r="E129" t="s">
        <v>234</v>
      </c>
      <c r="F129" t="s">
        <v>235</v>
      </c>
      <c r="BL129" s="6"/>
      <c r="BP129" s="10"/>
    </row>
    <row r="130" spans="1:68" x14ac:dyDescent="0.25">
      <c r="A130" s="1">
        <v>0.95</v>
      </c>
      <c r="B130">
        <v>1.5</v>
      </c>
      <c r="C130">
        <v>2</v>
      </c>
      <c r="E130">
        <v>5.3170379048810661</v>
      </c>
      <c r="F130">
        <v>4.4308649207342219</v>
      </c>
      <c r="BL130" s="6"/>
      <c r="BP130" s="10"/>
    </row>
    <row r="131" spans="1:68" x14ac:dyDescent="0.25">
      <c r="A131" s="1">
        <v>0.9</v>
      </c>
      <c r="B131">
        <v>1.2152339999999999</v>
      </c>
      <c r="C131">
        <v>1.6165400000000001</v>
      </c>
      <c r="E131">
        <v>6</v>
      </c>
      <c r="F131">
        <v>5</v>
      </c>
      <c r="BL131" s="6"/>
      <c r="BP131" s="10"/>
    </row>
    <row r="132" spans="1:68" x14ac:dyDescent="0.25">
      <c r="A132" s="1">
        <v>0.8</v>
      </c>
      <c r="B132">
        <v>0.80587399999999998</v>
      </c>
      <c r="C132">
        <v>1.0763499999999999</v>
      </c>
      <c r="E132">
        <v>7.3659241902378696</v>
      </c>
      <c r="F132">
        <v>6.138270158531558</v>
      </c>
      <c r="BL132" s="6"/>
      <c r="BP132" s="10"/>
    </row>
    <row r="133" spans="1:68" x14ac:dyDescent="0.25">
      <c r="A133" s="150">
        <v>0.7</v>
      </c>
      <c r="B133" s="149">
        <v>0.7</v>
      </c>
      <c r="C133" s="149">
        <v>0.94</v>
      </c>
      <c r="D133" s="149"/>
      <c r="E133" s="149">
        <v>8.7318483804757356</v>
      </c>
      <c r="F133" s="149">
        <v>7.2765403170631142</v>
      </c>
      <c r="BL133" s="6"/>
      <c r="BP133" s="10"/>
    </row>
    <row r="134" spans="1:68" x14ac:dyDescent="0.25">
      <c r="A134" s="1" t="s">
        <v>236</v>
      </c>
      <c r="B134">
        <f>VLOOKUP($B$47,A130:F133,2,0)</f>
        <v>1.2152339999999999</v>
      </c>
      <c r="D134" t="s">
        <v>240</v>
      </c>
      <c r="E134">
        <f>VLOOKUP($B$47,A130:F133,5,0)</f>
        <v>6</v>
      </c>
      <c r="BL134" s="6"/>
      <c r="BP134" s="10"/>
    </row>
    <row r="135" spans="1:68" x14ac:dyDescent="0.25">
      <c r="A135" s="1" t="s">
        <v>237</v>
      </c>
      <c r="B135" s="149">
        <f>VLOOKUP($B$47,A130:F133,3,0)</f>
        <v>1.6165400000000001</v>
      </c>
      <c r="C135" s="149"/>
      <c r="D135" s="149"/>
      <c r="E135" s="149">
        <f>VLOOKUP($B$47,A130:F133,6,0)</f>
        <v>5</v>
      </c>
      <c r="BK135">
        <v>330</v>
      </c>
      <c r="BL135" s="6">
        <f>BK135^2*$BA$178+BK135*$BB$178+$BC$178</f>
        <v>0</v>
      </c>
      <c r="BM135">
        <f>(BK135/$AY$163)^2*$AY$166</f>
        <v>11.521826144680359</v>
      </c>
    </row>
    <row r="136" spans="1:68" x14ac:dyDescent="0.25">
      <c r="A136" s="1"/>
      <c r="BL136" s="6"/>
    </row>
    <row r="137" spans="1:68" x14ac:dyDescent="0.25">
      <c r="A137" s="253" t="s">
        <v>244</v>
      </c>
    </row>
    <row r="138" spans="1:68" x14ac:dyDescent="0.25">
      <c r="A138" s="1" t="s">
        <v>522</v>
      </c>
      <c r="B138" s="4">
        <f ca="1">1+B48</f>
        <v>1</v>
      </c>
    </row>
    <row r="139" spans="1:68" x14ac:dyDescent="0.25">
      <c r="A139" s="1"/>
      <c r="B139" s="4"/>
    </row>
    <row r="140" spans="1:68" x14ac:dyDescent="0.25">
      <c r="A140" t="s">
        <v>505</v>
      </c>
      <c r="B140" t="s">
        <v>510</v>
      </c>
      <c r="D140" t="s">
        <v>556</v>
      </c>
    </row>
    <row r="141" spans="1:68" x14ac:dyDescent="0.25">
      <c r="A141" s="1">
        <v>0.7</v>
      </c>
      <c r="B141">
        <v>0</v>
      </c>
      <c r="C141">
        <f ca="1">(B144-B141)/25</f>
        <v>0.2</v>
      </c>
      <c r="D141">
        <f ca="1">20-B144</f>
        <v>15</v>
      </c>
    </row>
    <row r="142" spans="1:68" x14ac:dyDescent="0.25">
      <c r="A142" s="1">
        <v>0.8</v>
      </c>
      <c r="B142">
        <f ca="1">B141+C141*10</f>
        <v>2</v>
      </c>
      <c r="D142">
        <f ca="1">$D$141+B142</f>
        <v>17</v>
      </c>
    </row>
    <row r="143" spans="1:68" x14ac:dyDescent="0.25">
      <c r="A143" s="1">
        <v>0.9</v>
      </c>
      <c r="B143">
        <f ca="1">B141+C141*20</f>
        <v>4</v>
      </c>
      <c r="D143">
        <f t="shared" ref="D143:D144" ca="1" si="17">$D$141+B143</f>
        <v>19</v>
      </c>
    </row>
    <row r="144" spans="1:68" x14ac:dyDescent="0.25">
      <c r="A144" s="150">
        <v>0.95</v>
      </c>
      <c r="B144" s="149">
        <f ca="1">$B$58-$B$57</f>
        <v>5</v>
      </c>
      <c r="D144">
        <f t="shared" ca="1" si="17"/>
        <v>20</v>
      </c>
    </row>
    <row r="145" spans="1:64" x14ac:dyDescent="0.25">
      <c r="A145" s="1" t="s">
        <v>511</v>
      </c>
      <c r="B145" s="6">
        <f ca="1">VLOOKUP(B47,A141:B144,2,0)</f>
        <v>4</v>
      </c>
      <c r="D145">
        <f ca="1">VLOOKUP(B47,A141:D144,4,0)</f>
        <v>19</v>
      </c>
    </row>
    <row r="147" spans="1:64" x14ac:dyDescent="0.25">
      <c r="A147" s="3" t="s">
        <v>521</v>
      </c>
      <c r="B147" s="3" t="s">
        <v>217</v>
      </c>
    </row>
    <row r="148" spans="1:64" x14ac:dyDescent="0.25">
      <c r="A148">
        <v>2</v>
      </c>
      <c r="B148">
        <v>1.01123595505618</v>
      </c>
      <c r="BK148" t="s">
        <v>22</v>
      </c>
      <c r="BL148">
        <f ca="1">BO125*LN(AY168)+BP125</f>
        <v>3.0114776535310415</v>
      </c>
    </row>
    <row r="149" spans="1:64" x14ac:dyDescent="0.25">
      <c r="A149">
        <v>2.7</v>
      </c>
      <c r="B149">
        <v>0.66725663716814154</v>
      </c>
    </row>
    <row r="150" spans="1:64" x14ac:dyDescent="0.25">
      <c r="A150">
        <v>3</v>
      </c>
      <c r="B150">
        <v>0.54867256637168138</v>
      </c>
    </row>
    <row r="151" spans="1:64" x14ac:dyDescent="0.25">
      <c r="A151">
        <v>4</v>
      </c>
      <c r="B151">
        <v>0.27433628318584069</v>
      </c>
    </row>
    <row r="152" spans="1:64" x14ac:dyDescent="0.25">
      <c r="A152" s="149">
        <v>5</v>
      </c>
      <c r="B152" s="149">
        <v>8.8495575221238937E-2</v>
      </c>
    </row>
    <row r="153" spans="1:64" x14ac:dyDescent="0.25">
      <c r="A153">
        <f ca="1">B43</f>
        <v>2.7</v>
      </c>
      <c r="B153">
        <f ca="1">5.7114*EXP(-0.804*A153)</f>
        <v>0.65159255861242893</v>
      </c>
    </row>
    <row r="156" spans="1:64" x14ac:dyDescent="0.25">
      <c r="A156" s="253" t="s">
        <v>478</v>
      </c>
      <c r="B156">
        <v>1.95E-2</v>
      </c>
      <c r="C156" t="s">
        <v>149</v>
      </c>
    </row>
    <row r="160" spans="1:64" x14ac:dyDescent="0.25">
      <c r="A160" s="3" t="s">
        <v>50</v>
      </c>
      <c r="H160" s="3" t="s">
        <v>48</v>
      </c>
      <c r="O160" s="3" t="s">
        <v>49</v>
      </c>
      <c r="V160" s="3" t="s">
        <v>51</v>
      </c>
      <c r="AC160" s="3" t="s">
        <v>52</v>
      </c>
      <c r="AJ160" s="3" t="s">
        <v>53</v>
      </c>
      <c r="AQ160" s="3" t="s">
        <v>283</v>
      </c>
      <c r="AX160" s="3" t="s">
        <v>284</v>
      </c>
    </row>
    <row r="161" spans="1:52" x14ac:dyDescent="0.25">
      <c r="A161" s="3" t="s">
        <v>46</v>
      </c>
      <c r="B161">
        <v>1</v>
      </c>
      <c r="H161" s="3" t="s">
        <v>46</v>
      </c>
      <c r="I161">
        <v>2</v>
      </c>
      <c r="O161" s="3" t="s">
        <v>46</v>
      </c>
      <c r="P161">
        <v>3</v>
      </c>
      <c r="V161" s="3" t="s">
        <v>46</v>
      </c>
      <c r="W161">
        <v>4</v>
      </c>
      <c r="AC161" s="3" t="s">
        <v>46</v>
      </c>
      <c r="AD161">
        <v>5</v>
      </c>
      <c r="AJ161" s="3" t="s">
        <v>46</v>
      </c>
      <c r="AK161">
        <v>6</v>
      </c>
      <c r="AQ161" s="3" t="s">
        <v>46</v>
      </c>
      <c r="AR161">
        <v>7</v>
      </c>
      <c r="AX161" s="3" t="s">
        <v>46</v>
      </c>
      <c r="AY161">
        <v>8</v>
      </c>
    </row>
    <row r="162" spans="1:52" x14ac:dyDescent="0.25">
      <c r="A162" t="s">
        <v>472</v>
      </c>
      <c r="B162" s="12">
        <v>35</v>
      </c>
      <c r="C162" t="s">
        <v>5</v>
      </c>
      <c r="H162" t="s">
        <v>17</v>
      </c>
      <c r="I162" s="12">
        <v>74</v>
      </c>
      <c r="J162" t="s">
        <v>5</v>
      </c>
      <c r="O162" t="s">
        <v>17</v>
      </c>
      <c r="P162" s="12">
        <v>112</v>
      </c>
      <c r="Q162" t="s">
        <v>5</v>
      </c>
      <c r="V162" t="s">
        <v>17</v>
      </c>
      <c r="W162" s="12">
        <v>149</v>
      </c>
      <c r="X162" t="s">
        <v>5</v>
      </c>
      <c r="AC162" t="s">
        <v>17</v>
      </c>
      <c r="AD162" s="12">
        <v>188</v>
      </c>
      <c r="AE162" t="s">
        <v>5</v>
      </c>
      <c r="AJ162" t="s">
        <v>17</v>
      </c>
      <c r="AK162" s="12">
        <v>228</v>
      </c>
      <c r="AL162" t="s">
        <v>5</v>
      </c>
      <c r="AQ162" t="s">
        <v>17</v>
      </c>
      <c r="AR162" s="12">
        <v>265</v>
      </c>
      <c r="AS162" t="s">
        <v>5</v>
      </c>
      <c r="AX162" t="s">
        <v>17</v>
      </c>
      <c r="AY162" s="12">
        <v>304</v>
      </c>
      <c r="AZ162" t="s">
        <v>5</v>
      </c>
    </row>
    <row r="163" spans="1:52" x14ac:dyDescent="0.25">
      <c r="A163" t="s">
        <v>17</v>
      </c>
      <c r="B163" s="12">
        <f>B162*1.5</f>
        <v>52.5</v>
      </c>
      <c r="C163" t="s">
        <v>5</v>
      </c>
      <c r="H163" t="s">
        <v>17</v>
      </c>
      <c r="I163" s="12">
        <f t="shared" ref="I163" si="18">I162*1.5</f>
        <v>111</v>
      </c>
      <c r="J163" t="s">
        <v>5</v>
      </c>
      <c r="O163" t="s">
        <v>17</v>
      </c>
      <c r="P163" s="12">
        <f t="shared" ref="P163" si="19">P162*1.5</f>
        <v>168</v>
      </c>
      <c r="Q163" t="s">
        <v>5</v>
      </c>
      <c r="V163" t="s">
        <v>17</v>
      </c>
      <c r="W163" s="12">
        <f t="shared" ref="W163" si="20">W162*1.5</f>
        <v>223.5</v>
      </c>
      <c r="X163" t="s">
        <v>5</v>
      </c>
      <c r="AC163" t="s">
        <v>17</v>
      </c>
      <c r="AD163" s="12">
        <f t="shared" ref="AD163" si="21">AD162*1.5</f>
        <v>282</v>
      </c>
      <c r="AE163" t="s">
        <v>5</v>
      </c>
      <c r="AJ163" t="s">
        <v>17</v>
      </c>
      <c r="AK163" s="12">
        <f t="shared" ref="AK163" si="22">AK162*1.5</f>
        <v>342</v>
      </c>
      <c r="AL163" t="s">
        <v>5</v>
      </c>
      <c r="AQ163" t="s">
        <v>17</v>
      </c>
      <c r="AR163" s="12">
        <f t="shared" ref="AR163" si="23">AR162*1.5</f>
        <v>397.5</v>
      </c>
      <c r="AS163" t="s">
        <v>5</v>
      </c>
      <c r="AX163" t="s">
        <v>17</v>
      </c>
      <c r="AY163" s="12">
        <f t="shared" ref="AY163" si="24">AY162*1.5</f>
        <v>456</v>
      </c>
      <c r="AZ163" t="s">
        <v>5</v>
      </c>
    </row>
    <row r="164" spans="1:52" x14ac:dyDescent="0.25">
      <c r="A164" t="s">
        <v>473</v>
      </c>
      <c r="B164" s="12">
        <v>35</v>
      </c>
      <c r="C164" t="s">
        <v>6</v>
      </c>
      <c r="H164" t="s">
        <v>18</v>
      </c>
      <c r="I164" s="12">
        <v>35</v>
      </c>
      <c r="J164" t="s">
        <v>6</v>
      </c>
      <c r="O164" t="s">
        <v>18</v>
      </c>
      <c r="P164" s="12">
        <v>35</v>
      </c>
      <c r="Q164" t="s">
        <v>6</v>
      </c>
      <c r="V164" t="s">
        <v>18</v>
      </c>
      <c r="W164" s="12">
        <v>35</v>
      </c>
      <c r="X164" t="s">
        <v>6</v>
      </c>
      <c r="AC164" t="s">
        <v>18</v>
      </c>
      <c r="AD164" s="12">
        <v>35</v>
      </c>
      <c r="AE164" t="s">
        <v>6</v>
      </c>
      <c r="AJ164" t="s">
        <v>18</v>
      </c>
      <c r="AK164" s="12">
        <v>35</v>
      </c>
      <c r="AL164" t="s">
        <v>6</v>
      </c>
      <c r="AQ164" t="s">
        <v>18</v>
      </c>
      <c r="AR164" s="12">
        <v>35</v>
      </c>
      <c r="AS164" t="s">
        <v>6</v>
      </c>
      <c r="AX164" t="s">
        <v>18</v>
      </c>
      <c r="AY164" s="12">
        <v>35</v>
      </c>
      <c r="AZ164" t="s">
        <v>6</v>
      </c>
    </row>
    <row r="165" spans="1:52" x14ac:dyDescent="0.25">
      <c r="A165" t="s">
        <v>474</v>
      </c>
      <c r="B165" s="12">
        <v>150</v>
      </c>
      <c r="H165" t="s">
        <v>474</v>
      </c>
      <c r="I165" s="12">
        <v>250</v>
      </c>
      <c r="O165" t="s">
        <v>474</v>
      </c>
      <c r="P165" s="12">
        <v>300</v>
      </c>
      <c r="V165" t="s">
        <v>474</v>
      </c>
      <c r="W165" s="12">
        <v>300</v>
      </c>
      <c r="AC165" t="s">
        <v>474</v>
      </c>
      <c r="AD165" s="12">
        <v>350</v>
      </c>
      <c r="AJ165" t="s">
        <v>474</v>
      </c>
      <c r="AK165" s="12">
        <v>400</v>
      </c>
      <c r="AQ165" t="s">
        <v>474</v>
      </c>
      <c r="AR165" s="12">
        <v>400</v>
      </c>
      <c r="AX165" t="s">
        <v>474</v>
      </c>
      <c r="AY165" s="12">
        <v>450</v>
      </c>
    </row>
    <row r="166" spans="1:52" x14ac:dyDescent="0.25">
      <c r="A166" t="s">
        <v>286</v>
      </c>
      <c r="B166" s="12">
        <f>B164-(0.5*1.225*(B163/1000/(PI()*(B165/2000)^2))^2)</f>
        <v>29.5939519572166</v>
      </c>
      <c r="C166" t="s">
        <v>6</v>
      </c>
      <c r="H166" t="s">
        <v>286</v>
      </c>
      <c r="I166" s="12">
        <f>I164-(0.5*1.225*(I163/1000/(PI()*(I165/2000)^2))^2)</f>
        <v>31.868068511784706</v>
      </c>
      <c r="J166" t="s">
        <v>6</v>
      </c>
      <c r="O166" t="s">
        <v>286</v>
      </c>
      <c r="P166" s="12">
        <f t="shared" ref="P166" si="25">P164-(0.5*1.225*(P163/1000/(PI()*(P165/2000)^2))^2)</f>
        <v>31.540129252618623</v>
      </c>
      <c r="Q166" t="s">
        <v>6</v>
      </c>
      <c r="V166" t="s">
        <v>286</v>
      </c>
      <c r="W166" s="12">
        <f t="shared" ref="W166" si="26">W164-(0.5*1.225*(W163/1000/(PI()*(W165/2000)^2))^2)</f>
        <v>28.876547316437026</v>
      </c>
      <c r="X166" t="s">
        <v>6</v>
      </c>
      <c r="AC166" t="s">
        <v>286</v>
      </c>
      <c r="AD166" s="12">
        <f t="shared" ref="AD166" si="27">AD164-(0.5*1.225*(AD163/1000/(PI()*(AD165/2000)^2))^2)</f>
        <v>29.737981513160314</v>
      </c>
      <c r="AE166" t="s">
        <v>6</v>
      </c>
      <c r="AJ166" t="s">
        <v>286</v>
      </c>
      <c r="AK166" s="12">
        <f t="shared" ref="AK166" si="28">AK164-(0.5*1.225*(AK163/1000/(PI()*(AK165/2000)^2))^2)</f>
        <v>30.463315505831424</v>
      </c>
      <c r="AL166" t="s">
        <v>6</v>
      </c>
      <c r="AQ166" t="s">
        <v>286</v>
      </c>
      <c r="AR166" s="12">
        <f>AR164-(0.5*1.225*(AR163/1000/(PI()*(0.355/2)^2))^2)</f>
        <v>25.121586892308684</v>
      </c>
      <c r="AX166" t="s">
        <v>286</v>
      </c>
      <c r="AY166" s="12">
        <f>AY164-(0.5*1.225*(AY163/1000/(PI()*(0.355/2)^2))^2)</f>
        <v>22.000022417082231</v>
      </c>
    </row>
    <row r="167" spans="1:52" x14ac:dyDescent="0.25">
      <c r="A167" t="s">
        <v>494</v>
      </c>
      <c r="B167" s="250">
        <f ca="1">$B$38/1000/PI()/(B165/2000)^2</f>
        <v>5.6588424210451675</v>
      </c>
      <c r="C167" t="s">
        <v>154</v>
      </c>
      <c r="H167" t="s">
        <v>494</v>
      </c>
      <c r="I167" s="250">
        <f t="shared" ref="I167" ca="1" si="29">$B$38/1000/PI()/(I165/2000)^2</f>
        <v>2.0371832715762603</v>
      </c>
      <c r="J167" t="s">
        <v>154</v>
      </c>
      <c r="O167" t="s">
        <v>494</v>
      </c>
      <c r="P167" s="250">
        <f t="shared" ref="P167" ca="1" si="30">$B$38/1000/PI()/(P165/2000)^2</f>
        <v>1.4147106052612919</v>
      </c>
      <c r="Q167" t="s">
        <v>154</v>
      </c>
      <c r="V167" t="s">
        <v>494</v>
      </c>
      <c r="W167" s="250">
        <f t="shared" ref="W167" ca="1" si="31">$B$38/1000/PI()/(W165/2000)^2</f>
        <v>1.4147106052612919</v>
      </c>
      <c r="X167" t="s">
        <v>154</v>
      </c>
      <c r="AC167" t="s">
        <v>494</v>
      </c>
      <c r="AD167" s="250">
        <f t="shared" ref="AD167" ca="1" si="32">$B$38/1000/PI()/(AD165/2000)^2</f>
        <v>1.0393792201919696</v>
      </c>
      <c r="AE167" t="s">
        <v>154</v>
      </c>
      <c r="AJ167" t="s">
        <v>494</v>
      </c>
      <c r="AK167" s="250">
        <f t="shared" ref="AK167" ca="1" si="33">$B$38/1000/PI()/(AK165/2000)^2</f>
        <v>0.79577471545947653</v>
      </c>
      <c r="AL167" t="s">
        <v>154</v>
      </c>
      <c r="AQ167" t="s">
        <v>494</v>
      </c>
      <c r="AR167" s="250">
        <f t="shared" ref="AR167" ca="1" si="34">$B$38/1000/PI()/(AR165/2000)^2</f>
        <v>0.79577471545947653</v>
      </c>
      <c r="AS167" t="s">
        <v>154</v>
      </c>
      <c r="AX167" t="s">
        <v>494</v>
      </c>
      <c r="AY167" s="250">
        <f ca="1">$B$38/1000/PI()/(AY165/2000)^2</f>
        <v>0.62876026900501858</v>
      </c>
      <c r="AZ167" t="s">
        <v>154</v>
      </c>
    </row>
    <row r="168" spans="1:52" x14ac:dyDescent="0.25">
      <c r="A168" t="s">
        <v>287</v>
      </c>
      <c r="B168">
        <f ca="1">B169-(0.5*1.2*B167^2)</f>
        <v>107.77062845639477</v>
      </c>
      <c r="H168" t="s">
        <v>287</v>
      </c>
      <c r="I168">
        <f t="shared" ref="I168" ca="1" si="35">I169-(0.5*1.2*I167^2)</f>
        <v>25.91671575434783</v>
      </c>
      <c r="O168" t="s">
        <v>287</v>
      </c>
      <c r="P168">
        <f t="shared" ref="P168" ca="1" si="36">P169-(0.5*1.2*P167^2)</f>
        <v>11.199949992810387</v>
      </c>
      <c r="V168" t="s">
        <v>287</v>
      </c>
      <c r="W168">
        <f t="shared" ref="W168" ca="1" si="37">W169-(0.5*1.2*W167^2)</f>
        <v>5.8058477322944526</v>
      </c>
      <c r="AC168" t="s">
        <v>287</v>
      </c>
      <c r="AD168">
        <f t="shared" ref="AD168" ca="1" si="38">AD169-(0.5*1.2*AD167^2)</f>
        <v>3.7530015650048787</v>
      </c>
      <c r="AJ168" t="s">
        <v>287</v>
      </c>
      <c r="AK168">
        <f t="shared" ref="AK168" ca="1" si="39">AK169-(0.5*1.2*AK167^2)</f>
        <v>2.6124192831701722</v>
      </c>
      <c r="AQ168" t="s">
        <v>287</v>
      </c>
      <c r="AR168">
        <f t="shared" ref="AR168" ca="1" si="40">AR169-(0.5*1.2*AR167^2)</f>
        <v>1.8351478120433418</v>
      </c>
      <c r="AX168" t="s">
        <v>287</v>
      </c>
      <c r="AY168">
        <f t="shared" ref="AY168" ca="1" si="41">AY169-(0.5*1.2*AY167^2)</f>
        <v>1.4460065330012197</v>
      </c>
    </row>
    <row r="169" spans="1:52" x14ac:dyDescent="0.25">
      <c r="A169" t="s">
        <v>289</v>
      </c>
      <c r="B169">
        <f ca="1">($B$38/B163)^2*B164</f>
        <v>126.98412698412697</v>
      </c>
      <c r="C169" t="s">
        <v>6</v>
      </c>
      <c r="H169" t="s">
        <v>289</v>
      </c>
      <c r="I169">
        <f t="shared" ref="I169" ca="1" si="42">($B$38/I163)^2*I164</f>
        <v>28.406785163541922</v>
      </c>
      <c r="J169" t="s">
        <v>6</v>
      </c>
      <c r="O169" t="s">
        <v>289</v>
      </c>
      <c r="P169">
        <f t="shared" ref="P169" ca="1" si="43">($B$38/P163)^2*P164</f>
        <v>12.40079365079365</v>
      </c>
      <c r="Q169" t="s">
        <v>6</v>
      </c>
      <c r="V169" t="s">
        <v>289</v>
      </c>
      <c r="W169">
        <f t="shared" ref="W169" ca="1" si="44">($B$38/W163)^2*W164</f>
        <v>7.006691390277715</v>
      </c>
      <c r="X169" t="s">
        <v>6</v>
      </c>
      <c r="AC169" t="s">
        <v>289</v>
      </c>
      <c r="AD169">
        <f t="shared" ref="AD169" ca="1" si="45">($B$38/AD163)^2*AD164</f>
        <v>4.4011870630249987</v>
      </c>
      <c r="AE169" t="s">
        <v>6</v>
      </c>
      <c r="AJ169" t="s">
        <v>289</v>
      </c>
      <c r="AK169">
        <f t="shared" ref="AK169" ca="1" si="46">($B$38/AK163)^2*AK164</f>
        <v>2.9923737218289386</v>
      </c>
      <c r="AL169" t="s">
        <v>6</v>
      </c>
      <c r="AQ169" t="s">
        <v>289</v>
      </c>
      <c r="AR169">
        <f t="shared" ref="AR169" ca="1" si="47">($B$38/AR163)^2*AR164</f>
        <v>2.2151022507021083</v>
      </c>
      <c r="AS169" t="s">
        <v>6</v>
      </c>
      <c r="AX169" t="s">
        <v>289</v>
      </c>
      <c r="AY169">
        <f t="shared" ref="AY169" ca="1" si="48">($B$38/AY163)^2*AY164</f>
        <v>1.6832102185287778</v>
      </c>
      <c r="AZ169" t="s">
        <v>6</v>
      </c>
    </row>
    <row r="170" spans="1:52" x14ac:dyDescent="0.25">
      <c r="A170" t="s">
        <v>19</v>
      </c>
      <c r="B170">
        <f ca="1">SQRT($B$41/B166)*B163</f>
        <v>52.858939845768717</v>
      </c>
      <c r="H170" t="s">
        <v>19</v>
      </c>
      <c r="I170">
        <f ca="1">SQRT($B$41/I166)*I163</f>
        <v>107.69752802176512</v>
      </c>
      <c r="O170" t="s">
        <v>19</v>
      </c>
      <c r="P170">
        <f ca="1">SQRT($B$41/P166)*P163</f>
        <v>163.84687955551047</v>
      </c>
      <c r="V170" t="s">
        <v>19</v>
      </c>
      <c r="W170">
        <f ca="1">SQRT($B$41/W166)*W163</f>
        <v>227.80619096150721</v>
      </c>
      <c r="AC170" t="s">
        <v>19</v>
      </c>
      <c r="AD170">
        <f ca="1">SQRT($B$41/AD166)*AD163</f>
        <v>283.23961286125098</v>
      </c>
      <c r="AJ170" t="s">
        <v>19</v>
      </c>
      <c r="AK170">
        <f ca="1">SQRT($B$41/AK166)*AK163</f>
        <v>339.38930241348095</v>
      </c>
      <c r="AQ170" t="s">
        <v>19</v>
      </c>
      <c r="AR170">
        <f ca="1">SQRT($B$41/AR166)*AR163</f>
        <v>434.38440543770037</v>
      </c>
      <c r="AX170" t="s">
        <v>19</v>
      </c>
      <c r="AY170">
        <f ca="1">SQRT($B$41/AY166)*AY163</f>
        <v>532.49300651247097</v>
      </c>
    </row>
    <row r="171" spans="1:52" x14ac:dyDescent="0.25">
      <c r="A171" t="s">
        <v>20</v>
      </c>
      <c r="B171">
        <f ca="1">SQRT($B$42/16)*0.3*B163</f>
        <v>13.639900109604907</v>
      </c>
      <c r="C171" t="s">
        <v>482</v>
      </c>
      <c r="H171" t="s">
        <v>20</v>
      </c>
      <c r="I171">
        <f t="shared" ref="I171" ca="1" si="49">SQRT($B$42/16)*0.3*I163</f>
        <v>28.838645946021803</v>
      </c>
      <c r="O171" t="s">
        <v>20</v>
      </c>
      <c r="P171">
        <f t="shared" ref="P171" ca="1" si="50">SQRT($B$42/16)*0.3*P163</f>
        <v>43.647680350735705</v>
      </c>
      <c r="V171" t="s">
        <v>20</v>
      </c>
      <c r="W171">
        <f t="shared" ref="W171" ca="1" si="51">SQRT($B$42/16)*0.3*W163</f>
        <v>58.067003323746604</v>
      </c>
      <c r="AC171" t="s">
        <v>20</v>
      </c>
      <c r="AD171">
        <f t="shared" ref="AD171" ca="1" si="52">SQRT($B$42/16)*0.3*AD163</f>
        <v>73.265749160163509</v>
      </c>
      <c r="AJ171" t="s">
        <v>20</v>
      </c>
      <c r="AK171">
        <f t="shared" ref="AK171" ca="1" si="53">SQRT($B$42/16)*0.3*AK163</f>
        <v>88.854206428283391</v>
      </c>
      <c r="AQ171" t="s">
        <v>20</v>
      </c>
      <c r="AR171">
        <f t="shared" ref="AR171" ca="1" si="54">SQRT($B$42/16)*0.3*AR163</f>
        <v>103.2735294012943</v>
      </c>
      <c r="AX171" t="s">
        <v>20</v>
      </c>
      <c r="AY171">
        <f t="shared" ref="AY171" ca="1" si="55">SQRT($B$42/16)*0.3*AY163</f>
        <v>118.4722752377112</v>
      </c>
    </row>
    <row r="172" spans="1:52" x14ac:dyDescent="0.25">
      <c r="A172" t="s">
        <v>21</v>
      </c>
      <c r="B172" s="4">
        <f ca="1">B171/$B$38</f>
        <v>0.13639900109604908</v>
      </c>
      <c r="H172" t="s">
        <v>21</v>
      </c>
      <c r="I172" s="4">
        <f ca="1">I171/$B$38</f>
        <v>0.28838645946021801</v>
      </c>
      <c r="O172" t="s">
        <v>21</v>
      </c>
      <c r="P172" s="4">
        <f ca="1">P171/$B$38</f>
        <v>0.43647680350735707</v>
      </c>
      <c r="V172" t="s">
        <v>21</v>
      </c>
      <c r="W172" s="4">
        <f ca="1">W171/$B$38</f>
        <v>0.58067003323746602</v>
      </c>
      <c r="AC172" t="s">
        <v>21</v>
      </c>
      <c r="AD172" s="4">
        <f ca="1">AD171/$B$38</f>
        <v>0.73265749160163507</v>
      </c>
      <c r="AJ172" t="s">
        <v>21</v>
      </c>
      <c r="AK172" s="4">
        <f ca="1">AK171/$B$38</f>
        <v>0.88854206428283389</v>
      </c>
      <c r="AQ172" t="s">
        <v>21</v>
      </c>
      <c r="AR172" s="4">
        <f ca="1">AR171/$B$38</f>
        <v>1.0327352940129431</v>
      </c>
      <c r="AX172" t="s">
        <v>21</v>
      </c>
      <c r="AY172" s="4">
        <f ca="1">AY171/$B$38</f>
        <v>1.184722752377112</v>
      </c>
    </row>
    <row r="173" spans="1:52" x14ac:dyDescent="0.25">
      <c r="B173" s="4"/>
      <c r="I173" s="4"/>
      <c r="P173" s="4"/>
      <c r="W173" s="4"/>
      <c r="AD173" s="4"/>
      <c r="AK173" s="4"/>
      <c r="AR173" s="4"/>
      <c r="AY173" s="4"/>
    </row>
    <row r="174" spans="1:52" x14ac:dyDescent="0.25">
      <c r="A174" t="s">
        <v>364</v>
      </c>
      <c r="B174" s="4"/>
      <c r="H174" t="s">
        <v>364</v>
      </c>
      <c r="I174" s="4"/>
      <c r="O174" t="s">
        <v>364</v>
      </c>
      <c r="P174" s="4"/>
      <c r="V174" t="s">
        <v>364</v>
      </c>
      <c r="W174" s="4"/>
      <c r="AC174" t="s">
        <v>364</v>
      </c>
      <c r="AD174" s="4"/>
      <c r="AJ174" t="s">
        <v>364</v>
      </c>
      <c r="AK174" s="4"/>
      <c r="AQ174" t="s">
        <v>364</v>
      </c>
      <c r="AR174" s="4"/>
      <c r="AX174" t="s">
        <v>364</v>
      </c>
      <c r="AY174" s="4"/>
    </row>
    <row r="175" spans="1:52" x14ac:dyDescent="0.25">
      <c r="A175" t="s">
        <v>98</v>
      </c>
      <c r="B175" s="6">
        <v>9.1037999999999997</v>
      </c>
      <c r="H175" t="s">
        <v>98</v>
      </c>
      <c r="I175" s="6">
        <v>10.92</v>
      </c>
      <c r="O175" t="s">
        <v>98</v>
      </c>
      <c r="P175" s="6">
        <v>12.23</v>
      </c>
      <c r="V175" t="s">
        <v>98</v>
      </c>
      <c r="W175" s="6">
        <v>12.574999999999999</v>
      </c>
      <c r="AC175" t="s">
        <v>98</v>
      </c>
      <c r="AD175" s="6">
        <v>12.667</v>
      </c>
      <c r="AJ175" t="s">
        <v>98</v>
      </c>
      <c r="AK175" s="6">
        <v>14.311999999999999</v>
      </c>
      <c r="AQ175" t="s">
        <v>98</v>
      </c>
      <c r="AR175" s="6">
        <v>14.311999999999999</v>
      </c>
      <c r="AX175" t="s">
        <v>98</v>
      </c>
      <c r="AY175" s="6">
        <v>14.311999999999999</v>
      </c>
    </row>
    <row r="176" spans="1:52" x14ac:dyDescent="0.25">
      <c r="A176" t="s">
        <v>480</v>
      </c>
      <c r="B176" s="6">
        <v>-2.4592000000000001</v>
      </c>
      <c r="C176" s="128" t="s">
        <v>483</v>
      </c>
      <c r="H176" t="s">
        <v>99</v>
      </c>
      <c r="I176" s="6">
        <v>-3.4754</v>
      </c>
      <c r="O176" t="s">
        <v>99</v>
      </c>
      <c r="P176" s="6">
        <v>-5.1696999999999997</v>
      </c>
      <c r="V176" t="s">
        <v>99</v>
      </c>
      <c r="W176" s="6">
        <v>-5.7515999999999998</v>
      </c>
      <c r="AC176" t="s">
        <v>99</v>
      </c>
      <c r="AD176" s="6">
        <v>-4.6794000000000002</v>
      </c>
      <c r="AJ176" t="s">
        <v>99</v>
      </c>
      <c r="AK176" s="6">
        <v>-8.6166</v>
      </c>
      <c r="AQ176" t="s">
        <v>99</v>
      </c>
      <c r="AR176" s="6">
        <v>-7.9470000000000001</v>
      </c>
      <c r="AX176" t="s">
        <v>99</v>
      </c>
      <c r="AY176" s="6">
        <v>-7.367</v>
      </c>
    </row>
    <row r="177" spans="1:55" x14ac:dyDescent="0.25">
      <c r="A177" t="s">
        <v>481</v>
      </c>
      <c r="B177" s="6">
        <f>B176+4.8</f>
        <v>2.3407999999999998</v>
      </c>
      <c r="H177" t="s">
        <v>481</v>
      </c>
      <c r="I177" s="6">
        <f t="shared" ref="I177" si="56">I176+4.8</f>
        <v>1.3245999999999998</v>
      </c>
      <c r="O177" t="s">
        <v>481</v>
      </c>
      <c r="P177" s="6">
        <f t="shared" ref="P177" si="57">P176+4.8</f>
        <v>-0.36969999999999992</v>
      </c>
      <c r="V177" t="s">
        <v>481</v>
      </c>
      <c r="W177" s="6">
        <f t="shared" ref="W177" si="58">W176+4.8</f>
        <v>-0.9516</v>
      </c>
      <c r="AC177" t="s">
        <v>481</v>
      </c>
      <c r="AD177" s="6">
        <f t="shared" ref="AD177" si="59">AD176+4.8</f>
        <v>0.1205999999999996</v>
      </c>
      <c r="AJ177" t="s">
        <v>481</v>
      </c>
      <c r="AK177" s="6">
        <f t="shared" ref="AK177" si="60">AK176+4.8</f>
        <v>-3.8166000000000002</v>
      </c>
      <c r="AQ177" t="s">
        <v>481</v>
      </c>
      <c r="AR177" s="6">
        <f t="shared" ref="AR177" si="61">AR176+4.8</f>
        <v>-3.1470000000000002</v>
      </c>
      <c r="AX177" t="s">
        <v>481</v>
      </c>
      <c r="AY177" s="6">
        <f t="shared" ref="AY177" si="62">AY176+4.8</f>
        <v>-2.5670000000000002</v>
      </c>
    </row>
    <row r="178" spans="1:55" x14ac:dyDescent="0.25">
      <c r="A178" t="s">
        <v>22</v>
      </c>
      <c r="B178" s="6">
        <f ca="1">B175*LN(B168)+B177</f>
        <v>44.946630957867235</v>
      </c>
      <c r="D178" s="190"/>
      <c r="E178" s="190"/>
      <c r="F178" s="190"/>
      <c r="H178" t="s">
        <v>22</v>
      </c>
      <c r="I178" s="6">
        <f ca="1">I175*LN(I168)+I177</f>
        <v>36.867978668410814</v>
      </c>
      <c r="K178" s="190"/>
      <c r="L178" s="190"/>
      <c r="M178" s="190"/>
      <c r="O178" t="s">
        <v>22</v>
      </c>
      <c r="P178" s="6">
        <f ca="1">P175*LN(P168)+P177</f>
        <v>29.176870902434835</v>
      </c>
      <c r="R178" s="190"/>
      <c r="S178" s="190"/>
      <c r="T178" s="190"/>
      <c r="V178" t="s">
        <v>22</v>
      </c>
      <c r="W178" s="6">
        <f ca="1">W175*LN(W168)+W177</f>
        <v>21.166135414651666</v>
      </c>
      <c r="Y178" s="190"/>
      <c r="Z178" s="190"/>
      <c r="AA178" s="190"/>
      <c r="AC178" t="s">
        <v>22</v>
      </c>
      <c r="AD178" s="6">
        <f ca="1">AD175*LN(AD168)+AD177</f>
        <v>16.873416055927567</v>
      </c>
      <c r="AF178" s="190"/>
      <c r="AG178" s="190"/>
      <c r="AH178" s="190"/>
      <c r="AJ178" t="s">
        <v>22</v>
      </c>
      <c r="AK178" s="6">
        <f ca="1">AK175*LN(AK168)+AK177</f>
        <v>9.926880422642931</v>
      </c>
      <c r="AM178" s="190"/>
      <c r="AN178" s="190"/>
      <c r="AO178" s="190"/>
      <c r="AQ178" t="s">
        <v>22</v>
      </c>
      <c r="AR178" s="6">
        <f ca="1">AR175*LN(AR168)+AR177</f>
        <v>5.5421734262784987</v>
      </c>
      <c r="AT178" s="190"/>
      <c r="AU178" s="190"/>
      <c r="AV178" s="190"/>
      <c r="AX178" t="s">
        <v>22</v>
      </c>
      <c r="AY178" s="6">
        <f ca="1">AY175*LN(AY168)+AY177</f>
        <v>2.7113463441227008</v>
      </c>
      <c r="BA178" s="190"/>
      <c r="BB178" s="190"/>
      <c r="BC178" s="190"/>
    </row>
    <row r="179" spans="1:55" x14ac:dyDescent="0.25">
      <c r="A179" t="s">
        <v>23</v>
      </c>
      <c r="B179" s="6">
        <f ca="1">B178-15</f>
        <v>29.946630957867235</v>
      </c>
      <c r="D179" t="s">
        <v>24</v>
      </c>
      <c r="H179" t="s">
        <v>23</v>
      </c>
      <c r="I179" s="6">
        <f ca="1">I178-15</f>
        <v>21.867978668410814</v>
      </c>
      <c r="K179" t="s">
        <v>24</v>
      </c>
      <c r="O179" t="s">
        <v>23</v>
      </c>
      <c r="P179" s="6">
        <f ca="1">P178-15</f>
        <v>14.176870902434835</v>
      </c>
      <c r="R179" t="s">
        <v>24</v>
      </c>
      <c r="V179" t="s">
        <v>23</v>
      </c>
      <c r="W179" s="6">
        <f ca="1">W178-15</f>
        <v>6.1661354146516665</v>
      </c>
      <c r="Y179" t="s">
        <v>24</v>
      </c>
      <c r="AC179" t="s">
        <v>23</v>
      </c>
      <c r="AD179" s="6">
        <f ca="1">AD178-15</f>
        <v>1.8734160559275672</v>
      </c>
      <c r="AF179" t="s">
        <v>24</v>
      </c>
      <c r="AJ179" t="s">
        <v>23</v>
      </c>
      <c r="AK179" s="6">
        <f ca="1">AK178-15</f>
        <v>-5.073119577357069</v>
      </c>
      <c r="AM179" t="s">
        <v>24</v>
      </c>
      <c r="AQ179" t="s">
        <v>23</v>
      </c>
      <c r="AR179" s="6">
        <f ca="1">AR178-15</f>
        <v>-9.4578265737215013</v>
      </c>
      <c r="AT179" t="s">
        <v>24</v>
      </c>
      <c r="AX179" t="s">
        <v>23</v>
      </c>
      <c r="AY179" s="6">
        <f ca="1">AY178-15</f>
        <v>-12.288653655877299</v>
      </c>
      <c r="BA179" t="s">
        <v>24</v>
      </c>
    </row>
    <row r="180" spans="1:55" x14ac:dyDescent="0.25">
      <c r="I180" s="7"/>
      <c r="K180" s="5"/>
      <c r="L180" s="5"/>
      <c r="M180" s="5"/>
      <c r="P180" s="7"/>
      <c r="R180" s="5"/>
      <c r="S180" s="5"/>
      <c r="T180" s="5"/>
      <c r="W180" s="7"/>
      <c r="Y180" s="5"/>
      <c r="Z180" s="5"/>
      <c r="AA180" s="5"/>
      <c r="AD180" s="7"/>
      <c r="AF180" s="5"/>
      <c r="AG180" s="5"/>
      <c r="AH180" s="5"/>
      <c r="AK180" s="7"/>
      <c r="AM180" s="5"/>
      <c r="AN180" s="5"/>
      <c r="AO180" s="5"/>
      <c r="AR180" s="7"/>
      <c r="AT180" s="5"/>
      <c r="AU180" s="5"/>
      <c r="AV180" s="5"/>
      <c r="AY180" s="7"/>
      <c r="BA180" s="5"/>
      <c r="BB180" s="5"/>
      <c r="BC180" s="5"/>
    </row>
    <row r="181" spans="1:55" x14ac:dyDescent="0.25">
      <c r="A181" s="3" t="s">
        <v>27</v>
      </c>
      <c r="I181" s="7"/>
      <c r="K181" s="5"/>
      <c r="L181" s="5"/>
      <c r="M181" s="5"/>
      <c r="P181" s="7"/>
      <c r="R181" s="5"/>
      <c r="S181" s="5"/>
      <c r="T181" s="5"/>
      <c r="W181" s="7"/>
      <c r="Y181" s="5"/>
      <c r="Z181" s="5"/>
      <c r="AA181" s="5"/>
      <c r="AD181" s="7"/>
      <c r="AF181" s="5"/>
      <c r="AG181" s="5"/>
      <c r="AH181" s="5"/>
      <c r="AK181" s="7"/>
      <c r="AM181" s="5"/>
      <c r="AN181" s="5"/>
      <c r="AO181" s="5"/>
      <c r="AR181" s="7"/>
      <c r="AT181" s="5"/>
      <c r="AU181" s="5"/>
      <c r="AV181" s="5"/>
      <c r="AY181" s="7"/>
      <c r="BA181" s="5"/>
      <c r="BB181" s="5"/>
      <c r="BC181" s="5"/>
    </row>
    <row r="182" spans="1:55" x14ac:dyDescent="0.25">
      <c r="A182" s="3"/>
      <c r="I182" s="7"/>
      <c r="K182" s="5"/>
      <c r="L182" s="5"/>
      <c r="M182" s="5"/>
      <c r="P182" s="7"/>
      <c r="R182" s="5"/>
      <c r="S182" s="5"/>
      <c r="T182" s="5"/>
      <c r="W182" s="7"/>
      <c r="Y182" s="5"/>
      <c r="Z182" s="5"/>
      <c r="AA182" s="5"/>
      <c r="AD182" s="7"/>
      <c r="AF182" s="5"/>
      <c r="AG182" s="5"/>
      <c r="AH182" s="5"/>
      <c r="AK182" s="7"/>
      <c r="AM182" s="5"/>
      <c r="AN182" s="5"/>
      <c r="AO182" s="5"/>
      <c r="AR182" s="7"/>
      <c r="AT182" s="5"/>
      <c r="AU182" s="5"/>
      <c r="AV182" s="5"/>
      <c r="AY182" s="7"/>
      <c r="BA182" s="5"/>
      <c r="BB182" s="5"/>
      <c r="BC182" s="5"/>
    </row>
    <row r="183" spans="1:55" x14ac:dyDescent="0.25">
      <c r="A183" t="s">
        <v>426</v>
      </c>
      <c r="B183">
        <v>0.9</v>
      </c>
      <c r="H183" t="s">
        <v>426</v>
      </c>
      <c r="I183">
        <v>0.92</v>
      </c>
      <c r="O183" t="s">
        <v>426</v>
      </c>
      <c r="P183">
        <v>0.94</v>
      </c>
      <c r="V183" t="s">
        <v>426</v>
      </c>
      <c r="W183">
        <v>0.96</v>
      </c>
      <c r="AC183" t="s">
        <v>426</v>
      </c>
      <c r="AD183">
        <v>0.98</v>
      </c>
      <c r="AJ183" t="s">
        <v>426</v>
      </c>
      <c r="AK183">
        <v>1</v>
      </c>
      <c r="AQ183" t="s">
        <v>426</v>
      </c>
      <c r="AR183">
        <v>1</v>
      </c>
      <c r="AX183" t="s">
        <v>426</v>
      </c>
      <c r="AY183">
        <v>1</v>
      </c>
    </row>
    <row r="184" spans="1:55" x14ac:dyDescent="0.25">
      <c r="A184" t="s">
        <v>42</v>
      </c>
      <c r="B184">
        <f ca="1">VLOOKUP($B$47,$B$99:$C$102,2,0)*$B$71*B183</f>
        <v>2.3410799999999998</v>
      </c>
      <c r="H184" t="s">
        <v>42</v>
      </c>
      <c r="I184">
        <f ca="1">VLOOKUP($B$47,$B$99:$C$102,2,0)*$B$71*I183</f>
        <v>2.3931040000000001</v>
      </c>
      <c r="O184" t="s">
        <v>42</v>
      </c>
      <c r="P184">
        <f ca="1">VLOOKUP($B$47,$B$99:$C$102,2,0)*$B$71*P183</f>
        <v>2.445128</v>
      </c>
      <c r="V184" t="s">
        <v>42</v>
      </c>
      <c r="W184">
        <f ca="1">VLOOKUP($B$47,$B$99:$C$102,2,0)*$B$71*W183</f>
        <v>2.4971519999999998</v>
      </c>
      <c r="AC184" t="s">
        <v>42</v>
      </c>
      <c r="AD184">
        <f ca="1">VLOOKUP($B$47,$B$99:$C$102,2,0)*$B$71*AD183</f>
        <v>2.5491760000000001</v>
      </c>
      <c r="AJ184" t="s">
        <v>42</v>
      </c>
      <c r="AK184">
        <f ca="1">VLOOKUP($B$47,$B$99:$C$102,2,0)*$B$71*AK183</f>
        <v>2.6012</v>
      </c>
      <c r="AQ184" t="s">
        <v>42</v>
      </c>
      <c r="AR184">
        <f ca="1">VLOOKUP($B$47,$B$99:$C$102,2,0)*$B$71*AR183</f>
        <v>2.6012</v>
      </c>
      <c r="AX184" t="s">
        <v>42</v>
      </c>
      <c r="AY184">
        <f ca="1">VLOOKUP($B$47,$B$99:$C$102,2,0)*$B$71*AY183</f>
        <v>2.6012</v>
      </c>
    </row>
    <row r="186" spans="1:55" x14ac:dyDescent="0.25">
      <c r="A186" s="3" t="s">
        <v>241</v>
      </c>
      <c r="H186" s="3" t="s">
        <v>241</v>
      </c>
      <c r="O186" s="3" t="s">
        <v>241</v>
      </c>
      <c r="V186" s="3" t="s">
        <v>241</v>
      </c>
      <c r="AC186" s="3" t="s">
        <v>241</v>
      </c>
      <c r="AJ186" s="3" t="s">
        <v>241</v>
      </c>
      <c r="AQ186" s="3" t="s">
        <v>241</v>
      </c>
      <c r="AX186" s="3" t="s">
        <v>241</v>
      </c>
    </row>
    <row r="187" spans="1:55" x14ac:dyDescent="0.25">
      <c r="A187" t="s">
        <v>225</v>
      </c>
      <c r="B187">
        <f>B163</f>
        <v>52.5</v>
      </c>
      <c r="H187" t="s">
        <v>225</v>
      </c>
      <c r="I187">
        <f>I163</f>
        <v>111</v>
      </c>
      <c r="O187" t="s">
        <v>225</v>
      </c>
      <c r="P187">
        <f>P163</f>
        <v>168</v>
      </c>
      <c r="V187" t="s">
        <v>225</v>
      </c>
      <c r="W187">
        <f>W163</f>
        <v>223.5</v>
      </c>
      <c r="AC187" t="s">
        <v>225</v>
      </c>
      <c r="AD187">
        <f>AD163</f>
        <v>282</v>
      </c>
      <c r="AJ187" t="s">
        <v>225</v>
      </c>
      <c r="AK187">
        <f>AK163</f>
        <v>342</v>
      </c>
      <c r="AQ187" t="s">
        <v>225</v>
      </c>
      <c r="AR187">
        <f>AR163</f>
        <v>397.5</v>
      </c>
      <c r="AX187" t="s">
        <v>225</v>
      </c>
      <c r="AY187">
        <f>AY163</f>
        <v>456</v>
      </c>
    </row>
    <row r="188" spans="1:55" x14ac:dyDescent="0.25">
      <c r="A188" t="s">
        <v>226</v>
      </c>
      <c r="B188">
        <f>B187*0.3</f>
        <v>15.75</v>
      </c>
      <c r="H188" t="s">
        <v>226</v>
      </c>
      <c r="I188">
        <f>I187*0.3</f>
        <v>33.299999999999997</v>
      </c>
      <c r="O188" t="s">
        <v>226</v>
      </c>
      <c r="P188">
        <f t="shared" ref="P188" si="63">P187*0.3</f>
        <v>50.4</v>
      </c>
      <c r="V188" t="s">
        <v>226</v>
      </c>
      <c r="W188">
        <f t="shared" ref="W188" si="64">W187*0.3</f>
        <v>67.05</v>
      </c>
      <c r="AC188" t="s">
        <v>226</v>
      </c>
      <c r="AD188">
        <f t="shared" ref="AD188" si="65">AD187*0.3</f>
        <v>84.6</v>
      </c>
      <c r="AJ188" t="s">
        <v>226</v>
      </c>
      <c r="AK188">
        <f t="shared" ref="AK188" si="66">AK187*0.3</f>
        <v>102.6</v>
      </c>
      <c r="AQ188" t="s">
        <v>226</v>
      </c>
      <c r="AR188">
        <f t="shared" ref="AR188" si="67">AR187*0.3</f>
        <v>119.25</v>
      </c>
      <c r="AX188" t="s">
        <v>226</v>
      </c>
      <c r="AY188">
        <f t="shared" ref="AY188" si="68">AY187*0.3</f>
        <v>136.79999999999998</v>
      </c>
    </row>
    <row r="190" spans="1:55" x14ac:dyDescent="0.25">
      <c r="A190" s="3" t="s">
        <v>34</v>
      </c>
      <c r="H190" s="3" t="s">
        <v>34</v>
      </c>
      <c r="O190" s="3" t="s">
        <v>34</v>
      </c>
      <c r="V190" s="3" t="s">
        <v>34</v>
      </c>
      <c r="AC190" s="3" t="s">
        <v>34</v>
      </c>
      <c r="AJ190" s="3" t="s">
        <v>34</v>
      </c>
      <c r="AQ190" s="3" t="s">
        <v>34</v>
      </c>
      <c r="AX190" s="3" t="s">
        <v>34</v>
      </c>
    </row>
    <row r="191" spans="1:55" x14ac:dyDescent="0.25">
      <c r="A191" t="s">
        <v>229</v>
      </c>
      <c r="B191">
        <f ca="1">TREND($B$113:$B$114,B187:B188,$B$38,1)</f>
        <v>10.800710462129407</v>
      </c>
      <c r="H191" t="s">
        <v>229</v>
      </c>
      <c r="I191">
        <f ca="1">TREND($B$113:$B$114,I187:I188,$B$38,1)</f>
        <v>16.537059055620858</v>
      </c>
      <c r="O191" t="s">
        <v>229</v>
      </c>
      <c r="P191">
        <f ca="1">TREND($B$113:$B$114,P187:P188,$B$38,1)</f>
        <v>18.283703659408317</v>
      </c>
      <c r="V191" t="s">
        <v>229</v>
      </c>
      <c r="W191">
        <f ca="1">TREND($B$113:$B$114,W187:W188,$B$38,1)</f>
        <v>19.128336814683852</v>
      </c>
      <c r="AC191" t="s">
        <v>229</v>
      </c>
      <c r="AD191">
        <f ca="1">TREND($B$113:$B$114,AD187:AD188,$B$38,1)</f>
        <v>19.658721751751639</v>
      </c>
      <c r="AJ191" t="s">
        <v>229</v>
      </c>
      <c r="AK191">
        <f ca="1">TREND($B$113:$B$114,AK187:AK188,$B$38,1)</f>
        <v>20.014220427519071</v>
      </c>
      <c r="AQ191" t="s">
        <v>229</v>
      </c>
      <c r="AR191">
        <f ca="1">TREND($B$113:$B$114,AR187:AR188,$B$38,1)</f>
        <v>20.247508049088715</v>
      </c>
      <c r="AX191" t="s">
        <v>229</v>
      </c>
      <c r="AY191">
        <f ca="1">TREND($B$113:$B$114,AY187:AY188,$B$38,1)</f>
        <v>20.431931371545801</v>
      </c>
    </row>
    <row r="192" spans="1:55" x14ac:dyDescent="0.25">
      <c r="A192" t="s">
        <v>34</v>
      </c>
      <c r="B192" s="3">
        <f ca="1">$B$38/B191*$B$85*$B$117</f>
        <v>8.338580901745301</v>
      </c>
      <c r="H192" t="s">
        <v>34</v>
      </c>
      <c r="I192" s="3">
        <f ca="1">$B$38/I191*$B$85*$B$117</f>
        <v>5.4461072964591697</v>
      </c>
      <c r="O192" t="s">
        <v>34</v>
      </c>
      <c r="P192" s="3">
        <f ca="1">$B$38/P191*$B$85*$B$117</f>
        <v>4.9258399535724848</v>
      </c>
      <c r="V192" t="s">
        <v>34</v>
      </c>
      <c r="W192" s="3">
        <f ca="1">$B$38/W191*$B$85*$B$117</f>
        <v>4.7083339684638164</v>
      </c>
      <c r="AC192" t="s">
        <v>34</v>
      </c>
      <c r="AD192" s="3">
        <f ca="1">$B$38/AD191*$B$85*$B$117</f>
        <v>4.5813048845237425</v>
      </c>
      <c r="AJ192" t="s">
        <v>34</v>
      </c>
      <c r="AK192" s="3">
        <f ca="1">$B$38/AK191*$B$85*$B$117</f>
        <v>4.4999303525686685</v>
      </c>
      <c r="AQ192" t="s">
        <v>34</v>
      </c>
      <c r="AR192" s="3">
        <f ca="1">$B$38/AR191*$B$85*$B$117</f>
        <v>4.4480830809619762</v>
      </c>
      <c r="AX192" t="s">
        <v>34</v>
      </c>
      <c r="AY192" s="3">
        <f ca="1">$B$38/AY191*$B$85*$B$117</f>
        <v>4.407933657716625</v>
      </c>
    </row>
    <row r="194" spans="1:52" x14ac:dyDescent="0.25">
      <c r="A194" s="3" t="s">
        <v>442</v>
      </c>
      <c r="H194" s="3" t="s">
        <v>442</v>
      </c>
      <c r="O194" s="3" t="s">
        <v>28</v>
      </c>
      <c r="V194" s="3" t="s">
        <v>28</v>
      </c>
      <c r="AC194" s="3" t="s">
        <v>28</v>
      </c>
      <c r="AJ194" s="3" t="s">
        <v>28</v>
      </c>
      <c r="AQ194" s="3" t="s">
        <v>28</v>
      </c>
      <c r="AX194" s="3" t="s">
        <v>28</v>
      </c>
    </row>
    <row r="195" spans="1:52" x14ac:dyDescent="0.25">
      <c r="A195" t="s">
        <v>238</v>
      </c>
      <c r="B195">
        <f ca="1">TREND($B$125:$B$126,B187:B188,$B$40,1)</f>
        <v>0.85374149659863963</v>
      </c>
      <c r="H195" t="s">
        <v>238</v>
      </c>
      <c r="I195">
        <f ca="1">TREND($B$125:$B$126,I187:I188,$B$40,1)</f>
        <v>1.570785070785071</v>
      </c>
      <c r="O195" t="s">
        <v>238</v>
      </c>
      <c r="P195">
        <f ca="1">TREND($B$125:$B$126,P187:P188,$B$40,1)</f>
        <v>1.7891156462585036</v>
      </c>
      <c r="V195" t="s">
        <v>238</v>
      </c>
      <c r="W195">
        <f ca="1">TREND($B$125:$B$126,W187:W188,$B$40,1)</f>
        <v>1.8946947906679452</v>
      </c>
      <c r="AC195" t="s">
        <v>238</v>
      </c>
      <c r="AD195">
        <f ca="1">TREND($B$125:$B$126,AD187:AD188,$B$40,1)</f>
        <v>1.9609929078014185</v>
      </c>
      <c r="AJ195" t="s">
        <v>238</v>
      </c>
      <c r="AK195">
        <f ca="1">TREND($B$125:$B$126,AK187:AK188,$B$40,1)</f>
        <v>2.0054302422723476</v>
      </c>
      <c r="AQ195" t="s">
        <v>238</v>
      </c>
      <c r="AR195">
        <f ca="1">TREND($B$125:$B$126,AR187:AR188,$B$40,1)</f>
        <v>2.0345911949685531</v>
      </c>
      <c r="AX195" t="s">
        <v>238</v>
      </c>
      <c r="AY195">
        <f ca="1">TREND($B$125:$B$126,AY187:AY188,$B$40,1)</f>
        <v>2.0576441102756888</v>
      </c>
    </row>
    <row r="196" spans="1:52" x14ac:dyDescent="0.25">
      <c r="A196" t="s">
        <v>239</v>
      </c>
      <c r="B196">
        <f ca="1">TREND($E$125:$E$126,B187:B188,$B$40,1)</f>
        <v>7.2925170068027203</v>
      </c>
      <c r="H196" t="s">
        <v>239</v>
      </c>
      <c r="I196" s="3">
        <f ca="1">TREND($E$125:$E$126,I187:I188,$B$40,1)</f>
        <v>5.858429858429858</v>
      </c>
      <c r="O196" t="s">
        <v>239</v>
      </c>
      <c r="P196" s="3">
        <f ca="1">TREND($E$125:$E$126,P187:P188,$B$40,1)</f>
        <v>5.4217687074829932</v>
      </c>
      <c r="V196" t="s">
        <v>239</v>
      </c>
      <c r="W196" s="3">
        <f ca="1">TREND($E$125:$E$126,W187:W188,$B$40,1)</f>
        <v>5.2106104186641096</v>
      </c>
      <c r="AC196" t="s">
        <v>239</v>
      </c>
      <c r="AD196" s="3">
        <f ca="1">TREND($E$125:$E$126,AD187:AD188,$B$40,1)</f>
        <v>5.0780141843971629</v>
      </c>
      <c r="AJ196" t="s">
        <v>239</v>
      </c>
      <c r="AK196" s="3">
        <f ca="1">TREND($E$125:$E$126,AK187:AK188,$B$40,1)</f>
        <v>4.9891395154553049</v>
      </c>
      <c r="AQ196" t="s">
        <v>239</v>
      </c>
      <c r="AR196" s="3">
        <f ca="1">TREND($E$125:$E$126,AR187:AR188,$B$40,1)</f>
        <v>4.9308176100628938</v>
      </c>
      <c r="AX196" t="s">
        <v>239</v>
      </c>
      <c r="AY196" s="3">
        <f ca="1">TREND($E$125:$E$126,AY187:AY188,$B$40,1)</f>
        <v>4.8847117794486223</v>
      </c>
    </row>
    <row r="198" spans="1:52" x14ac:dyDescent="0.25">
      <c r="A198" t="s">
        <v>28</v>
      </c>
      <c r="B198">
        <f ca="1">$B$40/B195*$B$21*(2.7/$B$43)</f>
        <v>58.565737051792816</v>
      </c>
      <c r="H198" t="s">
        <v>28</v>
      </c>
      <c r="I198">
        <f ca="1">$B$40/I195*$B$21*(2.7/$B$43)</f>
        <v>31.831216714461281</v>
      </c>
      <c r="O198" t="s">
        <v>28</v>
      </c>
      <c r="P198">
        <f ca="1">$B$40/P195*$B$21*(2.7/$B$43)</f>
        <v>27.946768060836497</v>
      </c>
      <c r="V198" t="s">
        <v>28</v>
      </c>
      <c r="W198">
        <f ca="1">$B$40/W195*$B$21*(2.7/$B$43)</f>
        <v>26.389474571982792</v>
      </c>
      <c r="AC198" t="s">
        <v>28</v>
      </c>
      <c r="AD198">
        <f ca="1">$B$40/AD195*$B$21*(2.7/$B$43)</f>
        <v>25.497287522603976</v>
      </c>
      <c r="AJ198" t="s">
        <v>28</v>
      </c>
      <c r="AK198">
        <f ca="1">$B$40/AK195*$B$21*(2.7/$B$43)</f>
        <v>24.932305769631327</v>
      </c>
      <c r="AQ198" t="s">
        <v>28</v>
      </c>
      <c r="AR198">
        <f ca="1">$B$40/AR195*$B$21*(2.7/$B$43)</f>
        <v>24.574961360123652</v>
      </c>
      <c r="AX198" t="s">
        <v>28</v>
      </c>
      <c r="AY198">
        <f ca="1">$B$40/AY195*$B$21*(2.7/$B$43)</f>
        <v>24.299634591961027</v>
      </c>
    </row>
    <row r="199" spans="1:52" x14ac:dyDescent="0.25">
      <c r="A199" t="s">
        <v>230</v>
      </c>
      <c r="B199">
        <f ca="1">B196*$B$43</f>
        <v>19.689795918367345</v>
      </c>
      <c r="H199" t="s">
        <v>230</v>
      </c>
      <c r="I199">
        <f ca="1">I196*$B$43</f>
        <v>15.817760617760618</v>
      </c>
      <c r="K199" t="s">
        <v>450</v>
      </c>
      <c r="O199" t="s">
        <v>230</v>
      </c>
      <c r="P199">
        <f t="shared" ref="P199" ca="1" si="69">P196*$B$43</f>
        <v>14.638775510204082</v>
      </c>
      <c r="V199" t="s">
        <v>230</v>
      </c>
      <c r="W199">
        <f t="shared" ref="W199" ca="1" si="70">W196*$B$43</f>
        <v>14.068648130393097</v>
      </c>
      <c r="AC199" t="s">
        <v>230</v>
      </c>
      <c r="AD199">
        <f t="shared" ref="AD199" ca="1" si="71">AD196*$B$43</f>
        <v>13.710638297872341</v>
      </c>
      <c r="AJ199" t="s">
        <v>230</v>
      </c>
      <c r="AK199">
        <f t="shared" ref="AK199" ca="1" si="72">AK196*$B$43</f>
        <v>13.470676691729324</v>
      </c>
      <c r="AQ199" t="s">
        <v>230</v>
      </c>
      <c r="AR199">
        <f t="shared" ref="AR199" ca="1" si="73">AR196*$B$43</f>
        <v>13.313207547169814</v>
      </c>
      <c r="AX199" t="s">
        <v>230</v>
      </c>
      <c r="AY199">
        <f t="shared" ref="AY199" ca="1" si="74">AY196*$B$43</f>
        <v>13.188721804511282</v>
      </c>
    </row>
    <row r="200" spans="1:52" x14ac:dyDescent="0.25">
      <c r="A200" t="s">
        <v>251</v>
      </c>
      <c r="B200" s="3">
        <f ca="1">MIN(B198,B199)*($B$42/12)*$B$86</f>
        <v>19.689795918367345</v>
      </c>
      <c r="C200" t="s">
        <v>252</v>
      </c>
      <c r="H200" t="s">
        <v>251</v>
      </c>
      <c r="I200" s="3">
        <f ca="1">MIN(I198,I199)*($B$42/12)*$B$86</f>
        <v>15.817760617760618</v>
      </c>
      <c r="J200" t="s">
        <v>252</v>
      </c>
      <c r="O200" t="s">
        <v>251</v>
      </c>
      <c r="P200" s="3">
        <f ca="1">MIN(P198,P199)*($B$42/12)*$B$86</f>
        <v>14.638775510204082</v>
      </c>
      <c r="Q200" t="s">
        <v>252</v>
      </c>
      <c r="V200" t="s">
        <v>251</v>
      </c>
      <c r="W200" s="3">
        <f ca="1">MIN(W198,W199)*($B$42/12)*$B$86</f>
        <v>14.068648130393097</v>
      </c>
      <c r="X200" t="s">
        <v>252</v>
      </c>
      <c r="AC200" t="s">
        <v>251</v>
      </c>
      <c r="AD200" s="3">
        <f ca="1">MIN(AD198,AD199)*($B$42/12)*$B$86</f>
        <v>13.710638297872341</v>
      </c>
      <c r="AE200" t="s">
        <v>252</v>
      </c>
      <c r="AJ200" t="s">
        <v>251</v>
      </c>
      <c r="AK200" s="3">
        <f ca="1">MIN(AK198,AK199)*($B$42/12)*$B$86</f>
        <v>13.470676691729324</v>
      </c>
      <c r="AL200" t="s">
        <v>252</v>
      </c>
      <c r="AQ200" t="s">
        <v>251</v>
      </c>
      <c r="AR200" s="3">
        <f ca="1">MIN(AR198,AR199)*($B$42/12)*$B$86</f>
        <v>13.313207547169814</v>
      </c>
      <c r="AS200" t="s">
        <v>252</v>
      </c>
      <c r="AX200" t="s">
        <v>251</v>
      </c>
      <c r="AY200" s="3">
        <f ca="1">MIN(AY198,AY199)*($B$42/12)*$B$86</f>
        <v>13.188721804511282</v>
      </c>
      <c r="AZ200" t="s">
        <v>252</v>
      </c>
    </row>
    <row r="201" spans="1:52" x14ac:dyDescent="0.25">
      <c r="B201" s="3"/>
      <c r="I201" s="3"/>
      <c r="P201" s="3"/>
      <c r="W201" s="3"/>
      <c r="AD201" s="3"/>
      <c r="AK201" s="3"/>
      <c r="AR201" s="3"/>
      <c r="AY201" s="3"/>
    </row>
    <row r="202" spans="1:52" x14ac:dyDescent="0.25">
      <c r="A202" s="3" t="s">
        <v>404</v>
      </c>
      <c r="H202" s="3" t="s">
        <v>404</v>
      </c>
      <c r="O202" s="3" t="s">
        <v>404</v>
      </c>
      <c r="V202" s="3" t="s">
        <v>404</v>
      </c>
      <c r="AC202" s="3" t="s">
        <v>404</v>
      </c>
      <c r="AJ202" s="3" t="s">
        <v>404</v>
      </c>
      <c r="AQ202" s="3" t="s">
        <v>404</v>
      </c>
      <c r="AX202" s="3" t="s">
        <v>404</v>
      </c>
    </row>
    <row r="203" spans="1:52" x14ac:dyDescent="0.25">
      <c r="A203" t="s">
        <v>238</v>
      </c>
      <c r="B203">
        <f ca="1">TREND($B$134:$B$135,B187:B188,$B$40,1)</f>
        <v>0.69653917006802679</v>
      </c>
      <c r="H203" t="s">
        <v>238</v>
      </c>
      <c r="I203">
        <f ca="1">TREND($B$134:$B$135,I187:I188,$B$40,1)</f>
        <v>1.2720469472329472</v>
      </c>
      <c r="O203" t="s">
        <v>238</v>
      </c>
      <c r="P203">
        <f ca="1">TREND($B$134:$B$135,P187:P188,$B$40,1)</f>
        <v>1.44728168707483</v>
      </c>
      <c r="V203" t="s">
        <v>238</v>
      </c>
      <c r="W203">
        <f ca="1">TREND($B$134:$B$135,W187:W188,$B$40,1)</f>
        <v>1.532020775327581</v>
      </c>
      <c r="AC203" t="s">
        <v>238</v>
      </c>
      <c r="AD203">
        <f ca="1">TREND($B$134:$B$135,AD187:AD188,$B$40,1)</f>
        <v>1.5852324397163122</v>
      </c>
      <c r="AJ203" t="s">
        <v>238</v>
      </c>
      <c r="AK203">
        <f ca="1">TREND($B$134:$B$135,AK187:AK188,$B$40,1)</f>
        <v>1.6208983776106936</v>
      </c>
      <c r="AQ203" t="s">
        <v>238</v>
      </c>
      <c r="AR203">
        <f ca="1">TREND($B$134:$B$135,AR187:AR188,$B$40,1)</f>
        <v>1.6443033081761007</v>
      </c>
      <c r="AX203" t="s">
        <v>238</v>
      </c>
      <c r="AY203">
        <f ca="1">TREND($B$134:$B$135,AY187:AY188,$B$40,1)</f>
        <v>1.6628058546365916</v>
      </c>
    </row>
    <row r="204" spans="1:52" x14ac:dyDescent="0.25">
      <c r="A204" t="s">
        <v>239</v>
      </c>
      <c r="B204">
        <f ca="1">TREND($E$134:$E$135,B187:B188,$B$40,1)</f>
        <v>7.2925170068027203</v>
      </c>
      <c r="H204" t="s">
        <v>239</v>
      </c>
      <c r="I204">
        <f ca="1">TREND($E$134:$E$135,I187:I188,$B$40,1)</f>
        <v>5.858429858429858</v>
      </c>
      <c r="O204" t="s">
        <v>239</v>
      </c>
      <c r="P204">
        <f ca="1">TREND($E$134:$E$135,P187:P188,$B$40,1)</f>
        <v>5.4217687074829932</v>
      </c>
      <c r="V204" t="s">
        <v>239</v>
      </c>
      <c r="W204">
        <f ca="1">TREND($E$134:$E$135,W187:W188,$B$40,1)</f>
        <v>5.2106104186641096</v>
      </c>
      <c r="AC204" t="s">
        <v>239</v>
      </c>
      <c r="AD204">
        <f ca="1">TREND($E$134:$E$135,AD187:AD188,$B$40,1)</f>
        <v>5.0780141843971629</v>
      </c>
      <c r="AJ204" t="s">
        <v>239</v>
      </c>
      <c r="AK204">
        <f ca="1">TREND($E$134:$E$135,AK187:AK188,$B$40,1)</f>
        <v>4.9891395154553049</v>
      </c>
      <c r="AQ204" t="s">
        <v>239</v>
      </c>
      <c r="AR204">
        <f ca="1">TREND($E$134:$E$135,AR187:AR188,$B$40,1)</f>
        <v>4.9308176100628938</v>
      </c>
      <c r="AX204" t="s">
        <v>239</v>
      </c>
      <c r="AY204">
        <f ca="1">TREND($E$134:$E$135,AY187:AY188,$B$40,1)</f>
        <v>4.8847117794486223</v>
      </c>
    </row>
    <row r="206" spans="1:52" x14ac:dyDescent="0.25">
      <c r="A206" t="s">
        <v>28</v>
      </c>
      <c r="B206">
        <f ca="1">$B$40/B203*$B$21*(2.7/$B$43)</f>
        <v>71.783471983516449</v>
      </c>
      <c r="H206" t="s">
        <v>28</v>
      </c>
      <c r="I206">
        <f ca="1">$B$40/I203*$B$21*(2.7/$B$43)</f>
        <v>39.306725360069287</v>
      </c>
      <c r="O206" t="s">
        <v>28</v>
      </c>
      <c r="P206">
        <f ca="1">$B$40/P203*$B$21*(2.7/$B$43)</f>
        <v>34.547524816027611</v>
      </c>
      <c r="V206" t="s">
        <v>28</v>
      </c>
      <c r="W206">
        <f ca="1">$B$40/W203*$B$21*(2.7/$B$43)</f>
        <v>32.636633135284249</v>
      </c>
      <c r="AC206" t="s">
        <v>28</v>
      </c>
      <c r="AD206">
        <f ca="1">$B$40/AD203*$B$21*(2.7/$B$43)</f>
        <v>31.54111583090479</v>
      </c>
      <c r="AJ206" t="s">
        <v>28</v>
      </c>
      <c r="AK206">
        <f ca="1">$B$40/AK203*$B$21*(2.7/$B$43)</f>
        <v>30.847091150589684</v>
      </c>
      <c r="AQ206" t="s">
        <v>28</v>
      </c>
      <c r="AR206">
        <f ca="1">$B$40/AR203*$B$21*(2.7/$B$43)</f>
        <v>30.408015207036929</v>
      </c>
      <c r="AX206" t="s">
        <v>28</v>
      </c>
      <c r="AY206">
        <f ca="1">$B$40/AY203*$B$21*(2.7/$B$43)</f>
        <v>30.06965597371412</v>
      </c>
    </row>
    <row r="207" spans="1:52" x14ac:dyDescent="0.25">
      <c r="A207" t="s">
        <v>230</v>
      </c>
      <c r="B207">
        <f ca="1">B204*$B$43</f>
        <v>19.689795918367345</v>
      </c>
      <c r="H207" t="s">
        <v>230</v>
      </c>
      <c r="I207">
        <f t="shared" ref="I207" ca="1" si="75">I204*$B$43</f>
        <v>15.817760617760618</v>
      </c>
      <c r="O207" t="s">
        <v>230</v>
      </c>
      <c r="P207">
        <f t="shared" ref="P207" ca="1" si="76">P204*$B$43</f>
        <v>14.638775510204082</v>
      </c>
      <c r="V207" t="s">
        <v>230</v>
      </c>
      <c r="W207">
        <f t="shared" ref="W207" ca="1" si="77">W204*$B$43</f>
        <v>14.068648130393097</v>
      </c>
      <c r="AC207" t="s">
        <v>230</v>
      </c>
      <c r="AD207">
        <f t="shared" ref="AD207" ca="1" si="78">AD204*$B$43</f>
        <v>13.710638297872341</v>
      </c>
      <c r="AJ207" t="s">
        <v>230</v>
      </c>
      <c r="AK207">
        <f t="shared" ref="AK207" ca="1" si="79">AK204*$B$43</f>
        <v>13.470676691729324</v>
      </c>
      <c r="AQ207" t="s">
        <v>230</v>
      </c>
      <c r="AR207">
        <f t="shared" ref="AR207" ca="1" si="80">AR204*$B$43</f>
        <v>13.313207547169814</v>
      </c>
      <c r="AX207" t="s">
        <v>230</v>
      </c>
      <c r="AY207">
        <f t="shared" ref="AY207" ca="1" si="81">AY204*$B$43</f>
        <v>13.188721804511282</v>
      </c>
    </row>
    <row r="208" spans="1:52" x14ac:dyDescent="0.25">
      <c r="A208" t="s">
        <v>251</v>
      </c>
      <c r="B208" s="3">
        <f ca="1">MIN(B206,B207)*($B$42/12)*$B$86</f>
        <v>19.689795918367345</v>
      </c>
      <c r="C208" t="s">
        <v>252</v>
      </c>
      <c r="H208" t="s">
        <v>251</v>
      </c>
      <c r="I208" s="3">
        <f ca="1">MIN(I206,I207)*($B$42/12)*$B$86</f>
        <v>15.817760617760618</v>
      </c>
      <c r="J208" t="s">
        <v>252</v>
      </c>
      <c r="O208" t="s">
        <v>251</v>
      </c>
      <c r="P208" s="3">
        <f ca="1">MIN(P206,P207)*($B$42/12)*$B$86</f>
        <v>14.638775510204082</v>
      </c>
      <c r="Q208" t="s">
        <v>252</v>
      </c>
      <c r="V208" t="s">
        <v>251</v>
      </c>
      <c r="W208" s="3">
        <f ca="1">MIN(W206,W207)*($B$42/12)*$B$86</f>
        <v>14.068648130393097</v>
      </c>
      <c r="X208" t="s">
        <v>252</v>
      </c>
      <c r="AC208" t="s">
        <v>251</v>
      </c>
      <c r="AD208" s="3">
        <f ca="1">MIN(AD206,AD207)*($B$42/12)*$B$86</f>
        <v>13.710638297872341</v>
      </c>
      <c r="AE208" t="s">
        <v>252</v>
      </c>
      <c r="AJ208" t="s">
        <v>251</v>
      </c>
      <c r="AK208" s="3">
        <f ca="1">MIN(AK206,AK207)*($B$42/12)*$B$86</f>
        <v>13.470676691729324</v>
      </c>
      <c r="AL208" t="s">
        <v>252</v>
      </c>
      <c r="AQ208" t="s">
        <v>251</v>
      </c>
      <c r="AR208" s="3">
        <f ca="1">MIN(AR206,AR207)*($B$42/12)*$B$86</f>
        <v>13.313207547169814</v>
      </c>
      <c r="AS208" t="s">
        <v>252</v>
      </c>
      <c r="AX208" t="s">
        <v>251</v>
      </c>
      <c r="AY208" s="3">
        <f ca="1">MIN(AY206,AY207)*($B$42/12)*$B$86</f>
        <v>13.188721804511282</v>
      </c>
      <c r="AZ208" t="s">
        <v>252</v>
      </c>
    </row>
    <row r="209" spans="1:58" x14ac:dyDescent="0.25">
      <c r="B209" s="3"/>
      <c r="I209" s="3"/>
      <c r="P209" s="3"/>
      <c r="W209" s="3"/>
      <c r="AD209" s="3"/>
      <c r="AK209" s="3"/>
      <c r="AR209" s="3"/>
      <c r="AY209" s="3"/>
    </row>
    <row r="210" spans="1:58" x14ac:dyDescent="0.25">
      <c r="A210" s="3" t="s">
        <v>253</v>
      </c>
      <c r="H210" s="3" t="s">
        <v>253</v>
      </c>
      <c r="O210" s="3" t="s">
        <v>253</v>
      </c>
      <c r="V210" s="3" t="s">
        <v>253</v>
      </c>
      <c r="AC210" s="3" t="s">
        <v>253</v>
      </c>
      <c r="AJ210" s="3" t="s">
        <v>253</v>
      </c>
      <c r="AQ210" s="3" t="s">
        <v>253</v>
      </c>
      <c r="AX210" s="3" t="s">
        <v>253</v>
      </c>
    </row>
    <row r="212" spans="1:58" x14ac:dyDescent="0.25">
      <c r="A212" t="s">
        <v>254</v>
      </c>
      <c r="B212" s="7"/>
      <c r="H212" t="s">
        <v>254</v>
      </c>
      <c r="I212" s="7"/>
      <c r="O212" t="s">
        <v>254</v>
      </c>
      <c r="P212" s="7"/>
      <c r="V212" t="s">
        <v>254</v>
      </c>
      <c r="W212" s="7"/>
      <c r="AC212" t="s">
        <v>254</v>
      </c>
      <c r="AD212" s="7"/>
      <c r="AJ212" t="s">
        <v>254</v>
      </c>
      <c r="AK212" s="7"/>
      <c r="AQ212" t="s">
        <v>254</v>
      </c>
      <c r="AR212" s="7"/>
      <c r="AX212" t="s">
        <v>254</v>
      </c>
      <c r="AY212" s="7"/>
      <c r="BF212" s="7"/>
    </row>
    <row r="213" spans="1:58" x14ac:dyDescent="0.25">
      <c r="B213" s="6"/>
      <c r="I213" s="6"/>
      <c r="P213" s="6"/>
      <c r="W213" s="6"/>
      <c r="AD213" s="6"/>
      <c r="AK213" s="6"/>
      <c r="AR213" s="6"/>
      <c r="AY213" s="6"/>
      <c r="BF213" s="6"/>
    </row>
    <row r="214" spans="1:58" x14ac:dyDescent="0.25">
      <c r="A214" t="s">
        <v>255</v>
      </c>
      <c r="B214" s="6"/>
      <c r="H214" t="s">
        <v>255</v>
      </c>
      <c r="I214" s="6"/>
      <c r="O214" t="s">
        <v>255</v>
      </c>
      <c r="P214" s="6"/>
      <c r="V214" t="s">
        <v>255</v>
      </c>
      <c r="W214" s="6"/>
      <c r="AC214" t="s">
        <v>255</v>
      </c>
      <c r="AD214" s="6"/>
      <c r="AJ214" t="s">
        <v>255</v>
      </c>
      <c r="AK214" s="6"/>
      <c r="AQ214" t="s">
        <v>255</v>
      </c>
      <c r="AR214" s="6"/>
      <c r="AX214" t="s">
        <v>255</v>
      </c>
      <c r="AY214" s="6"/>
      <c r="BF214" s="6"/>
    </row>
    <row r="215" spans="1:58" x14ac:dyDescent="0.25">
      <c r="A215" t="s">
        <v>256</v>
      </c>
      <c r="H215" t="s">
        <v>256</v>
      </c>
      <c r="O215" t="s">
        <v>256</v>
      </c>
      <c r="V215" t="s">
        <v>256</v>
      </c>
      <c r="AC215" t="s">
        <v>256</v>
      </c>
      <c r="AJ215" t="s">
        <v>256</v>
      </c>
      <c r="AQ215" t="s">
        <v>256</v>
      </c>
      <c r="AX215" t="s">
        <v>256</v>
      </c>
    </row>
    <row r="216" spans="1:58" x14ac:dyDescent="0.25">
      <c r="A216" t="s">
        <v>155</v>
      </c>
      <c r="B216" s="6"/>
      <c r="H216" t="s">
        <v>155</v>
      </c>
      <c r="I216" s="6"/>
      <c r="O216" t="s">
        <v>155</v>
      </c>
      <c r="P216" s="6"/>
      <c r="V216" t="s">
        <v>155</v>
      </c>
      <c r="W216" s="6"/>
      <c r="AC216" t="s">
        <v>155</v>
      </c>
      <c r="AD216" s="6"/>
      <c r="AJ216" t="s">
        <v>155</v>
      </c>
      <c r="AK216" s="6"/>
      <c r="AQ216" t="s">
        <v>155</v>
      </c>
      <c r="AR216" s="6"/>
      <c r="AX216" t="s">
        <v>155</v>
      </c>
      <c r="AY216" s="6"/>
      <c r="BF216" s="6"/>
    </row>
    <row r="217" spans="1:58" x14ac:dyDescent="0.25">
      <c r="A217" t="s">
        <v>440</v>
      </c>
      <c r="B217" s="6">
        <f ca="1">$B$362</f>
        <v>5.0330954988766878</v>
      </c>
      <c r="C217" t="s">
        <v>157</v>
      </c>
      <c r="H217" t="s">
        <v>440</v>
      </c>
      <c r="I217" s="6">
        <f ca="1">$B$362</f>
        <v>5.0330954988766878</v>
      </c>
      <c r="J217" t="s">
        <v>258</v>
      </c>
      <c r="O217" t="s">
        <v>440</v>
      </c>
      <c r="P217" s="6">
        <f ca="1">$B$362</f>
        <v>5.0330954988766878</v>
      </c>
      <c r="Q217" t="s">
        <v>259</v>
      </c>
      <c r="V217" t="s">
        <v>440</v>
      </c>
      <c r="W217" s="6">
        <f ca="1">$B$362</f>
        <v>5.0330954988766878</v>
      </c>
      <c r="X217" t="s">
        <v>260</v>
      </c>
      <c r="AC217" t="s">
        <v>440</v>
      </c>
      <c r="AD217" s="6">
        <f ca="1">$B$362</f>
        <v>5.0330954988766878</v>
      </c>
      <c r="AE217" t="s">
        <v>261</v>
      </c>
      <c r="AJ217" t="s">
        <v>440</v>
      </c>
      <c r="AK217" s="6">
        <f ca="1">$B$362</f>
        <v>5.0330954988766878</v>
      </c>
      <c r="AL217" t="s">
        <v>262</v>
      </c>
      <c r="AQ217" t="s">
        <v>440</v>
      </c>
      <c r="AR217" s="6">
        <f ca="1">$B$362</f>
        <v>5.0330954988766878</v>
      </c>
      <c r="AS217" t="s">
        <v>461</v>
      </c>
      <c r="AX217" t="s">
        <v>440</v>
      </c>
      <c r="AY217" s="6">
        <f ca="1">$B$362</f>
        <v>5.0330954988766878</v>
      </c>
      <c r="AZ217" t="s">
        <v>462</v>
      </c>
      <c r="BF217" s="6"/>
    </row>
    <row r="218" spans="1:58" x14ac:dyDescent="0.25">
      <c r="B218" s="6"/>
      <c r="I218" s="6"/>
      <c r="P218" s="6"/>
      <c r="W218" s="6"/>
      <c r="AD218" s="6"/>
      <c r="AK218" s="6"/>
      <c r="AR218" s="6"/>
      <c r="AY218" s="6"/>
      <c r="BF218" s="6"/>
    </row>
    <row r="219" spans="1:58" x14ac:dyDescent="0.25">
      <c r="A219" s="3" t="s">
        <v>272</v>
      </c>
      <c r="D219" t="s">
        <v>431</v>
      </c>
      <c r="H219" s="3" t="s">
        <v>272</v>
      </c>
      <c r="K219" t="s">
        <v>431</v>
      </c>
      <c r="O219" s="3" t="s">
        <v>272</v>
      </c>
      <c r="R219" t="s">
        <v>431</v>
      </c>
      <c r="V219" s="3" t="s">
        <v>272</v>
      </c>
      <c r="Y219" t="s">
        <v>431</v>
      </c>
      <c r="AC219" s="3" t="s">
        <v>272</v>
      </c>
      <c r="AF219" t="s">
        <v>431</v>
      </c>
      <c r="AJ219" s="3" t="s">
        <v>272</v>
      </c>
      <c r="AM219" t="s">
        <v>431</v>
      </c>
      <c r="AQ219" s="3" t="s">
        <v>272</v>
      </c>
      <c r="AT219" t="s">
        <v>431</v>
      </c>
      <c r="AX219" s="3" t="s">
        <v>272</v>
      </c>
      <c r="BA219" t="s">
        <v>431</v>
      </c>
      <c r="BE219" s="3"/>
    </row>
    <row r="220" spans="1:58" x14ac:dyDescent="0.25">
      <c r="A220" s="8" t="s">
        <v>152</v>
      </c>
      <c r="B220" s="8">
        <f ca="1">B217*$B$42</f>
        <v>60.397145986520258</v>
      </c>
      <c r="C220" s="8" t="s">
        <v>153</v>
      </c>
      <c r="H220" s="8" t="s">
        <v>152</v>
      </c>
      <c r="I220" s="8">
        <f t="shared" ref="I220" ca="1" si="82">I217*$B$42</f>
        <v>60.397145986520258</v>
      </c>
      <c r="J220" s="8" t="s">
        <v>278</v>
      </c>
      <c r="O220" s="8" t="s">
        <v>152</v>
      </c>
      <c r="P220" s="8">
        <f t="shared" ref="P220" ca="1" si="83">P217*$B$42</f>
        <v>60.397145986520258</v>
      </c>
      <c r="Q220" s="8" t="s">
        <v>279</v>
      </c>
      <c r="V220" s="8" t="s">
        <v>152</v>
      </c>
      <c r="W220" s="8">
        <f t="shared" ref="W220" ca="1" si="84">W217*$B$42</f>
        <v>60.397145986520258</v>
      </c>
      <c r="X220" s="8" t="s">
        <v>280</v>
      </c>
      <c r="AC220" s="8" t="s">
        <v>152</v>
      </c>
      <c r="AD220" s="8">
        <f t="shared" ref="AD220" ca="1" si="85">AD217*$B$42</f>
        <v>60.397145986520258</v>
      </c>
      <c r="AE220" s="8" t="s">
        <v>281</v>
      </c>
      <c r="AJ220" s="8" t="s">
        <v>152</v>
      </c>
      <c r="AK220" s="8">
        <f t="shared" ref="AK220" ca="1" si="86">AK217*$B$42</f>
        <v>60.397145986520258</v>
      </c>
      <c r="AL220" s="8" t="s">
        <v>282</v>
      </c>
      <c r="AQ220" s="8" t="s">
        <v>152</v>
      </c>
      <c r="AR220" s="8">
        <f t="shared" ref="AR220" ca="1" si="87">AR217*$B$42</f>
        <v>60.397145986520258</v>
      </c>
      <c r="AS220" s="8" t="s">
        <v>463</v>
      </c>
      <c r="AX220" s="8" t="s">
        <v>152</v>
      </c>
      <c r="AY220" s="8">
        <f t="shared" ref="AY220" ca="1" si="88">AY217*$B$42</f>
        <v>60.397145986520258</v>
      </c>
      <c r="AZ220" s="8" t="s">
        <v>464</v>
      </c>
      <c r="BE220" s="8"/>
      <c r="BF220" s="8"/>
    </row>
    <row r="221" spans="1:58" x14ac:dyDescent="0.25">
      <c r="A221" t="s">
        <v>273</v>
      </c>
      <c r="B221">
        <f ca="1">(B187-$B$38)/(B187-B188)*(B217/$B$115)</f>
        <v>-1.6263403822900864</v>
      </c>
      <c r="H221" t="s">
        <v>273</v>
      </c>
      <c r="I221">
        <f ca="1">(I187-$B$38)/(I187-I188)*(I217/$B$115)</f>
        <v>0.17813401057800374</v>
      </c>
      <c r="O221" t="s">
        <v>273</v>
      </c>
      <c r="P221">
        <f ca="1">(P187-$B$38)/(P187-P188)*(P217/$B$115)</f>
        <v>0.72757332891924908</v>
      </c>
      <c r="V221" t="s">
        <v>273</v>
      </c>
      <c r="W221">
        <f ca="1">(W187-$B$38)/(W187-W188)*(W217/$B$115)</f>
        <v>0.99326828717045534</v>
      </c>
      <c r="AC221" t="s">
        <v>273</v>
      </c>
      <c r="AD221">
        <f ca="1">(AD187-$B$38)/(AD187-AD188)*(AD217/$B$115)</f>
        <v>1.1601106646346975</v>
      </c>
      <c r="AJ221" t="s">
        <v>273</v>
      </c>
      <c r="AK221">
        <f ca="1">(AK187-$B$38)/(AK187-AK188)*(AK217/$B$115)</f>
        <v>1.2719393386885531</v>
      </c>
      <c r="AQ221" t="s">
        <v>273</v>
      </c>
      <c r="AR221">
        <f ca="1">(AR187-$B$38)/(AR187-AR188)*(AR217/$B$115)</f>
        <v>1.3453242685676681</v>
      </c>
      <c r="AX221" t="s">
        <v>273</v>
      </c>
      <c r="AY221">
        <f ca="1">(AY187-$B$38)/(AY187-AY188)*(AY217/$B$115)</f>
        <v>1.4033380307018333</v>
      </c>
    </row>
    <row r="222" spans="1:58" x14ac:dyDescent="0.25">
      <c r="A222" t="s">
        <v>274</v>
      </c>
      <c r="B222" s="6">
        <f ca="1">B217-B221</f>
        <v>6.6594358811667744</v>
      </c>
      <c r="H222" t="s">
        <v>274</v>
      </c>
      <c r="I222" s="6">
        <f t="shared" ref="I222" ca="1" si="89">I217-I221</f>
        <v>4.8549614882986845</v>
      </c>
      <c r="O222" t="s">
        <v>274</v>
      </c>
      <c r="P222" s="6">
        <f t="shared" ref="P222" ca="1" si="90">P217-P221</f>
        <v>4.3055221699574391</v>
      </c>
      <c r="V222" t="s">
        <v>274</v>
      </c>
      <c r="W222" s="6">
        <f t="shared" ref="W222" ca="1" si="91">W217-W221</f>
        <v>4.0398272117062328</v>
      </c>
      <c r="AC222" t="s">
        <v>274</v>
      </c>
      <c r="AD222" s="6">
        <f t="shared" ref="AD222" ca="1" si="92">AD217-AD221</f>
        <v>3.8729848342419904</v>
      </c>
      <c r="AJ222" t="s">
        <v>274</v>
      </c>
      <c r="AK222" s="6">
        <f t="shared" ref="AK222" ca="1" si="93">AK217-AK221</f>
        <v>3.7611561601881345</v>
      </c>
      <c r="AQ222" t="s">
        <v>274</v>
      </c>
      <c r="AR222" s="6">
        <f t="shared" ref="AR222" ca="1" si="94">AR217-AR221</f>
        <v>3.6877712303090195</v>
      </c>
      <c r="AX222" t="s">
        <v>274</v>
      </c>
      <c r="AY222" s="6">
        <f t="shared" ref="AY222" ca="1" si="95">AY217-AY221</f>
        <v>3.6297574681748546</v>
      </c>
      <c r="BF222" s="6"/>
    </row>
    <row r="223" spans="1:58" x14ac:dyDescent="0.25">
      <c r="A223" t="s">
        <v>275</v>
      </c>
      <c r="B223">
        <f ca="1">B222*$B$42*$B$85</f>
        <v>79.91323057400129</v>
      </c>
      <c r="D223" t="s">
        <v>285</v>
      </c>
      <c r="H223" t="s">
        <v>275</v>
      </c>
      <c r="I223">
        <f ca="1">I222*$B$42*$B$85</f>
        <v>58.259537859584213</v>
      </c>
      <c r="K223" t="s">
        <v>285</v>
      </c>
      <c r="O223" t="s">
        <v>275</v>
      </c>
      <c r="P223">
        <f ca="1">P222*$B$42*$B$85</f>
        <v>51.666266039489273</v>
      </c>
      <c r="R223" t="s">
        <v>285</v>
      </c>
      <c r="V223" t="s">
        <v>275</v>
      </c>
      <c r="W223">
        <f ca="1">W222*$B$42*$B$85</f>
        <v>48.477926540474797</v>
      </c>
      <c r="Y223" t="s">
        <v>285</v>
      </c>
      <c r="AC223" t="s">
        <v>275</v>
      </c>
      <c r="AD223">
        <f ca="1">AD222*$B$42*$B$85</f>
        <v>46.475818010903886</v>
      </c>
      <c r="AF223" t="s">
        <v>285</v>
      </c>
      <c r="AJ223" t="s">
        <v>275</v>
      </c>
      <c r="AK223">
        <f ca="1">AK222*$B$42*$B$85</f>
        <v>45.133873922257614</v>
      </c>
      <c r="AM223" t="s">
        <v>285</v>
      </c>
      <c r="AQ223" t="s">
        <v>275</v>
      </c>
      <c r="AR223">
        <f ca="1">AR222*$B$42*$B$85</f>
        <v>44.253254763708235</v>
      </c>
      <c r="AT223" t="s">
        <v>285</v>
      </c>
      <c r="AX223" t="s">
        <v>275</v>
      </c>
      <c r="AY223">
        <f ca="1">AY222*$B$42*$B$85</f>
        <v>43.557089618098253</v>
      </c>
      <c r="BA223" t="s">
        <v>285</v>
      </c>
    </row>
    <row r="224" spans="1:58" x14ac:dyDescent="0.25">
      <c r="A224" s="3">
        <v>2.7</v>
      </c>
      <c r="B224" s="153">
        <f ca="1">$P$107*B$223^$Q$107</f>
        <v>0.16910444696052193</v>
      </c>
      <c r="C224" s="3"/>
      <c r="H224" s="3">
        <v>2.7</v>
      </c>
      <c r="I224" s="153">
        <f ca="1">$P$107*I$223^$Q$107</f>
        <v>0.1471281165793385</v>
      </c>
      <c r="J224" s="3"/>
      <c r="O224" s="3">
        <v>2.7</v>
      </c>
      <c r="P224" s="153">
        <f ca="1">$P$107*P$223^$Q$107</f>
        <v>0.13954658517231575</v>
      </c>
      <c r="Q224" s="3"/>
      <c r="V224" s="3">
        <v>2.7</v>
      </c>
      <c r="W224" s="153">
        <f ca="1">$P$107*W$223^$Q$107</f>
        <v>0.13568556406976282</v>
      </c>
      <c r="X224" s="3"/>
      <c r="AC224" s="3">
        <v>2.7</v>
      </c>
      <c r="AD224" s="153">
        <f ca="1">$P$107*AD$223^$Q$107</f>
        <v>0.13318797276985464</v>
      </c>
      <c r="AE224" s="3"/>
      <c r="AJ224" s="3">
        <v>2.7</v>
      </c>
      <c r="AK224" s="153">
        <f ca="1">$P$107*AK$223^$Q$107</f>
        <v>0.13148006096428949</v>
      </c>
      <c r="AL224" s="3"/>
      <c r="AQ224" s="3">
        <v>2.7</v>
      </c>
      <c r="AR224" s="153">
        <f ca="1">$P$107*AR$223^$Q$107</f>
        <v>0.13034379605128316</v>
      </c>
      <c r="AS224" s="3"/>
      <c r="AX224" s="3">
        <v>2.7</v>
      </c>
      <c r="AY224" s="153">
        <f ca="1">$P$107*AY$223^$Q$107</f>
        <v>0.12943654782183059</v>
      </c>
      <c r="AZ224" s="3"/>
      <c r="BE224" s="3"/>
      <c r="BF224" s="153"/>
    </row>
    <row r="225" spans="1:58" x14ac:dyDescent="0.25">
      <c r="A225" s="3">
        <v>4</v>
      </c>
      <c r="B225" s="153">
        <f ca="1">$P$108*B$223^$Q$108</f>
        <v>0.17695430490065575</v>
      </c>
      <c r="C225" s="3"/>
      <c r="H225" s="3">
        <v>4</v>
      </c>
      <c r="I225" s="153">
        <f ca="1">$P$108*I$223^$Q$108</f>
        <v>0.15370016927868499</v>
      </c>
      <c r="J225" s="3"/>
      <c r="O225" s="3">
        <v>4</v>
      </c>
      <c r="P225" s="153">
        <f ca="1">$P$108*P$223^$Q$108</f>
        <v>0.14568721319933792</v>
      </c>
      <c r="Q225" s="3"/>
      <c r="V225" s="3">
        <v>4</v>
      </c>
      <c r="W225" s="153">
        <f ca="1">$P$108*W$223^$Q$108</f>
        <v>0.14160847728473014</v>
      </c>
      <c r="X225" s="3"/>
      <c r="AC225" s="3">
        <v>4</v>
      </c>
      <c r="AD225" s="153">
        <f ca="1">$P$108*AD$223^$Q$108</f>
        <v>0.13897079341266613</v>
      </c>
      <c r="AE225" s="3"/>
      <c r="AJ225" s="3">
        <v>4</v>
      </c>
      <c r="AK225" s="153">
        <f ca="1">$P$108*AK$223^$Q$108</f>
        <v>0.13716742493746331</v>
      </c>
      <c r="AL225" s="3"/>
      <c r="AQ225" s="3">
        <v>4</v>
      </c>
      <c r="AR225" s="153">
        <f ca="1">$P$108*AR$223^$Q$108</f>
        <v>0.13596780909546752</v>
      </c>
      <c r="AS225" s="3"/>
      <c r="AX225" s="3">
        <v>4</v>
      </c>
      <c r="AY225" s="153">
        <f ca="1">$P$108*AY$223^$Q$108</f>
        <v>0.13501006873865531</v>
      </c>
      <c r="AZ225" s="3"/>
      <c r="BE225" s="3"/>
      <c r="BF225" s="153"/>
    </row>
    <row r="226" spans="1:58" x14ac:dyDescent="0.25">
      <c r="A226" s="3">
        <v>10</v>
      </c>
      <c r="B226" s="153">
        <f ca="1">$P$109*B$223^$Q$109</f>
        <v>0.19148392994201413</v>
      </c>
      <c r="C226" s="3"/>
      <c r="H226" s="3">
        <v>10</v>
      </c>
      <c r="I226" s="153">
        <f ca="1">$P$109*I$223^$Q$109</f>
        <v>0.16667295359117765</v>
      </c>
      <c r="J226" s="3"/>
      <c r="O226" s="3">
        <v>10</v>
      </c>
      <c r="P226" s="153">
        <f ca="1">$P$109*P$223^$Q$109</f>
        <v>0.1581108572667782</v>
      </c>
      <c r="Q226" s="3"/>
      <c r="V226" s="3">
        <v>10</v>
      </c>
      <c r="W226" s="153">
        <f ca="1">$P$109*W$223^$Q$109</f>
        <v>0.15374990379224421</v>
      </c>
      <c r="X226" s="3"/>
      <c r="AC226" s="3">
        <v>10</v>
      </c>
      <c r="AD226" s="153">
        <f ca="1">$P$109*AD$223^$Q$109</f>
        <v>0.15092871020640858</v>
      </c>
      <c r="AE226" s="3"/>
      <c r="AJ226" s="3">
        <v>10</v>
      </c>
      <c r="AK226" s="153">
        <f ca="1">$P$109*AK$223^$Q$109</f>
        <v>0.14899941491271754</v>
      </c>
      <c r="AL226" s="3"/>
      <c r="AQ226" s="3">
        <v>10</v>
      </c>
      <c r="AR226" s="153">
        <f ca="1">$P$109*AR$223^$Q$109</f>
        <v>0.14771582064681416</v>
      </c>
      <c r="AS226" s="3"/>
      <c r="AX226" s="3">
        <v>10</v>
      </c>
      <c r="AY226" s="153">
        <f ca="1">$P$109*AY$223^$Q$109</f>
        <v>0.14669091209913301</v>
      </c>
      <c r="AZ226" s="3"/>
      <c r="BE226" s="3"/>
      <c r="BF226" s="153"/>
    </row>
    <row r="227" spans="1:58" x14ac:dyDescent="0.25">
      <c r="A227" s="3" t="s">
        <v>276</v>
      </c>
      <c r="B227" t="s">
        <v>203</v>
      </c>
      <c r="C227" t="s">
        <v>99</v>
      </c>
      <c r="H227" s="3" t="s">
        <v>276</v>
      </c>
      <c r="I227" t="s">
        <v>203</v>
      </c>
      <c r="J227" t="s">
        <v>99</v>
      </c>
      <c r="O227" s="3" t="s">
        <v>276</v>
      </c>
      <c r="P227" t="s">
        <v>203</v>
      </c>
      <c r="Q227" t="s">
        <v>99</v>
      </c>
      <c r="V227" s="3" t="s">
        <v>276</v>
      </c>
      <c r="W227" t="s">
        <v>203</v>
      </c>
      <c r="X227" t="s">
        <v>99</v>
      </c>
      <c r="AC227" s="3" t="s">
        <v>276</v>
      </c>
      <c r="AD227" t="s">
        <v>203</v>
      </c>
      <c r="AE227" t="s">
        <v>99</v>
      </c>
      <c r="AJ227" s="3" t="s">
        <v>276</v>
      </c>
      <c r="AK227" t="s">
        <v>203</v>
      </c>
      <c r="AL227" t="s">
        <v>99</v>
      </c>
      <c r="AQ227" s="3" t="s">
        <v>276</v>
      </c>
      <c r="AR227" t="s">
        <v>203</v>
      </c>
      <c r="AS227" t="s">
        <v>99</v>
      </c>
      <c r="AX227" s="3" t="s">
        <v>276</v>
      </c>
      <c r="AY227" t="s">
        <v>203</v>
      </c>
      <c r="AZ227" t="s">
        <v>99</v>
      </c>
    </row>
    <row r="228" spans="1:58" x14ac:dyDescent="0.25">
      <c r="B228">
        <f ca="1">EXP(INDEX(LINEST(LN(B224:B226),LN(A224:A226),,),1,2))</f>
        <v>0.1546792379891323</v>
      </c>
      <c r="C228">
        <f ca="1">INDEX(LINEST(LN(B224:B226),LN(A224:A226),,),1)</f>
        <v>9.336589136113238E-2</v>
      </c>
      <c r="I228">
        <f t="shared" ref="I228" ca="1" si="96">EXP(INDEX(LINEST(LN(I224:I226),LN(H224:H226),,),1,2))</f>
        <v>0.13437809316722696</v>
      </c>
      <c r="J228">
        <f t="shared" ref="J228" ca="1" si="97">INDEX(LINEST(LN(I224:I226),LN(H224:H226),,),1)</f>
        <v>9.4053061967963078E-2</v>
      </c>
      <c r="P228">
        <f t="shared" ref="P228" ca="1" si="98">EXP(INDEX(LINEST(LN(P224:P226),LN(O224:O226),,),1,2))</f>
        <v>0.12738174585377077</v>
      </c>
      <c r="Q228">
        <f t="shared" ref="Q228" ca="1" si="99">INDEX(LINEST(LN(P224:P226),LN(O224:O226),,),1)</f>
        <v>9.4314208484561513E-2</v>
      </c>
      <c r="W228">
        <f t="shared" ref="W228" ca="1" si="100">EXP(INDEX(LINEST(LN(W224:W226),LN(V224:V226),,),1,2))</f>
        <v>0.12382028240741752</v>
      </c>
      <c r="X228">
        <f t="shared" ref="X228" ca="1" si="101">INDEX(LINEST(LN(W224:W226),LN(V224:V226),,),1)</f>
        <v>9.4452707565477537E-2</v>
      </c>
      <c r="AD228">
        <f t="shared" ref="AD228" ca="1" si="102">EXP(INDEX(LINEST(LN(AD224:AD226),LN(AC224:AC226),,),1,2))</f>
        <v>0.12151704018769643</v>
      </c>
      <c r="AE228">
        <f t="shared" ref="AE228" ca="1" si="103">INDEX(LINEST(LN(AD224:AD226),LN(AC224:AC226),,),1)</f>
        <v>9.4544414291966652E-2</v>
      </c>
      <c r="AK228">
        <f t="shared" ref="AK228" ca="1" si="104">EXP(INDEX(LINEST(LN(AK224:AK226),LN(AJ224:AJ226),,),1,2))</f>
        <v>0.11994229328072172</v>
      </c>
      <c r="AL228">
        <f t="shared" ref="AL228" ca="1" si="105">INDEX(LINEST(LN(AK224:AK226),LN(AJ224:AJ226),,),1)</f>
        <v>9.4608121029428477E-2</v>
      </c>
      <c r="AR228">
        <f t="shared" ref="AR228" ca="1" si="106">EXP(INDEX(LINEST(LN(AR224:AR226),LN(AQ224:AQ226),,),1,2))</f>
        <v>0.11889474284765456</v>
      </c>
      <c r="AS228">
        <f t="shared" ref="AS228" ca="1" si="107">INDEX(LINEST(LN(AR224:AR226),LN(AQ224:AQ226),,),1)</f>
        <v>9.4650964879722493E-2</v>
      </c>
      <c r="AY228">
        <f t="shared" ref="AY228" ca="1" si="108">EXP(INDEX(LINEST(LN(AY224:AY226),LN(AX224:AX226),,),1,2))</f>
        <v>0.11805839831810418</v>
      </c>
      <c r="AZ228">
        <f t="shared" ref="AZ228" ca="1" si="109">INDEX(LINEST(LN(AY224:AY226),LN(AX224:AX226),,),1)</f>
        <v>9.4685442477147413E-2</v>
      </c>
    </row>
    <row r="229" spans="1:58" x14ac:dyDescent="0.25">
      <c r="A229" s="3" t="s">
        <v>277</v>
      </c>
      <c r="B229" s="7">
        <f ca="1">MAX(B228*$B$43^C228,0.05)</f>
        <v>0.16970970800863</v>
      </c>
      <c r="C229" t="s">
        <v>154</v>
      </c>
      <c r="H229" s="3" t="s">
        <v>277</v>
      </c>
      <c r="I229">
        <f t="shared" ref="I229" ca="1" si="110">MAX(I228*$B$43^J228,0.05)</f>
        <v>0.14753652733825265</v>
      </c>
      <c r="J229" t="s">
        <v>154</v>
      </c>
      <c r="O229" s="3" t="s">
        <v>277</v>
      </c>
      <c r="P229">
        <f t="shared" ref="P229" ca="1" si="111">MAX(P228*$B$43^Q228,0.05)</f>
        <v>0.13989137177208094</v>
      </c>
      <c r="Q229" t="s">
        <v>154</v>
      </c>
      <c r="V229" s="3" t="s">
        <v>277</v>
      </c>
      <c r="W229">
        <f t="shared" ref="W229" ca="1" si="112">MAX(W228*$B$43^X228,0.05)</f>
        <v>0.13599885929083891</v>
      </c>
      <c r="X229" t="s">
        <v>154</v>
      </c>
      <c r="AC229" s="3" t="s">
        <v>277</v>
      </c>
      <c r="AD229">
        <f t="shared" ref="AD229" ca="1" si="113">MAX(AD228*$B$43^AE228,0.05)</f>
        <v>0.13348123531581835</v>
      </c>
      <c r="AE229" t="s">
        <v>154</v>
      </c>
      <c r="AJ229" s="3" t="s">
        <v>277</v>
      </c>
      <c r="AK229">
        <f t="shared" ref="AK229" ca="1" si="114">MAX(AK228*$B$43^AL228,0.05)</f>
        <v>0.13175978073502476</v>
      </c>
      <c r="AL229" t="s">
        <v>154</v>
      </c>
      <c r="AQ229" s="3" t="s">
        <v>277</v>
      </c>
      <c r="AR229">
        <f t="shared" ref="AR229" ca="1" si="115">MAX(AR228*$B$43^AS228,0.05)</f>
        <v>0.13061457703434851</v>
      </c>
      <c r="AS229" t="s">
        <v>154</v>
      </c>
      <c r="AX229" s="3" t="s">
        <v>277</v>
      </c>
      <c r="AY229">
        <f t="shared" ref="AY229" ca="1" si="116">MAX(AY228*$B$43^AZ228,0.05)</f>
        <v>0.12970023285577187</v>
      </c>
      <c r="AZ229" t="s">
        <v>154</v>
      </c>
    </row>
    <row r="230" spans="1:58" x14ac:dyDescent="0.25">
      <c r="A230" s="3" t="s">
        <v>150</v>
      </c>
      <c r="B230" s="4">
        <f ca="1">(34-$B$55)*(B229-0.05)^0.62*(0.37*B229*40+3.14)/100</f>
        <v>0.16672943520039241</v>
      </c>
      <c r="H230" s="3" t="s">
        <v>150</v>
      </c>
      <c r="I230" s="4">
        <f t="shared" ref="I230" ca="1" si="117">(34-$B$55)*(I229-0.05)^0.62*(0.37*I229*40+3.14)/100</f>
        <v>0.1383174504939359</v>
      </c>
      <c r="O230" s="3" t="s">
        <v>150</v>
      </c>
      <c r="P230" s="4">
        <f t="shared" ref="P230" ca="1" si="118">(34-$B$55)*(P229-0.05)^0.62*(0.37*P229*40+3.14)/100</f>
        <v>0.12869695562777858</v>
      </c>
      <c r="V230" s="3" t="s">
        <v>150</v>
      </c>
      <c r="W230" s="4">
        <f t="shared" ref="W230" ca="1" si="119">(34-$B$55)*(W229-0.05)^0.62*(0.37*W229*40+3.14)/100</f>
        <v>0.12382833021001254</v>
      </c>
      <c r="AC230" s="3" t="s">
        <v>150</v>
      </c>
      <c r="AD230" s="4">
        <f t="shared" ref="AD230" ca="1" si="120">(34-$B$55)*(AD229-0.05)^0.62*(0.37*AD229*40+3.14)/100</f>
        <v>0.12068902071787477</v>
      </c>
      <c r="AJ230" s="3" t="s">
        <v>150</v>
      </c>
      <c r="AK230" s="4">
        <f t="shared" ref="AK230" ca="1" si="121">(34-$B$55)*(AK229-0.05)^0.62*(0.37*AK229*40+3.14)/100</f>
        <v>0.11854654778171125</v>
      </c>
      <c r="AQ230" s="3" t="s">
        <v>150</v>
      </c>
      <c r="AR230" s="4">
        <f t="shared" ref="AR230" ca="1" si="122">(34-$B$55)*(AR229-0.05)^0.62*(0.37*AR229*40+3.14)/100</f>
        <v>0.11712299328498575</v>
      </c>
      <c r="AX230" s="3" t="s">
        <v>150</v>
      </c>
      <c r="AY230" s="4">
        <f t="shared" ref="AY230" ca="1" si="123">(34-$B$55)*(AY229-0.05)^0.62*(0.37*AY229*40+3.14)/100</f>
        <v>0.11598736370271259</v>
      </c>
      <c r="BE230" s="3" t="s">
        <v>150</v>
      </c>
      <c r="BF230" s="4" t="e">
        <f t="shared" ref="BF230" ca="1" si="124">(34-$B$55)*(BF229-0.05)^0.62*(0.37*BF229*40+3.14)/100</f>
        <v>#NUM!</v>
      </c>
    </row>
    <row r="231" spans="1:58" x14ac:dyDescent="0.25">
      <c r="A231" s="3" t="s">
        <v>158</v>
      </c>
      <c r="B231" s="4">
        <f ca="1">0.5*B230^2+0.25*B230+0.03</f>
        <v>8.5581711081219022E-2</v>
      </c>
      <c r="H231" s="3" t="s">
        <v>158</v>
      </c>
      <c r="I231" s="4">
        <f t="shared" ref="I231" ca="1" si="125">0.5*I230^2+0.25*I230+0.03</f>
        <v>7.4145221179055171E-2</v>
      </c>
      <c r="O231" s="3" t="s">
        <v>158</v>
      </c>
      <c r="P231" s="4">
        <f t="shared" ref="P231" ca="1" si="126">0.5*P230^2+0.25*P230+0.03</f>
        <v>7.0455692100873851E-2</v>
      </c>
      <c r="V231" s="3" t="s">
        <v>158</v>
      </c>
      <c r="W231" s="4">
        <f t="shared" ref="W231" ca="1" si="127">0.5*W230^2+0.25*W230+0.03</f>
        <v>6.8623810233803081E-2</v>
      </c>
      <c r="AC231" s="3" t="s">
        <v>158</v>
      </c>
      <c r="AD231" s="4">
        <f t="shared" ref="AD231" ca="1" si="128">0.5*AD230^2+0.25*AD230+0.03</f>
        <v>6.745517504038849E-2</v>
      </c>
      <c r="AJ231" s="3" t="s">
        <v>158</v>
      </c>
      <c r="AK231" s="4">
        <f t="shared" ref="AK231" ca="1" si="129">0.5*AK230^2+0.25*AK230+0.03</f>
        <v>6.6663278940908594E-2</v>
      </c>
      <c r="AQ231" s="3" t="s">
        <v>158</v>
      </c>
      <c r="AR231" s="4">
        <f t="shared" ref="AR231" ca="1" si="130">0.5*AR230^2+0.25*AR230+0.03</f>
        <v>6.6139646099263844E-2</v>
      </c>
      <c r="AX231" s="3" t="s">
        <v>158</v>
      </c>
      <c r="AY231" s="4">
        <f t="shared" ref="AY231" ca="1" si="131">0.5*AY230^2+0.25*AY230+0.03</f>
        <v>6.5723375195030811E-2</v>
      </c>
    </row>
    <row r="232" spans="1:58" x14ac:dyDescent="0.25">
      <c r="A232" s="3" t="s">
        <v>165</v>
      </c>
      <c r="B232" t="str">
        <f ca="1">IF(B230&lt;10%,"A",IF(B230&lt;20%,"B",IF(B230&lt;30%,"C"," -")))</f>
        <v>B</v>
      </c>
      <c r="H232" s="3" t="s">
        <v>165</v>
      </c>
      <c r="I232" t="str">
        <f t="shared" ref="I232" ca="1" si="132">IF(I230&lt;10%,"A",IF(I230&lt;20%,"B",IF(I230&lt;30%,"C"," -")))</f>
        <v>B</v>
      </c>
      <c r="O232" s="3" t="s">
        <v>165</v>
      </c>
      <c r="P232" t="str">
        <f t="shared" ref="P232" ca="1" si="133">IF(P230&lt;10%,"A",IF(P230&lt;20%,"B",IF(P230&lt;30%,"C"," -")))</f>
        <v>B</v>
      </c>
      <c r="V232" s="3" t="s">
        <v>165</v>
      </c>
      <c r="W232" t="str">
        <f t="shared" ref="W232" ca="1" si="134">IF(W230&lt;10%,"A",IF(W230&lt;20%,"B",IF(W230&lt;30%,"C"," -")))</f>
        <v>B</v>
      </c>
      <c r="AC232" s="3" t="s">
        <v>165</v>
      </c>
      <c r="AD232" t="str">
        <f t="shared" ref="AD232" ca="1" si="135">IF(AD230&lt;10%,"A",IF(AD230&lt;20%,"B",IF(AD230&lt;30%,"C"," -")))</f>
        <v>B</v>
      </c>
      <c r="AJ232" s="3" t="s">
        <v>165</v>
      </c>
      <c r="AK232" t="str">
        <f t="shared" ref="AK232" ca="1" si="136">IF(AK230&lt;10%,"A",IF(AK230&lt;20%,"B",IF(AK230&lt;30%,"C"," -")))</f>
        <v>B</v>
      </c>
      <c r="AQ232" s="3" t="s">
        <v>165</v>
      </c>
      <c r="AR232" t="str">
        <f t="shared" ref="AR232" ca="1" si="137">IF(AR230&lt;10%,"A",IF(AR230&lt;20%,"B",IF(AR230&lt;30%,"C"," -")))</f>
        <v>B</v>
      </c>
      <c r="AX232" s="3" t="s">
        <v>165</v>
      </c>
      <c r="AY232" t="str">
        <f t="shared" ref="AY232" ca="1" si="138">IF(AY230&lt;10%,"A",IF(AY230&lt;20%,"B",IF(AY230&lt;30%,"C"," -")))</f>
        <v>B</v>
      </c>
    </row>
    <row r="233" spans="1:58" x14ac:dyDescent="0.25">
      <c r="A233" s="3" t="s">
        <v>219</v>
      </c>
      <c r="B233" s="6">
        <f ca="1">ABS(0.4527*LN(B230)+1.2387)</f>
        <v>0.42774094807524554</v>
      </c>
      <c r="H233" s="3" t="s">
        <v>219</v>
      </c>
      <c r="I233" s="6">
        <f t="shared" ref="I233" ca="1" si="139">ABS(0.4527*LN(I230)+1.2387)</f>
        <v>0.34316710817872309</v>
      </c>
      <c r="O233" s="3" t="s">
        <v>219</v>
      </c>
      <c r="P233" s="6">
        <f t="shared" ref="P233" ca="1" si="140">ABS(0.4527*LN(P230)+1.2387)</f>
        <v>0.31053153523242694</v>
      </c>
      <c r="V233" s="3" t="s">
        <v>219</v>
      </c>
      <c r="W233" s="6">
        <f t="shared" ref="W233" ca="1" si="141">ABS(0.4527*LN(W230)+1.2387)</f>
        <v>0.29307348254123267</v>
      </c>
      <c r="AC233" s="3" t="s">
        <v>219</v>
      </c>
      <c r="AD233" s="6">
        <f t="shared" ref="AD233" ca="1" si="142">ABS(0.4527*LN(AD230)+1.2387)</f>
        <v>0.28144859379399967</v>
      </c>
      <c r="AJ233" s="3" t="s">
        <v>219</v>
      </c>
      <c r="AK233" s="6">
        <f t="shared" ref="AK233" ca="1" si="143">ABS(0.4527*LN(AK230)+1.2387)</f>
        <v>0.27334007185127074</v>
      </c>
      <c r="AQ233" s="3" t="s">
        <v>219</v>
      </c>
      <c r="AR233" s="6">
        <f t="shared" ref="AR233" ca="1" si="144">ABS(0.4527*LN(AR230)+1.2387)</f>
        <v>0.26787096493222839</v>
      </c>
      <c r="AX233" s="3" t="s">
        <v>219</v>
      </c>
      <c r="AY233" s="6">
        <f t="shared" ref="AY233" ca="1" si="145">ABS(0.4527*LN(AY230)+1.2387)</f>
        <v>0.2634601477929539</v>
      </c>
    </row>
    <row r="234" spans="1:58" x14ac:dyDescent="0.25">
      <c r="A234" s="3" t="s">
        <v>219</v>
      </c>
      <c r="B234" s="6">
        <f ca="1">IFERROR(MAX(ROUND(B233,1),0.2),0.2)</f>
        <v>0.4</v>
      </c>
      <c r="H234" s="3" t="s">
        <v>219</v>
      </c>
      <c r="I234" s="6">
        <f t="shared" ref="I234" ca="1" si="146">IFERROR(MAX(ROUND(I233,1),0.2),0.2)</f>
        <v>0.3</v>
      </c>
      <c r="O234" s="3" t="s">
        <v>219</v>
      </c>
      <c r="P234" s="6">
        <f t="shared" ref="P234" ca="1" si="147">IFERROR(MAX(ROUND(P233,1),0.2),0.2)</f>
        <v>0.3</v>
      </c>
      <c r="V234" s="3" t="s">
        <v>219</v>
      </c>
      <c r="W234" s="6">
        <f t="shared" ref="W234" ca="1" si="148">IFERROR(MAX(ROUND(W233,1),0.2),0.2)</f>
        <v>0.3</v>
      </c>
      <c r="AC234" s="3" t="s">
        <v>219</v>
      </c>
      <c r="AD234" s="6">
        <f t="shared" ref="AD234" ca="1" si="149">IFERROR(MAX(ROUND(AD233,1),0.2),0.2)</f>
        <v>0.3</v>
      </c>
      <c r="AJ234" s="3" t="s">
        <v>219</v>
      </c>
      <c r="AK234" s="6">
        <f t="shared" ref="AK234" ca="1" si="150">IFERROR(MAX(ROUND(AK233,1),0.2),0.2)</f>
        <v>0.3</v>
      </c>
      <c r="AQ234" s="3" t="s">
        <v>219</v>
      </c>
      <c r="AR234" s="6">
        <f t="shared" ref="AR234" ca="1" si="151">IFERROR(MAX(ROUND(AR233,1),0.2),0.2)</f>
        <v>0.3</v>
      </c>
      <c r="AX234" s="3" t="s">
        <v>219</v>
      </c>
      <c r="AY234" s="6">
        <f t="shared" ref="AY234" ca="1" si="152">IFERROR(MAX(ROUND(AY233,1),0.2),0.2)</f>
        <v>0.3</v>
      </c>
    </row>
    <row r="235" spans="1:58" x14ac:dyDescent="0.25">
      <c r="A235" s="3"/>
      <c r="B235" s="6"/>
      <c r="H235" s="3"/>
      <c r="I235" s="6"/>
      <c r="O235" s="3"/>
      <c r="P235" s="6"/>
      <c r="V235" s="3"/>
      <c r="W235" s="6"/>
      <c r="AC235" s="3"/>
      <c r="AD235" s="6"/>
      <c r="AJ235" s="3"/>
      <c r="AK235" s="6"/>
      <c r="AQ235" s="3"/>
      <c r="AR235" s="6"/>
      <c r="AX235" s="3"/>
      <c r="AY235" s="6"/>
    </row>
    <row r="236" spans="1:58" x14ac:dyDescent="0.25">
      <c r="A236" s="224" t="s">
        <v>445</v>
      </c>
      <c r="B236" s="223"/>
      <c r="C236" s="222"/>
      <c r="D236" s="222"/>
      <c r="E236" s="222"/>
      <c r="F236" s="222"/>
      <c r="G236" s="222"/>
      <c r="H236" s="224" t="s">
        <v>445</v>
      </c>
      <c r="I236" s="223"/>
      <c r="J236" s="222"/>
      <c r="K236" s="222"/>
      <c r="L236" s="222"/>
      <c r="M236" s="222"/>
      <c r="N236" s="222"/>
      <c r="O236" s="224" t="s">
        <v>445</v>
      </c>
      <c r="P236" s="223"/>
      <c r="Q236" s="222"/>
      <c r="R236" s="222"/>
      <c r="S236" s="222"/>
      <c r="T236" s="222"/>
      <c r="U236" s="222"/>
      <c r="V236" s="224" t="s">
        <v>445</v>
      </c>
      <c r="W236" s="223"/>
      <c r="X236" s="222"/>
      <c r="Y236" s="222"/>
      <c r="Z236" s="222"/>
      <c r="AA236" s="222"/>
      <c r="AB236" s="222"/>
      <c r="AC236" s="224" t="s">
        <v>445</v>
      </c>
      <c r="AD236" s="223"/>
      <c r="AE236" s="222"/>
      <c r="AF236" s="222"/>
      <c r="AG236" s="222"/>
      <c r="AH236" s="222"/>
      <c r="AI236" s="222"/>
      <c r="AJ236" s="224" t="s">
        <v>445</v>
      </c>
      <c r="AK236" s="223"/>
      <c r="AL236" s="222"/>
      <c r="AM236" s="222"/>
      <c r="AN236" s="222"/>
      <c r="AO236" s="222"/>
      <c r="AP236" s="222"/>
      <c r="AQ236" s="224" t="s">
        <v>445</v>
      </c>
      <c r="AR236" s="223"/>
      <c r="AS236" s="222"/>
      <c r="AT236" s="222"/>
      <c r="AU236" s="222"/>
      <c r="AV236" s="222"/>
      <c r="AW236" s="222"/>
      <c r="AX236" s="224" t="s">
        <v>445</v>
      </c>
      <c r="AY236" s="223"/>
      <c r="AZ236" s="222"/>
      <c r="BA236" s="222"/>
    </row>
    <row r="237" spans="1:58" x14ac:dyDescent="0.25">
      <c r="A237" s="3"/>
      <c r="B237" s="6"/>
      <c r="H237" s="3"/>
      <c r="I237" s="6"/>
      <c r="O237" s="3"/>
      <c r="P237" s="6"/>
      <c r="V237" s="3"/>
      <c r="W237" s="6"/>
      <c r="AC237" s="3"/>
      <c r="AD237" s="6"/>
      <c r="AJ237" s="3"/>
      <c r="AK237" s="6"/>
      <c r="AQ237" s="3"/>
      <c r="AR237" s="6"/>
      <c r="AX237" s="3"/>
      <c r="AY237" s="6"/>
    </row>
    <row r="238" spans="1:58" x14ac:dyDescent="0.25">
      <c r="A238" s="3" t="s">
        <v>446</v>
      </c>
      <c r="B238" s="6"/>
      <c r="H238" s="3" t="s">
        <v>432</v>
      </c>
      <c r="I238" s="6"/>
      <c r="O238" s="3" t="s">
        <v>432</v>
      </c>
      <c r="P238" s="6"/>
      <c r="V238" s="3" t="s">
        <v>432</v>
      </c>
      <c r="W238" s="6"/>
      <c r="AC238" s="3" t="s">
        <v>432</v>
      </c>
      <c r="AD238" s="6"/>
      <c r="AJ238" s="3" t="s">
        <v>432</v>
      </c>
      <c r="AK238" s="6"/>
      <c r="AQ238" s="3" t="s">
        <v>432</v>
      </c>
      <c r="AR238" s="6"/>
      <c r="AX238" s="3" t="s">
        <v>432</v>
      </c>
      <c r="AY238" s="6"/>
    </row>
    <row r="239" spans="1:58" x14ac:dyDescent="0.25">
      <c r="A239" t="s">
        <v>434</v>
      </c>
      <c r="B239">
        <f ca="1">B223/$B$44</f>
        <v>159.82646114800258</v>
      </c>
      <c r="H239" t="s">
        <v>434</v>
      </c>
      <c r="I239">
        <f ca="1">I223/$B$44</f>
        <v>116.51907571916843</v>
      </c>
      <c r="O239" t="s">
        <v>434</v>
      </c>
      <c r="P239">
        <f ca="1">P223/$B$44</f>
        <v>103.33253207897855</v>
      </c>
      <c r="V239" t="s">
        <v>434</v>
      </c>
      <c r="W239">
        <f ca="1">W223/$B$44</f>
        <v>96.955853080949595</v>
      </c>
      <c r="AC239" t="s">
        <v>434</v>
      </c>
      <c r="AD239">
        <f ca="1">AD223/$B$44</f>
        <v>92.951636021807772</v>
      </c>
      <c r="AJ239" t="s">
        <v>434</v>
      </c>
      <c r="AK239">
        <f ca="1">AK223/$B$44</f>
        <v>90.267747844515227</v>
      </c>
      <c r="AQ239" t="s">
        <v>434</v>
      </c>
      <c r="AR239">
        <f ca="1">AR223/$B$44</f>
        <v>88.506509527416469</v>
      </c>
      <c r="AX239" t="s">
        <v>434</v>
      </c>
      <c r="AY239">
        <f ca="1">AY223/$B$44</f>
        <v>87.114179236196506</v>
      </c>
    </row>
    <row r="240" spans="1:58" x14ac:dyDescent="0.25">
      <c r="A240" s="3">
        <v>2.7</v>
      </c>
      <c r="B240" s="153">
        <f ca="1">$P$107*B$239^$Q$107</f>
        <v>0.22948734500972939</v>
      </c>
      <c r="C240" s="3"/>
      <c r="D240" t="s">
        <v>447</v>
      </c>
      <c r="H240" s="3">
        <v>2.7</v>
      </c>
      <c r="I240" s="153">
        <f ca="1">$P$107*I$239^$Q$107</f>
        <v>0.19966382585998274</v>
      </c>
      <c r="J240" s="3"/>
      <c r="O240" s="3">
        <v>2.7</v>
      </c>
      <c r="P240" s="153">
        <f ca="1">$P$107*P$239^$Q$107</f>
        <v>0.18937512236946064</v>
      </c>
      <c r="Q240" s="3"/>
      <c r="V240" s="3">
        <v>2.7</v>
      </c>
      <c r="W240" s="153">
        <f ca="1">$P$107*W$239^$Q$107</f>
        <v>0.18413542880860317</v>
      </c>
      <c r="X240" s="3"/>
      <c r="AC240" s="3">
        <v>2.7</v>
      </c>
      <c r="AD240" s="153">
        <f ca="1">$P$107*AD$239^$Q$107</f>
        <v>0.18074601116384351</v>
      </c>
      <c r="AE240" s="3"/>
      <c r="AJ240" s="3">
        <v>2.7</v>
      </c>
      <c r="AK240" s="153">
        <f ca="1">$P$107*AK$239^$Q$107</f>
        <v>0.17842824748101485</v>
      </c>
      <c r="AL240" s="3"/>
      <c r="AQ240" s="3">
        <v>2.7</v>
      </c>
      <c r="AR240" s="153">
        <f ca="1">$P$107*AR$239^$Q$107</f>
        <v>0.1768862512603335</v>
      </c>
      <c r="AS240" s="3"/>
      <c r="AX240" s="3">
        <v>2.7</v>
      </c>
      <c r="AY240" s="153">
        <f ca="1">$P$107*AY$239^$Q$107</f>
        <v>0.17565504775750401</v>
      </c>
      <c r="AZ240" s="3"/>
    </row>
    <row r="241" spans="1:54" x14ac:dyDescent="0.25">
      <c r="A241" s="3">
        <v>4</v>
      </c>
      <c r="B241" s="153">
        <f ca="1">$P$108*B$239^$Q$108</f>
        <v>0.24102400827666282</v>
      </c>
      <c r="C241" s="3"/>
      <c r="H241" s="3">
        <v>4</v>
      </c>
      <c r="I241" s="153">
        <f ca="1">$P$108*I$239^$Q$108</f>
        <v>0.20935026640435794</v>
      </c>
      <c r="J241" s="3"/>
      <c r="O241" s="3">
        <v>4</v>
      </c>
      <c r="P241" s="153">
        <f ca="1">$P$108*P$239^$Q$108</f>
        <v>0.19843606573840994</v>
      </c>
      <c r="Q241" s="3"/>
      <c r="V241" s="3">
        <v>4</v>
      </c>
      <c r="W241" s="153">
        <f ca="1">$P$108*W$239^$Q$108</f>
        <v>0.19288054517962702</v>
      </c>
      <c r="X241" s="3"/>
      <c r="AC241" s="3">
        <v>4</v>
      </c>
      <c r="AD241" s="153">
        <f ca="1">$P$108*AD$239^$Q$108</f>
        <v>0.1892878372216687</v>
      </c>
      <c r="AE241" s="3"/>
      <c r="AJ241" s="3">
        <v>4</v>
      </c>
      <c r="AK241" s="153">
        <f ca="1">$P$108*AK$239^$Q$108</f>
        <v>0.18683152456774829</v>
      </c>
      <c r="AL241" s="3"/>
      <c r="AQ241" s="3">
        <v>4</v>
      </c>
      <c r="AR241" s="153">
        <f ca="1">$P$108*AR$239^$Q$108</f>
        <v>0.18519756477913324</v>
      </c>
      <c r="AS241" s="3"/>
      <c r="AX241" s="3">
        <v>4</v>
      </c>
      <c r="AY241" s="153">
        <f ca="1">$P$108*AY$239^$Q$108</f>
        <v>0.1838930561387993</v>
      </c>
      <c r="AZ241" s="3"/>
    </row>
    <row r="242" spans="1:54" x14ac:dyDescent="0.25">
      <c r="A242" s="3">
        <v>10</v>
      </c>
      <c r="B242" s="153">
        <f ca="1">$P$109*B$239^$Q$109</f>
        <v>0.25960592686585759</v>
      </c>
      <c r="C242" s="3"/>
      <c r="H242" s="3">
        <v>10</v>
      </c>
      <c r="I242" s="153">
        <f ca="1">$P$109*I$239^$Q$109</f>
        <v>0.22596823980796046</v>
      </c>
      <c r="J242" s="3"/>
      <c r="O242" s="3">
        <v>10</v>
      </c>
      <c r="P242" s="153">
        <f ca="1">$P$109*P$239^$Q$109</f>
        <v>0.2143601066717564</v>
      </c>
      <c r="Q242" s="3"/>
      <c r="V242" s="3">
        <v>10</v>
      </c>
      <c r="W242" s="153">
        <f ca="1">$P$109*W$239^$Q$109</f>
        <v>0.20844770781343905</v>
      </c>
      <c r="X242" s="3"/>
      <c r="AC242" s="3">
        <v>10</v>
      </c>
      <c r="AD242" s="153">
        <f ca="1">$P$109*AD$239^$Q$109</f>
        <v>0.20462285120045512</v>
      </c>
      <c r="AE242" s="3"/>
      <c r="AJ242" s="3">
        <v>10</v>
      </c>
      <c r="AK242" s="153">
        <f ca="1">$P$109*AK$239^$Q$109</f>
        <v>0.20200719309761442</v>
      </c>
      <c r="AL242" s="3"/>
      <c r="AQ242" s="3">
        <v>10</v>
      </c>
      <c r="AR242" s="153">
        <f ca="1">$P$109*AR$239^$Q$109</f>
        <v>0.2002669495209318</v>
      </c>
      <c r="AS242" s="3"/>
      <c r="AX242" s="3">
        <v>10</v>
      </c>
      <c r="AY242" s="153">
        <f ca="1">$P$109*AY$239^$Q$109</f>
        <v>0.19887742125318594</v>
      </c>
      <c r="AZ242" s="3"/>
    </row>
    <row r="243" spans="1:54" x14ac:dyDescent="0.25">
      <c r="A243" s="3" t="s">
        <v>276</v>
      </c>
      <c r="B243" t="s">
        <v>203</v>
      </c>
      <c r="C243" t="s">
        <v>99</v>
      </c>
      <c r="H243" s="3" t="s">
        <v>276</v>
      </c>
      <c r="I243" t="s">
        <v>203</v>
      </c>
      <c r="J243" t="s">
        <v>99</v>
      </c>
      <c r="O243" s="3" t="s">
        <v>276</v>
      </c>
      <c r="P243" t="s">
        <v>203</v>
      </c>
      <c r="Q243" t="s">
        <v>99</v>
      </c>
      <c r="V243" s="3" t="s">
        <v>276</v>
      </c>
      <c r="W243" t="s">
        <v>203</v>
      </c>
      <c r="X243" t="s">
        <v>99</v>
      </c>
      <c r="AC243" s="3" t="s">
        <v>276</v>
      </c>
      <c r="AD243" t="s">
        <v>203</v>
      </c>
      <c r="AE243" t="s">
        <v>99</v>
      </c>
      <c r="AJ243" s="3" t="s">
        <v>276</v>
      </c>
      <c r="AK243" t="s">
        <v>203</v>
      </c>
      <c r="AL243" t="s">
        <v>99</v>
      </c>
      <c r="AQ243" s="3" t="s">
        <v>276</v>
      </c>
      <c r="AR243" t="s">
        <v>203</v>
      </c>
      <c r="AS243" t="s">
        <v>99</v>
      </c>
      <c r="AX243" s="3" t="s">
        <v>276</v>
      </c>
      <c r="AY243" t="s">
        <v>203</v>
      </c>
      <c r="AZ243" t="s">
        <v>99</v>
      </c>
    </row>
    <row r="244" spans="1:54" x14ac:dyDescent="0.25">
      <c r="B244">
        <f ca="1">EXP(INDEX(LINEST(LN(B240:B242),LN(A240:A242),,),1,2))</f>
        <v>0.2105952807756005</v>
      </c>
      <c r="C244">
        <f ca="1">INDEX(LINEST(LN(B240:B242),LN(A240:A242),,),1)</f>
        <v>9.1858740365269281E-2</v>
      </c>
      <c r="I244">
        <f t="shared" ref="I244" ca="1" si="153">EXP(INDEX(LINEST(LN(I240:I242),LN(H240:H242),,),1,2))</f>
        <v>0.18295533795317948</v>
      </c>
      <c r="J244">
        <f t="shared" ref="J244" ca="1" si="154">INDEX(LINEST(LN(I240:I242),LN(H240:H242),,),1)</f>
        <v>9.2545910972100201E-2</v>
      </c>
      <c r="P244">
        <f t="shared" ref="P244" ca="1" si="155">EXP(INDEX(LINEST(LN(P240:P242),LN(O240:O242),,),1,2))</f>
        <v>0.17342983378057381</v>
      </c>
      <c r="Q244">
        <f t="shared" ref="Q244" ca="1" si="156">INDEX(LINEST(LN(P240:P242),LN(O240:O242),,),1)</f>
        <v>9.280705748869858E-2</v>
      </c>
      <c r="W244">
        <f t="shared" ref="W244" ca="1" si="157">EXP(INDEX(LINEST(LN(W240:W242),LN(V240:V242),,),1,2))</f>
        <v>0.16858091285099511</v>
      </c>
      <c r="X244">
        <f t="shared" ref="X244" ca="1" si="158">INDEX(LINEST(LN(W240:W242),LN(V240:V242),,),1)</f>
        <v>9.2945556569614562E-2</v>
      </c>
      <c r="AD244">
        <f t="shared" ref="AD244" ca="1" si="159">EXP(INDEX(LINEST(LN(AD240:AD242),LN(AC240:AC242),,),1,2))</f>
        <v>0.16544505604007367</v>
      </c>
      <c r="AE244">
        <f t="shared" ref="AE244" ca="1" si="160">INDEX(LINEST(LN(AD240:AD242),LN(AC240:AC242),,),1)</f>
        <v>9.3037263296103331E-2</v>
      </c>
      <c r="AK244">
        <f t="shared" ref="AK244" ca="1" si="161">EXP(INDEX(LINEST(LN(AK240:AK242),LN(AJ240:AJ242),,),1,2))</f>
        <v>0.16330104323437206</v>
      </c>
      <c r="AL244">
        <f t="shared" ref="AL244" ca="1" si="162">INDEX(LINEST(LN(AK240:AK242),LN(AJ240:AJ242),,),1)</f>
        <v>9.3100970033565267E-2</v>
      </c>
      <c r="AR244">
        <f t="shared" ref="AR244" ca="1" si="163">EXP(INDEX(LINEST(LN(AR240:AR242),LN(AQ240:AQ242),,),1,2))</f>
        <v>0.16187480671778226</v>
      </c>
      <c r="AS244">
        <f t="shared" ref="AS244" ca="1" si="164">INDEX(LINEST(LN(AR240:AR242),LN(AQ240:AQ242),,),1)</f>
        <v>9.3143813883859658E-2</v>
      </c>
      <c r="AY244">
        <f t="shared" ref="AY244" ca="1" si="165">EXP(INDEX(LINEST(LN(AY240:AY242),LN(AX240:AX242),,),1,2))</f>
        <v>0.1607361263537235</v>
      </c>
      <c r="AZ244">
        <f t="shared" ref="AZ244" ca="1" si="166">INDEX(LINEST(LN(AY240:AY242),LN(AX240:AX242),,),1)</f>
        <v>9.3178291481284342E-2</v>
      </c>
    </row>
    <row r="245" spans="1:54" x14ac:dyDescent="0.25">
      <c r="A245" s="3" t="s">
        <v>277</v>
      </c>
      <c r="B245">
        <f t="shared" ref="B245" ca="1" si="167">ROUND(B244*$B$43^C244,2)</f>
        <v>0.23</v>
      </c>
      <c r="C245" t="s">
        <v>154</v>
      </c>
      <c r="H245" s="3" t="s">
        <v>277</v>
      </c>
      <c r="I245">
        <f ca="1">ROUND(I244*$B$43^J244,2)</f>
        <v>0.2</v>
      </c>
      <c r="J245" t="s">
        <v>154</v>
      </c>
      <c r="O245" s="3" t="s">
        <v>277</v>
      </c>
      <c r="P245">
        <f t="shared" ref="P245" ca="1" si="168">ROUND(P244*$B$43^Q244,2)</f>
        <v>0.19</v>
      </c>
      <c r="Q245" t="s">
        <v>154</v>
      </c>
      <c r="V245" s="3" t="s">
        <v>277</v>
      </c>
      <c r="W245">
        <f t="shared" ref="W245" ca="1" si="169">ROUND(W244*$B$43^X244,2)</f>
        <v>0.18</v>
      </c>
      <c r="X245" t="s">
        <v>154</v>
      </c>
      <c r="AC245" s="3" t="s">
        <v>277</v>
      </c>
      <c r="AD245">
        <f t="shared" ref="AD245" ca="1" si="170">ROUND(AD244*$B$43^AE244,2)</f>
        <v>0.18</v>
      </c>
      <c r="AE245" t="s">
        <v>154</v>
      </c>
      <c r="AJ245" s="3" t="s">
        <v>277</v>
      </c>
      <c r="AK245">
        <f t="shared" ref="AK245" ca="1" si="171">ROUND(AK244*$B$43^AL244,2)</f>
        <v>0.18</v>
      </c>
      <c r="AL245" t="s">
        <v>154</v>
      </c>
      <c r="AQ245" s="3" t="s">
        <v>277</v>
      </c>
      <c r="AR245">
        <f t="shared" ref="AR245" ca="1" si="172">ROUND(AR244*$B$43^AS244,2)</f>
        <v>0.18</v>
      </c>
      <c r="AS245" t="s">
        <v>154</v>
      </c>
      <c r="AX245" s="3" t="s">
        <v>277</v>
      </c>
      <c r="AY245">
        <f t="shared" ref="AY245" ca="1" si="173">ROUND(AY244*$B$43^AZ244,2)</f>
        <v>0.18</v>
      </c>
      <c r="AZ245" t="s">
        <v>154</v>
      </c>
    </row>
    <row r="246" spans="1:54" x14ac:dyDescent="0.25">
      <c r="A246" t="s">
        <v>433</v>
      </c>
      <c r="B246" s="11">
        <f ca="1" xml:space="preserve"> IF(B245&lt;=0.2,95%,IF(B245&lt;=0.25,90%,IF(B245&lt;=0.29,80%,IF(B245&lt;=0.33,70%,0))))</f>
        <v>0.9</v>
      </c>
      <c r="H246" t="s">
        <v>433</v>
      </c>
      <c r="I246" s="11">
        <f t="shared" ref="I246" ca="1" si="174" xml:space="preserve"> IF(I245&lt;=0.2,95%,IF(I245&lt;=0.25,90%,IF(I245&lt;=0.29,80%,IF(I245&lt;=0.33,70%,0))))</f>
        <v>0.95</v>
      </c>
      <c r="O246" t="s">
        <v>433</v>
      </c>
      <c r="P246" s="11">
        <f t="shared" ref="P246" ca="1" si="175" xml:space="preserve"> IF(P245&lt;=0.2,95%,IF(P245&lt;=0.25,90%,IF(P245&lt;=0.29,80%,IF(P245&lt;=0.33,70%,0))))</f>
        <v>0.95</v>
      </c>
      <c r="V246" t="s">
        <v>433</v>
      </c>
      <c r="W246" s="11">
        <f t="shared" ref="W246" ca="1" si="176" xml:space="preserve"> IF(W245&lt;=0.2,95%,IF(W245&lt;=0.25,90%,IF(W245&lt;=0.29,80%,IF(W245&lt;=0.33,70%,0))))</f>
        <v>0.95</v>
      </c>
      <c r="AC246" t="s">
        <v>433</v>
      </c>
      <c r="AD246" s="11">
        <f t="shared" ref="AD246" ca="1" si="177" xml:space="preserve"> IF(AD245&lt;=0.2,95%,IF(AD245&lt;=0.25,90%,IF(AD245&lt;=0.29,80%,IF(AD245&lt;=0.33,70%,0))))</f>
        <v>0.95</v>
      </c>
      <c r="AJ246" t="s">
        <v>433</v>
      </c>
      <c r="AK246" s="11">
        <f t="shared" ref="AK246" ca="1" si="178" xml:space="preserve"> IF(AK245&lt;=0.2,95%,IF(AK245&lt;=0.25,90%,IF(AK245&lt;=0.29,80%,IF(AK245&lt;=0.33,70%,0))))</f>
        <v>0.95</v>
      </c>
      <c r="AQ246" t="s">
        <v>433</v>
      </c>
      <c r="AR246" s="11">
        <f t="shared" ref="AR246" ca="1" si="179" xml:space="preserve"> IF(AR245&lt;=0.2,95%,IF(AR245&lt;=0.25,90%,IF(AR245&lt;=0.29,80%,IF(AR245&lt;=0.33,70%,0))))</f>
        <v>0.95</v>
      </c>
      <c r="AX246" t="s">
        <v>433</v>
      </c>
      <c r="AY246" s="11">
        <f t="shared" ref="AY246" ca="1" si="180" xml:space="preserve"> IF(AY245&lt;=0.2,95%,IF(AY245&lt;=0.25,90%,IF(AY245&lt;=0.29,80%,IF(AY245&lt;=0.33,70%,0))))</f>
        <v>0.95</v>
      </c>
    </row>
    <row r="247" spans="1:54" x14ac:dyDescent="0.25">
      <c r="A247" s="3"/>
      <c r="H247" s="3"/>
      <c r="I247" s="6"/>
      <c r="O247" s="3"/>
      <c r="P247" s="6"/>
      <c r="V247" s="3"/>
      <c r="W247" s="6"/>
      <c r="AC247" s="3"/>
      <c r="AD247" s="6"/>
      <c r="AJ247" s="3"/>
      <c r="AK247" s="6"/>
      <c r="AQ247" s="3"/>
      <c r="AR247" s="6"/>
      <c r="AX247" s="3"/>
      <c r="AY247" s="6"/>
    </row>
    <row r="248" spans="1:54" x14ac:dyDescent="0.25">
      <c r="A248" s="3" t="s">
        <v>460</v>
      </c>
      <c r="H248" s="3" t="s">
        <v>460</v>
      </c>
      <c r="O248" s="3" t="s">
        <v>460</v>
      </c>
      <c r="V248" s="3" t="s">
        <v>460</v>
      </c>
      <c r="AC248" s="3" t="s">
        <v>460</v>
      </c>
      <c r="AJ248" s="3" t="s">
        <v>460</v>
      </c>
      <c r="AQ248" s="3" t="s">
        <v>460</v>
      </c>
      <c r="AX248" s="3" t="s">
        <v>460</v>
      </c>
    </row>
    <row r="249" spans="1:54" x14ac:dyDescent="0.25">
      <c r="A249" s="3"/>
      <c r="B249" s="225" t="s">
        <v>438</v>
      </c>
      <c r="C249" t="s">
        <v>452</v>
      </c>
      <c r="D249" s="225" t="s">
        <v>449</v>
      </c>
      <c r="E249" t="s">
        <v>451</v>
      </c>
      <c r="H249" s="3"/>
      <c r="I249" s="225" t="s">
        <v>438</v>
      </c>
      <c r="J249" t="s">
        <v>452</v>
      </c>
      <c r="K249" s="225" t="s">
        <v>449</v>
      </c>
      <c r="L249" t="s">
        <v>451</v>
      </c>
      <c r="O249" s="3"/>
      <c r="P249" s="225" t="s">
        <v>438</v>
      </c>
      <c r="Q249" t="s">
        <v>452</v>
      </c>
      <c r="R249" s="225" t="s">
        <v>449</v>
      </c>
      <c r="S249" t="s">
        <v>451</v>
      </c>
      <c r="V249" s="3"/>
      <c r="W249" s="225" t="s">
        <v>438</v>
      </c>
      <c r="X249" t="s">
        <v>452</v>
      </c>
      <c r="Y249" s="225" t="s">
        <v>449</v>
      </c>
      <c r="Z249" t="s">
        <v>451</v>
      </c>
      <c r="AC249" s="3"/>
      <c r="AD249" s="225" t="s">
        <v>438</v>
      </c>
      <c r="AE249" t="s">
        <v>452</v>
      </c>
      <c r="AF249" s="225" t="s">
        <v>449</v>
      </c>
      <c r="AG249" t="s">
        <v>451</v>
      </c>
      <c r="AJ249" s="3"/>
      <c r="AK249" s="225" t="s">
        <v>438</v>
      </c>
      <c r="AL249" t="s">
        <v>452</v>
      </c>
      <c r="AM249" s="225" t="s">
        <v>449</v>
      </c>
      <c r="AN249" t="s">
        <v>451</v>
      </c>
      <c r="AQ249" s="3"/>
      <c r="AR249" s="225" t="s">
        <v>438</v>
      </c>
      <c r="AS249" t="s">
        <v>452</v>
      </c>
      <c r="AT249" s="225" t="s">
        <v>449</v>
      </c>
      <c r="AU249" t="s">
        <v>451</v>
      </c>
      <c r="AX249" s="3"/>
      <c r="AY249" s="225" t="s">
        <v>438</v>
      </c>
      <c r="AZ249" t="s">
        <v>452</v>
      </c>
      <c r="BA249" s="225" t="s">
        <v>449</v>
      </c>
      <c r="BB249" t="s">
        <v>451</v>
      </c>
    </row>
    <row r="250" spans="1:54" x14ac:dyDescent="0.25">
      <c r="A250" s="1">
        <v>0.95</v>
      </c>
      <c r="B250" s="225">
        <f ca="1">TREND($B130:$C130,B$267:C$267,$B$40,1)</f>
        <v>0.85374149659863963</v>
      </c>
      <c r="C250">
        <f ca="1">$B$40/B250 *$B$21*2.7/$B$43*$B$42/12*$B$86</f>
        <v>58.565737051792816</v>
      </c>
      <c r="D250" s="225">
        <f ca="1">TREND($E130:$F130,B$267:C$267,$B$40,1)</f>
        <v>6.4624315578599809</v>
      </c>
      <c r="E250">
        <f ca="1">D250*$B$43</f>
        <v>17.44856520622195</v>
      </c>
      <c r="H250" s="1">
        <v>0.95</v>
      </c>
      <c r="I250" s="225">
        <f ca="1">TREND($B130:$C130,I$267:J$267,$B$40,1)</f>
        <v>1.570785070785071</v>
      </c>
      <c r="J250">
        <f ca="1">$B$40/I250 *$B$21*2.7/$B$43*$B$42/12*$B$86</f>
        <v>31.831216714461281</v>
      </c>
      <c r="K250" s="225">
        <f ca="1">TREND($E130:$F130,I$267:J$267,$B$40,1)</f>
        <v>5.1915822700597625</v>
      </c>
      <c r="L250">
        <f ca="1">K250*$B$43</f>
        <v>14.017272129161359</v>
      </c>
      <c r="O250" s="1">
        <v>0.95</v>
      </c>
      <c r="P250" s="225">
        <f ca="1">TREND($B130:$C130,P$267:Q$267,$B$40,1)</f>
        <v>1.7891156462585036</v>
      </c>
      <c r="Q250">
        <f ca="1">$B$40/P250 *$B$21*2.7/$B$43*$B$42/12*$B$86</f>
        <v>27.946768060836494</v>
      </c>
      <c r="R250" s="225">
        <f ca="1">TREND($E130:$F130,P$267:Q$267,$B$40,1)</f>
        <v>4.8046249548641828</v>
      </c>
      <c r="S250">
        <f ca="1">R250*$B$43</f>
        <v>12.972487378133295</v>
      </c>
      <c r="V250" s="1">
        <v>0.95</v>
      </c>
      <c r="W250" s="225">
        <f ca="1">TREND($B130:$C130,W$267:X$267,$B$40,1)</f>
        <v>1.8946947906679452</v>
      </c>
      <c r="X250">
        <f ca="1">$B$40/W250 *$B$21*2.7/$B$43*$B$42/12*$B$86</f>
        <v>26.389474571982792</v>
      </c>
      <c r="Y250" s="225">
        <f ca="1">TREND($E130:$F130,W$267:X$267,$B$40,1)</f>
        <v>4.6175021839342127</v>
      </c>
      <c r="Z250">
        <f ca="1">Y250*$B$43</f>
        <v>12.467255896622376</v>
      </c>
      <c r="AC250" s="1">
        <v>0.95</v>
      </c>
      <c r="AD250" s="225">
        <f ca="1">TREND($B130:$C130,AD$267:AE$267,$B$40,1)</f>
        <v>1.9609929078014185</v>
      </c>
      <c r="AE250">
        <f ca="1">$B$40/AD250 *$B$21*2.7/$B$43*$B$42/12*$B$86</f>
        <v>25.497287522603973</v>
      </c>
      <c r="AF250" s="225">
        <f ca="1">TREND($E130:$F130,AD$267:AE$267,$B$40,1)</f>
        <v>4.499998983327238</v>
      </c>
      <c r="AG250">
        <f ca="1">AF250*$B$43</f>
        <v>12.149997254983543</v>
      </c>
      <c r="AJ250" s="1">
        <v>0.95</v>
      </c>
      <c r="AK250" s="225">
        <f ca="1">TREND($B130:$C130,AK$267:AL$267,$B$40,1)</f>
        <v>2.0054302422723476</v>
      </c>
      <c r="AL250">
        <f ca="1">$B$40/AK250 *$B$21*2.7/$B$43*$B$42/12*$B$86</f>
        <v>24.932305769631323</v>
      </c>
      <c r="AM250" s="225">
        <f ca="1">TREND($E130:$F130,AK$267:AL$267,$B$40,1)</f>
        <v>4.4212406527359684</v>
      </c>
      <c r="AN250">
        <f ca="1">AM250*$B$43</f>
        <v>11.937349762387116</v>
      </c>
      <c r="AQ250" s="1">
        <v>0.95</v>
      </c>
      <c r="AR250" s="225">
        <f ca="1">TREND($B130:$C130,AR$267:AS$267,$B$40,1)</f>
        <v>2.0345911949685531</v>
      </c>
      <c r="AS250">
        <f ca="1">$B$40/AR250 *$B$21*2.7/$B$43*$B$42/12*$B$86</f>
        <v>24.574961360123655</v>
      </c>
      <c r="AT250" s="225">
        <f ca="1">TREND($E130:$F130,AR$267:AS$267,$B$40,1)</f>
        <v>4.369557355793245</v>
      </c>
      <c r="AU250">
        <f ca="1">AT250*$B$43</f>
        <v>11.797804860641762</v>
      </c>
      <c r="AX250" s="1">
        <v>0.95</v>
      </c>
      <c r="AY250" s="225">
        <f ca="1">TREND($B130:$C130,AY$267:AZ$267,$B$40,1)</f>
        <v>2.0576441102756888</v>
      </c>
      <c r="AZ250">
        <f ca="1">$B$40/AY250 *$B$21*2.7/$B$43*$B$42/12*$B$86</f>
        <v>24.299634591961027</v>
      </c>
      <c r="BA250" s="225">
        <f ca="1">TREND($E130:$F130,AY$267:AZ$267,$B$40,1)</f>
        <v>4.3286996142912271</v>
      </c>
      <c r="BB250">
        <f ca="1">BA250*$B$43</f>
        <v>11.687488958586314</v>
      </c>
    </row>
    <row r="251" spans="1:54" x14ac:dyDescent="0.25">
      <c r="A251" s="1">
        <v>0.9</v>
      </c>
      <c r="B251" s="225">
        <f ca="1">TREND($B131:$C131,B$267:C$267,$B$40,1)</f>
        <v>0.69653917006802679</v>
      </c>
      <c r="C251">
        <f ca="1">$B$40/B251 *$B$21*2.7/$B$43*$B$42/12*$B$86</f>
        <v>71.783471983516449</v>
      </c>
      <c r="D251" s="225">
        <f ca="1">TREND($E131:$F131,B$267:C$267,$B$40,1)</f>
        <v>7.2925170068027203</v>
      </c>
      <c r="E251">
        <f ca="1">D251*$B$43</f>
        <v>19.689795918367345</v>
      </c>
      <c r="H251" s="1">
        <v>0.9</v>
      </c>
      <c r="I251" s="225">
        <f ca="1">TREND($B131:$C131,I$267:J$267,$B$40,1)</f>
        <v>1.2720469472329472</v>
      </c>
      <c r="J251">
        <f ca="1">$B$40/I251 *$B$21*2.7/$B$43*$B$42/12*$B$86</f>
        <v>39.306725360069287</v>
      </c>
      <c r="K251" s="225">
        <f ca="1">TREND($E131:$F131,I$267:J$267,$B$40,1)</f>
        <v>5.858429858429858</v>
      </c>
      <c r="L251">
        <f ca="1">K251*$B$43</f>
        <v>15.817760617760618</v>
      </c>
      <c r="O251" s="1">
        <v>0.9</v>
      </c>
      <c r="P251" s="225">
        <f ca="1">TREND($B131:$C131,P$267:Q$267,$B$40,1)</f>
        <v>1.44728168707483</v>
      </c>
      <c r="Q251">
        <f ca="1">$B$40/P251 *$B$21*2.7/$B$43*$B$42/12*$B$86</f>
        <v>34.547524816027611</v>
      </c>
      <c r="R251" s="225">
        <f ca="1">TREND($E131:$F131,P$267:Q$267,$B$40,1)</f>
        <v>5.4217687074829932</v>
      </c>
      <c r="S251">
        <f ca="1">R251*$B$43</f>
        <v>14.638775510204082</v>
      </c>
      <c r="V251" s="1">
        <v>0.9</v>
      </c>
      <c r="W251" s="225">
        <f ca="1">TREND($B131:$C131,W$267:X$267,$B$40,1)</f>
        <v>1.532020775327581</v>
      </c>
      <c r="X251">
        <f ca="1">$B$40/W251 *$B$21*2.7/$B$43*$B$42/12*$B$86</f>
        <v>32.636633135284249</v>
      </c>
      <c r="Y251" s="225">
        <f ca="1">TREND($E131:$F131,W$267:X$267,$B$40,1)</f>
        <v>5.2106104186641096</v>
      </c>
      <c r="Z251">
        <f ca="1">Y251*$B$43</f>
        <v>14.068648130393097</v>
      </c>
      <c r="AC251" s="1">
        <v>0.9</v>
      </c>
      <c r="AD251" s="225">
        <f ca="1">TREND($B131:$C131,AD$267:AE$267,$B$40,1)</f>
        <v>1.5852324397163122</v>
      </c>
      <c r="AE251">
        <f ca="1">$B$40/AD251 *$B$21*2.7/$B$43*$B$42/12*$B$86</f>
        <v>31.54111583090479</v>
      </c>
      <c r="AF251" s="225">
        <f ca="1">TREND($E131:$F131,AD$267:AE$267,$B$40,1)</f>
        <v>5.0780141843971629</v>
      </c>
      <c r="AG251">
        <f ca="1">AF251*$B$43</f>
        <v>13.710638297872341</v>
      </c>
      <c r="AJ251" s="1">
        <v>0.9</v>
      </c>
      <c r="AK251" s="225">
        <f ca="1">TREND($B131:$C131,AK$267:AL$267,$B$40,1)</f>
        <v>1.6208983776106936</v>
      </c>
      <c r="AL251">
        <f ca="1">$B$40/AK251 *$B$21*2.7/$B$43*$B$42/12*$B$86</f>
        <v>30.847091150589687</v>
      </c>
      <c r="AM251" s="225">
        <f ca="1">TREND($E131:$F131,AK$267:AL$267,$B$40,1)</f>
        <v>4.9891395154553049</v>
      </c>
      <c r="AN251">
        <f ca="1">AM251*$B$43</f>
        <v>13.470676691729324</v>
      </c>
      <c r="AQ251" s="1">
        <v>0.9</v>
      </c>
      <c r="AR251" s="225">
        <f ca="1">TREND($B131:$C131,AR$267:AS$267,$B$40,1)</f>
        <v>1.6443033081761007</v>
      </c>
      <c r="AS251">
        <f ca="1">$B$40/AR251 *$B$21*2.7/$B$43*$B$42/12*$B$86</f>
        <v>30.408015207036936</v>
      </c>
      <c r="AT251" s="225">
        <f ca="1">TREND($E131:$F131,AR$267:AS$267,$B$40,1)</f>
        <v>4.9308176100628938</v>
      </c>
      <c r="AU251">
        <f ca="1">AT251*$B$43</f>
        <v>13.313207547169814</v>
      </c>
      <c r="AX251" s="1">
        <v>0.9</v>
      </c>
      <c r="AY251" s="225">
        <f ca="1">TREND($B131:$C131,AY$267:AZ$267,$B$40,1)</f>
        <v>1.6628058546365916</v>
      </c>
      <c r="AZ251">
        <f ca="1">$B$40/AY251 *$B$21*2.7/$B$43*$B$42/12*$B$86</f>
        <v>30.06965597371412</v>
      </c>
      <c r="BA251" s="225">
        <f ca="1">TREND($E131:$F131,AY$267:AZ$267,$B$40,1)</f>
        <v>4.8847117794486223</v>
      </c>
      <c r="BB251">
        <f ca="1">BA251*$B$43</f>
        <v>13.188721804511282</v>
      </c>
    </row>
    <row r="252" spans="1:54" x14ac:dyDescent="0.25">
      <c r="A252" s="1">
        <v>0.8</v>
      </c>
      <c r="B252" s="225">
        <f ca="1">TREND($B132:$C132,B$267:C$267,$B$40,1)</f>
        <v>0.45627917006802732</v>
      </c>
      <c r="C252">
        <f ca="1">$B$40/B252 *$B$21*2.7/$B$43*$B$42/12*$B$86</f>
        <v>109.58203503470348</v>
      </c>
      <c r="D252" s="225">
        <f ca="1">TREND($E132:$F132,B$267:C$267,$B$40,1)</f>
        <v>8.9526879046882044</v>
      </c>
      <c r="E252">
        <f ca="1">D252*$B$43</f>
        <v>24.172257342658153</v>
      </c>
      <c r="H252" s="1">
        <v>0.8</v>
      </c>
      <c r="I252" s="225">
        <f ca="1">TREND($B132:$C132,I$267:J$267,$B$40,1)</f>
        <v>0.84416532561132551</v>
      </c>
      <c r="J252">
        <f ca="1">$B$40/I252 *$B$21*2.7/$B$43*$B$42/12*$B$86</f>
        <v>59.230103965465695</v>
      </c>
      <c r="K252" s="225">
        <f ca="1">TREND($E132:$F132,I$267:J$267,$B$40,1)</f>
        <v>7.1921250351700525</v>
      </c>
      <c r="L252">
        <f ca="1">K252*$B$43</f>
        <v>19.418737594959143</v>
      </c>
      <c r="O252" s="1">
        <v>0.8</v>
      </c>
      <c r="P252" s="225">
        <f ca="1">TREND($B132:$C132,P$267:Q$267,$B$40,1)</f>
        <v>0.96227168707482991</v>
      </c>
      <c r="Q252">
        <f ca="1">$B$40/P252 *$B$21*2.7/$B$43*$B$42/12*$B$86</f>
        <v>51.960377377404654</v>
      </c>
      <c r="R252" s="225">
        <f ca="1">TREND($E132:$F132,P$267:Q$267,$B$40,1)</f>
        <v>6.656056212720614</v>
      </c>
      <c r="S252">
        <f ca="1">R252*$B$43</f>
        <v>17.97135177434566</v>
      </c>
      <c r="V252" s="1">
        <v>0.8</v>
      </c>
      <c r="W252" s="225">
        <f ca="1">TREND($B132:$C132,W$267:X$267,$B$40,1)</f>
        <v>1.0193849364014063</v>
      </c>
      <c r="X252">
        <f ca="1">$B$40/W252 *$B$21*2.7/$B$43*$B$42/12*$B$86</f>
        <v>49.049184674543142</v>
      </c>
      <c r="Y252" s="225">
        <f ca="1">TREND($E132:$F132,W$267:X$267,$B$40,1)</f>
        <v>6.3968268881239059</v>
      </c>
      <c r="Z252">
        <f ca="1">Y252*$B$43</f>
        <v>17.271432597934545</v>
      </c>
      <c r="AC252" s="1">
        <v>0.8</v>
      </c>
      <c r="AD252" s="225">
        <f ca="1">TREND($B132:$C132,AD$267:AE$267,$B$40,1)</f>
        <v>1.0552490354609929</v>
      </c>
      <c r="AE252">
        <f ca="1">$B$40/AD252 *$B$21*2.7/$B$43*$B$42/12*$B$86</f>
        <v>47.3821802435073</v>
      </c>
      <c r="AF252" s="225">
        <f ca="1">TREND($E132:$F132,AD$267:AE$267,$B$40,1)</f>
        <v>6.2340445865370153</v>
      </c>
      <c r="AG252">
        <f ca="1">AF252*$B$43</f>
        <v>16.831920383649944</v>
      </c>
      <c r="AJ252" s="1">
        <v>0.8</v>
      </c>
      <c r="AK252" s="225">
        <f ca="1">TREND($B132:$C132,AK$267:AL$267,$B$40,1)</f>
        <v>1.0792875004177109</v>
      </c>
      <c r="AL252">
        <f ca="1">$B$40/AK252 *$B$21*2.7/$B$43*$B$42/12*$B$86</f>
        <v>46.326859136836816</v>
      </c>
      <c r="AM252" s="225">
        <f ca="1">TREND($E132:$F132,AK$267:AL$267,$B$40,1)</f>
        <v>6.1249372408939786</v>
      </c>
      <c r="AN252">
        <f ca="1">AM252*$B$43</f>
        <v>16.537330550413742</v>
      </c>
      <c r="AQ252" s="1">
        <v>0.8</v>
      </c>
      <c r="AR252" s="225">
        <f ca="1">TREND($B132:$C132,AR$267:AS$267,$B$40,1)</f>
        <v>1.0950621761006289</v>
      </c>
      <c r="AS252">
        <f ca="1">$B$40/AR252 *$B$21*2.7/$B$43*$B$42/12*$B$86</f>
        <v>45.659507826344033</v>
      </c>
      <c r="AT252" s="225">
        <f ca="1">TREND($E132:$F132,AR$267:AS$267,$B$40,1)</f>
        <v>6.0533381186021895</v>
      </c>
      <c r="AU252">
        <f ca="1">AT252*$B$43</f>
        <v>16.344012920225914</v>
      </c>
      <c r="AX252" s="1">
        <v>0.8</v>
      </c>
      <c r="AY252" s="225">
        <f ca="1">TREND($B132:$C132,AY$267:AZ$267,$B$40,1)</f>
        <v>1.1075326967418544</v>
      </c>
      <c r="AZ252">
        <f ca="1">$B$40/AY252 *$B$21*2.7/$B$43*$B$42/12*$B$86</f>
        <v>45.145394034045466</v>
      </c>
      <c r="BA252" s="225">
        <f ca="1">TREND($E132:$F132,AY$267:AZ$267,$B$40,1)</f>
        <v>5.996736109763412</v>
      </c>
      <c r="BB252">
        <f ca="1">BA252*$B$43</f>
        <v>16.191187496361213</v>
      </c>
    </row>
    <row r="253" spans="1:54" x14ac:dyDescent="0.25">
      <c r="A253" s="150">
        <v>0.7</v>
      </c>
      <c r="B253" s="226">
        <f ca="1">TREND($B133:$C133,B$267:C$267,$B$40,1)</f>
        <v>0.38979591836734706</v>
      </c>
      <c r="C253" s="149">
        <f ca="1">$B$40/B253 *$B$21*2.7/$B$43*$B$42/12*$B$86</f>
        <v>128.27225130890048</v>
      </c>
      <c r="D253" s="226">
        <f ca="1">TREND($E133:$F133,B$267:C$267,$B$40,1)</f>
        <v>10.61285880257368</v>
      </c>
      <c r="E253" s="149">
        <f ca="1">D253*$B$43</f>
        <v>28.654718766948935</v>
      </c>
      <c r="H253" s="150">
        <v>0.7</v>
      </c>
      <c r="I253" s="226">
        <f ca="1">TREND($B133:$C133,I$267:J$267,$B$40,1)</f>
        <v>0.73397683397683378</v>
      </c>
      <c r="J253" s="149">
        <f ca="1">$B$40/I253 *$B$21*2.7/$B$43*$B$42/12*$B$86</f>
        <v>68.122041031036318</v>
      </c>
      <c r="K253" s="226">
        <f ca="1">TREND($E133:$F133,I$267:J$267,$B$40,1)</f>
        <v>8.5258202119102418</v>
      </c>
      <c r="L253" s="149">
        <f ca="1">K253*$B$43</f>
        <v>23.019714572157653</v>
      </c>
      <c r="O253" s="150">
        <v>0.7</v>
      </c>
      <c r="P253" s="226">
        <f ca="1">TREND($B133:$C133,P$267:Q$267,$B$40,1)</f>
        <v>0.83877551020408148</v>
      </c>
      <c r="Q253" s="149">
        <f ca="1">$B$40/P253 *$B$21*2.7/$B$43*$B$42/12*$B$86</f>
        <v>59.610705596107067</v>
      </c>
      <c r="R253" s="226">
        <f ca="1">TREND($E133:$F133,P$267:Q$267,$B$40,1)</f>
        <v>7.8903437179582321</v>
      </c>
      <c r="S253" s="149">
        <f ca="1">R253*$B$43</f>
        <v>21.303928038487228</v>
      </c>
      <c r="V253" s="150">
        <v>0.7</v>
      </c>
      <c r="W253" s="226">
        <f ca="1">TREND($B133:$C133,W$267:X$267,$B$40,1)</f>
        <v>0.88945349952061348</v>
      </c>
      <c r="X253" s="149">
        <f ca="1">$B$40/W253 *$B$21*2.7/$B$43*$B$42/12*$B$86</f>
        <v>56.214293413819128</v>
      </c>
      <c r="Y253" s="226">
        <f ca="1">TREND($E133:$F133,W$267:X$267,$B$40,1)</f>
        <v>7.5830433575837004</v>
      </c>
      <c r="Z253" s="149">
        <f ca="1">Y253*$B$43</f>
        <v>20.474217065475994</v>
      </c>
      <c r="AC253" s="150">
        <v>0.7</v>
      </c>
      <c r="AD253" s="226">
        <f ca="1">TREND($B133:$C133,AD$267:AE$267,$B$40,1)</f>
        <v>0.92127659574468068</v>
      </c>
      <c r="AE253" s="149">
        <f ca="1">$B$40/AD253 *$B$21*2.7/$B$43*$B$42/12*$B$86</f>
        <v>54.272517321016174</v>
      </c>
      <c r="AF253" s="226">
        <f ca="1">TREND($E133:$F133,AD$267:AE$267,$B$40,1)</f>
        <v>7.3900749886768633</v>
      </c>
      <c r="AG253" s="149">
        <f ca="1">AF253*$B$43</f>
        <v>19.953202469427531</v>
      </c>
      <c r="AJ253" s="150">
        <v>0.7</v>
      </c>
      <c r="AK253" s="226">
        <f ca="1">TREND($B133:$C133,AK$267:AL$267,$B$40,1)</f>
        <v>0.94260651629072667</v>
      </c>
      <c r="AL253" s="149">
        <f ca="1">$B$40/AK253 *$B$21*2.7/$B$43*$B$42/12*$B$86</f>
        <v>53.044403084286103</v>
      </c>
      <c r="AM253" s="226">
        <f ca="1">TREND($E133:$F133,AK$267:AL$267,$B$40,1)</f>
        <v>7.2607349663326506</v>
      </c>
      <c r="AN253" s="149">
        <f ca="1">AM253*$B$43</f>
        <v>19.603984409098157</v>
      </c>
      <c r="AQ253" s="150">
        <v>0.7</v>
      </c>
      <c r="AR253" s="226">
        <f ca="1">TREND($B133:$C133,AR$267:AS$267,$B$40,1)</f>
        <v>0.95660377358490556</v>
      </c>
      <c r="AS253" s="149">
        <f ca="1">$B$40/AR253 *$B$21*2.7/$B$43*$B$42/12*$B$86</f>
        <v>52.268244575936897</v>
      </c>
      <c r="AT253" s="226">
        <f ca="1">TREND($E133:$F133,AR$267:AS$267,$B$40,1)</f>
        <v>7.1758586271414853</v>
      </c>
      <c r="AU253" s="149">
        <f ca="1">AT253*$B$43</f>
        <v>19.374818293282011</v>
      </c>
      <c r="AX253" s="150">
        <v>0.7</v>
      </c>
      <c r="AY253" s="226">
        <f ca="1">TREND($B133:$C133,AY$267:AZ$267,$B$40,1)</f>
        <v>0.96766917293233068</v>
      </c>
      <c r="AZ253" s="149">
        <f ca="1">$B$40/AY253 *$B$21*2.7/$B$43*$B$42/12*$B$86</f>
        <v>51.670551670551681</v>
      </c>
      <c r="BA253" s="226">
        <f ca="1">TREND($E133:$F133,AY$267:AZ$267,$B$40,1)</f>
        <v>7.1087604400781998</v>
      </c>
      <c r="BB253" s="149">
        <f ca="1">BA253*$B$43</f>
        <v>19.19365318821114</v>
      </c>
    </row>
    <row r="254" spans="1:54" x14ac:dyDescent="0.25">
      <c r="A254" t="s">
        <v>453</v>
      </c>
      <c r="B254" s="6"/>
      <c r="C254">
        <f ca="1">VLOOKUP($B$47,A250:E253,3,0)</f>
        <v>71.783471983516449</v>
      </c>
      <c r="E254">
        <f ca="1">VLOOKUP($B$47,A250:E253,5,0)</f>
        <v>19.689795918367345</v>
      </c>
      <c r="H254" t="s">
        <v>453</v>
      </c>
      <c r="I254" s="6"/>
      <c r="J254">
        <f ca="1">VLOOKUP($B$47,H250:L253,3,0)</f>
        <v>39.306725360069287</v>
      </c>
      <c r="L254">
        <f ca="1">VLOOKUP($B$47,H250:L253,5,0)</f>
        <v>15.817760617760618</v>
      </c>
      <c r="O254" t="s">
        <v>453</v>
      </c>
      <c r="P254" s="6"/>
      <c r="Q254">
        <f ca="1">VLOOKUP($B$47,O250:S253,3,0)</f>
        <v>34.547524816027611</v>
      </c>
      <c r="S254">
        <f ca="1">VLOOKUP($B$47,O250:S253,5,0)</f>
        <v>14.638775510204082</v>
      </c>
      <c r="V254" t="s">
        <v>453</v>
      </c>
      <c r="W254" s="6"/>
      <c r="X254">
        <f ca="1">VLOOKUP($B$47,V250:Z253,3,0)</f>
        <v>32.636633135284249</v>
      </c>
      <c r="Z254">
        <f ca="1">VLOOKUP($B$47,V250:Z253,5,0)</f>
        <v>14.068648130393097</v>
      </c>
      <c r="AC254" t="s">
        <v>453</v>
      </c>
      <c r="AD254" s="6"/>
      <c r="AE254">
        <f ca="1">VLOOKUP($B$47,AC250:AG253,3,0)</f>
        <v>31.54111583090479</v>
      </c>
      <c r="AG254">
        <f ca="1">VLOOKUP($B$47,AC250:AG253,5,0)</f>
        <v>13.710638297872341</v>
      </c>
      <c r="AJ254" t="s">
        <v>453</v>
      </c>
      <c r="AK254" s="6"/>
      <c r="AL254">
        <f ca="1">VLOOKUP($B$47,AJ250:AN253,3,0)</f>
        <v>30.847091150589687</v>
      </c>
      <c r="AN254">
        <f ca="1">VLOOKUP($B$47,AJ250:AN253,5,0)</f>
        <v>13.470676691729324</v>
      </c>
      <c r="AQ254" t="s">
        <v>453</v>
      </c>
      <c r="AR254" s="6"/>
      <c r="AS254">
        <f ca="1">VLOOKUP($B$47,AQ250:AU253,3,0)</f>
        <v>30.408015207036936</v>
      </c>
      <c r="AU254">
        <f ca="1">VLOOKUP($B$47,AQ250:AU253,5,0)</f>
        <v>13.313207547169814</v>
      </c>
      <c r="AX254" t="s">
        <v>453</v>
      </c>
      <c r="AY254" s="6"/>
      <c r="AZ254">
        <f ca="1">VLOOKUP($B$47,AX250:BB253,3,0)</f>
        <v>30.06965597371412</v>
      </c>
      <c r="BB254">
        <f ca="1">VLOOKUP($B$47,AX250:BB253,5,0)</f>
        <v>13.188721804511282</v>
      </c>
    </row>
    <row r="255" spans="1:54" x14ac:dyDescent="0.25">
      <c r="A255" t="s">
        <v>454</v>
      </c>
      <c r="B255" s="148">
        <f ca="1">ROUND(MIN(C254,E254),1)</f>
        <v>19.7</v>
      </c>
      <c r="H255" t="s">
        <v>454</v>
      </c>
      <c r="I255" s="148">
        <f ca="1">ROUND(MIN(J254,L254),1)</f>
        <v>15.8</v>
      </c>
      <c r="O255" t="s">
        <v>454</v>
      </c>
      <c r="P255" s="148">
        <f ca="1">ROUND(MIN(Q254,S254),1)</f>
        <v>14.6</v>
      </c>
      <c r="V255" t="s">
        <v>454</v>
      </c>
      <c r="W255" s="148">
        <f ca="1">ROUND(MIN(X254,Z254),1)</f>
        <v>14.1</v>
      </c>
      <c r="AC255" t="s">
        <v>454</v>
      </c>
      <c r="AD255" s="148">
        <f ca="1">ROUND(MIN(AE254,AG254),1)</f>
        <v>13.7</v>
      </c>
      <c r="AJ255" t="s">
        <v>454</v>
      </c>
      <c r="AK255" s="148">
        <f ca="1">ROUND(MIN(AL254,AN254),1)</f>
        <v>13.5</v>
      </c>
      <c r="AQ255" t="s">
        <v>454</v>
      </c>
      <c r="AR255" s="148">
        <f ca="1">ROUND(MIN(AS254,AU254),1)</f>
        <v>13.3</v>
      </c>
      <c r="AX255" t="s">
        <v>454</v>
      </c>
      <c r="AY255" s="148">
        <f ca="1">ROUND(MIN(AZ254,BB254),1)</f>
        <v>13.2</v>
      </c>
    </row>
    <row r="256" spans="1:54" x14ac:dyDescent="0.25">
      <c r="B256" s="6"/>
      <c r="I256" s="6"/>
      <c r="P256" s="6"/>
      <c r="W256" s="6"/>
      <c r="AD256" s="6"/>
      <c r="AK256" s="6"/>
      <c r="AR256" s="6"/>
      <c r="AY256" s="6"/>
    </row>
    <row r="257" spans="1:54" x14ac:dyDescent="0.25">
      <c r="A257" t="s">
        <v>455</v>
      </c>
      <c r="B257" s="6" t="s">
        <v>9</v>
      </c>
      <c r="C257" t="s">
        <v>303</v>
      </c>
      <c r="D257" t="s">
        <v>456</v>
      </c>
      <c r="H257" t="s">
        <v>455</v>
      </c>
      <c r="I257" s="6" t="s">
        <v>9</v>
      </c>
      <c r="J257" t="s">
        <v>303</v>
      </c>
      <c r="K257" t="s">
        <v>456</v>
      </c>
      <c r="O257" t="s">
        <v>455</v>
      </c>
      <c r="P257" s="6" t="s">
        <v>9</v>
      </c>
      <c r="Q257" t="s">
        <v>303</v>
      </c>
      <c r="R257" t="s">
        <v>456</v>
      </c>
      <c r="V257" t="s">
        <v>455</v>
      </c>
      <c r="W257" s="6" t="s">
        <v>9</v>
      </c>
      <c r="X257" t="s">
        <v>303</v>
      </c>
      <c r="Y257" t="s">
        <v>456</v>
      </c>
      <c r="AC257" t="s">
        <v>455</v>
      </c>
      <c r="AD257" s="6" t="s">
        <v>9</v>
      </c>
      <c r="AE257" t="s">
        <v>303</v>
      </c>
      <c r="AF257" t="s">
        <v>456</v>
      </c>
      <c r="AJ257" t="s">
        <v>455</v>
      </c>
      <c r="AK257" s="6" t="s">
        <v>9</v>
      </c>
      <c r="AL257" t="s">
        <v>303</v>
      </c>
      <c r="AM257" t="s">
        <v>456</v>
      </c>
      <c r="AQ257" t="s">
        <v>455</v>
      </c>
      <c r="AR257" s="6" t="s">
        <v>9</v>
      </c>
      <c r="AS257" t="s">
        <v>303</v>
      </c>
      <c r="AT257" t="s">
        <v>456</v>
      </c>
      <c r="AX257" t="s">
        <v>455</v>
      </c>
      <c r="AY257" s="6" t="s">
        <v>9</v>
      </c>
      <c r="AZ257" t="s">
        <v>303</v>
      </c>
      <c r="BA257" t="s">
        <v>456</v>
      </c>
    </row>
    <row r="258" spans="1:54" x14ac:dyDescent="0.25">
      <c r="B258" s="1">
        <v>0.95</v>
      </c>
      <c r="C258">
        <f ca="1">ROUND(MIN(C250,E250),1)</f>
        <v>17.399999999999999</v>
      </c>
      <c r="D258" t="b">
        <f ca="1">$B$358&lt;=C258</f>
        <v>1</v>
      </c>
      <c r="I258" s="1">
        <v>0.95</v>
      </c>
      <c r="J258">
        <f ca="1">ROUND(MIN(J250,L250),1)</f>
        <v>14</v>
      </c>
      <c r="K258" t="b">
        <f ca="1">$B$358&lt;=J258</f>
        <v>1</v>
      </c>
      <c r="P258" s="1">
        <v>0.95</v>
      </c>
      <c r="Q258">
        <f ca="1">ROUND(MIN(Q250,S250),1)</f>
        <v>13</v>
      </c>
      <c r="R258" t="b">
        <f ca="1">$B$358&lt;=Q258</f>
        <v>1</v>
      </c>
      <c r="W258" s="1">
        <v>0.95</v>
      </c>
      <c r="X258">
        <f ca="1">ROUND(MIN(X250,Z250),1)</f>
        <v>12.5</v>
      </c>
      <c r="Y258" t="b">
        <f ca="1">$B$358&lt;=X258</f>
        <v>1</v>
      </c>
      <c r="AD258" s="1">
        <v>0.95</v>
      </c>
      <c r="AE258">
        <f ca="1">ROUND(MIN(AE250,AG250),1)</f>
        <v>12.1</v>
      </c>
      <c r="AF258" t="b">
        <f ca="1">$B$358&lt;=AE258</f>
        <v>1</v>
      </c>
      <c r="AK258" s="1">
        <v>0.95</v>
      </c>
      <c r="AL258">
        <f ca="1">ROUND(MIN(AL250,AN250),1)</f>
        <v>11.9</v>
      </c>
      <c r="AM258" t="b">
        <f ca="1">$B$358&lt;=AL258</f>
        <v>1</v>
      </c>
      <c r="AR258" s="1">
        <v>0.95</v>
      </c>
      <c r="AS258">
        <f ca="1">ROUND(MIN(AS250,AU250),1)</f>
        <v>11.8</v>
      </c>
      <c r="AT258" t="b">
        <f ca="1">$B$358&lt;=AS258</f>
        <v>1</v>
      </c>
      <c r="AY258" s="1">
        <v>0.95</v>
      </c>
      <c r="AZ258">
        <f ca="1">ROUND(MIN(AZ250,BB250),1)</f>
        <v>11.7</v>
      </c>
      <c r="BA258" t="b">
        <f ca="1">$B$358&lt;=AZ258</f>
        <v>1</v>
      </c>
    </row>
    <row r="259" spans="1:54" x14ac:dyDescent="0.25">
      <c r="B259" s="1">
        <v>0.9</v>
      </c>
      <c r="C259">
        <f ca="1">ROUND(MIN(C251,E251),1)</f>
        <v>19.7</v>
      </c>
      <c r="D259" t="b">
        <f ca="1">$B$358&lt;=C259</f>
        <v>1</v>
      </c>
      <c r="I259" s="1">
        <v>0.9</v>
      </c>
      <c r="J259">
        <f ca="1">ROUND(MIN(J251,L251),1)</f>
        <v>15.8</v>
      </c>
      <c r="K259" t="b">
        <f ca="1">$B$358&lt;=J259</f>
        <v>1</v>
      </c>
      <c r="P259" s="1">
        <v>0.9</v>
      </c>
      <c r="Q259">
        <f ca="1">ROUND(MIN(Q251,S251),1)</f>
        <v>14.6</v>
      </c>
      <c r="R259" t="b">
        <f ca="1">$B$358&lt;=Q259</f>
        <v>1</v>
      </c>
      <c r="W259" s="1">
        <v>0.9</v>
      </c>
      <c r="X259">
        <f ca="1">ROUND(MIN(X251,Z251),1)</f>
        <v>14.1</v>
      </c>
      <c r="Y259" t="b">
        <f ca="1">$B$358&lt;=X259</f>
        <v>1</v>
      </c>
      <c r="AD259" s="1">
        <v>0.9</v>
      </c>
      <c r="AE259">
        <f ca="1">ROUND(MIN(AE251,AG251),1)</f>
        <v>13.7</v>
      </c>
      <c r="AF259" t="b">
        <f ca="1">$B$358&lt;=AE259</f>
        <v>1</v>
      </c>
      <c r="AK259" s="1">
        <v>0.9</v>
      </c>
      <c r="AL259">
        <f ca="1">ROUND(MIN(AL251,AN251),1)</f>
        <v>13.5</v>
      </c>
      <c r="AM259" t="b">
        <f ca="1">$B$358&lt;=AL259</f>
        <v>1</v>
      </c>
      <c r="AR259" s="1">
        <v>0.9</v>
      </c>
      <c r="AS259">
        <f ca="1">ROUND(MIN(AS251,AU251),1)</f>
        <v>13.3</v>
      </c>
      <c r="AT259" t="b">
        <f ca="1">$B$358&lt;=AS259</f>
        <v>1</v>
      </c>
      <c r="AY259" s="1">
        <v>0.9</v>
      </c>
      <c r="AZ259">
        <f ca="1">ROUND(MIN(AZ251,BB251),1)</f>
        <v>13.2</v>
      </c>
      <c r="BA259" t="b">
        <f ca="1">$B$358&lt;=AZ259</f>
        <v>1</v>
      </c>
    </row>
    <row r="260" spans="1:54" x14ac:dyDescent="0.25">
      <c r="B260" s="1">
        <v>0.8</v>
      </c>
      <c r="C260">
        <f ca="1">ROUND(MIN(C252,E252),1)</f>
        <v>24.2</v>
      </c>
      <c r="D260" t="b">
        <f ca="1">$B$358&lt;=C260</f>
        <v>1</v>
      </c>
      <c r="I260" s="1">
        <v>0.8</v>
      </c>
      <c r="J260">
        <f ca="1">ROUND(MIN(J252,L252),1)</f>
        <v>19.399999999999999</v>
      </c>
      <c r="K260" t="b">
        <f ca="1">$B$358&lt;=J260</f>
        <v>1</v>
      </c>
      <c r="P260" s="1">
        <v>0.8</v>
      </c>
      <c r="Q260">
        <f ca="1">ROUND(MIN(Q252,S252),1)</f>
        <v>18</v>
      </c>
      <c r="R260" t="b">
        <f ca="1">$B$358&lt;=Q260</f>
        <v>1</v>
      </c>
      <c r="W260" s="1">
        <v>0.8</v>
      </c>
      <c r="X260">
        <f ca="1">ROUND(MIN(X252,Z252),1)</f>
        <v>17.3</v>
      </c>
      <c r="Y260" t="b">
        <f ca="1">$B$358&lt;=X260</f>
        <v>1</v>
      </c>
      <c r="AD260" s="1">
        <v>0.8</v>
      </c>
      <c r="AE260">
        <f ca="1">ROUND(MIN(AE252,AG252),1)</f>
        <v>16.8</v>
      </c>
      <c r="AF260" t="b">
        <f ca="1">$B$358&lt;=AE260</f>
        <v>1</v>
      </c>
      <c r="AK260" s="1">
        <v>0.8</v>
      </c>
      <c r="AL260">
        <f ca="1">ROUND(MIN(AL252,AN252),1)</f>
        <v>16.5</v>
      </c>
      <c r="AM260" t="b">
        <f ca="1">$B$358&lt;=AL260</f>
        <v>1</v>
      </c>
      <c r="AR260" s="1">
        <v>0.8</v>
      </c>
      <c r="AS260">
        <f ca="1">ROUND(MIN(AS252,AU252),1)</f>
        <v>16.3</v>
      </c>
      <c r="AT260" t="b">
        <f ca="1">$B$358&lt;=AS260</f>
        <v>1</v>
      </c>
      <c r="AY260" s="1">
        <v>0.8</v>
      </c>
      <c r="AZ260">
        <f ca="1">ROUND(MIN(AZ252,BB252),1)</f>
        <v>16.2</v>
      </c>
      <c r="BA260" t="b">
        <f ca="1">$B$358&lt;=AZ260</f>
        <v>1</v>
      </c>
    </row>
    <row r="261" spans="1:54" x14ac:dyDescent="0.25">
      <c r="B261" s="150">
        <v>0.7</v>
      </c>
      <c r="C261" s="149">
        <f ca="1">ROUND(MIN(C253,E253),1)</f>
        <v>28.7</v>
      </c>
      <c r="D261" s="149" t="b">
        <f ca="1">$B$358&lt;=C261</f>
        <v>1</v>
      </c>
      <c r="I261" s="150">
        <v>0.7</v>
      </c>
      <c r="J261" s="149">
        <f ca="1">ROUND(MIN(J253,L253),1)</f>
        <v>23</v>
      </c>
      <c r="K261" s="149" t="b">
        <f ca="1">$B$358&lt;=J261</f>
        <v>1</v>
      </c>
      <c r="P261" s="150">
        <v>0.7</v>
      </c>
      <c r="Q261" s="149">
        <f ca="1">ROUND(MIN(Q253,S253),1)</f>
        <v>21.3</v>
      </c>
      <c r="R261" s="149" t="b">
        <f ca="1">$B$358&lt;=Q261</f>
        <v>1</v>
      </c>
      <c r="W261" s="150">
        <v>0.7</v>
      </c>
      <c r="X261" s="149">
        <f ca="1">ROUND(MIN(X253,Z253),1)</f>
        <v>20.5</v>
      </c>
      <c r="Y261" s="149" t="b">
        <f ca="1">$B$358&lt;=X261</f>
        <v>1</v>
      </c>
      <c r="AD261" s="150">
        <v>0.7</v>
      </c>
      <c r="AE261" s="149">
        <f ca="1">ROUND(MIN(AE253,AG253),1)</f>
        <v>20</v>
      </c>
      <c r="AF261" s="149" t="b">
        <f ca="1">$B$358&lt;=AE261</f>
        <v>1</v>
      </c>
      <c r="AK261" s="150">
        <v>0.7</v>
      </c>
      <c r="AL261" s="149">
        <f ca="1">ROUND(MIN(AL253,AN253),1)</f>
        <v>19.600000000000001</v>
      </c>
      <c r="AM261" s="149" t="b">
        <f ca="1">$B$358&lt;=AL261</f>
        <v>1</v>
      </c>
      <c r="AR261" s="150">
        <v>0.7</v>
      </c>
      <c r="AS261" s="149">
        <f ca="1">ROUND(MIN(AS253,AU253),1)</f>
        <v>19.399999999999999</v>
      </c>
      <c r="AT261" s="149" t="b">
        <f ca="1">$B$358&lt;=AS261</f>
        <v>1</v>
      </c>
      <c r="AY261" s="150">
        <v>0.7</v>
      </c>
      <c r="AZ261" s="149">
        <f ca="1">ROUND(MIN(AZ253,BB253),1)</f>
        <v>19.2</v>
      </c>
      <c r="BA261" s="149" t="b">
        <f ca="1">$B$358&lt;=AZ261</f>
        <v>1</v>
      </c>
    </row>
    <row r="262" spans="1:54" x14ac:dyDescent="0.25">
      <c r="B262" s="1">
        <v>0</v>
      </c>
      <c r="I262" s="1">
        <v>0</v>
      </c>
      <c r="P262" s="1">
        <v>0</v>
      </c>
      <c r="W262" s="1">
        <v>0</v>
      </c>
      <c r="AD262" s="1">
        <v>0</v>
      </c>
      <c r="AK262" s="1">
        <v>0</v>
      </c>
      <c r="AR262" s="1">
        <v>0</v>
      </c>
      <c r="AY262" s="1">
        <v>0</v>
      </c>
    </row>
    <row r="263" spans="1:54" x14ac:dyDescent="0.25">
      <c r="A263" t="s">
        <v>457</v>
      </c>
      <c r="B263" s="11">
        <f ca="1">OFFSET(B258,4-COUNTIF(D258:D261,TRUE),0)</f>
        <v>0.95</v>
      </c>
      <c r="H263" t="s">
        <v>457</v>
      </c>
      <c r="I263" s="11">
        <f ca="1">OFFSET(I258,4-COUNTIF(K258:K261,TRUE),0)</f>
        <v>0.95</v>
      </c>
      <c r="O263" t="s">
        <v>457</v>
      </c>
      <c r="P263" s="11">
        <f ca="1">OFFSET(P258,4-COUNTIF(R258:R261,TRUE),0)</f>
        <v>0.95</v>
      </c>
      <c r="V263" t="s">
        <v>457</v>
      </c>
      <c r="W263" s="11">
        <f ca="1">OFFSET(W258,4-COUNTIF(Y258:Y261,TRUE),0)</f>
        <v>0.95</v>
      </c>
      <c r="AC263" t="s">
        <v>457</v>
      </c>
      <c r="AD263" s="11">
        <f ca="1">OFFSET(AD258,4-COUNTIF(AF258:AF261,TRUE),0)</f>
        <v>0.95</v>
      </c>
      <c r="AJ263" t="s">
        <v>457</v>
      </c>
      <c r="AK263" s="11">
        <f ca="1">OFFSET(AK258,4-COUNTIF(AM258:AM261,TRUE),0)</f>
        <v>0.95</v>
      </c>
      <c r="AQ263" t="s">
        <v>457</v>
      </c>
      <c r="AR263" s="11">
        <f ca="1">OFFSET(AR258,4-COUNTIF(AT258:AT261,TRUE),0)</f>
        <v>0.95</v>
      </c>
      <c r="AX263" t="s">
        <v>457</v>
      </c>
      <c r="AY263" s="11">
        <f ca="1">OFFSET(AY258,4-COUNTIF(BA258:BA261,TRUE),0)</f>
        <v>0.95</v>
      </c>
    </row>
    <row r="264" spans="1:54" x14ac:dyDescent="0.25">
      <c r="B264" s="7"/>
      <c r="I264" s="7"/>
      <c r="P264" s="7"/>
      <c r="W264" s="7"/>
      <c r="AD264" s="7"/>
      <c r="AK264" s="7"/>
      <c r="AR264" s="7"/>
      <c r="AY264" s="7"/>
    </row>
    <row r="265" spans="1:54" x14ac:dyDescent="0.25">
      <c r="O265" s="3"/>
      <c r="P265" s="6"/>
      <c r="V265" s="3"/>
      <c r="W265" s="6"/>
      <c r="AC265" s="3"/>
      <c r="AD265" s="6"/>
      <c r="AJ265" s="3"/>
      <c r="AK265" s="6"/>
      <c r="AQ265" s="3"/>
      <c r="AR265" s="6"/>
      <c r="AX265" s="3"/>
      <c r="AY265" s="6"/>
    </row>
    <row r="266" spans="1:54" x14ac:dyDescent="0.25">
      <c r="A266" s="3" t="s">
        <v>441</v>
      </c>
      <c r="B266" t="s">
        <v>448</v>
      </c>
      <c r="H266" s="3" t="s">
        <v>441</v>
      </c>
      <c r="I266" t="s">
        <v>448</v>
      </c>
      <c r="O266" s="3" t="s">
        <v>441</v>
      </c>
      <c r="P266" t="s">
        <v>448</v>
      </c>
      <c r="V266" s="3" t="s">
        <v>441</v>
      </c>
      <c r="W266" t="s">
        <v>448</v>
      </c>
      <c r="AC266" s="3" t="s">
        <v>441</v>
      </c>
      <c r="AD266" t="s">
        <v>448</v>
      </c>
      <c r="AJ266" s="3" t="s">
        <v>441</v>
      </c>
      <c r="AK266" t="s">
        <v>448</v>
      </c>
      <c r="AQ266" s="3" t="s">
        <v>441</v>
      </c>
      <c r="AR266" t="s">
        <v>448</v>
      </c>
      <c r="AX266" s="3" t="s">
        <v>441</v>
      </c>
      <c r="AY266" t="s">
        <v>448</v>
      </c>
    </row>
    <row r="267" spans="1:54" x14ac:dyDescent="0.25">
      <c r="A267" t="s">
        <v>439</v>
      </c>
      <c r="B267">
        <f>B187</f>
        <v>52.5</v>
      </c>
      <c r="C267">
        <f>B188</f>
        <v>15.75</v>
      </c>
      <c r="H267" t="s">
        <v>439</v>
      </c>
      <c r="I267">
        <f>I187</f>
        <v>111</v>
      </c>
      <c r="J267">
        <f>I188</f>
        <v>33.299999999999997</v>
      </c>
      <c r="O267" t="s">
        <v>439</v>
      </c>
      <c r="P267">
        <f>P187</f>
        <v>168</v>
      </c>
      <c r="Q267">
        <f>P188</f>
        <v>50.4</v>
      </c>
      <c r="V267" t="s">
        <v>439</v>
      </c>
      <c r="W267">
        <f>W187</f>
        <v>223.5</v>
      </c>
      <c r="X267">
        <f>W188</f>
        <v>67.05</v>
      </c>
      <c r="AC267" t="s">
        <v>439</v>
      </c>
      <c r="AD267">
        <f>AD187</f>
        <v>282</v>
      </c>
      <c r="AE267">
        <f>AD188</f>
        <v>84.6</v>
      </c>
      <c r="AJ267" t="s">
        <v>439</v>
      </c>
      <c r="AK267">
        <f>AK187</f>
        <v>342</v>
      </c>
      <c r="AL267">
        <f>AK188</f>
        <v>102.6</v>
      </c>
      <c r="AQ267" t="s">
        <v>439</v>
      </c>
      <c r="AR267">
        <f>AR187</f>
        <v>397.5</v>
      </c>
      <c r="AS267">
        <f>AR188</f>
        <v>119.25</v>
      </c>
      <c r="AX267" t="s">
        <v>439</v>
      </c>
      <c r="AY267">
        <f>AY187</f>
        <v>456</v>
      </c>
      <c r="AZ267">
        <f>AY188</f>
        <v>136.79999999999998</v>
      </c>
    </row>
    <row r="268" spans="1:54" x14ac:dyDescent="0.25">
      <c r="A268" s="3"/>
      <c r="H268" s="3"/>
      <c r="O268" s="3"/>
      <c r="V268" s="3"/>
      <c r="AC268" s="3"/>
      <c r="AJ268" s="3"/>
      <c r="AQ268" s="3"/>
      <c r="AX268" s="3"/>
    </row>
    <row r="269" spans="1:54" x14ac:dyDescent="0.25">
      <c r="A269" s="3" t="s">
        <v>442</v>
      </c>
      <c r="H269" s="3" t="s">
        <v>442</v>
      </c>
      <c r="O269" s="3" t="s">
        <v>442</v>
      </c>
      <c r="V269" s="3" t="s">
        <v>442</v>
      </c>
      <c r="AC269" s="3" t="s">
        <v>442</v>
      </c>
      <c r="AJ269" s="3" t="s">
        <v>442</v>
      </c>
      <c r="AQ269" s="3" t="s">
        <v>442</v>
      </c>
      <c r="AX269" s="3" t="s">
        <v>442</v>
      </c>
    </row>
    <row r="270" spans="1:54" x14ac:dyDescent="0.25">
      <c r="A270" s="3"/>
      <c r="B270" s="225" t="s">
        <v>438</v>
      </c>
      <c r="C270" t="s">
        <v>452</v>
      </c>
      <c r="D270" s="225" t="s">
        <v>449</v>
      </c>
      <c r="E270" t="s">
        <v>451</v>
      </c>
      <c r="H270" s="3"/>
      <c r="I270" s="225" t="s">
        <v>438</v>
      </c>
      <c r="J270" t="s">
        <v>452</v>
      </c>
      <c r="K270" s="225" t="s">
        <v>449</v>
      </c>
      <c r="L270" t="s">
        <v>451</v>
      </c>
      <c r="O270" s="3"/>
      <c r="P270" s="225" t="s">
        <v>438</v>
      </c>
      <c r="Q270" t="s">
        <v>452</v>
      </c>
      <c r="R270" s="225" t="s">
        <v>449</v>
      </c>
      <c r="S270" t="s">
        <v>451</v>
      </c>
      <c r="V270" s="3"/>
      <c r="W270" s="225" t="s">
        <v>438</v>
      </c>
      <c r="X270" t="s">
        <v>452</v>
      </c>
      <c r="Y270" s="225" t="s">
        <v>449</v>
      </c>
      <c r="Z270" t="s">
        <v>451</v>
      </c>
      <c r="AC270" s="3"/>
      <c r="AD270" s="225" t="s">
        <v>438</v>
      </c>
      <c r="AE270" t="s">
        <v>452</v>
      </c>
      <c r="AF270" s="225" t="s">
        <v>449</v>
      </c>
      <c r="AG270" t="s">
        <v>451</v>
      </c>
      <c r="AJ270" s="3"/>
      <c r="AK270" s="225" t="s">
        <v>438</v>
      </c>
      <c r="AL270" t="s">
        <v>452</v>
      </c>
      <c r="AM270" s="225" t="s">
        <v>449</v>
      </c>
      <c r="AN270" t="s">
        <v>451</v>
      </c>
      <c r="AQ270" s="3"/>
      <c r="AR270" s="225" t="s">
        <v>438</v>
      </c>
      <c r="AS270" t="s">
        <v>452</v>
      </c>
      <c r="AT270" s="225" t="s">
        <v>449</v>
      </c>
      <c r="AU270" t="s">
        <v>451</v>
      </c>
      <c r="AX270" s="3"/>
      <c r="AY270" s="225" t="s">
        <v>438</v>
      </c>
      <c r="AZ270" t="s">
        <v>452</v>
      </c>
      <c r="BA270" s="225" t="s">
        <v>449</v>
      </c>
      <c r="BB270" t="s">
        <v>451</v>
      </c>
    </row>
    <row r="271" spans="1:54" x14ac:dyDescent="0.25">
      <c r="A271" s="1">
        <v>0.95</v>
      </c>
      <c r="B271" s="225">
        <f ca="1">TREND($B121:$C121,B$267:C$267,$B$40,1)</f>
        <v>1.0957142857142861</v>
      </c>
      <c r="C271">
        <f ca="1">$B$40/B271 *$B$21*2.7/$B$43*$B$42/12*$B$86</f>
        <v>45.632333767926973</v>
      </c>
      <c r="D271" s="225">
        <f ca="1">TREND($E121:$F121,B$267:C$267,$B$40,1)</f>
        <v>6.4624315578599809</v>
      </c>
      <c r="E271">
        <f ca="1">D271*$B$43</f>
        <v>17.44856520622195</v>
      </c>
      <c r="H271" s="1">
        <v>0.95</v>
      </c>
      <c r="I271" s="225">
        <f ca="1">TREND($B121:$C121,I$267:J$267,$B$40,1)</f>
        <v>1.9991891891891895</v>
      </c>
      <c r="J271">
        <f ca="1">$B$40/I271 *$B$21*2.7/$B$43*$B$42/12*$B$86</f>
        <v>25.010139245640119</v>
      </c>
      <c r="K271" s="225">
        <f ca="1">TREND($E121:$F121,I$267:J$267,$B$40,1)</f>
        <v>5.1915822700597625</v>
      </c>
      <c r="L271">
        <f t="shared" ref="L271:L274" ca="1" si="181">K271*$B$43</f>
        <v>14.017272129161359</v>
      </c>
      <c r="O271" s="1">
        <v>0.95</v>
      </c>
      <c r="P271" s="225">
        <f ca="1">TREND($B121:$C121,P$267:Q$267,$B$40,1)</f>
        <v>2.274285714285714</v>
      </c>
      <c r="Q271">
        <f ca="1">$B$40/P271 *$B$21*2.7/$B$43*$B$42/12*$B$86</f>
        <v>21.984924623115585</v>
      </c>
      <c r="R271" s="225">
        <f ca="1">TREND($E121:$F121,P$267:Q$267,$B$40,1)</f>
        <v>4.8046249548641828</v>
      </c>
      <c r="S271">
        <f t="shared" ref="S271:S274" ca="1" si="182">R271*$B$43</f>
        <v>12.972487378133295</v>
      </c>
      <c r="V271" s="1">
        <v>0.95</v>
      </c>
      <c r="W271" s="225">
        <f ca="1">TREND($B121:$C121,W$267:X$267,$B$40,1)</f>
        <v>2.4073154362416109</v>
      </c>
      <c r="X271">
        <f ca="1">$B$40/W271 *$B$21*2.7/$B$43*$B$42/12*$B$86</f>
        <v>20.770024254927652</v>
      </c>
      <c r="Y271" s="225">
        <f ca="1">TREND($E121:$F121,W$267:X$267,$B$40,1)</f>
        <v>4.6175021839342127</v>
      </c>
      <c r="Z271">
        <f t="shared" ref="Z271:Z274" ca="1" si="183">Y271*$B$43</f>
        <v>12.467255896622376</v>
      </c>
      <c r="AC271" s="1">
        <v>0.95</v>
      </c>
      <c r="AD271" s="225">
        <f ca="1">TREND($B121:$C121,AD$267:AE$267,$B$40,1)</f>
        <v>2.4908510638297874</v>
      </c>
      <c r="AE271">
        <f ca="1">$B$40/AD271 *$B$21*2.7/$B$43*$B$42/12*$B$86</f>
        <v>20.073460322883744</v>
      </c>
      <c r="AF271" s="225">
        <f ca="1">TREND($E121:$F121,AD$267:AE$267,$B$40,1)</f>
        <v>4.499998983327238</v>
      </c>
      <c r="AG271">
        <f t="shared" ref="AG271:AG274" ca="1" si="184">AF271*$B$43</f>
        <v>12.149997254983543</v>
      </c>
      <c r="AJ271" s="1">
        <v>0.95</v>
      </c>
      <c r="AK271" s="225">
        <f ca="1">TREND($B121:$C121,AK$267:AL$267,$B$40,1)</f>
        <v>2.546842105263158</v>
      </c>
      <c r="AL271">
        <f ca="1">$B$40/AK271 *$B$21*2.7/$B$43*$B$42/12*$B$86</f>
        <v>19.63215540400909</v>
      </c>
      <c r="AM271" s="225">
        <f ca="1">TREND($E121:$F121,AK$267:AL$267,$B$40,1)</f>
        <v>4.4212406527359684</v>
      </c>
      <c r="AN271">
        <f t="shared" ref="AN271:AN274" ca="1" si="185">AM271*$B$43</f>
        <v>11.937349762387116</v>
      </c>
      <c r="AQ271" s="1">
        <v>0.95</v>
      </c>
      <c r="AR271" s="225">
        <f ca="1">TREND($B121:$C121,AR$267:AS$267,$B$40,1)</f>
        <v>2.5835849056603779</v>
      </c>
      <c r="AS271">
        <f ca="1">$B$40/AR271 *$B$21*2.7/$B$43*$B$42/12*$B$86</f>
        <v>19.35295406412035</v>
      </c>
      <c r="AT271" s="225">
        <f ca="1">TREND($E121:$F121,AR$267:AS$267,$B$40,1)</f>
        <v>4.369557355793245</v>
      </c>
      <c r="AU271">
        <f t="shared" ref="AU271:AU274" ca="1" si="186">AT271*$B$43</f>
        <v>11.797804860641762</v>
      </c>
      <c r="AX271" s="1">
        <v>0.95</v>
      </c>
      <c r="AY271" s="225">
        <f ca="1">TREND($B121:$C121,AY$267:AZ$267,$B$40,1)</f>
        <v>2.6126315789473686</v>
      </c>
      <c r="AZ271">
        <f ca="1">$B$40/AY271 *$B$21*2.7/$B$43*$B$42/12*$B$86</f>
        <v>19.137792103142626</v>
      </c>
      <c r="BA271" s="225">
        <f ca="1">TREND($E121:$F121,AY$267:AZ$267,$B$40,1)</f>
        <v>4.3286996142912271</v>
      </c>
      <c r="BB271">
        <f t="shared" ref="BB271:BB274" ca="1" si="187">BA271*$B$43</f>
        <v>11.687488958586314</v>
      </c>
    </row>
    <row r="272" spans="1:54" x14ac:dyDescent="0.25">
      <c r="A272" s="1">
        <v>0.9</v>
      </c>
      <c r="B272" s="225">
        <f ca="1">TREND($B122:$C122,B$267:C$267,$B$40,1)</f>
        <v>0.85374149659863963</v>
      </c>
      <c r="C272">
        <f ca="1">$B$40/B272 *$B$21*2.7/$B$43*$B$42/12*$B$86</f>
        <v>58.565737051792816</v>
      </c>
      <c r="D272" s="225">
        <f ca="1">TREND($E122:$F122,B$267:C$267,$B$40,1)</f>
        <v>7.2925170068027203</v>
      </c>
      <c r="E272">
        <f t="shared" ref="E272:E274" ca="1" si="188">D272*$B$43</f>
        <v>19.689795918367345</v>
      </c>
      <c r="H272" s="1">
        <v>0.9</v>
      </c>
      <c r="I272" s="225">
        <f ca="1">TREND($B122:$C122,I$267:J$267,$B$40,1)</f>
        <v>1.570785070785071</v>
      </c>
      <c r="J272">
        <f ca="1">$B$40/I272 *$B$21*2.7/$B$43*$B$42/12*$B$86</f>
        <v>31.831216714461281</v>
      </c>
      <c r="K272" s="225">
        <f ca="1">TREND($E122:$F122,I$267:J$267,$B$40,1)</f>
        <v>5.858429858429858</v>
      </c>
      <c r="L272">
        <f t="shared" ca="1" si="181"/>
        <v>15.817760617760618</v>
      </c>
      <c r="O272" s="1">
        <v>0.9</v>
      </c>
      <c r="P272" s="225">
        <f ca="1">TREND($B122:$C122,P$267:Q$267,$B$40,1)</f>
        <v>1.7891156462585036</v>
      </c>
      <c r="Q272">
        <f ca="1">$B$40/P272 *$B$21*2.7/$B$43*$B$42/12*$B$86</f>
        <v>27.946768060836494</v>
      </c>
      <c r="R272" s="225">
        <f ca="1">TREND($E122:$F122,P$267:Q$267,$B$40,1)</f>
        <v>5.4217687074829932</v>
      </c>
      <c r="S272">
        <f t="shared" ca="1" si="182"/>
        <v>14.638775510204082</v>
      </c>
      <c r="V272" s="1">
        <v>0.9</v>
      </c>
      <c r="W272" s="225">
        <f ca="1">TREND($B122:$C122,W$267:X$267,$B$40,1)</f>
        <v>1.8946947906679452</v>
      </c>
      <c r="X272">
        <f ca="1">$B$40/W272 *$B$21*2.7/$B$43*$B$42/12*$B$86</f>
        <v>26.389474571982792</v>
      </c>
      <c r="Y272" s="225">
        <f ca="1">TREND($E122:$F122,W$267:X$267,$B$40,1)</f>
        <v>5.2106104186641096</v>
      </c>
      <c r="Z272">
        <f t="shared" ca="1" si="183"/>
        <v>14.068648130393097</v>
      </c>
      <c r="AC272" s="1">
        <v>0.9</v>
      </c>
      <c r="AD272" s="225">
        <f ca="1">TREND($B122:$C122,AD$267:AE$267,$B$40,1)</f>
        <v>1.9609929078014185</v>
      </c>
      <c r="AE272">
        <f ca="1">$B$40/AD272 *$B$21*2.7/$B$43*$B$42/12*$B$86</f>
        <v>25.497287522603973</v>
      </c>
      <c r="AF272" s="225">
        <f ca="1">TREND($E122:$F122,AD$267:AE$267,$B$40,1)</f>
        <v>5.0780141843971629</v>
      </c>
      <c r="AG272">
        <f t="shared" ca="1" si="184"/>
        <v>13.710638297872341</v>
      </c>
      <c r="AJ272" s="1">
        <v>0.9</v>
      </c>
      <c r="AK272" s="225">
        <f ca="1">TREND($B122:$C122,AK$267:AL$267,$B$40,1)</f>
        <v>2.0054302422723476</v>
      </c>
      <c r="AL272">
        <f ca="1">$B$40/AK272 *$B$21*2.7/$B$43*$B$42/12*$B$86</f>
        <v>24.932305769631323</v>
      </c>
      <c r="AM272" s="225">
        <f ca="1">TREND($E122:$F122,AK$267:AL$267,$B$40,1)</f>
        <v>4.9891395154553049</v>
      </c>
      <c r="AN272">
        <f t="shared" ca="1" si="185"/>
        <v>13.470676691729324</v>
      </c>
      <c r="AQ272" s="1">
        <v>0.9</v>
      </c>
      <c r="AR272" s="225">
        <f ca="1">TREND($B122:$C122,AR$267:AS$267,$B$40,1)</f>
        <v>2.0345911949685531</v>
      </c>
      <c r="AS272">
        <f ca="1">$B$40/AR272 *$B$21*2.7/$B$43*$B$42/12*$B$86</f>
        <v>24.574961360123655</v>
      </c>
      <c r="AT272" s="225">
        <f ca="1">TREND($E122:$F122,AR$267:AS$267,$B$40,1)</f>
        <v>4.9308176100628938</v>
      </c>
      <c r="AU272">
        <f t="shared" ca="1" si="186"/>
        <v>13.313207547169814</v>
      </c>
      <c r="AX272" s="1">
        <v>0.9</v>
      </c>
      <c r="AY272" s="225">
        <f ca="1">TREND($B122:$C122,AY$267:AZ$267,$B$40,1)</f>
        <v>2.0576441102756888</v>
      </c>
      <c r="AZ272">
        <f ca="1">$B$40/AY272 *$B$21*2.7/$B$43*$B$42/12*$B$86</f>
        <v>24.299634591961027</v>
      </c>
      <c r="BA272" s="225">
        <f ca="1">TREND($E122:$F122,AY$267:AZ$267,$B$40,1)</f>
        <v>4.8847117794486223</v>
      </c>
      <c r="BB272">
        <f t="shared" ca="1" si="187"/>
        <v>13.188721804511282</v>
      </c>
    </row>
    <row r="273" spans="1:54" x14ac:dyDescent="0.25">
      <c r="A273" s="1">
        <v>0.8</v>
      </c>
      <c r="B273" s="225">
        <f ca="1">TREND($B123:$C123,B$267:C$267,$B$40,1)</f>
        <v>0.58639455782312921</v>
      </c>
      <c r="C273">
        <f ca="1">$B$40/B273 *$B$21*2.7/$B$43*$B$42/12*$B$86</f>
        <v>85.266821345707669</v>
      </c>
      <c r="D273" s="225">
        <f ca="1">TREND($E123:$F123,B$267:C$267,$B$40,1)</f>
        <v>8.9526879046882044</v>
      </c>
      <c r="E273">
        <f t="shared" ca="1" si="188"/>
        <v>24.172257342658153</v>
      </c>
      <c r="H273" s="1">
        <v>0.8</v>
      </c>
      <c r="I273" s="225">
        <f ca="1">TREND($B123:$C123,I$267:J$267,$B$40,1)</f>
        <v>1.0453024453024455</v>
      </c>
      <c r="J273">
        <f ca="1">$B$40/I273 *$B$21*2.7/$B$43*$B$42/12*$B$86</f>
        <v>47.833046047771482</v>
      </c>
      <c r="K273" s="225">
        <f ca="1">TREND($E123:$F123,I$267:J$267,$B$40,1)</f>
        <v>7.1921250351700525</v>
      </c>
      <c r="L273">
        <f t="shared" ca="1" si="181"/>
        <v>19.418737594959143</v>
      </c>
      <c r="O273" s="1">
        <v>0.8</v>
      </c>
      <c r="P273" s="225">
        <f ca="1">TREND($B123:$C123,P$267:Q$267,$B$40,1)</f>
        <v>1.1850340136054425</v>
      </c>
      <c r="Q273">
        <f ca="1">$B$40/P273 *$B$21*2.7/$B$43*$B$42/12*$B$86</f>
        <v>42.192881745120538</v>
      </c>
      <c r="R273" s="225">
        <f ca="1">TREND($E123:$F123,P$267:Q$267,$B$40,1)</f>
        <v>6.656056212720614</v>
      </c>
      <c r="S273">
        <f t="shared" ca="1" si="182"/>
        <v>17.97135177434566</v>
      </c>
      <c r="V273" s="1">
        <v>0.8</v>
      </c>
      <c r="W273" s="225">
        <f ca="1">TREND($B123:$C123,W$267:X$267,$B$40,1)</f>
        <v>1.252604666027485</v>
      </c>
      <c r="X273">
        <f ca="1">$B$40/W273 *$B$21*2.7/$B$43*$B$42/12*$B$86</f>
        <v>39.916824003674023</v>
      </c>
      <c r="Y273" s="225">
        <f ca="1">TREND($E123:$F123,W$267:X$267,$B$40,1)</f>
        <v>6.3968268881239059</v>
      </c>
      <c r="Z273">
        <f t="shared" ca="1" si="183"/>
        <v>17.271432597934545</v>
      </c>
      <c r="AC273" s="1">
        <v>0.8</v>
      </c>
      <c r="AD273" s="225">
        <f ca="1">TREND($B123:$C123,AD$267:AE$267,$B$40,1)</f>
        <v>1.295035460992908</v>
      </c>
      <c r="AE273">
        <f ca="1">$B$40/AD273 *$B$21*2.7/$B$43*$B$42/12*$B$86</f>
        <v>38.608981380065714</v>
      </c>
      <c r="AF273" s="225">
        <f ca="1">TREND($E123:$F123,AD$267:AE$267,$B$40,1)</f>
        <v>6.2340445865370153</v>
      </c>
      <c r="AG273">
        <f t="shared" ca="1" si="184"/>
        <v>16.831920383649944</v>
      </c>
      <c r="AJ273" s="1">
        <v>0.8</v>
      </c>
      <c r="AK273" s="225">
        <f ca="1">TREND($B123:$C123,AK$267:AL$267,$B$40,1)</f>
        <v>1.3234753550543026</v>
      </c>
      <c r="AL273">
        <f ca="1">$B$40/AK273 *$B$21*2.7/$B$43*$B$42/12*$B$86</f>
        <v>37.779320792829182</v>
      </c>
      <c r="AM273" s="225">
        <f ca="1">TREND($E123:$F123,AK$267:AL$267,$B$40,1)</f>
        <v>6.1249372408939786</v>
      </c>
      <c r="AN273">
        <f t="shared" ca="1" si="185"/>
        <v>16.537330550413742</v>
      </c>
      <c r="AQ273" s="1">
        <v>0.8</v>
      </c>
      <c r="AR273" s="225">
        <f ca="1">TREND($B123:$C123,AR$267:AS$267,$B$40,1)</f>
        <v>1.3421383647798744</v>
      </c>
      <c r="AS273">
        <f ca="1">$B$40/AR273 *$B$21*2.7/$B$43*$B$42/12*$B$86</f>
        <v>37.253983130271784</v>
      </c>
      <c r="AT273" s="225">
        <f ca="1">TREND($E123:$F123,AR$267:AS$267,$B$40,1)</f>
        <v>6.0533381186021895</v>
      </c>
      <c r="AU273">
        <f t="shared" ca="1" si="186"/>
        <v>16.344012920225914</v>
      </c>
      <c r="AX273" s="1">
        <v>0.8</v>
      </c>
      <c r="AY273" s="225">
        <f ca="1">TREND($B123:$C123,AY$267:AZ$267,$B$40,1)</f>
        <v>1.3568922305764413</v>
      </c>
      <c r="AZ273">
        <f ca="1">$B$40/AY273 *$B$21*2.7/$B$43*$B$42/12*$B$86</f>
        <v>36.848910232729956</v>
      </c>
      <c r="BA273" s="225">
        <f ca="1">TREND($E123:$F123,AY$267:AZ$267,$B$40,1)</f>
        <v>5.996736109763412</v>
      </c>
      <c r="BB273">
        <f t="shared" ca="1" si="187"/>
        <v>16.191187496361213</v>
      </c>
    </row>
    <row r="274" spans="1:54" x14ac:dyDescent="0.25">
      <c r="A274" s="150">
        <v>0.7</v>
      </c>
      <c r="B274" s="226">
        <f ca="1">TREND($B124:$C124,B$267:C$267,$B$40,1)</f>
        <v>0.38979591836734706</v>
      </c>
      <c r="C274" s="149">
        <f ca="1">$B$40/B274 *$B$21*2.7/$B$43*$B$42/12*$B$86</f>
        <v>128.27225130890048</v>
      </c>
      <c r="D274" s="226">
        <f ca="1">TREND($E124:$F124,B$267:C$267,$B$40,1)</f>
        <v>10.61285880257368</v>
      </c>
      <c r="E274" s="149">
        <f t="shared" ca="1" si="188"/>
        <v>28.654718766948935</v>
      </c>
      <c r="H274" s="150">
        <v>0.7</v>
      </c>
      <c r="I274" s="226">
        <f ca="1">TREND($B124:$C124,I$267:J$267,$B$40,1)</f>
        <v>0.73397683397683378</v>
      </c>
      <c r="J274" s="149">
        <f ca="1">$B$40/I274 *$B$21*2.7/$B$43*$B$42/12*$B$86</f>
        <v>68.122041031036318</v>
      </c>
      <c r="K274" s="226">
        <f ca="1">TREND($E124:$F124,I$267:J$267,$B$40,1)</f>
        <v>8.5258202119102418</v>
      </c>
      <c r="L274" s="149">
        <f t="shared" ca="1" si="181"/>
        <v>23.019714572157653</v>
      </c>
      <c r="O274" s="150">
        <v>0.7</v>
      </c>
      <c r="P274" s="226">
        <f ca="1">TREND($B124:$C124,P$267:Q$267,$B$40,1)</f>
        <v>0.83877551020408148</v>
      </c>
      <c r="Q274" s="149">
        <f ca="1">$B$40/P274 *$B$21*2.7/$B$43*$B$42/12*$B$86</f>
        <v>59.610705596107067</v>
      </c>
      <c r="R274" s="226">
        <f ca="1">TREND($E124:$F124,P$267:Q$267,$B$40,1)</f>
        <v>7.8903437179582321</v>
      </c>
      <c r="S274" s="149">
        <f t="shared" ca="1" si="182"/>
        <v>21.303928038487228</v>
      </c>
      <c r="V274" s="150">
        <v>0.7</v>
      </c>
      <c r="W274" s="226">
        <f ca="1">TREND($B124:$C124,W$267:X$267,$B$40,1)</f>
        <v>0.88945349952061348</v>
      </c>
      <c r="X274" s="149">
        <f ca="1">$B$40/W274 *$B$21*2.7/$B$43*$B$42/12*$B$86</f>
        <v>56.214293413819128</v>
      </c>
      <c r="Y274" s="226">
        <f ca="1">TREND($E124:$F124,W$267:X$267,$B$40,1)</f>
        <v>7.5830433575837004</v>
      </c>
      <c r="Z274" s="149">
        <f t="shared" ca="1" si="183"/>
        <v>20.474217065475994</v>
      </c>
      <c r="AC274" s="150">
        <v>0.7</v>
      </c>
      <c r="AD274" s="226">
        <f ca="1">TREND($B124:$C124,AD$267:AE$267,$B$40,1)</f>
        <v>0.92127659574468068</v>
      </c>
      <c r="AE274" s="149">
        <f ca="1">$B$40/AD274 *$B$21*2.7/$B$43*$B$42/12*$B$86</f>
        <v>54.272517321016174</v>
      </c>
      <c r="AF274" s="226">
        <f ca="1">TREND($E124:$F124,AD$267:AE$267,$B$40,1)</f>
        <v>7.3900749886768633</v>
      </c>
      <c r="AG274" s="149">
        <f t="shared" ca="1" si="184"/>
        <v>19.953202469427531</v>
      </c>
      <c r="AJ274" s="150">
        <v>0.7</v>
      </c>
      <c r="AK274" s="226">
        <f ca="1">TREND($B124:$C124,AK$267:AL$267,$B$40,1)</f>
        <v>0.94260651629072667</v>
      </c>
      <c r="AL274" s="149">
        <f ca="1">$B$40/AK274 *$B$21*2.7/$B$43*$B$42/12*$B$86</f>
        <v>53.044403084286103</v>
      </c>
      <c r="AM274" s="226">
        <f ca="1">TREND($E124:$F124,AK$267:AL$267,$B$40,1)</f>
        <v>7.2607349663326506</v>
      </c>
      <c r="AN274" s="149">
        <f t="shared" ca="1" si="185"/>
        <v>19.603984409098157</v>
      </c>
      <c r="AQ274" s="150">
        <v>0.7</v>
      </c>
      <c r="AR274" s="226">
        <f ca="1">TREND($B124:$C124,AR$267:AS$267,$B$40,1)</f>
        <v>0.95660377358490556</v>
      </c>
      <c r="AS274" s="149">
        <f ca="1">$B$40/AR274 *$B$21*2.7/$B$43*$B$42/12*$B$86</f>
        <v>52.268244575936897</v>
      </c>
      <c r="AT274" s="226">
        <f ca="1">TREND($E124:$F124,AR$267:AS$267,$B$40,1)</f>
        <v>7.1758586271414853</v>
      </c>
      <c r="AU274" s="149">
        <f t="shared" ca="1" si="186"/>
        <v>19.374818293282011</v>
      </c>
      <c r="AX274" s="150">
        <v>0.7</v>
      </c>
      <c r="AY274" s="226">
        <f ca="1">TREND($B124:$C124,AY$267:AZ$267,$B$40,1)</f>
        <v>0.96766917293233068</v>
      </c>
      <c r="AZ274" s="149">
        <f ca="1">$B$40/AY274 *$B$21*2.7/$B$43*$B$42/12*$B$86</f>
        <v>51.670551670551681</v>
      </c>
      <c r="BA274" s="226">
        <f ca="1">TREND($E124:$F124,AY$267:AZ$267,$B$40,1)</f>
        <v>7.1087604400781998</v>
      </c>
      <c r="BB274" s="149">
        <f t="shared" ca="1" si="187"/>
        <v>19.19365318821114</v>
      </c>
    </row>
    <row r="275" spans="1:54" x14ac:dyDescent="0.25">
      <c r="A275" t="s">
        <v>453</v>
      </c>
      <c r="B275" s="6"/>
      <c r="C275">
        <f ca="1">VLOOKUP($B$47,A271:E274,3,0)</f>
        <v>58.565737051792816</v>
      </c>
      <c r="E275">
        <f ca="1">VLOOKUP($B$47,A271:E274,5,0)</f>
        <v>19.689795918367345</v>
      </c>
      <c r="H275" t="s">
        <v>453</v>
      </c>
      <c r="I275" s="6"/>
      <c r="J275">
        <f t="shared" ref="J275" ca="1" si="189">VLOOKUP($B$47,H271:L274,3,0)</f>
        <v>31.831216714461281</v>
      </c>
      <c r="L275">
        <f t="shared" ref="L275" ca="1" si="190">VLOOKUP($B$47,H271:L274,5,0)</f>
        <v>15.817760617760618</v>
      </c>
      <c r="O275" t="s">
        <v>453</v>
      </c>
      <c r="P275" s="6"/>
      <c r="Q275">
        <f t="shared" ref="Q275" ca="1" si="191">VLOOKUP($B$47,O271:S274,3,0)</f>
        <v>27.946768060836494</v>
      </c>
      <c r="S275">
        <f t="shared" ref="S275" ca="1" si="192">VLOOKUP($B$47,O271:S274,5,0)</f>
        <v>14.638775510204082</v>
      </c>
      <c r="V275" t="s">
        <v>453</v>
      </c>
      <c r="W275" s="6"/>
      <c r="X275">
        <f t="shared" ref="X275" ca="1" si="193">VLOOKUP($B$47,V271:Z274,3,0)</f>
        <v>26.389474571982792</v>
      </c>
      <c r="Z275">
        <f t="shared" ref="Z275" ca="1" si="194">VLOOKUP($B$47,V271:Z274,5,0)</f>
        <v>14.068648130393097</v>
      </c>
      <c r="AC275" t="s">
        <v>453</v>
      </c>
      <c r="AD275" s="6"/>
      <c r="AE275">
        <f t="shared" ref="AE275" ca="1" si="195">VLOOKUP($B$47,AC271:AG274,3,0)</f>
        <v>25.497287522603973</v>
      </c>
      <c r="AG275">
        <f t="shared" ref="AG275" ca="1" si="196">VLOOKUP($B$47,AC271:AG274,5,0)</f>
        <v>13.710638297872341</v>
      </c>
      <c r="AJ275" t="s">
        <v>453</v>
      </c>
      <c r="AK275" s="6"/>
      <c r="AL275">
        <f t="shared" ref="AL275" ca="1" si="197">VLOOKUP($B$47,AJ271:AN274,3,0)</f>
        <v>24.932305769631323</v>
      </c>
      <c r="AN275">
        <f t="shared" ref="AN275" ca="1" si="198">VLOOKUP($B$47,AJ271:AN274,5,0)</f>
        <v>13.470676691729324</v>
      </c>
      <c r="AQ275" t="s">
        <v>453</v>
      </c>
      <c r="AR275" s="6"/>
      <c r="AS275">
        <f t="shared" ref="AS275" ca="1" si="199">VLOOKUP($B$47,AQ271:AU274,3,0)</f>
        <v>24.574961360123655</v>
      </c>
      <c r="AU275">
        <f t="shared" ref="AU275" ca="1" si="200">VLOOKUP($B$47,AQ271:AU274,5,0)</f>
        <v>13.313207547169814</v>
      </c>
      <c r="AX275" t="s">
        <v>453</v>
      </c>
      <c r="AY275" s="6"/>
      <c r="AZ275">
        <f t="shared" ref="AZ275" ca="1" si="201">VLOOKUP($B$47,AX271:BB274,3,0)</f>
        <v>24.299634591961027</v>
      </c>
      <c r="BB275">
        <f t="shared" ref="BB275" ca="1" si="202">VLOOKUP($B$47,AX271:BB274,5,0)</f>
        <v>13.188721804511282</v>
      </c>
    </row>
    <row r="276" spans="1:54" x14ac:dyDescent="0.25">
      <c r="A276" t="s">
        <v>454</v>
      </c>
      <c r="B276" s="148">
        <f ca="1">ROUND(MIN(C275,E275),1)</f>
        <v>19.7</v>
      </c>
      <c r="H276" t="s">
        <v>454</v>
      </c>
      <c r="I276" s="148">
        <f t="shared" ref="I276" ca="1" si="203">ROUND(MIN(J275,L275),1)</f>
        <v>15.8</v>
      </c>
      <c r="O276" t="s">
        <v>454</v>
      </c>
      <c r="P276" s="148">
        <f t="shared" ref="P276" ca="1" si="204">ROUND(MIN(Q275,S275),1)</f>
        <v>14.6</v>
      </c>
      <c r="V276" t="s">
        <v>454</v>
      </c>
      <c r="W276" s="148">
        <f t="shared" ref="W276" ca="1" si="205">ROUND(MIN(X275,Z275),1)</f>
        <v>14.1</v>
      </c>
      <c r="AC276" t="s">
        <v>454</v>
      </c>
      <c r="AD276" s="148">
        <f t="shared" ref="AD276" ca="1" si="206">ROUND(MIN(AE275,AG275),1)</f>
        <v>13.7</v>
      </c>
      <c r="AJ276" t="s">
        <v>454</v>
      </c>
      <c r="AK276" s="148">
        <f t="shared" ref="AK276" ca="1" si="207">ROUND(MIN(AL275,AN275),1)</f>
        <v>13.5</v>
      </c>
      <c r="AQ276" t="s">
        <v>454</v>
      </c>
      <c r="AR276" s="148">
        <f t="shared" ref="AR276" ca="1" si="208">ROUND(MIN(AS275,AU275),1)</f>
        <v>13.3</v>
      </c>
      <c r="AX276" t="s">
        <v>454</v>
      </c>
      <c r="AY276" s="148">
        <f t="shared" ref="AY276" ca="1" si="209">ROUND(MIN(AZ275,BB275),1)</f>
        <v>13.2</v>
      </c>
    </row>
    <row r="277" spans="1:54" x14ac:dyDescent="0.25">
      <c r="B277" s="6"/>
      <c r="I277" s="6"/>
      <c r="P277" s="6"/>
      <c r="W277" s="6"/>
      <c r="AD277" s="6"/>
      <c r="AK277" s="6"/>
      <c r="AR277" s="6"/>
      <c r="AY277" s="6"/>
    </row>
    <row r="278" spans="1:54" x14ac:dyDescent="0.25">
      <c r="A278" t="s">
        <v>455</v>
      </c>
      <c r="B278" s="6" t="s">
        <v>9</v>
      </c>
      <c r="C278" t="s">
        <v>303</v>
      </c>
      <c r="D278" t="s">
        <v>456</v>
      </c>
      <c r="H278" t="s">
        <v>455</v>
      </c>
      <c r="I278" s="6" t="s">
        <v>9</v>
      </c>
      <c r="J278" t="s">
        <v>303</v>
      </c>
      <c r="K278" t="s">
        <v>456</v>
      </c>
      <c r="O278" t="s">
        <v>455</v>
      </c>
      <c r="P278" s="6" t="s">
        <v>9</v>
      </c>
      <c r="Q278" t="s">
        <v>303</v>
      </c>
      <c r="R278" t="s">
        <v>456</v>
      </c>
      <c r="V278" t="s">
        <v>455</v>
      </c>
      <c r="W278" s="6" t="s">
        <v>9</v>
      </c>
      <c r="X278" t="s">
        <v>303</v>
      </c>
      <c r="Y278" t="s">
        <v>456</v>
      </c>
      <c r="AC278" t="s">
        <v>455</v>
      </c>
      <c r="AD278" s="6" t="s">
        <v>9</v>
      </c>
      <c r="AE278" t="s">
        <v>303</v>
      </c>
      <c r="AF278" t="s">
        <v>456</v>
      </c>
      <c r="AJ278" t="s">
        <v>455</v>
      </c>
      <c r="AK278" s="6" t="s">
        <v>9</v>
      </c>
      <c r="AL278" t="s">
        <v>303</v>
      </c>
      <c r="AM278" t="s">
        <v>456</v>
      </c>
      <c r="AQ278" t="s">
        <v>455</v>
      </c>
      <c r="AR278" s="6" t="s">
        <v>9</v>
      </c>
      <c r="AS278" t="s">
        <v>303</v>
      </c>
      <c r="AT278" t="s">
        <v>456</v>
      </c>
      <c r="AX278" t="s">
        <v>455</v>
      </c>
      <c r="AY278" s="6" t="s">
        <v>9</v>
      </c>
      <c r="AZ278" t="s">
        <v>303</v>
      </c>
      <c r="BA278" t="s">
        <v>456</v>
      </c>
    </row>
    <row r="279" spans="1:54" x14ac:dyDescent="0.25">
      <c r="B279" s="1">
        <v>0.95</v>
      </c>
      <c r="C279">
        <f ca="1">ROUND(MIN(C271,E271),1)</f>
        <v>17.399999999999999</v>
      </c>
      <c r="D279" t="b">
        <f ca="1">$B$358&lt;=C279</f>
        <v>1</v>
      </c>
      <c r="I279" s="1">
        <v>0.95</v>
      </c>
      <c r="J279">
        <f t="shared" ref="J279:J282" ca="1" si="210">ROUND(MIN(J271,L271),1)</f>
        <v>14</v>
      </c>
      <c r="K279" t="b">
        <f ca="1">$B$358&lt;=J279</f>
        <v>1</v>
      </c>
      <c r="P279" s="1">
        <v>0.95</v>
      </c>
      <c r="Q279">
        <f t="shared" ref="Q279:Q282" ca="1" si="211">ROUND(MIN(Q271,S271),1)</f>
        <v>13</v>
      </c>
      <c r="R279" t="b">
        <f ca="1">$B$358&lt;=Q279</f>
        <v>1</v>
      </c>
      <c r="W279" s="1">
        <v>0.95</v>
      </c>
      <c r="X279">
        <f t="shared" ref="X279:X282" ca="1" si="212">ROUND(MIN(X271,Z271),1)</f>
        <v>12.5</v>
      </c>
      <c r="Y279" t="b">
        <f ca="1">$B$358&lt;=X279</f>
        <v>1</v>
      </c>
      <c r="AD279" s="1">
        <v>0.95</v>
      </c>
      <c r="AE279">
        <f t="shared" ref="AE279:AE282" ca="1" si="213">ROUND(MIN(AE271,AG271),1)</f>
        <v>12.1</v>
      </c>
      <c r="AF279" t="b">
        <f ca="1">$B$358&lt;=AE279</f>
        <v>1</v>
      </c>
      <c r="AK279" s="1">
        <v>0.95</v>
      </c>
      <c r="AL279">
        <f t="shared" ref="AL279:AL282" ca="1" si="214">ROUND(MIN(AL271,AN271),1)</f>
        <v>11.9</v>
      </c>
      <c r="AM279" t="b">
        <f ca="1">$B$358&lt;=AL279</f>
        <v>1</v>
      </c>
      <c r="AR279" s="1">
        <v>0.95</v>
      </c>
      <c r="AS279">
        <f t="shared" ref="AS279:AS282" ca="1" si="215">ROUND(MIN(AS271,AU271),1)</f>
        <v>11.8</v>
      </c>
      <c r="AT279" t="b">
        <f ca="1">$B$358&lt;=AS279</f>
        <v>1</v>
      </c>
      <c r="AY279" s="1">
        <v>0.95</v>
      </c>
      <c r="AZ279">
        <f t="shared" ref="AZ279:AZ282" ca="1" si="216">ROUND(MIN(AZ271,BB271),1)</f>
        <v>11.7</v>
      </c>
      <c r="BA279" t="b">
        <f ca="1">$B$358&lt;=AZ279</f>
        <v>1</v>
      </c>
    </row>
    <row r="280" spans="1:54" x14ac:dyDescent="0.25">
      <c r="B280" s="1">
        <v>0.9</v>
      </c>
      <c r="C280">
        <f ca="1">ROUND(MIN(C272,E272),1)</f>
        <v>19.7</v>
      </c>
      <c r="D280" t="b">
        <f ca="1">$B$358&lt;=C280</f>
        <v>1</v>
      </c>
      <c r="I280" s="1">
        <v>0.9</v>
      </c>
      <c r="J280">
        <f t="shared" ca="1" si="210"/>
        <v>15.8</v>
      </c>
      <c r="K280" t="b">
        <f ca="1">$B$358&lt;=J280</f>
        <v>1</v>
      </c>
      <c r="P280" s="1">
        <v>0.9</v>
      </c>
      <c r="Q280">
        <f t="shared" ca="1" si="211"/>
        <v>14.6</v>
      </c>
      <c r="R280" t="b">
        <f ca="1">$B$358&lt;=Q280</f>
        <v>1</v>
      </c>
      <c r="W280" s="1">
        <v>0.9</v>
      </c>
      <c r="X280">
        <f t="shared" ca="1" si="212"/>
        <v>14.1</v>
      </c>
      <c r="Y280" t="b">
        <f ca="1">$B$358&lt;=X280</f>
        <v>1</v>
      </c>
      <c r="AD280" s="1">
        <v>0.9</v>
      </c>
      <c r="AE280">
        <f t="shared" ca="1" si="213"/>
        <v>13.7</v>
      </c>
      <c r="AF280" t="b">
        <f ca="1">$B$358&lt;=AE280</f>
        <v>1</v>
      </c>
      <c r="AK280" s="1">
        <v>0.9</v>
      </c>
      <c r="AL280">
        <f t="shared" ca="1" si="214"/>
        <v>13.5</v>
      </c>
      <c r="AM280" t="b">
        <f ca="1">$B$358&lt;=AL280</f>
        <v>1</v>
      </c>
      <c r="AR280" s="1">
        <v>0.9</v>
      </c>
      <c r="AS280">
        <f t="shared" ca="1" si="215"/>
        <v>13.3</v>
      </c>
      <c r="AT280" t="b">
        <f ca="1">$B$358&lt;=AS280</f>
        <v>1</v>
      </c>
      <c r="AY280" s="1">
        <v>0.9</v>
      </c>
      <c r="AZ280">
        <f t="shared" ca="1" si="216"/>
        <v>13.2</v>
      </c>
      <c r="BA280" t="b">
        <f ca="1">$B$358&lt;=AZ280</f>
        <v>1</v>
      </c>
    </row>
    <row r="281" spans="1:54" x14ac:dyDescent="0.25">
      <c r="B281" s="1">
        <v>0.8</v>
      </c>
      <c r="C281">
        <f ca="1">ROUND(MIN(C273,E273),1)</f>
        <v>24.2</v>
      </c>
      <c r="D281" t="b">
        <f ca="1">$B$358&lt;=C281</f>
        <v>1</v>
      </c>
      <c r="I281" s="1">
        <v>0.8</v>
      </c>
      <c r="J281">
        <f t="shared" ca="1" si="210"/>
        <v>19.399999999999999</v>
      </c>
      <c r="K281" t="b">
        <f ca="1">$B$358&lt;=J281</f>
        <v>1</v>
      </c>
      <c r="P281" s="1">
        <v>0.8</v>
      </c>
      <c r="Q281">
        <f t="shared" ca="1" si="211"/>
        <v>18</v>
      </c>
      <c r="R281" t="b">
        <f ca="1">$B$358&lt;=Q281</f>
        <v>1</v>
      </c>
      <c r="W281" s="1">
        <v>0.8</v>
      </c>
      <c r="X281">
        <f t="shared" ca="1" si="212"/>
        <v>17.3</v>
      </c>
      <c r="Y281" t="b">
        <f ca="1">$B$358&lt;=X281</f>
        <v>1</v>
      </c>
      <c r="AD281" s="1">
        <v>0.8</v>
      </c>
      <c r="AE281">
        <f t="shared" ca="1" si="213"/>
        <v>16.8</v>
      </c>
      <c r="AF281" t="b">
        <f ca="1">$B$358&lt;=AE281</f>
        <v>1</v>
      </c>
      <c r="AK281" s="1">
        <v>0.8</v>
      </c>
      <c r="AL281">
        <f t="shared" ca="1" si="214"/>
        <v>16.5</v>
      </c>
      <c r="AM281" t="b">
        <f ca="1">$B$358&lt;=AL281</f>
        <v>1</v>
      </c>
      <c r="AR281" s="1">
        <v>0.8</v>
      </c>
      <c r="AS281">
        <f t="shared" ca="1" si="215"/>
        <v>16.3</v>
      </c>
      <c r="AT281" t="b">
        <f ca="1">$B$358&lt;=AS281</f>
        <v>1</v>
      </c>
      <c r="AY281" s="1">
        <v>0.8</v>
      </c>
      <c r="AZ281">
        <f t="shared" ca="1" si="216"/>
        <v>16.2</v>
      </c>
      <c r="BA281" t="b">
        <f ca="1">$B$358&lt;=AZ281</f>
        <v>1</v>
      </c>
    </row>
    <row r="282" spans="1:54" x14ac:dyDescent="0.25">
      <c r="B282" s="150">
        <v>0.7</v>
      </c>
      <c r="C282" s="149">
        <f ca="1">ROUND(MIN(C274,E274),1)</f>
        <v>28.7</v>
      </c>
      <c r="D282" s="149" t="b">
        <f ca="1">$B$358&lt;=C282</f>
        <v>1</v>
      </c>
      <c r="I282" s="150">
        <v>0.7</v>
      </c>
      <c r="J282" s="149">
        <f t="shared" ca="1" si="210"/>
        <v>23</v>
      </c>
      <c r="K282" s="149" t="b">
        <f ca="1">$B$358&lt;=J282</f>
        <v>1</v>
      </c>
      <c r="P282" s="150">
        <v>0.7</v>
      </c>
      <c r="Q282" s="149">
        <f t="shared" ca="1" si="211"/>
        <v>21.3</v>
      </c>
      <c r="R282" s="149" t="b">
        <f ca="1">$B$358&lt;=Q282</f>
        <v>1</v>
      </c>
      <c r="W282" s="150">
        <v>0.7</v>
      </c>
      <c r="X282" s="149">
        <f t="shared" ca="1" si="212"/>
        <v>20.5</v>
      </c>
      <c r="Y282" s="149" t="b">
        <f ca="1">$B$358&lt;=X282</f>
        <v>1</v>
      </c>
      <c r="AD282" s="150">
        <v>0.7</v>
      </c>
      <c r="AE282" s="149">
        <f t="shared" ca="1" si="213"/>
        <v>20</v>
      </c>
      <c r="AF282" s="149" t="b">
        <f ca="1">$B$358&lt;=AE282</f>
        <v>1</v>
      </c>
      <c r="AK282" s="150">
        <v>0.7</v>
      </c>
      <c r="AL282" s="149">
        <f t="shared" ca="1" si="214"/>
        <v>19.600000000000001</v>
      </c>
      <c r="AM282" s="149" t="b">
        <f ca="1">$B$358&lt;=AL282</f>
        <v>1</v>
      </c>
      <c r="AR282" s="150">
        <v>0.7</v>
      </c>
      <c r="AS282" s="149">
        <f t="shared" ca="1" si="215"/>
        <v>19.399999999999999</v>
      </c>
      <c r="AT282" s="149" t="b">
        <f ca="1">$B$358&lt;=AS282</f>
        <v>1</v>
      </c>
      <c r="AY282" s="150">
        <v>0.7</v>
      </c>
      <c r="AZ282" s="149">
        <f t="shared" ca="1" si="216"/>
        <v>19.2</v>
      </c>
      <c r="BA282" s="149" t="b">
        <f ca="1">$B$358&lt;=AZ282</f>
        <v>1</v>
      </c>
    </row>
    <row r="283" spans="1:54" x14ac:dyDescent="0.25">
      <c r="B283" s="1">
        <v>0</v>
      </c>
      <c r="I283" s="1">
        <v>0</v>
      </c>
      <c r="P283" s="1">
        <v>0</v>
      </c>
      <c r="W283" s="1">
        <v>0</v>
      </c>
      <c r="AD283" s="1">
        <v>0</v>
      </c>
      <c r="AK283" s="1">
        <v>0</v>
      </c>
      <c r="AR283" s="1">
        <v>0</v>
      </c>
      <c r="AY283" s="1">
        <v>0</v>
      </c>
    </row>
    <row r="284" spans="1:54" x14ac:dyDescent="0.25">
      <c r="A284" t="s">
        <v>457</v>
      </c>
      <c r="B284" s="11">
        <f ca="1">OFFSET(B279,4-COUNTIF(D279:D282,TRUE),0)</f>
        <v>0.95</v>
      </c>
      <c r="H284" t="s">
        <v>457</v>
      </c>
      <c r="I284" s="11">
        <f ca="1">OFFSET(I279,4-COUNTIF(K279:K282,TRUE),0)</f>
        <v>0.95</v>
      </c>
      <c r="O284" t="s">
        <v>457</v>
      </c>
      <c r="P284" s="11">
        <f ca="1">OFFSET(P279,4-COUNTIF(R279:R282,TRUE),0)</f>
        <v>0.95</v>
      </c>
      <c r="V284" t="s">
        <v>457</v>
      </c>
      <c r="W284" s="11">
        <f ca="1">OFFSET(W279,4-COUNTIF(Y279:Y282,TRUE),0)</f>
        <v>0.95</v>
      </c>
      <c r="AC284" t="s">
        <v>457</v>
      </c>
      <c r="AD284" s="11">
        <f ca="1">OFFSET(AD279,4-COUNTIF(AF279:AF282,TRUE),0)</f>
        <v>0.95</v>
      </c>
      <c r="AJ284" t="s">
        <v>457</v>
      </c>
      <c r="AK284" s="11">
        <f ca="1">OFFSET(AK279,4-COUNTIF(AM279:AM282,TRUE),0)</f>
        <v>0.95</v>
      </c>
      <c r="AQ284" t="s">
        <v>457</v>
      </c>
      <c r="AR284" s="11">
        <f ca="1">OFFSET(AR279,4-COUNTIF(AT279:AT282,TRUE),0)</f>
        <v>0.95</v>
      </c>
      <c r="AX284" t="s">
        <v>457</v>
      </c>
      <c r="AY284" s="11">
        <f ca="1">OFFSET(AY279,4-COUNTIF(BA279:BA282,TRUE),0)</f>
        <v>0.95</v>
      </c>
    </row>
    <row r="285" spans="1:54" x14ac:dyDescent="0.25">
      <c r="B285" s="6"/>
      <c r="H285" s="3"/>
      <c r="I285" s="6"/>
      <c r="O285" s="3"/>
      <c r="P285" s="6"/>
      <c r="V285" s="3"/>
      <c r="W285" s="6"/>
      <c r="AC285" s="3"/>
      <c r="AD285" s="6"/>
      <c r="AJ285" s="3"/>
      <c r="AK285" s="6"/>
      <c r="AQ285" s="3"/>
      <c r="AR285" s="6"/>
      <c r="AX285" s="3"/>
      <c r="AY285" s="6"/>
    </row>
    <row r="286" spans="1:54" x14ac:dyDescent="0.25">
      <c r="B286" s="6"/>
      <c r="I286" s="6"/>
      <c r="P286" s="6"/>
      <c r="W286" s="6"/>
      <c r="AD286" s="6"/>
      <c r="AK286" s="6"/>
      <c r="AR286" s="6"/>
      <c r="AY286" s="6"/>
    </row>
    <row r="287" spans="1:54" x14ac:dyDescent="0.25">
      <c r="A287" s="3" t="s">
        <v>444</v>
      </c>
      <c r="B287" s="1">
        <f ca="1">MIN(B246,B263)</f>
        <v>0.9</v>
      </c>
      <c r="H287" s="3" t="s">
        <v>444</v>
      </c>
      <c r="I287" s="1">
        <f ca="1">MIN(I246,I263)</f>
        <v>0.95</v>
      </c>
      <c r="O287" s="3" t="s">
        <v>444</v>
      </c>
      <c r="P287" s="1">
        <f ca="1">MIN(P246,P263)</f>
        <v>0.95</v>
      </c>
      <c r="V287" s="3" t="s">
        <v>444</v>
      </c>
      <c r="W287" s="1">
        <f ca="1">MIN(W246,W263)</f>
        <v>0.95</v>
      </c>
      <c r="AC287" s="3" t="s">
        <v>444</v>
      </c>
      <c r="AD287" s="1">
        <f ca="1">MIN(AD246,AD263)</f>
        <v>0.95</v>
      </c>
      <c r="AJ287" s="3" t="s">
        <v>444</v>
      </c>
      <c r="AK287" s="1">
        <f ca="1">MIN(AK246,AK263)</f>
        <v>0.95</v>
      </c>
      <c r="AQ287" s="3" t="s">
        <v>444</v>
      </c>
      <c r="AR287" s="1">
        <f ca="1">MIN(AR246,AR263)</f>
        <v>0.95</v>
      </c>
      <c r="AX287" s="3" t="s">
        <v>444</v>
      </c>
      <c r="AY287" s="1">
        <f ca="1">MIN(AY246,AY263)</f>
        <v>0.95</v>
      </c>
    </row>
    <row r="288" spans="1:54" x14ac:dyDescent="0.25">
      <c r="A288" s="3" t="s">
        <v>443</v>
      </c>
      <c r="B288" s="1">
        <f ca="1">MIN(B246,B284)</f>
        <v>0.9</v>
      </c>
      <c r="H288" s="3" t="s">
        <v>443</v>
      </c>
      <c r="I288" s="1">
        <f ca="1">MIN(I246,I284)</f>
        <v>0.95</v>
      </c>
      <c r="O288" s="3" t="s">
        <v>443</v>
      </c>
      <c r="P288" s="1">
        <f ca="1">MIN(P246,P284)</f>
        <v>0.95</v>
      </c>
      <c r="V288" s="3" t="s">
        <v>443</v>
      </c>
      <c r="W288" s="1">
        <f ca="1">MIN(W246,W284)</f>
        <v>0.95</v>
      </c>
      <c r="AC288" s="3" t="s">
        <v>443</v>
      </c>
      <c r="AD288" s="1">
        <f ca="1">MIN(AD246,AD284)</f>
        <v>0.95</v>
      </c>
      <c r="AJ288" s="3" t="s">
        <v>443</v>
      </c>
      <c r="AK288" s="1">
        <f ca="1">MIN(AK246,AK284)</f>
        <v>0.95</v>
      </c>
      <c r="AQ288" s="3" t="s">
        <v>443</v>
      </c>
      <c r="AR288" s="1">
        <f ca="1">MIN(AR246,AR284)</f>
        <v>0.95</v>
      </c>
      <c r="AX288" s="3" t="s">
        <v>443</v>
      </c>
      <c r="AY288" s="1">
        <f ca="1">MIN(AY246,AY284)</f>
        <v>0.95</v>
      </c>
    </row>
    <row r="289" spans="1:56" x14ac:dyDescent="0.25">
      <c r="A289" s="3"/>
      <c r="B289" s="6"/>
      <c r="D289" s="5"/>
      <c r="E289" s="5"/>
      <c r="F289" s="5"/>
      <c r="H289" s="3"/>
      <c r="I289" s="6"/>
      <c r="K289" s="5"/>
      <c r="L289" s="5"/>
      <c r="M289" s="5"/>
      <c r="O289" s="3"/>
      <c r="P289" s="6"/>
      <c r="R289" s="5"/>
      <c r="S289" s="5"/>
      <c r="T289" s="5"/>
      <c r="V289" s="3"/>
      <c r="W289" s="6"/>
      <c r="Y289" s="5"/>
      <c r="Z289" s="5"/>
      <c r="AA289" s="5"/>
      <c r="AC289" s="3"/>
      <c r="AD289" s="6"/>
      <c r="AF289" s="5"/>
      <c r="AG289" s="5"/>
      <c r="AH289" s="5"/>
      <c r="AJ289" s="3"/>
      <c r="AK289" s="6"/>
      <c r="AM289" s="5"/>
      <c r="AN289" s="5"/>
      <c r="AO289" s="5"/>
      <c r="AQ289" s="3"/>
      <c r="AR289" s="6"/>
      <c r="AT289" s="5"/>
      <c r="AU289" s="5"/>
      <c r="AV289" s="5"/>
      <c r="AX289" s="3"/>
      <c r="AY289" s="6"/>
      <c r="BA289" s="5"/>
      <c r="BB289" s="5"/>
      <c r="BC289" s="5"/>
    </row>
    <row r="290" spans="1:56" x14ac:dyDescent="0.25">
      <c r="A290" s="228" t="s">
        <v>634</v>
      </c>
      <c r="B290" s="229"/>
      <c r="C290" s="230"/>
      <c r="D290" s="230"/>
      <c r="E290" s="230"/>
      <c r="F290" s="231"/>
      <c r="G290" s="230"/>
      <c r="H290" s="228" t="s">
        <v>635</v>
      </c>
      <c r="I290" s="229"/>
      <c r="J290" s="230"/>
      <c r="K290" s="230"/>
      <c r="L290" s="230"/>
      <c r="M290" s="231"/>
      <c r="N290" s="230"/>
      <c r="O290" s="228" t="s">
        <v>636</v>
      </c>
      <c r="P290" s="229"/>
      <c r="Q290" s="230"/>
      <c r="R290" s="230"/>
      <c r="S290" s="230"/>
      <c r="T290" s="231"/>
      <c r="U290" s="230"/>
      <c r="V290" s="228" t="s">
        <v>637</v>
      </c>
      <c r="W290" s="229"/>
      <c r="X290" s="230"/>
      <c r="Y290" s="230"/>
      <c r="Z290" s="230"/>
      <c r="AA290" s="231"/>
      <c r="AB290" s="230"/>
      <c r="AC290" s="228" t="s">
        <v>638</v>
      </c>
      <c r="AD290" s="229"/>
      <c r="AE290" s="230"/>
      <c r="AF290" s="230"/>
      <c r="AG290" s="230"/>
      <c r="AH290" s="231"/>
      <c r="AI290" s="230"/>
      <c r="AJ290" s="228" t="s">
        <v>639</v>
      </c>
      <c r="AK290" s="229"/>
      <c r="AL290" s="230"/>
      <c r="AM290" s="230"/>
      <c r="AN290" s="230"/>
      <c r="AO290" s="230"/>
      <c r="AP290" s="230"/>
      <c r="AQ290" s="228" t="s">
        <v>640</v>
      </c>
      <c r="AR290" s="229"/>
      <c r="AS290" s="230"/>
      <c r="AT290" s="230"/>
      <c r="AU290" s="230"/>
      <c r="AV290" s="230"/>
      <c r="AW290" s="230"/>
      <c r="AX290" s="228" t="s">
        <v>641</v>
      </c>
      <c r="AY290" s="229"/>
      <c r="AZ290" s="230"/>
    </row>
    <row r="291" spans="1:56" x14ac:dyDescent="0.25">
      <c r="A291" s="8"/>
      <c r="B291" s="9"/>
      <c r="F291" s="5"/>
      <c r="H291" s="8"/>
      <c r="I291" s="9"/>
      <c r="M291" s="5"/>
      <c r="O291" s="8"/>
      <c r="P291" s="9"/>
      <c r="T291" s="5"/>
      <c r="V291" s="8"/>
      <c r="W291" s="9"/>
      <c r="AA291" s="5"/>
      <c r="AC291" s="8"/>
      <c r="AD291" s="9"/>
      <c r="AH291" s="5"/>
      <c r="AJ291" s="8"/>
      <c r="AK291" s="9"/>
      <c r="AQ291" s="8"/>
      <c r="AR291" s="9"/>
      <c r="AX291" s="8"/>
      <c r="AY291" s="9"/>
    </row>
    <row r="292" spans="1:56" x14ac:dyDescent="0.25">
      <c r="A292" t="s">
        <v>524</v>
      </c>
      <c r="B292">
        <v>8.0647000000000002</v>
      </c>
      <c r="F292" s="5"/>
      <c r="H292" t="s">
        <v>524</v>
      </c>
      <c r="I292">
        <v>7.3277999999999999</v>
      </c>
      <c r="M292" s="5"/>
      <c r="O292" t="s">
        <v>524</v>
      </c>
      <c r="P292">
        <v>6.8967999999999998</v>
      </c>
      <c r="T292" s="5"/>
      <c r="V292" t="s">
        <v>524</v>
      </c>
      <c r="W292">
        <v>6.5909000000000004</v>
      </c>
      <c r="AA292" s="5"/>
      <c r="AC292" t="s">
        <v>524</v>
      </c>
      <c r="AD292">
        <v>6.3536999999999999</v>
      </c>
      <c r="AH292" s="5"/>
      <c r="AJ292" t="s">
        <v>524</v>
      </c>
      <c r="AK292">
        <v>6.1599000000000004</v>
      </c>
      <c r="AO292" s="5"/>
      <c r="AQ292" t="s">
        <v>524</v>
      </c>
      <c r="AR292">
        <v>5.9960000000000004</v>
      </c>
      <c r="AV292" s="5"/>
      <c r="AX292" t="s">
        <v>524</v>
      </c>
      <c r="AY292">
        <v>5.8540000000000001</v>
      </c>
      <c r="BC292" s="5"/>
    </row>
    <row r="293" spans="1:56" x14ac:dyDescent="0.25">
      <c r="A293" t="s">
        <v>525</v>
      </c>
      <c r="B293">
        <v>-25.687000000000001</v>
      </c>
      <c r="F293" s="5"/>
      <c r="H293" t="s">
        <v>525</v>
      </c>
      <c r="I293">
        <v>-24.934000000000001</v>
      </c>
      <c r="M293" s="5"/>
      <c r="O293" t="s">
        <v>525</v>
      </c>
      <c r="P293">
        <v>-24.492999999999999</v>
      </c>
      <c r="T293" s="5"/>
      <c r="V293" t="s">
        <v>525</v>
      </c>
      <c r="W293">
        <v>-24.181000000000001</v>
      </c>
      <c r="AA293" s="5"/>
      <c r="AC293" t="s">
        <v>525</v>
      </c>
      <c r="AD293">
        <v>-23.937999999999999</v>
      </c>
      <c r="AH293" s="5"/>
      <c r="AJ293" t="s">
        <v>525</v>
      </c>
      <c r="AK293">
        <v>-23.74</v>
      </c>
      <c r="AO293" s="5"/>
      <c r="AQ293" t="s">
        <v>525</v>
      </c>
      <c r="AR293">
        <v>-23.573</v>
      </c>
      <c r="AV293" s="5"/>
      <c r="AX293" t="s">
        <v>525</v>
      </c>
      <c r="AY293">
        <v>-23.427</v>
      </c>
      <c r="BC293" s="5"/>
    </row>
    <row r="294" spans="1:56" x14ac:dyDescent="0.25">
      <c r="A294" t="s">
        <v>29</v>
      </c>
      <c r="B294" s="6">
        <f ca="1">B292*LN($B$38)+B293</f>
        <v>11.452315998938165</v>
      </c>
      <c r="H294" t="s">
        <v>29</v>
      </c>
      <c r="I294" s="6">
        <f t="shared" ref="I294" ca="1" si="217">I292*LN($B$38)+I293</f>
        <v>8.811766088883541</v>
      </c>
      <c r="O294" t="s">
        <v>29</v>
      </c>
      <c r="P294" s="6">
        <f t="shared" ref="P294" ca="1" si="218">P292*LN($B$38)+P293</f>
        <v>7.2679377387226722</v>
      </c>
      <c r="V294" t="s">
        <v>29</v>
      </c>
      <c r="W294" s="6">
        <f t="shared" ref="W294" ca="1" si="219">W292*LN($B$38)+W293</f>
        <v>6.1712161788289137</v>
      </c>
      <c r="AC294" t="s">
        <v>29</v>
      </c>
      <c r="AD294" s="6">
        <f t="shared" ref="AD294" ca="1" si="220">AD292*LN($B$38)+AD293</f>
        <v>5.3218698107125384</v>
      </c>
      <c r="AJ294" t="s">
        <v>29</v>
      </c>
      <c r="AK294" s="6">
        <f t="shared" ref="AK294" ca="1" si="221">AK292*LN($B$38)+AK293</f>
        <v>4.6273878286680485</v>
      </c>
      <c r="AQ294" t="s">
        <v>29</v>
      </c>
      <c r="AR294" s="6">
        <f t="shared" ref="AR294" ca="1" si="222">AR292*LN($B$38)+AR293</f>
        <v>4.0396004351845995</v>
      </c>
      <c r="AX294" t="s">
        <v>29</v>
      </c>
      <c r="AY294" s="6">
        <f t="shared" ref="AY294" ca="1" si="223">AY292*LN($B$38)+AY293</f>
        <v>3.5316662687742912</v>
      </c>
    </row>
    <row r="295" spans="1:56" x14ac:dyDescent="0.25">
      <c r="A295" t="s">
        <v>30</v>
      </c>
      <c r="B295">
        <f ca="1">$B$153</f>
        <v>0.65159255861242893</v>
      </c>
      <c r="G295" s="5"/>
      <c r="H295" t="s">
        <v>30</v>
      </c>
      <c r="I295">
        <f t="shared" ref="I295" ca="1" si="224">$B$153</f>
        <v>0.65159255861242893</v>
      </c>
      <c r="N295" s="5"/>
      <c r="O295" t="s">
        <v>30</v>
      </c>
      <c r="P295">
        <f t="shared" ref="P295" ca="1" si="225">$B$153</f>
        <v>0.65159255861242893</v>
      </c>
      <c r="U295" s="5"/>
      <c r="V295" t="s">
        <v>30</v>
      </c>
      <c r="W295">
        <f t="shared" ref="W295" ca="1" si="226">$B$153</f>
        <v>0.65159255861242893</v>
      </c>
      <c r="AB295" s="5"/>
      <c r="AC295" t="s">
        <v>30</v>
      </c>
      <c r="AD295">
        <f t="shared" ref="AD295" ca="1" si="227">$B$153</f>
        <v>0.65159255861242893</v>
      </c>
      <c r="AI295" s="5"/>
      <c r="AJ295" t="s">
        <v>30</v>
      </c>
      <c r="AK295">
        <f t="shared" ref="AK295" ca="1" si="228">$B$153</f>
        <v>0.65159255861242893</v>
      </c>
      <c r="AP295" s="5"/>
      <c r="AQ295" t="s">
        <v>30</v>
      </c>
      <c r="AR295">
        <f t="shared" ref="AR295" ca="1" si="229">$B$153</f>
        <v>0.65159255861242893</v>
      </c>
      <c r="AW295" s="5"/>
      <c r="AX295" t="s">
        <v>30</v>
      </c>
      <c r="AY295">
        <f t="shared" ref="AY295" ca="1" si="230">$B$153</f>
        <v>0.65159255861242893</v>
      </c>
      <c r="BD295" s="5"/>
    </row>
    <row r="296" spans="1:56" x14ac:dyDescent="0.25">
      <c r="A296" t="s">
        <v>31</v>
      </c>
      <c r="B296">
        <f ca="1">B294*B295</f>
        <v>7.462243883786174</v>
      </c>
      <c r="H296" t="s">
        <v>31</v>
      </c>
      <c r="I296">
        <f ca="1">I294*I295</f>
        <v>5.7416812117498619</v>
      </c>
      <c r="O296" t="s">
        <v>31</v>
      </c>
      <c r="P296">
        <f ca="1">P294*P295</f>
        <v>4.7357341470101373</v>
      </c>
      <c r="V296" t="s">
        <v>31</v>
      </c>
      <c r="W296">
        <f ca="1">W294*W295</f>
        <v>4.0211185397135489</v>
      </c>
      <c r="AC296" t="s">
        <v>31</v>
      </c>
      <c r="AD296">
        <f ca="1">AD294*AD295</f>
        <v>3.4676907665644259</v>
      </c>
      <c r="AJ296" t="s">
        <v>31</v>
      </c>
      <c r="AK296">
        <f ca="1">AK294*AK295</f>
        <v>3.0151714749738256</v>
      </c>
      <c r="AQ296" t="s">
        <v>31</v>
      </c>
      <c r="AR296">
        <f ca="1">AR294*AR295</f>
        <v>2.6321735833338145</v>
      </c>
      <c r="AX296" t="s">
        <v>31</v>
      </c>
      <c r="AY296">
        <f ca="1">AY294*AY295</f>
        <v>2.3012074602358505</v>
      </c>
    </row>
    <row r="297" spans="1:56" x14ac:dyDescent="0.25">
      <c r="A297" t="s">
        <v>32</v>
      </c>
      <c r="B297">
        <f ca="1">B296*E297</f>
        <v>16.582764186191497</v>
      </c>
      <c r="E297">
        <f>20/9</f>
        <v>2.2222222222222223</v>
      </c>
      <c r="H297" t="s">
        <v>32</v>
      </c>
      <c r="I297">
        <f ca="1">I296*L297+M297</f>
        <v>12.758015652508194</v>
      </c>
      <c r="L297">
        <v>2.222</v>
      </c>
      <c r="O297" t="s">
        <v>32</v>
      </c>
      <c r="P297">
        <f ca="1">P296*S297+T297</f>
        <v>10.522801274656524</v>
      </c>
      <c r="S297">
        <v>2.222</v>
      </c>
      <c r="V297" t="s">
        <v>32</v>
      </c>
      <c r="W297">
        <f ca="1">W296*Z297+AA297</f>
        <v>8.9349253952435053</v>
      </c>
      <c r="Z297">
        <v>2.222</v>
      </c>
      <c r="AC297" t="s">
        <v>32</v>
      </c>
      <c r="AD297">
        <f ca="1">AD296*AG297+AH297</f>
        <v>7.7052088833061543</v>
      </c>
      <c r="AG297">
        <v>2.222</v>
      </c>
      <c r="AJ297" t="s">
        <v>32</v>
      </c>
      <c r="AK297">
        <f ca="1">AK296*AN297+AO297</f>
        <v>6.6997110173918406</v>
      </c>
      <c r="AN297">
        <v>2.222</v>
      </c>
      <c r="AQ297" t="s">
        <v>32</v>
      </c>
      <c r="AR297">
        <f ca="1">AR296*AU297+AV297</f>
        <v>5.8486897021677358</v>
      </c>
      <c r="AU297">
        <v>2.222</v>
      </c>
      <c r="AX297" t="s">
        <v>32</v>
      </c>
      <c r="AY297">
        <f ca="1">AY296*BB297+BC297</f>
        <v>5.1132829766440597</v>
      </c>
      <c r="BB297">
        <v>2.222</v>
      </c>
    </row>
    <row r="299" spans="1:56" x14ac:dyDescent="0.25">
      <c r="A299" t="s">
        <v>385</v>
      </c>
      <c r="B299" s="6">
        <f ca="1">B297*(D299*$B$363^2+E299*$B$363+F299)*$B$51*$B$138</f>
        <v>14.328373077396948</v>
      </c>
      <c r="D299" s="5">
        <v>-4.5100000000000001E-3</v>
      </c>
      <c r="E299" s="5">
        <v>9.5170000000000005E-2</v>
      </c>
      <c r="F299" s="5">
        <v>0.49930000000000002</v>
      </c>
      <c r="H299" t="s">
        <v>33</v>
      </c>
      <c r="I299" s="6">
        <f ca="1">I297*(K299*$B$363^2+L299*$B$363+M299)*$B$51*$B$138</f>
        <v>11.023590876883274</v>
      </c>
      <c r="K299" s="5">
        <v>-4.5100000000000001E-3</v>
      </c>
      <c r="L299" s="5">
        <v>9.5170000000000005E-2</v>
      </c>
      <c r="M299" s="5">
        <v>0.49930000000000002</v>
      </c>
      <c r="O299" t="s">
        <v>33</v>
      </c>
      <c r="P299" s="6">
        <f ca="1">P297*(R299*$B$363^2+S299*$B$363+T299)*$B$51*$B$138</f>
        <v>9.0922490840301045</v>
      </c>
      <c r="R299" s="5">
        <v>-4.5100000000000001E-3</v>
      </c>
      <c r="S299" s="5">
        <v>9.5170000000000005E-2</v>
      </c>
      <c r="T299" s="5">
        <v>0.49930000000000002</v>
      </c>
      <c r="V299" t="s">
        <v>33</v>
      </c>
      <c r="W299" s="6">
        <f ca="1">W297*(Y299*$B$363^2+Z299*$B$363+AA299)*$B$51*$B$138</f>
        <v>7.720241513677335</v>
      </c>
      <c r="Y299" s="5">
        <v>-4.5100000000000001E-3</v>
      </c>
      <c r="Z299" s="5">
        <v>9.5170000000000005E-2</v>
      </c>
      <c r="AA299" s="5">
        <v>0.49930000000000002</v>
      </c>
      <c r="AC299" t="s">
        <v>33</v>
      </c>
      <c r="AD299" s="6">
        <f ca="1">AD297*(AF299*$B$363^2+AG299*$B$363+AH299)*$B$51*$B$138</f>
        <v>6.6577023154690105</v>
      </c>
      <c r="AF299" s="5">
        <v>-4.5100000000000001E-3</v>
      </c>
      <c r="AG299" s="5">
        <v>9.5170000000000005E-2</v>
      </c>
      <c r="AH299" s="5">
        <v>0.49930000000000002</v>
      </c>
      <c r="AJ299" t="s">
        <v>33</v>
      </c>
      <c r="AK299" s="6">
        <f ca="1">AK297*(AM299*$B$363^2+AN299*$B$363+AO299)*$B$51*$B$138</f>
        <v>5.7888997208241681</v>
      </c>
      <c r="AM299" s="5">
        <v>-4.5100000000000001E-3</v>
      </c>
      <c r="AN299" s="5">
        <v>9.5170000000000005E-2</v>
      </c>
      <c r="AO299" s="5">
        <v>0.49930000000000002</v>
      </c>
      <c r="AQ299" t="s">
        <v>33</v>
      </c>
      <c r="AR299" s="6">
        <f ca="1">AR297*(AT299*$B$363^2+AU299*$B$363+AV299)*$B$51*$B$138</f>
        <v>5.053572922201429</v>
      </c>
      <c r="AT299" s="5">
        <v>-4.5100000000000001E-3</v>
      </c>
      <c r="AU299" s="5">
        <v>9.5170000000000005E-2</v>
      </c>
      <c r="AV299" s="5">
        <v>0.49930000000000002</v>
      </c>
      <c r="AX299" t="s">
        <v>33</v>
      </c>
      <c r="AY299" s="6">
        <f ca="1">AY297*(BA299*$B$363^2+BB299*$B$363+BC299)*$B$51*$B$138</f>
        <v>4.418143158585516</v>
      </c>
      <c r="BA299" s="5">
        <v>-4.5100000000000001E-3</v>
      </c>
      <c r="BB299" s="5">
        <v>9.5170000000000005E-2</v>
      </c>
      <c r="BC299" s="5">
        <v>0.49930000000000002</v>
      </c>
    </row>
    <row r="300" spans="1:56" x14ac:dyDescent="0.25">
      <c r="A300" t="s">
        <v>386</v>
      </c>
      <c r="B300" s="6">
        <f ca="1">2*B299</f>
        <v>28.656746154793897</v>
      </c>
      <c r="D300" s="5"/>
      <c r="E300" s="5"/>
      <c r="F300" s="5"/>
      <c r="H300" t="s">
        <v>386</v>
      </c>
      <c r="I300" s="6">
        <f t="shared" ref="I300" ca="1" si="231">2*I299</f>
        <v>22.047181753766548</v>
      </c>
      <c r="K300" s="5"/>
      <c r="L300" s="5"/>
      <c r="M300" s="5"/>
      <c r="O300" t="s">
        <v>386</v>
      </c>
      <c r="P300" s="6">
        <f t="shared" ref="P300" ca="1" si="232">2*P299</f>
        <v>18.184498168060209</v>
      </c>
      <c r="R300" s="5"/>
      <c r="S300" s="5"/>
      <c r="T300" s="5"/>
      <c r="V300" t="s">
        <v>386</v>
      </c>
      <c r="W300" s="6">
        <f t="shared" ref="W300" ca="1" si="233">2*W299</f>
        <v>15.44048302735467</v>
      </c>
      <c r="Y300" s="5"/>
      <c r="Z300" s="5"/>
      <c r="AA300" s="5"/>
      <c r="AC300" t="s">
        <v>386</v>
      </c>
      <c r="AD300" s="6">
        <f t="shared" ref="AD300" ca="1" si="234">2*AD299</f>
        <v>13.315404630938021</v>
      </c>
      <c r="AF300" s="5"/>
      <c r="AG300" s="5"/>
      <c r="AH300" s="5"/>
      <c r="AJ300" t="s">
        <v>386</v>
      </c>
      <c r="AK300" s="6">
        <f t="shared" ref="AK300" ca="1" si="235">2*AK299</f>
        <v>11.577799441648336</v>
      </c>
      <c r="AM300" s="5"/>
      <c r="AN300" s="5"/>
      <c r="AO300" s="5"/>
      <c r="AQ300" t="s">
        <v>386</v>
      </c>
      <c r="AR300" s="6">
        <f t="shared" ref="AR300" ca="1" si="236">2*AR299</f>
        <v>10.107145844402858</v>
      </c>
      <c r="AT300" s="5"/>
      <c r="AU300" s="5"/>
      <c r="AV300" s="5"/>
      <c r="AX300" t="s">
        <v>386</v>
      </c>
      <c r="AY300" s="6">
        <f t="shared" ref="AY300" ca="1" si="237">2*AY299</f>
        <v>8.836286317171032</v>
      </c>
      <c r="BA300" s="5"/>
      <c r="BB300" s="5"/>
      <c r="BC300" s="5"/>
    </row>
    <row r="301" spans="1:56" s="299" customFormat="1" x14ac:dyDescent="0.25">
      <c r="A301" s="299" t="s">
        <v>387</v>
      </c>
      <c r="B301" s="300">
        <f ca="1">B300*1.5</f>
        <v>42.985119232190847</v>
      </c>
      <c r="D301" s="301"/>
      <c r="E301" s="301"/>
      <c r="F301" s="301"/>
      <c r="H301" s="299" t="s">
        <v>387</v>
      </c>
      <c r="I301" s="300">
        <f t="shared" ref="I301" ca="1" si="238">I300*1.5</f>
        <v>33.07077263064982</v>
      </c>
      <c r="K301" s="301"/>
      <c r="L301" s="301"/>
      <c r="M301" s="301"/>
      <c r="O301" s="299" t="s">
        <v>387</v>
      </c>
      <c r="P301" s="300">
        <f t="shared" ref="P301" ca="1" si="239">P300*1.5</f>
        <v>27.276747252090313</v>
      </c>
      <c r="R301" s="301"/>
      <c r="S301" s="301"/>
      <c r="T301" s="301"/>
      <c r="V301" s="299" t="s">
        <v>387</v>
      </c>
      <c r="W301" s="300">
        <f t="shared" ref="W301" ca="1" si="240">W300*1.5</f>
        <v>23.160724541032003</v>
      </c>
      <c r="Y301" s="301"/>
      <c r="Z301" s="301"/>
      <c r="AA301" s="301"/>
      <c r="AC301" s="299" t="s">
        <v>387</v>
      </c>
      <c r="AD301" s="300">
        <f t="shared" ref="AD301" ca="1" si="241">AD300*1.5</f>
        <v>19.973106946407032</v>
      </c>
      <c r="AF301" s="301"/>
      <c r="AG301" s="301"/>
      <c r="AH301" s="301"/>
      <c r="AJ301" s="299" t="s">
        <v>387</v>
      </c>
      <c r="AK301" s="300">
        <f t="shared" ref="AK301" ca="1" si="242">AK300*1.5</f>
        <v>17.366699162472504</v>
      </c>
      <c r="AM301" s="301"/>
      <c r="AN301" s="301"/>
      <c r="AO301" s="301"/>
      <c r="AQ301" s="299" t="s">
        <v>387</v>
      </c>
      <c r="AR301" s="300">
        <f t="shared" ref="AR301" ca="1" si="243">AR300*1.5</f>
        <v>15.160718766604287</v>
      </c>
      <c r="AT301" s="301"/>
      <c r="AU301" s="301"/>
      <c r="AV301" s="301"/>
      <c r="AX301" s="299" t="s">
        <v>387</v>
      </c>
      <c r="AY301" s="300">
        <f t="shared" ref="AY301" ca="1" si="244">AY300*1.5</f>
        <v>13.254429475756549</v>
      </c>
      <c r="BA301" s="301"/>
      <c r="BB301" s="301"/>
      <c r="BC301" s="301"/>
    </row>
    <row r="302" spans="1:56" x14ac:dyDescent="0.25">
      <c r="B302" s="6"/>
      <c r="D302" s="5"/>
      <c r="E302" s="5"/>
      <c r="F302" s="5"/>
      <c r="I302" s="6"/>
      <c r="K302" s="5"/>
      <c r="L302" s="5"/>
      <c r="M302" s="5"/>
      <c r="P302" s="6"/>
      <c r="R302" s="5"/>
      <c r="S302" s="5"/>
      <c r="T302" s="5"/>
      <c r="W302" s="6"/>
      <c r="Y302" s="5"/>
      <c r="Z302" s="5"/>
      <c r="AA302" s="5"/>
      <c r="AD302" s="6"/>
      <c r="AF302" s="5"/>
      <c r="AG302" s="5"/>
      <c r="AH302" s="5"/>
      <c r="AK302" s="6"/>
      <c r="AM302" s="5"/>
      <c r="AN302" s="5"/>
      <c r="AO302" s="5"/>
      <c r="AR302" s="6"/>
      <c r="AT302" s="5"/>
      <c r="AU302" s="5"/>
      <c r="AV302" s="5"/>
      <c r="AY302" s="6"/>
      <c r="BA302" s="5"/>
      <c r="BB302" s="5"/>
      <c r="BC302" s="5"/>
    </row>
    <row r="303" spans="1:56" x14ac:dyDescent="0.25">
      <c r="A303" s="3" t="s">
        <v>633</v>
      </c>
      <c r="B303" s="6"/>
      <c r="D303" s="5"/>
      <c r="E303" s="5"/>
      <c r="F303" s="5"/>
      <c r="H303" s="3" t="s">
        <v>633</v>
      </c>
      <c r="I303" s="6"/>
      <c r="K303" s="5"/>
      <c r="L303" s="5"/>
      <c r="M303" s="5"/>
      <c r="O303" s="3" t="s">
        <v>633</v>
      </c>
      <c r="P303" s="6"/>
      <c r="R303" s="5"/>
      <c r="S303" s="5"/>
      <c r="T303" s="5"/>
      <c r="V303" s="3" t="s">
        <v>633</v>
      </c>
      <c r="W303" s="6"/>
      <c r="Y303" s="5"/>
      <c r="Z303" s="5"/>
      <c r="AA303" s="5"/>
      <c r="AC303" s="3" t="s">
        <v>633</v>
      </c>
      <c r="AD303" s="6"/>
      <c r="AF303" s="5"/>
      <c r="AG303" s="5"/>
      <c r="AH303" s="5"/>
      <c r="AJ303" s="3" t="s">
        <v>633</v>
      </c>
      <c r="AK303" s="6"/>
      <c r="AM303" s="5"/>
      <c r="AN303" s="5"/>
      <c r="AO303" s="5"/>
      <c r="AQ303" s="3" t="s">
        <v>633</v>
      </c>
      <c r="AR303" s="6"/>
      <c r="AT303" s="5"/>
      <c r="AU303" s="5"/>
      <c r="AV303" s="5"/>
      <c r="AX303" s="3" t="s">
        <v>633</v>
      </c>
      <c r="AY303" s="6"/>
      <c r="BA303" s="5"/>
      <c r="BB303" s="5"/>
      <c r="BC303" s="5"/>
    </row>
    <row r="304" spans="1:56" x14ac:dyDescent="0.25">
      <c r="A304" t="s">
        <v>476</v>
      </c>
      <c r="B304">
        <v>0.90057585365479087</v>
      </c>
      <c r="D304" s="5"/>
      <c r="E304" s="5"/>
      <c r="F304" s="5"/>
      <c r="H304" t="s">
        <v>476</v>
      </c>
      <c r="I304">
        <v>0.77213215609498043</v>
      </c>
      <c r="K304" s="5"/>
      <c r="L304" s="5"/>
      <c r="M304" s="5"/>
      <c r="O304" t="s">
        <v>476</v>
      </c>
      <c r="P304">
        <v>0.70566630364273519</v>
      </c>
      <c r="R304" s="5"/>
      <c r="S304" s="5"/>
      <c r="T304" s="5"/>
      <c r="V304" t="s">
        <v>476</v>
      </c>
      <c r="W304">
        <v>0.66200760775051193</v>
      </c>
      <c r="Y304" s="5"/>
      <c r="Z304" s="5"/>
      <c r="AA304" s="5"/>
      <c r="AC304" t="s">
        <v>476</v>
      </c>
      <c r="AD304">
        <v>0.63001219702132571</v>
      </c>
      <c r="AF304" s="5"/>
      <c r="AG304" s="5"/>
      <c r="AH304" s="5"/>
      <c r="AJ304" t="s">
        <v>476</v>
      </c>
      <c r="AK304">
        <v>0.60502137860349425</v>
      </c>
      <c r="AM304" s="5"/>
      <c r="AN304" s="5"/>
      <c r="AO304" s="5"/>
      <c r="AQ304" t="s">
        <v>476</v>
      </c>
      <c r="AR304">
        <v>0.58466693488580768</v>
      </c>
      <c r="AT304" s="5"/>
      <c r="AU304" s="5"/>
      <c r="AV304" s="5"/>
      <c r="AX304" t="s">
        <v>476</v>
      </c>
      <c r="AY304">
        <v>0.56758945895480317</v>
      </c>
      <c r="BA304" s="5"/>
      <c r="BB304" s="5"/>
      <c r="BC304" s="5"/>
    </row>
    <row r="305" spans="1:58" x14ac:dyDescent="0.25">
      <c r="A305" t="s">
        <v>477</v>
      </c>
      <c r="B305">
        <f>B161*$B$156</f>
        <v>1.95E-2</v>
      </c>
      <c r="D305" s="5"/>
      <c r="E305" s="5"/>
      <c r="F305" s="5"/>
      <c r="H305" t="s">
        <v>477</v>
      </c>
      <c r="I305">
        <f>I161*$B$156</f>
        <v>3.9E-2</v>
      </c>
      <c r="K305" s="5"/>
      <c r="L305" s="5"/>
      <c r="M305" s="5"/>
      <c r="O305" t="s">
        <v>477</v>
      </c>
      <c r="P305">
        <f>P161*$B$156</f>
        <v>5.8499999999999996E-2</v>
      </c>
      <c r="R305" s="5"/>
      <c r="S305" s="5"/>
      <c r="T305" s="5"/>
      <c r="V305" t="s">
        <v>477</v>
      </c>
      <c r="W305">
        <f>W161*$B$156</f>
        <v>7.8E-2</v>
      </c>
      <c r="Y305" s="5"/>
      <c r="Z305" s="5"/>
      <c r="AA305" s="5"/>
      <c r="AC305" t="s">
        <v>477</v>
      </c>
      <c r="AD305">
        <f>AD161*$B$156</f>
        <v>9.7500000000000003E-2</v>
      </c>
      <c r="AF305" s="5"/>
      <c r="AG305" s="5"/>
      <c r="AH305" s="5"/>
      <c r="AJ305" t="s">
        <v>477</v>
      </c>
      <c r="AK305">
        <f>AK161*$B$156</f>
        <v>0.11699999999999999</v>
      </c>
      <c r="AM305" s="5"/>
      <c r="AN305" s="5"/>
      <c r="AO305" s="5"/>
      <c r="AQ305" t="s">
        <v>477</v>
      </c>
      <c r="AR305">
        <f>AR161*$B$156</f>
        <v>0.13650000000000001</v>
      </c>
      <c r="AT305" s="5"/>
      <c r="AU305" s="5"/>
      <c r="AV305" s="5"/>
      <c r="AX305" t="s">
        <v>477</v>
      </c>
      <c r="AY305">
        <f>AY161*$B$156</f>
        <v>0.156</v>
      </c>
      <c r="BA305" s="5"/>
      <c r="BB305" s="5"/>
      <c r="BC305" s="5"/>
    </row>
    <row r="306" spans="1:58" s="299" customFormat="1" ht="15" customHeight="1" x14ac:dyDescent="0.25">
      <c r="A306" s="299" t="s">
        <v>479</v>
      </c>
      <c r="B306" s="300">
        <f ca="1">($B$38/1000)^2*((19.2*B304)/($B$72*B305))^(3/2)</f>
        <v>119.12611856578575</v>
      </c>
      <c r="C306" s="299" t="s">
        <v>344</v>
      </c>
      <c r="D306" s="301"/>
      <c r="E306" s="301"/>
      <c r="F306" s="301"/>
      <c r="H306" s="299" t="s">
        <v>479</v>
      </c>
      <c r="I306" s="300">
        <f ca="1">($B$38/1000)^2*((19.2*I304)/($B$72*I305))^(3/2)</f>
        <v>33.43636131057206</v>
      </c>
      <c r="J306" s="299" t="s">
        <v>344</v>
      </c>
      <c r="K306" s="301"/>
      <c r="L306" s="301"/>
      <c r="M306" s="301"/>
      <c r="O306" s="299" t="s">
        <v>479</v>
      </c>
      <c r="P306" s="300">
        <f ca="1">($B$38/1000)^2*((19.2*P304)/($B$72*P305))^(3/2)</f>
        <v>15.901706438615589</v>
      </c>
      <c r="Q306" s="299" t="s">
        <v>344</v>
      </c>
      <c r="R306" s="301"/>
      <c r="S306" s="301"/>
      <c r="T306" s="301"/>
      <c r="V306" s="299" t="s">
        <v>479</v>
      </c>
      <c r="W306" s="300">
        <f ca="1">($B$38/1000)^2*((19.2*W304)/($B$72*W305))^(3/2)</f>
        <v>9.3849297798931186</v>
      </c>
      <c r="X306" s="299" t="s">
        <v>344</v>
      </c>
      <c r="Y306" s="301"/>
      <c r="Z306" s="301"/>
      <c r="AA306" s="301"/>
      <c r="AC306" s="299" t="s">
        <v>479</v>
      </c>
      <c r="AD306" s="300">
        <f ca="1">($B$38/1000)^2*((19.2*AD304)/($B$72*AD305))^(3/2)</f>
        <v>6.2344044559801421</v>
      </c>
      <c r="AE306" s="299" t="s">
        <v>344</v>
      </c>
      <c r="AF306" s="301"/>
      <c r="AG306" s="301"/>
      <c r="AH306" s="301"/>
      <c r="AJ306" s="299" t="s">
        <v>479</v>
      </c>
      <c r="AK306" s="300">
        <f ca="1">($B$38/1000)^2*((19.2*AK304)/($B$72*AK305))^(3/2)</f>
        <v>4.4632966165398864</v>
      </c>
      <c r="AL306" s="299" t="s">
        <v>344</v>
      </c>
      <c r="AM306" s="301"/>
      <c r="AN306" s="301"/>
      <c r="AO306" s="301"/>
      <c r="AQ306" s="299" t="s">
        <v>479</v>
      </c>
      <c r="AR306" s="300">
        <f ca="1">($B$38/1000)^2*((19.2*AR304)/($B$72*AR305))^(3/2)</f>
        <v>3.3646685149160231</v>
      </c>
      <c r="AS306" s="299" t="s">
        <v>344</v>
      </c>
      <c r="AT306" s="301"/>
      <c r="AU306" s="301"/>
      <c r="AV306" s="301"/>
      <c r="AX306" s="299" t="s">
        <v>479</v>
      </c>
      <c r="AY306" s="300">
        <f ca="1">($B$38/1000)^2*((19.2*AY304)/($B$72*AY305))^(3/2)</f>
        <v>2.6341654271356374</v>
      </c>
      <c r="AZ306" s="299" t="s">
        <v>344</v>
      </c>
      <c r="BA306" s="301"/>
      <c r="BB306" s="301"/>
      <c r="BC306" s="301"/>
    </row>
    <row r="307" spans="1:58" ht="15.75" customHeight="1" x14ac:dyDescent="0.25">
      <c r="A307" t="s">
        <v>504</v>
      </c>
      <c r="B307" s="6">
        <f ca="1">B306*$B$138</f>
        <v>119.12611856578575</v>
      </c>
      <c r="C307" t="s">
        <v>344</v>
      </c>
      <c r="D307" s="5"/>
      <c r="E307" s="5"/>
      <c r="F307" s="5"/>
      <c r="H307" t="s">
        <v>504</v>
      </c>
      <c r="I307" s="6">
        <f t="shared" ref="I307" ca="1" si="245">I306*$B$138</f>
        <v>33.43636131057206</v>
      </c>
      <c r="J307" t="s">
        <v>344</v>
      </c>
      <c r="K307" s="5"/>
      <c r="L307" s="5"/>
      <c r="M307" s="5"/>
      <c r="O307" t="s">
        <v>504</v>
      </c>
      <c r="P307" s="6">
        <f t="shared" ref="P307" ca="1" si="246">P306*$B$138</f>
        <v>15.901706438615589</v>
      </c>
      <c r="Q307" t="s">
        <v>344</v>
      </c>
      <c r="R307" s="5"/>
      <c r="S307" s="5"/>
      <c r="T307" s="5"/>
      <c r="V307" t="s">
        <v>504</v>
      </c>
      <c r="W307" s="6">
        <f t="shared" ref="W307" ca="1" si="247">W306*$B$138</f>
        <v>9.3849297798931186</v>
      </c>
      <c r="X307" t="s">
        <v>344</v>
      </c>
      <c r="Y307" s="5"/>
      <c r="Z307" s="5"/>
      <c r="AA307" s="5"/>
      <c r="AC307" t="s">
        <v>504</v>
      </c>
      <c r="AD307" s="6">
        <f t="shared" ref="AD307" ca="1" si="248">AD306*$B$138</f>
        <v>6.2344044559801421</v>
      </c>
      <c r="AE307" t="s">
        <v>344</v>
      </c>
      <c r="AF307" s="5"/>
      <c r="AG307" s="5"/>
      <c r="AH307" s="5"/>
      <c r="AJ307" t="s">
        <v>504</v>
      </c>
      <c r="AK307" s="6">
        <f t="shared" ref="AK307" ca="1" si="249">AK306*$B$138</f>
        <v>4.4632966165398864</v>
      </c>
      <c r="AL307" t="s">
        <v>344</v>
      </c>
      <c r="AM307" s="5"/>
      <c r="AN307" s="5"/>
      <c r="AO307" s="5"/>
      <c r="AQ307" t="s">
        <v>504</v>
      </c>
      <c r="AR307" s="6">
        <f t="shared" ref="AR307" ca="1" si="250">AR306*$B$138</f>
        <v>3.3646685149160231</v>
      </c>
      <c r="AS307" t="s">
        <v>344</v>
      </c>
      <c r="AT307" s="5"/>
      <c r="AU307" s="5"/>
      <c r="AV307" s="5"/>
      <c r="AX307" t="s">
        <v>504</v>
      </c>
      <c r="AY307" s="6">
        <f t="shared" ref="AY307" ca="1" si="251">AY306*$B$138</f>
        <v>2.6341654271356374</v>
      </c>
      <c r="AZ307" t="s">
        <v>344</v>
      </c>
      <c r="BA307" s="5"/>
      <c r="BB307" s="5"/>
      <c r="BC307" s="5"/>
    </row>
    <row r="308" spans="1:58" x14ac:dyDescent="0.25">
      <c r="B308" s="6"/>
      <c r="D308" s="5"/>
      <c r="E308" s="5"/>
      <c r="F308" s="5"/>
      <c r="I308" s="6"/>
      <c r="K308" s="5"/>
      <c r="L308" s="5"/>
      <c r="M308" s="5"/>
      <c r="P308" s="6"/>
      <c r="R308" s="5"/>
      <c r="S308" s="5"/>
      <c r="T308" s="5"/>
      <c r="W308" s="6"/>
      <c r="Y308" s="5"/>
      <c r="Z308" s="5"/>
      <c r="AA308" s="5"/>
      <c r="AD308" s="6"/>
      <c r="AF308" s="5"/>
      <c r="AG308" s="5"/>
      <c r="AH308" s="5"/>
      <c r="AK308" s="6"/>
      <c r="AM308" s="5"/>
      <c r="AN308" s="5"/>
      <c r="AO308" s="5"/>
      <c r="AR308" s="6"/>
      <c r="AT308" s="5"/>
      <c r="AU308" s="5"/>
      <c r="AV308" s="5"/>
      <c r="AY308" s="6"/>
      <c r="BA308" s="5"/>
      <c r="BB308" s="5"/>
      <c r="BC308" s="5"/>
    </row>
    <row r="309" spans="1:58" x14ac:dyDescent="0.25">
      <c r="A309" s="3" t="s">
        <v>475</v>
      </c>
      <c r="B309" s="6"/>
      <c r="D309" s="5"/>
      <c r="E309" s="5"/>
      <c r="F309" s="5"/>
      <c r="H309" s="3" t="s">
        <v>475</v>
      </c>
      <c r="I309" s="6"/>
      <c r="K309" s="5"/>
      <c r="L309" s="5"/>
      <c r="M309" s="5"/>
      <c r="O309" s="3" t="s">
        <v>475</v>
      </c>
      <c r="P309" s="6"/>
      <c r="R309" s="5"/>
      <c r="S309" s="5"/>
      <c r="T309" s="5"/>
      <c r="V309" s="3" t="s">
        <v>475</v>
      </c>
      <c r="W309" s="6"/>
      <c r="Y309" s="5"/>
      <c r="Z309" s="5"/>
      <c r="AA309" s="5"/>
      <c r="AC309" s="3" t="s">
        <v>475</v>
      </c>
      <c r="AD309" s="6"/>
      <c r="AF309" s="5"/>
      <c r="AG309" s="5"/>
      <c r="AH309" s="5"/>
      <c r="AJ309" s="3" t="s">
        <v>475</v>
      </c>
      <c r="AK309" s="6"/>
      <c r="AM309" s="5"/>
      <c r="AN309" s="5"/>
      <c r="AO309" s="5"/>
      <c r="AQ309" s="3" t="s">
        <v>475</v>
      </c>
      <c r="AR309" s="6"/>
      <c r="AT309" s="5"/>
      <c r="AU309" s="5"/>
      <c r="AV309" s="5"/>
      <c r="AX309" s="3" t="s">
        <v>475</v>
      </c>
      <c r="AY309" s="6"/>
      <c r="BA309" s="5"/>
      <c r="BB309" s="5"/>
      <c r="BC309" s="5"/>
    </row>
    <row r="310" spans="1:58" x14ac:dyDescent="0.25">
      <c r="A310" t="s">
        <v>476</v>
      </c>
      <c r="B310">
        <v>1.1040000000000001</v>
      </c>
      <c r="D310" s="5"/>
      <c r="E310" s="5"/>
      <c r="F310" s="5"/>
      <c r="H310" t="s">
        <v>476</v>
      </c>
      <c r="I310">
        <v>0.97099999999999997</v>
      </c>
      <c r="K310" s="5"/>
      <c r="L310" s="5"/>
      <c r="M310" s="5"/>
      <c r="O310" t="s">
        <v>476</v>
      </c>
      <c r="P310">
        <v>0.90100000000000002</v>
      </c>
      <c r="R310" s="5"/>
      <c r="S310" s="5"/>
      <c r="T310" s="5"/>
      <c r="V310" t="s">
        <v>476</v>
      </c>
      <c r="W310">
        <v>0.85399999999999998</v>
      </c>
      <c r="Y310" s="5"/>
      <c r="Z310" s="5"/>
      <c r="AA310" s="5"/>
      <c r="AC310" t="s">
        <v>476</v>
      </c>
      <c r="AD310">
        <v>0.82</v>
      </c>
      <c r="AF310" s="5"/>
      <c r="AG310" s="5"/>
      <c r="AH310" s="5"/>
      <c r="AJ310" t="s">
        <v>476</v>
      </c>
      <c r="AK310">
        <v>0.79200000000000004</v>
      </c>
      <c r="AM310" s="5"/>
      <c r="AN310" s="5"/>
      <c r="AO310" s="5"/>
      <c r="AQ310" t="s">
        <v>476</v>
      </c>
      <c r="AR310">
        <v>0.77</v>
      </c>
      <c r="AT310" s="5"/>
      <c r="AU310" s="5"/>
      <c r="AV310" s="5"/>
      <c r="AX310" t="s">
        <v>476</v>
      </c>
      <c r="AY310">
        <v>0.751</v>
      </c>
      <c r="BA310" s="5"/>
      <c r="BB310" s="5"/>
      <c r="BC310" s="5"/>
    </row>
    <row r="311" spans="1:58" x14ac:dyDescent="0.25">
      <c r="A311" t="s">
        <v>477</v>
      </c>
      <c r="B311">
        <f>B161*$B$156</f>
        <v>1.95E-2</v>
      </c>
      <c r="D311" s="5"/>
      <c r="E311" s="5"/>
      <c r="F311" s="5"/>
      <c r="H311" t="s">
        <v>477</v>
      </c>
      <c r="I311">
        <f>I161*$B$156</f>
        <v>3.9E-2</v>
      </c>
      <c r="K311" s="5"/>
      <c r="L311" s="5"/>
      <c r="M311" s="5"/>
      <c r="O311" t="s">
        <v>477</v>
      </c>
      <c r="P311">
        <f>P161*$B$156</f>
        <v>5.8499999999999996E-2</v>
      </c>
      <c r="R311" s="5"/>
      <c r="S311" s="5"/>
      <c r="T311" s="5"/>
      <c r="V311" t="s">
        <v>477</v>
      </c>
      <c r="W311">
        <f>W161*$B$156</f>
        <v>7.8E-2</v>
      </c>
      <c r="Y311" s="5"/>
      <c r="Z311" s="5"/>
      <c r="AA311" s="5"/>
      <c r="AC311" t="s">
        <v>477</v>
      </c>
      <c r="AD311">
        <f>AD161*$B$156</f>
        <v>9.7500000000000003E-2</v>
      </c>
      <c r="AF311" s="5"/>
      <c r="AG311" s="5"/>
      <c r="AH311" s="5"/>
      <c r="AJ311" t="s">
        <v>477</v>
      </c>
      <c r="AK311">
        <f>AK161*$B$156</f>
        <v>0.11699999999999999</v>
      </c>
      <c r="AM311" s="5"/>
      <c r="AN311" s="5"/>
      <c r="AO311" s="5"/>
      <c r="AQ311" t="s">
        <v>477</v>
      </c>
      <c r="AR311">
        <f>AR161*$B$156</f>
        <v>0.13650000000000001</v>
      </c>
      <c r="AT311" s="5"/>
      <c r="AU311" s="5"/>
      <c r="AV311" s="5"/>
      <c r="AX311" t="s">
        <v>477</v>
      </c>
      <c r="AY311">
        <f>AY161*$B$156</f>
        <v>0.156</v>
      </c>
      <c r="BA311" s="5"/>
      <c r="BB311" s="5"/>
      <c r="BC311" s="5"/>
    </row>
    <row r="312" spans="1:58" s="299" customFormat="1" x14ac:dyDescent="0.25">
      <c r="A312" s="299" t="s">
        <v>479</v>
      </c>
      <c r="B312" s="300">
        <f ca="1">($B$38/1000)^2*((19.2*B310)/($B$72*B311))^(3/2)</f>
        <v>161.68888048148276</v>
      </c>
      <c r="C312" s="299" t="s">
        <v>344</v>
      </c>
      <c r="D312" s="301"/>
      <c r="E312" s="301"/>
      <c r="F312" s="301"/>
      <c r="H312" s="299" t="s">
        <v>479</v>
      </c>
      <c r="I312" s="300">
        <f ca="1">($B$38/1000)^2*((19.2*I310)/($B$72*I311))^(3/2)</f>
        <v>47.153115781182841</v>
      </c>
      <c r="J312" s="299" t="s">
        <v>344</v>
      </c>
      <c r="K312" s="301"/>
      <c r="L312" s="301"/>
      <c r="M312" s="301"/>
      <c r="O312" s="299" t="s">
        <v>479</v>
      </c>
      <c r="P312" s="300">
        <f ca="1">($B$38/1000)^2*((19.2*P310)/($B$72*P311))^(3/2)</f>
        <v>22.942030264325659</v>
      </c>
      <c r="Q312" s="299" t="s">
        <v>344</v>
      </c>
      <c r="R312" s="301"/>
      <c r="S312" s="301"/>
      <c r="T312" s="301"/>
      <c r="V312" s="299" t="s">
        <v>479</v>
      </c>
      <c r="W312" s="300">
        <f ca="1">($B$38/1000)^2*((19.2*W310)/($B$72*W311))^(3/2)</f>
        <v>13.750654275011614</v>
      </c>
      <c r="X312" s="299" t="s">
        <v>344</v>
      </c>
      <c r="Y312" s="301"/>
      <c r="Z312" s="301"/>
      <c r="AA312" s="301"/>
      <c r="AC312" s="299" t="s">
        <v>479</v>
      </c>
      <c r="AD312" s="300">
        <f ca="1">($B$38/1000)^2*((19.2*AD310)/($B$72*AD311))^(3/2)</f>
        <v>9.2574700570847011</v>
      </c>
      <c r="AE312" s="299" t="s">
        <v>344</v>
      </c>
      <c r="AF312" s="301"/>
      <c r="AG312" s="301"/>
      <c r="AH312" s="301"/>
      <c r="AJ312" s="299" t="s">
        <v>479</v>
      </c>
      <c r="AK312" s="300">
        <f ca="1">($B$38/1000)^2*((19.2*AK310)/($B$72*AK311))^(3/2)</f>
        <v>6.6847849532952157</v>
      </c>
      <c r="AL312" s="299" t="s">
        <v>344</v>
      </c>
      <c r="AM312" s="301"/>
      <c r="AN312" s="301"/>
      <c r="AO312" s="301"/>
      <c r="AQ312" s="299" t="s">
        <v>479</v>
      </c>
      <c r="AR312" s="300">
        <f ca="1">($B$38/1000)^2*((19.2*AR310)/($B$72*AR311))^(3/2)</f>
        <v>5.0852882097095922</v>
      </c>
      <c r="AS312" s="299" t="s">
        <v>344</v>
      </c>
      <c r="AT312" s="301"/>
      <c r="AU312" s="301"/>
      <c r="AV312" s="301"/>
      <c r="AX312" s="299" t="s">
        <v>479</v>
      </c>
      <c r="AY312" s="300">
        <f ca="1">($B$38/1000)^2*((19.2*AY310)/($B$72*AY311))^(3/2)</f>
        <v>4.0091422782495076</v>
      </c>
      <c r="AZ312" s="299" t="s">
        <v>344</v>
      </c>
      <c r="BA312" s="301"/>
      <c r="BB312" s="301"/>
      <c r="BC312" s="301"/>
    </row>
    <row r="313" spans="1:58" x14ac:dyDescent="0.25">
      <c r="A313" t="s">
        <v>504</v>
      </c>
      <c r="B313" s="6">
        <f ca="1">B312*$B$138</f>
        <v>161.68888048148276</v>
      </c>
      <c r="C313" t="s">
        <v>344</v>
      </c>
      <c r="D313" s="5"/>
      <c r="E313" s="5"/>
      <c r="F313" s="5"/>
      <c r="H313" t="s">
        <v>504</v>
      </c>
      <c r="I313" s="6">
        <f t="shared" ref="I313" ca="1" si="252">I312*$B$138</f>
        <v>47.153115781182841</v>
      </c>
      <c r="J313" t="s">
        <v>344</v>
      </c>
      <c r="K313" s="5"/>
      <c r="L313" s="5"/>
      <c r="M313" s="5"/>
      <c r="O313" t="s">
        <v>504</v>
      </c>
      <c r="P313" s="6">
        <f t="shared" ref="P313" ca="1" si="253">P312*$B$138</f>
        <v>22.942030264325659</v>
      </c>
      <c r="Q313" t="s">
        <v>344</v>
      </c>
      <c r="R313" s="5"/>
      <c r="S313" s="5"/>
      <c r="T313" s="5"/>
      <c r="V313" t="s">
        <v>504</v>
      </c>
      <c r="W313" s="6">
        <f t="shared" ref="W313" ca="1" si="254">W312*$B$138</f>
        <v>13.750654275011614</v>
      </c>
      <c r="X313" t="s">
        <v>344</v>
      </c>
      <c r="Y313" s="5"/>
      <c r="Z313" s="5"/>
      <c r="AA313" s="5"/>
      <c r="AC313" t="s">
        <v>504</v>
      </c>
      <c r="AD313" s="6">
        <f t="shared" ref="AD313" ca="1" si="255">AD312*$B$138</f>
        <v>9.2574700570847011</v>
      </c>
      <c r="AE313" t="s">
        <v>344</v>
      </c>
      <c r="AF313" s="5"/>
      <c r="AG313" s="5"/>
      <c r="AH313" s="5"/>
      <c r="AJ313" t="s">
        <v>504</v>
      </c>
      <c r="AK313" s="6">
        <f t="shared" ref="AK313" ca="1" si="256">AK312*$B$138</f>
        <v>6.6847849532952157</v>
      </c>
      <c r="AL313" t="s">
        <v>344</v>
      </c>
      <c r="AM313" s="5"/>
      <c r="AN313" s="5"/>
      <c r="AO313" s="5"/>
      <c r="AQ313" t="s">
        <v>504</v>
      </c>
      <c r="AR313" s="6">
        <f t="shared" ref="AR313" ca="1" si="257">AR312*$B$138</f>
        <v>5.0852882097095922</v>
      </c>
      <c r="AS313" t="s">
        <v>344</v>
      </c>
      <c r="AT313" s="5"/>
      <c r="AU313" s="5"/>
      <c r="AV313" s="5"/>
      <c r="AX313" t="s">
        <v>504</v>
      </c>
      <c r="AY313" s="6">
        <f t="shared" ref="AY313" ca="1" si="258">AY312*$B$138</f>
        <v>4.0091422782495076</v>
      </c>
      <c r="AZ313" t="s">
        <v>344</v>
      </c>
      <c r="BA313" s="5"/>
      <c r="BB313" s="5"/>
      <c r="BC313" s="5"/>
      <c r="BF313" s="6"/>
    </row>
    <row r="314" spans="1:58" x14ac:dyDescent="0.25">
      <c r="B314" s="6"/>
      <c r="D314" s="5"/>
      <c r="E314" s="5"/>
      <c r="F314" s="5"/>
      <c r="I314" s="6"/>
      <c r="K314" s="5"/>
      <c r="L314" s="5"/>
      <c r="M314" s="5"/>
      <c r="P314" s="6"/>
      <c r="R314" s="5"/>
      <c r="S314" s="5"/>
      <c r="T314" s="5"/>
      <c r="W314" s="6"/>
      <c r="Y314" s="5"/>
      <c r="Z314" s="5"/>
      <c r="AA314" s="5"/>
      <c r="AD314" s="6"/>
      <c r="AF314" s="5"/>
      <c r="AG314" s="5"/>
      <c r="AH314" s="5"/>
      <c r="AK314" s="6"/>
      <c r="AM314" s="5"/>
      <c r="AN314" s="5"/>
      <c r="AO314" s="5"/>
      <c r="AR314" s="6"/>
      <c r="AT314" s="5"/>
      <c r="AU314" s="5"/>
      <c r="AV314" s="5"/>
      <c r="AY314" s="6"/>
      <c r="BA314" s="5"/>
      <c r="BB314" s="5"/>
      <c r="BC314" s="5"/>
    </row>
    <row r="315" spans="1:58" x14ac:dyDescent="0.25">
      <c r="A315" s="3" t="s">
        <v>555</v>
      </c>
      <c r="B315" s="6"/>
      <c r="D315" s="5"/>
      <c r="E315" s="5"/>
      <c r="F315" s="5"/>
      <c r="H315" s="3" t="s">
        <v>555</v>
      </c>
      <c r="I315" s="6"/>
      <c r="K315" s="5"/>
      <c r="L315" s="5"/>
      <c r="M315" s="5"/>
      <c r="O315" s="3" t="s">
        <v>555</v>
      </c>
      <c r="P315" s="6"/>
      <c r="R315" s="5"/>
      <c r="S315" s="5"/>
      <c r="T315" s="5"/>
      <c r="V315" s="3" t="s">
        <v>555</v>
      </c>
      <c r="W315" s="6"/>
      <c r="Y315" s="5"/>
      <c r="Z315" s="5"/>
      <c r="AA315" s="5"/>
      <c r="AC315" s="3" t="s">
        <v>555</v>
      </c>
      <c r="AD315" s="6"/>
      <c r="AF315" s="5"/>
      <c r="AG315" s="5"/>
      <c r="AH315" s="5"/>
      <c r="AJ315" s="3" t="s">
        <v>555</v>
      </c>
      <c r="AK315" s="6"/>
      <c r="AM315" s="5"/>
      <c r="AN315" s="5"/>
      <c r="AO315" s="5"/>
      <c r="AQ315" s="3" t="s">
        <v>555</v>
      </c>
      <c r="AR315" s="6"/>
      <c r="AT315" s="5"/>
      <c r="AU315" s="5"/>
      <c r="AV315" s="5"/>
      <c r="AX315" s="3" t="s">
        <v>555</v>
      </c>
      <c r="AY315" s="6"/>
      <c r="BA315" s="5"/>
      <c r="BB315" s="5"/>
      <c r="BC315" s="5"/>
    </row>
    <row r="316" spans="1:58" x14ac:dyDescent="0.25">
      <c r="A316" t="s">
        <v>632</v>
      </c>
      <c r="B316" s="6">
        <f ca="1">IF(B301&gt;B313,B301,B313)</f>
        <v>161.68888048148276</v>
      </c>
      <c r="C316" t="s">
        <v>344</v>
      </c>
      <c r="D316" s="5"/>
      <c r="E316" s="5"/>
      <c r="F316" s="5"/>
      <c r="H316" t="s">
        <v>632</v>
      </c>
      <c r="I316" s="6">
        <f ca="1">IF(I313&gt;I313,I313,I313)</f>
        <v>47.153115781182841</v>
      </c>
      <c r="J316" t="s">
        <v>344</v>
      </c>
      <c r="K316" s="5"/>
      <c r="L316" s="5"/>
      <c r="M316" s="5"/>
      <c r="O316" t="s">
        <v>632</v>
      </c>
      <c r="P316" s="6">
        <f t="shared" ref="P316" ca="1" si="259">IF(P313&gt;P313,P313,P313)</f>
        <v>22.942030264325659</v>
      </c>
      <c r="Q316" t="s">
        <v>344</v>
      </c>
      <c r="R316" s="5"/>
      <c r="S316" s="5"/>
      <c r="T316" s="5"/>
      <c r="V316" t="s">
        <v>632</v>
      </c>
      <c r="W316" s="6">
        <f t="shared" ref="W316" ca="1" si="260">IF(W313&gt;W313,W313,W313)</f>
        <v>13.750654275011614</v>
      </c>
      <c r="X316" t="s">
        <v>344</v>
      </c>
      <c r="Y316" s="5"/>
      <c r="Z316" s="5"/>
      <c r="AA316" s="5"/>
      <c r="AC316" t="s">
        <v>632</v>
      </c>
      <c r="AD316" s="6">
        <f t="shared" ref="AD316" ca="1" si="261">IF(AD313&gt;AD313,AD313,AD313)</f>
        <v>9.2574700570847011</v>
      </c>
      <c r="AE316" t="s">
        <v>344</v>
      </c>
      <c r="AF316" s="5"/>
      <c r="AG316" s="5"/>
      <c r="AH316" s="5"/>
      <c r="AJ316" t="s">
        <v>632</v>
      </c>
      <c r="AK316" s="6">
        <f t="shared" ref="AK316" ca="1" si="262">IF(AK313&gt;AK313,AK313,AK313)</f>
        <v>6.6847849532952157</v>
      </c>
      <c r="AL316" t="s">
        <v>344</v>
      </c>
      <c r="AM316" s="5"/>
      <c r="AN316" s="5"/>
      <c r="AO316" s="5"/>
      <c r="AQ316" t="s">
        <v>632</v>
      </c>
      <c r="AR316" s="6">
        <f t="shared" ref="AR316" ca="1" si="263">IF(AR313&gt;AR313,AR313,AR313)</f>
        <v>5.0852882097095922</v>
      </c>
      <c r="AS316" t="s">
        <v>344</v>
      </c>
      <c r="AT316" s="5"/>
      <c r="AU316" s="5"/>
      <c r="AV316" s="5"/>
      <c r="AX316" t="s">
        <v>632</v>
      </c>
      <c r="AY316" s="6">
        <f t="shared" ref="AY316" ca="1" si="264">IF(AY313&gt;AY313,AY313,AY313)</f>
        <v>4.0091422782495076</v>
      </c>
      <c r="AZ316" t="s">
        <v>344</v>
      </c>
      <c r="BA316" s="5"/>
      <c r="BB316" s="5"/>
      <c r="BC316" s="5"/>
    </row>
    <row r="317" spans="1:58" x14ac:dyDescent="0.25">
      <c r="A317" t="s">
        <v>631</v>
      </c>
      <c r="B317" s="6">
        <f ca="1">IF(B313&lt;B301,B313,B301)</f>
        <v>42.985119232190847</v>
      </c>
      <c r="C317" t="s">
        <v>344</v>
      </c>
      <c r="D317" s="5"/>
      <c r="E317" s="5"/>
      <c r="F317" s="5"/>
      <c r="H317" t="s">
        <v>631</v>
      </c>
      <c r="I317" s="6">
        <f t="shared" ref="I317" ca="1" si="265">IF(I313&lt;I301,I313,I301)</f>
        <v>33.07077263064982</v>
      </c>
      <c r="J317" t="s">
        <v>344</v>
      </c>
      <c r="K317" s="5"/>
      <c r="L317" s="5"/>
      <c r="M317" s="5"/>
      <c r="O317" t="s">
        <v>631</v>
      </c>
      <c r="P317" s="6">
        <f t="shared" ref="P317" ca="1" si="266">IF(P313&lt;P301,P313,P301)</f>
        <v>22.942030264325659</v>
      </c>
      <c r="Q317" t="s">
        <v>344</v>
      </c>
      <c r="R317" s="5"/>
      <c r="S317" s="5"/>
      <c r="T317" s="5"/>
      <c r="V317" t="s">
        <v>631</v>
      </c>
      <c r="W317" s="6">
        <f t="shared" ref="W317" ca="1" si="267">IF(W313&lt;W301,W313,W301)</f>
        <v>13.750654275011614</v>
      </c>
      <c r="X317" t="s">
        <v>344</v>
      </c>
      <c r="Y317" s="5"/>
      <c r="Z317" s="5"/>
      <c r="AA317" s="5"/>
      <c r="AC317" t="s">
        <v>631</v>
      </c>
      <c r="AD317" s="6">
        <f t="shared" ref="AD317" ca="1" si="268">IF(AD313&lt;AD301,AD313,AD301)</f>
        <v>9.2574700570847011</v>
      </c>
      <c r="AE317" t="s">
        <v>344</v>
      </c>
      <c r="AF317" s="5"/>
      <c r="AG317" s="5"/>
      <c r="AH317" s="5"/>
      <c r="AJ317" t="s">
        <v>631</v>
      </c>
      <c r="AK317" s="6">
        <f t="shared" ref="AK317" ca="1" si="269">IF(AK313&lt;AK301,AK313,AK301)</f>
        <v>6.6847849532952157</v>
      </c>
      <c r="AL317" t="s">
        <v>344</v>
      </c>
      <c r="AM317" s="5"/>
      <c r="AN317" s="5"/>
      <c r="AO317" s="5"/>
      <c r="AQ317" t="s">
        <v>631</v>
      </c>
      <c r="AR317" s="6">
        <f t="shared" ref="AR317" ca="1" si="270">IF(AR313&lt;AR301,AR313,AR301)</f>
        <v>5.0852882097095922</v>
      </c>
      <c r="AS317" t="s">
        <v>344</v>
      </c>
      <c r="AT317" s="5"/>
      <c r="AU317" s="5"/>
      <c r="AV317" s="5"/>
      <c r="AX317" t="s">
        <v>631</v>
      </c>
      <c r="AY317" s="6">
        <f t="shared" ref="AY317" ca="1" si="271">IF(AY313&lt;AY301,AY313,AY301)</f>
        <v>4.0091422782495076</v>
      </c>
      <c r="AZ317" t="s">
        <v>344</v>
      </c>
      <c r="BA317" s="5"/>
      <c r="BB317" s="5"/>
      <c r="BC317" s="5"/>
    </row>
    <row r="318" spans="1:58" x14ac:dyDescent="0.25">
      <c r="A318" t="s">
        <v>630</v>
      </c>
      <c r="B318" s="6">
        <f ca="1">B317/1.5</f>
        <v>28.656746154793897</v>
      </c>
      <c r="C318" t="s">
        <v>344</v>
      </c>
      <c r="D318" s="5"/>
      <c r="E318" s="5"/>
      <c r="F318" s="5"/>
      <c r="H318" t="s">
        <v>630</v>
      </c>
      <c r="I318" s="6">
        <f t="shared" ref="I318" ca="1" si="272">I317/1.5</f>
        <v>22.047181753766548</v>
      </c>
      <c r="J318" t="s">
        <v>344</v>
      </c>
      <c r="K318" s="5"/>
      <c r="L318" s="5"/>
      <c r="M318" s="5"/>
      <c r="O318" t="s">
        <v>630</v>
      </c>
      <c r="P318" s="6">
        <f t="shared" ref="P318" ca="1" si="273">P317/1.5</f>
        <v>15.294686842883772</v>
      </c>
      <c r="Q318" t="s">
        <v>344</v>
      </c>
      <c r="R318" s="5"/>
      <c r="S318" s="5"/>
      <c r="T318" s="5"/>
      <c r="V318" t="s">
        <v>630</v>
      </c>
      <c r="W318" s="6">
        <f t="shared" ref="W318" ca="1" si="274">W317/1.5</f>
        <v>9.1671028500077423</v>
      </c>
      <c r="X318" t="s">
        <v>344</v>
      </c>
      <c r="Y318" s="5"/>
      <c r="Z318" s="5"/>
      <c r="AA318" s="5"/>
      <c r="AC318" t="s">
        <v>630</v>
      </c>
      <c r="AD318" s="6">
        <f t="shared" ref="AD318" ca="1" si="275">AD317/1.5</f>
        <v>6.171646704723134</v>
      </c>
      <c r="AE318" t="s">
        <v>344</v>
      </c>
      <c r="AF318" s="5"/>
      <c r="AG318" s="5"/>
      <c r="AH318" s="5"/>
      <c r="AJ318" t="s">
        <v>630</v>
      </c>
      <c r="AK318" s="6">
        <f t="shared" ref="AK318" ca="1" si="276">AK317/1.5</f>
        <v>4.4565233021968105</v>
      </c>
      <c r="AL318" t="s">
        <v>344</v>
      </c>
      <c r="AM318" s="5"/>
      <c r="AN318" s="5"/>
      <c r="AO318" s="5"/>
      <c r="AQ318" t="s">
        <v>630</v>
      </c>
      <c r="AR318" s="6">
        <f t="shared" ref="AR318" ca="1" si="277">AR317/1.5</f>
        <v>3.3901921398063948</v>
      </c>
      <c r="AS318" t="s">
        <v>344</v>
      </c>
      <c r="AT318" s="5"/>
      <c r="AU318" s="5"/>
      <c r="AV318" s="5"/>
      <c r="AX318" t="s">
        <v>630</v>
      </c>
      <c r="AY318" s="6">
        <f t="shared" ref="AY318" ca="1" si="278">AY317/1.5</f>
        <v>2.6727615188330049</v>
      </c>
      <c r="AZ318" t="s">
        <v>344</v>
      </c>
      <c r="BA318" s="5"/>
      <c r="BB318" s="5"/>
      <c r="BC318" s="5"/>
    </row>
    <row r="319" spans="1:58" x14ac:dyDescent="0.25">
      <c r="B319" s="6"/>
      <c r="D319" s="5"/>
      <c r="E319" s="5"/>
      <c r="F319" s="5"/>
      <c r="I319" s="6"/>
      <c r="K319" s="5"/>
      <c r="L319" s="5"/>
      <c r="M319" s="5"/>
      <c r="P319" s="6"/>
      <c r="R319" s="5"/>
      <c r="S319" s="5"/>
      <c r="T319" s="5"/>
      <c r="W319" s="6"/>
      <c r="Y319" s="5"/>
      <c r="Z319" s="5"/>
      <c r="AA319" s="5"/>
      <c r="AD319" s="6"/>
      <c r="AF319" s="5"/>
      <c r="AG319" s="5"/>
      <c r="AH319" s="5"/>
      <c r="AK319" s="6"/>
      <c r="AM319" s="5"/>
      <c r="AN319" s="5"/>
      <c r="AO319" s="5"/>
      <c r="AR319" s="6"/>
      <c r="AT319" s="5"/>
      <c r="AU319" s="5"/>
      <c r="AV319" s="5"/>
      <c r="AY319" s="6"/>
      <c r="BA319" s="5"/>
      <c r="BB319" s="5"/>
      <c r="BC319" s="5"/>
    </row>
    <row r="320" spans="1:58" x14ac:dyDescent="0.25">
      <c r="B320" s="6"/>
      <c r="D320" s="5"/>
      <c r="E320" s="5"/>
      <c r="F320" s="5"/>
      <c r="H320" s="3"/>
      <c r="I320" s="6"/>
      <c r="K320" s="5"/>
      <c r="L320" s="5"/>
      <c r="M320" s="5"/>
      <c r="O320" s="3"/>
      <c r="P320" s="298"/>
      <c r="R320" s="5"/>
      <c r="S320" s="5"/>
      <c r="T320" s="5"/>
      <c r="V320" s="3"/>
      <c r="W320" s="298"/>
      <c r="Y320" s="5"/>
      <c r="Z320" s="5"/>
      <c r="AA320" s="5"/>
      <c r="AC320" s="3"/>
      <c r="AD320" s="6"/>
      <c r="AF320" s="5"/>
      <c r="AG320" s="5"/>
      <c r="AH320" s="5"/>
      <c r="AJ320" s="3"/>
      <c r="AK320" s="6"/>
      <c r="AM320" s="5"/>
      <c r="AN320" s="5"/>
      <c r="AO320" s="5"/>
      <c r="AQ320" s="3"/>
      <c r="AR320" s="6"/>
      <c r="AT320" s="5"/>
      <c r="AU320" s="5"/>
      <c r="AV320" s="5"/>
      <c r="AX320" s="3"/>
      <c r="AY320" s="6"/>
      <c r="BA320" s="5"/>
      <c r="BB320" s="5"/>
      <c r="BC320" s="5"/>
    </row>
    <row r="321" spans="1:55" x14ac:dyDescent="0.25">
      <c r="B321" s="6"/>
      <c r="D321" s="5"/>
      <c r="E321" s="5"/>
      <c r="F321" s="5"/>
      <c r="H321" s="3"/>
      <c r="I321" s="6"/>
      <c r="K321" s="5"/>
      <c r="L321" s="5"/>
      <c r="M321" s="5"/>
      <c r="O321" s="3"/>
      <c r="P321" s="298"/>
      <c r="R321" s="5"/>
      <c r="S321" s="5"/>
      <c r="T321" s="5"/>
      <c r="V321" s="3"/>
      <c r="W321" s="298"/>
      <c r="Y321" s="5"/>
      <c r="Z321" s="5"/>
      <c r="AA321" s="5"/>
      <c r="AC321" s="3"/>
      <c r="AD321" s="6"/>
      <c r="AF321" s="5"/>
      <c r="AG321" s="5"/>
      <c r="AH321" s="5"/>
      <c r="AJ321" s="3"/>
      <c r="AK321" s="6"/>
      <c r="AM321" s="5"/>
      <c r="AN321" s="5"/>
      <c r="AO321" s="5"/>
      <c r="AQ321" s="3"/>
      <c r="AR321" s="6"/>
      <c r="AT321" s="5"/>
      <c r="AU321" s="5"/>
      <c r="AV321" s="5"/>
      <c r="AX321" s="3"/>
      <c r="AY321" s="6"/>
      <c r="BA321" s="5"/>
      <c r="BB321" s="5"/>
      <c r="BC321" s="5"/>
    </row>
    <row r="322" spans="1:55" x14ac:dyDescent="0.25">
      <c r="A322" t="s">
        <v>485</v>
      </c>
      <c r="B322" s="6">
        <f ca="1">19.2*B310/B311*(($B$38/1000)^2/$B$29)^(2/3)</f>
        <v>9.626051777457258</v>
      </c>
      <c r="C322" t="s">
        <v>149</v>
      </c>
      <c r="D322" s="5"/>
      <c r="E322" s="5"/>
      <c r="F322" s="5"/>
      <c r="H322" t="s">
        <v>485</v>
      </c>
      <c r="I322" s="6">
        <f ca="1">19.2*I310/I311*(($B$38/1000)^2/$B$29)^(2/3)</f>
        <v>4.233195777133604</v>
      </c>
      <c r="J322" t="s">
        <v>149</v>
      </c>
      <c r="K322" s="5"/>
      <c r="L322" s="5"/>
      <c r="M322" s="5"/>
      <c r="O322" t="s">
        <v>485</v>
      </c>
      <c r="P322" s="6">
        <f ca="1">19.2*P310/P311*(($B$38/1000)^2/$B$29)^(2/3)</f>
        <v>2.618681356125903</v>
      </c>
      <c r="Q322" t="s">
        <v>149</v>
      </c>
      <c r="R322" s="5"/>
      <c r="S322" s="5"/>
      <c r="T322" s="5"/>
      <c r="V322" t="s">
        <v>485</v>
      </c>
      <c r="W322" s="6">
        <f ca="1">19.2*W310/W311*(($B$38/1000)^2/$B$29)^(2/3)</f>
        <v>1.8615598319629751</v>
      </c>
      <c r="X322" t="s">
        <v>149</v>
      </c>
      <c r="Y322" s="5"/>
      <c r="Z322" s="5"/>
      <c r="AA322" s="5"/>
      <c r="AC322" t="s">
        <v>485</v>
      </c>
      <c r="AD322" s="6">
        <f ca="1">19.2*AD310/AD311*(($B$38/1000)^2/$B$29)^(2/3)</f>
        <v>1.4299569669411141</v>
      </c>
      <c r="AE322" t="s">
        <v>149</v>
      </c>
      <c r="AF322" s="5"/>
      <c r="AG322" s="5"/>
      <c r="AH322" s="5"/>
      <c r="AJ322" t="s">
        <v>485</v>
      </c>
      <c r="AK322" s="6">
        <f ca="1">19.2*AK310/AK311*(($B$38/1000)^2/$B$29)^(2/3)</f>
        <v>1.1509409733916289</v>
      </c>
      <c r="AL322" t="s">
        <v>149</v>
      </c>
      <c r="AM322" s="5"/>
      <c r="AN322" s="5"/>
      <c r="AO322" s="5"/>
      <c r="AQ322" t="s">
        <v>485</v>
      </c>
      <c r="AR322" s="6">
        <f ca="1">19.2*AR310/AR311*(($B$38/1000)^2/$B$29)^(2/3)</f>
        <v>0.95911747782635715</v>
      </c>
      <c r="AS322" t="s">
        <v>149</v>
      </c>
      <c r="AT322" s="5"/>
      <c r="AU322" s="5"/>
      <c r="AV322" s="5"/>
      <c r="AX322" t="s">
        <v>485</v>
      </c>
      <c r="AY322" s="6">
        <f ca="1">19.2*AY310/AY311*(($B$38/1000)^2/$B$29)^(2/3)</f>
        <v>0.8185195748268117</v>
      </c>
      <c r="AZ322" t="s">
        <v>149</v>
      </c>
      <c r="BA322" s="5"/>
      <c r="BB322" s="5"/>
      <c r="BC322" s="5"/>
    </row>
    <row r="323" spans="1:55" x14ac:dyDescent="0.25">
      <c r="B323" s="6"/>
      <c r="D323" s="5"/>
      <c r="E323" s="5"/>
      <c r="F323" s="5"/>
      <c r="I323" s="6"/>
      <c r="K323" s="5"/>
      <c r="L323" s="5"/>
      <c r="M323" s="5"/>
      <c r="P323" s="6"/>
      <c r="R323" s="5"/>
      <c r="S323" s="5"/>
      <c r="T323" s="5"/>
      <c r="W323" s="6"/>
      <c r="Y323" s="5"/>
      <c r="Z323" s="5"/>
      <c r="AA323" s="5"/>
      <c r="AD323" s="6"/>
      <c r="AF323" s="5"/>
      <c r="AG323" s="5"/>
      <c r="AH323" s="5"/>
      <c r="AK323" s="6"/>
      <c r="AM323" s="5"/>
      <c r="AN323" s="5"/>
      <c r="AO323" s="5"/>
      <c r="AR323" s="6"/>
      <c r="AT323" s="5"/>
      <c r="AU323" s="5"/>
      <c r="AV323" s="5"/>
      <c r="AY323" s="6"/>
      <c r="BA323" s="5"/>
      <c r="BB323" s="5"/>
      <c r="BC323" s="5"/>
    </row>
    <row r="324" spans="1:55" x14ac:dyDescent="0.25">
      <c r="A324" s="224" t="s">
        <v>503</v>
      </c>
      <c r="B324" s="223"/>
      <c r="C324" s="222"/>
      <c r="D324" s="222"/>
      <c r="E324" s="222"/>
      <c r="F324" s="222"/>
      <c r="G324" s="222"/>
      <c r="H324" s="222"/>
      <c r="I324" s="222"/>
      <c r="J324" s="222"/>
      <c r="K324" s="222"/>
      <c r="L324" s="222"/>
      <c r="M324" s="222"/>
      <c r="N324" s="222"/>
      <c r="O324" s="222"/>
      <c r="P324" s="222"/>
      <c r="Q324" s="222"/>
      <c r="R324" s="222"/>
      <c r="S324" s="222"/>
      <c r="T324" s="222"/>
      <c r="U324" s="222"/>
      <c r="V324" s="222"/>
      <c r="W324" s="222"/>
      <c r="X324" s="222"/>
      <c r="Y324" s="222"/>
      <c r="Z324" s="222"/>
      <c r="AA324" s="222"/>
      <c r="AB324" s="222"/>
      <c r="AC324" s="222"/>
      <c r="AD324" s="3"/>
      <c r="AK324" s="3"/>
      <c r="AR324" s="3"/>
      <c r="AY324" s="3"/>
    </row>
    <row r="325" spans="1:55" x14ac:dyDescent="0.25">
      <c r="A325" t="s">
        <v>557</v>
      </c>
      <c r="B325" s="6">
        <f ca="1">B313+$B$145</f>
        <v>165.68888048148276</v>
      </c>
      <c r="C325" t="s">
        <v>344</v>
      </c>
      <c r="H325" t="s">
        <v>557</v>
      </c>
      <c r="I325" s="6">
        <f ca="1">I313+$B$145</f>
        <v>51.153115781182841</v>
      </c>
      <c r="J325" t="s">
        <v>344</v>
      </c>
      <c r="O325" t="s">
        <v>557</v>
      </c>
      <c r="P325" s="6">
        <f ca="1">P313+$B$145</f>
        <v>26.942030264325659</v>
      </c>
      <c r="Q325" t="s">
        <v>344</v>
      </c>
      <c r="V325" t="s">
        <v>557</v>
      </c>
      <c r="W325" s="6">
        <f ca="1">W313+$B$145</f>
        <v>17.750654275011613</v>
      </c>
      <c r="X325" t="s">
        <v>344</v>
      </c>
      <c r="AC325" t="s">
        <v>557</v>
      </c>
      <c r="AD325" s="6">
        <f ca="1">AD313+$B$145</f>
        <v>13.257470057084701</v>
      </c>
      <c r="AE325" t="s">
        <v>344</v>
      </c>
      <c r="AJ325" t="s">
        <v>557</v>
      </c>
      <c r="AK325" s="6">
        <f ca="1">AK313+$B$145</f>
        <v>10.684784953295216</v>
      </c>
      <c r="AL325" t="s">
        <v>344</v>
      </c>
      <c r="AQ325" t="s">
        <v>557</v>
      </c>
      <c r="AR325" s="6">
        <f ca="1">AR313+$B$145</f>
        <v>9.0852882097095922</v>
      </c>
      <c r="AS325" t="s">
        <v>344</v>
      </c>
      <c r="AX325" t="s">
        <v>557</v>
      </c>
      <c r="AY325" s="6">
        <f ca="1">AY313+$B$145</f>
        <v>8.0091422782495076</v>
      </c>
      <c r="AZ325" t="s">
        <v>344</v>
      </c>
    </row>
    <row r="326" spans="1:55" x14ac:dyDescent="0.25">
      <c r="A326" t="s">
        <v>512</v>
      </c>
      <c r="B326" s="6">
        <f ca="1">B325+$B$57</f>
        <v>181.68888048148276</v>
      </c>
      <c r="D326" s="6"/>
      <c r="H326" t="s">
        <v>512</v>
      </c>
      <c r="I326" s="6">
        <f t="shared" ref="I326" ca="1" si="279">I325+$B$57</f>
        <v>67.153115781182834</v>
      </c>
      <c r="K326" s="6"/>
      <c r="O326" t="s">
        <v>512</v>
      </c>
      <c r="P326" s="6">
        <f t="shared" ref="P326" ca="1" si="280">P325+$B$57</f>
        <v>42.942030264325659</v>
      </c>
      <c r="R326" s="6"/>
      <c r="V326" t="s">
        <v>512</v>
      </c>
      <c r="W326" s="6">
        <f t="shared" ref="W326" ca="1" si="281">W325+$B$57</f>
        <v>33.750654275011613</v>
      </c>
      <c r="Y326" s="6"/>
      <c r="AC326" t="s">
        <v>512</v>
      </c>
      <c r="AD326" s="6">
        <f t="shared" ref="AD326" ca="1" si="282">AD325+$B$57</f>
        <v>29.257470057084703</v>
      </c>
      <c r="AF326" s="6"/>
      <c r="AJ326" t="s">
        <v>512</v>
      </c>
      <c r="AK326" s="6">
        <f t="shared" ref="AK326" ca="1" si="283">AK325+$B$57</f>
        <v>26.684784953295214</v>
      </c>
      <c r="AM326" s="6"/>
      <c r="AQ326" t="s">
        <v>512</v>
      </c>
      <c r="AR326" s="6">
        <f t="shared" ref="AR326" ca="1" si="284">AR325+$B$57</f>
        <v>25.085288209709592</v>
      </c>
      <c r="AT326" s="6"/>
      <c r="AX326" t="s">
        <v>512</v>
      </c>
      <c r="AY326" s="6">
        <f t="shared" ref="AY326" ca="1" si="285">AY325+$B$57</f>
        <v>24.009142278249506</v>
      </c>
      <c r="BA326" s="6"/>
    </row>
    <row r="327" spans="1:55" x14ac:dyDescent="0.25">
      <c r="A327" t="s">
        <v>558</v>
      </c>
      <c r="B327" s="6" t="str">
        <f ca="1">IF(OR(B326&lt;$D$145,B326&gt;40),"n.r.",IF(B326&lt;22,22,IF(B326&gt;30,30,B326)))</f>
        <v>n.r.</v>
      </c>
      <c r="H327" t="s">
        <v>558</v>
      </c>
      <c r="I327" s="6" t="str">
        <f t="shared" ref="I327" ca="1" si="286">IF(OR(I326&lt;$D$145,I326&gt;40),"n.r.",IF(I326&lt;22,22,IF(I326&gt;30,30,I326)))</f>
        <v>n.r.</v>
      </c>
      <c r="O327" t="s">
        <v>558</v>
      </c>
      <c r="P327" s="6" t="str">
        <f t="shared" ref="P327" ca="1" si="287">IF(OR(P326&lt;$D$145,P326&gt;40),"n.r.",IF(P326&lt;22,22,IF(P326&gt;30,30,P326)))</f>
        <v>n.r.</v>
      </c>
      <c r="V327" t="s">
        <v>558</v>
      </c>
      <c r="W327" s="6">
        <f t="shared" ref="W327" ca="1" si="288">IF(OR(W326&lt;$D$145,W326&gt;40),"n.r.",IF(W326&lt;22,22,IF(W326&gt;30,30,W326)))</f>
        <v>30</v>
      </c>
      <c r="AC327" t="s">
        <v>558</v>
      </c>
      <c r="AD327" s="6">
        <f t="shared" ref="AD327" ca="1" si="289">IF(OR(AD326&lt;$D$145,AD326&gt;40),"n.r.",IF(AD326&lt;22,22,IF(AD326&gt;30,30,AD326)))</f>
        <v>29.257470057084703</v>
      </c>
      <c r="AJ327" t="s">
        <v>558</v>
      </c>
      <c r="AK327" s="6">
        <f t="shared" ref="AK327" ca="1" si="290">IF(OR(AK326&lt;$D$145,AK326&gt;40),"n.r.",IF(AK326&lt;22,22,IF(AK326&gt;30,30,AK326)))</f>
        <v>26.684784953295214</v>
      </c>
      <c r="AQ327" t="s">
        <v>558</v>
      </c>
      <c r="AR327" s="6">
        <f t="shared" ref="AR327" ca="1" si="291">IF(OR(AR326&lt;$D$145,AR326&gt;40),"n.r.",IF(AR326&lt;22,22,IF(AR326&gt;30,30,AR326)))</f>
        <v>25.085288209709592</v>
      </c>
      <c r="AX327" t="s">
        <v>558</v>
      </c>
      <c r="AY327" s="6">
        <f t="shared" ref="AY327" ca="1" si="292">IF(OR(AY326&lt;$D$145,AY326&gt;40),"n.r.",IF(AY326&lt;22,22,IF(AY326&gt;30,30,AY326)))</f>
        <v>24.009142278249506</v>
      </c>
    </row>
    <row r="328" spans="1:55" x14ac:dyDescent="0.25">
      <c r="A328" t="s">
        <v>514</v>
      </c>
      <c r="B328" s="6" t="str">
        <f ca="1">IFERROR(ROUND(B327,0),B327)</f>
        <v>n.r.</v>
      </c>
      <c r="H328" t="s">
        <v>514</v>
      </c>
      <c r="I328" s="6" t="str">
        <f ca="1">IFERROR(ROUND(I327,0),I327)</f>
        <v>n.r.</v>
      </c>
      <c r="O328" t="s">
        <v>514</v>
      </c>
      <c r="P328" s="6" t="str">
        <f ca="1">IFERROR(ROUND(P327,0),P327)</f>
        <v>n.r.</v>
      </c>
      <c r="V328" t="s">
        <v>514</v>
      </c>
      <c r="W328" s="6">
        <f ca="1">IFERROR(ROUND(W327,0),W327)</f>
        <v>30</v>
      </c>
      <c r="AC328" t="s">
        <v>514</v>
      </c>
      <c r="AD328" s="6">
        <f ca="1">IFERROR(ROUND(AD327,0),AD327)</f>
        <v>29</v>
      </c>
      <c r="AJ328" t="s">
        <v>514</v>
      </c>
      <c r="AK328" s="6">
        <f ca="1">IFERROR(ROUND(AK327,0),AK327)</f>
        <v>27</v>
      </c>
      <c r="AQ328" t="s">
        <v>514</v>
      </c>
      <c r="AR328" s="6">
        <f ca="1">IFERROR(ROUND(AR327,0),AR327)</f>
        <v>25</v>
      </c>
      <c r="AX328" t="s">
        <v>514</v>
      </c>
      <c r="AY328" s="6">
        <f ca="1">IFERROR(ROUND(AY327,0),AY327)</f>
        <v>24</v>
      </c>
    </row>
    <row r="329" spans="1:55" x14ac:dyDescent="0.25">
      <c r="A329" t="s">
        <v>513</v>
      </c>
      <c r="B329" t="str">
        <f ca="1">IF(AND(B326&lt;=40,B326&gt;36),"‡",IF(AND(B326&lt;=40,B326&gt;32),"†",""))</f>
        <v/>
      </c>
      <c r="H329" t="s">
        <v>513</v>
      </c>
      <c r="I329" t="str">
        <f ca="1">IF(AND(I326&lt;=40,I326&gt;36),"‡",IF(AND(I326&lt;=40,I326&gt;32),"†",""))</f>
        <v/>
      </c>
      <c r="O329" t="s">
        <v>513</v>
      </c>
      <c r="P329" t="str">
        <f ca="1">IF(AND(P326&lt;=40,P326&gt;36),"‡",IF(AND(P326&lt;=40,P326&gt;32),"†",""))</f>
        <v/>
      </c>
      <c r="V329" t="s">
        <v>513</v>
      </c>
      <c r="W329" t="str">
        <f ca="1">IF(AND(W326&lt;=40,W326&gt;36),"‡",IF(AND(W326&lt;=40,W326&gt;32),"†",""))</f>
        <v>†</v>
      </c>
      <c r="AC329" t="s">
        <v>513</v>
      </c>
      <c r="AD329" t="str">
        <f ca="1">IF(AND(AD326&lt;=40,AD326&gt;36),"‡",IF(AND(AD326&lt;=40,AD326&gt;32),"†",""))</f>
        <v/>
      </c>
      <c r="AJ329" t="s">
        <v>513</v>
      </c>
      <c r="AK329" t="str">
        <f ca="1">IF(AND(AK326&lt;=40,AK326&gt;36),"‡",IF(AND(AK326&lt;=40,AK326&gt;32),"†",""))</f>
        <v/>
      </c>
      <c r="AQ329" t="s">
        <v>513</v>
      </c>
      <c r="AR329" t="str">
        <f ca="1">IF(AND(AR326&lt;=40,AR326&gt;36),"‡",IF(AND(AR326&lt;=40,AR326&gt;32),"†",""))</f>
        <v/>
      </c>
      <c r="AX329" t="s">
        <v>513</v>
      </c>
      <c r="AY329" t="str">
        <f ca="1">IF(AND(AY326&lt;=40,AY326&gt;36),"‡",IF(AND(AY326&lt;=40,AY326&gt;32),"†",""))</f>
        <v/>
      </c>
    </row>
    <row r="330" spans="1:55" x14ac:dyDescent="0.25">
      <c r="A330" t="s">
        <v>670</v>
      </c>
      <c r="B330" t="str">
        <f ca="1">IF(AND(B326&lt;=40,B326&gt;36),"high",IF(AND(B326&lt;=40,B326&gt;32),"mid",""))</f>
        <v/>
      </c>
      <c r="H330" t="s">
        <v>670</v>
      </c>
      <c r="I330" t="str">
        <f t="shared" ref="I330" ca="1" si="293">IF(AND(I326&lt;=40,I326&gt;36),"high",IF(AND(I326&lt;=40,I326&gt;32),"mid",""))</f>
        <v/>
      </c>
      <c r="O330" t="s">
        <v>670</v>
      </c>
      <c r="P330" t="str">
        <f t="shared" ref="P330" ca="1" si="294">IF(AND(P326&lt;=40,P326&gt;36),"high",IF(AND(P326&lt;=40,P326&gt;32),"mid",""))</f>
        <v/>
      </c>
      <c r="V330" t="s">
        <v>670</v>
      </c>
      <c r="W330" t="str">
        <f t="shared" ref="W330" ca="1" si="295">IF(AND(W326&lt;=40,W326&gt;36),"high",IF(AND(W326&lt;=40,W326&gt;32),"mid",""))</f>
        <v>mid</v>
      </c>
      <c r="AC330" t="s">
        <v>670</v>
      </c>
      <c r="AD330" t="str">
        <f t="shared" ref="AD330" ca="1" si="296">IF(AND(AD326&lt;=40,AD326&gt;36),"high",IF(AND(AD326&lt;=40,AD326&gt;32),"mid",""))</f>
        <v/>
      </c>
      <c r="AJ330" t="s">
        <v>670</v>
      </c>
      <c r="AK330" t="str">
        <f t="shared" ref="AK330" ca="1" si="297">IF(AND(AK326&lt;=40,AK326&gt;36),"high",IF(AND(AK326&lt;=40,AK326&gt;32),"mid",""))</f>
        <v/>
      </c>
      <c r="AQ330" t="s">
        <v>670</v>
      </c>
      <c r="AR330" t="str">
        <f t="shared" ref="AR330" ca="1" si="298">IF(AND(AR326&lt;=40,AR326&gt;36),"high",IF(AND(AR326&lt;=40,AR326&gt;32),"mid",""))</f>
        <v/>
      </c>
      <c r="AX330" t="s">
        <v>670</v>
      </c>
      <c r="AY330" t="str">
        <f t="shared" ref="AY330" ca="1" si="299">IF(AND(AY326&lt;=40,AY326&gt;36),"high",IF(AND(AY326&lt;=40,AY326&gt;32),"mid",""))</f>
        <v/>
      </c>
    </row>
    <row r="331" spans="1:55" x14ac:dyDescent="0.25">
      <c r="A331" s="3" t="s">
        <v>515</v>
      </c>
      <c r="B331" s="6"/>
      <c r="H331" s="3" t="s">
        <v>515</v>
      </c>
      <c r="I331" s="6"/>
      <c r="O331" s="3" t="s">
        <v>515</v>
      </c>
      <c r="P331" s="6"/>
      <c r="V331" s="3" t="s">
        <v>515</v>
      </c>
      <c r="W331" s="6"/>
      <c r="AC331" s="3" t="s">
        <v>515</v>
      </c>
      <c r="AD331" s="6"/>
      <c r="AJ331" s="3" t="s">
        <v>515</v>
      </c>
      <c r="AK331" s="6"/>
      <c r="AQ331" s="3" t="s">
        <v>515</v>
      </c>
      <c r="AR331" s="6"/>
      <c r="AX331" s="3" t="s">
        <v>515</v>
      </c>
      <c r="AY331" s="6"/>
    </row>
    <row r="332" spans="1:55" x14ac:dyDescent="0.25">
      <c r="A332" t="s">
        <v>626</v>
      </c>
      <c r="B332" s="6" t="e">
        <f ca="1">B327-$B$57</f>
        <v>#VALUE!</v>
      </c>
      <c r="H332" t="s">
        <v>626</v>
      </c>
      <c r="I332" s="6" t="e">
        <f t="shared" ref="I332" ca="1" si="300">I327-$B$57</f>
        <v>#VALUE!</v>
      </c>
      <c r="O332" t="s">
        <v>626</v>
      </c>
      <c r="P332" s="6" t="e">
        <f t="shared" ref="P332" ca="1" si="301">P327-$B$57</f>
        <v>#VALUE!</v>
      </c>
      <c r="V332" t="s">
        <v>626</v>
      </c>
      <c r="W332" s="6">
        <f t="shared" ref="W332" ca="1" si="302">W327-$B$57</f>
        <v>14</v>
      </c>
      <c r="AC332" t="s">
        <v>626</v>
      </c>
      <c r="AD332" s="6">
        <f t="shared" ref="AD332" ca="1" si="303">AD327-$B$57</f>
        <v>13.257470057084703</v>
      </c>
      <c r="AJ332" t="s">
        <v>626</v>
      </c>
      <c r="AK332" s="6">
        <f t="shared" ref="AK332" ca="1" si="304">AK327-$B$57</f>
        <v>10.684784953295214</v>
      </c>
      <c r="AQ332" t="s">
        <v>626</v>
      </c>
      <c r="AR332" s="6">
        <f t="shared" ref="AR332" ca="1" si="305">AR327-$B$57</f>
        <v>9.0852882097095922</v>
      </c>
      <c r="AX332" t="s">
        <v>626</v>
      </c>
      <c r="AY332" s="6">
        <f t="shared" ref="AY332" ca="1" si="306">AY327-$B$57</f>
        <v>8.0091422782495059</v>
      </c>
    </row>
    <row r="333" spans="1:55" x14ac:dyDescent="0.25">
      <c r="A333" t="s">
        <v>627</v>
      </c>
      <c r="B333" s="7">
        <f ca="1">MIN(B316,20)</f>
        <v>20</v>
      </c>
      <c r="H333" t="s">
        <v>627</v>
      </c>
      <c r="I333" s="7">
        <f ca="1">MIN(I316,20)</f>
        <v>20</v>
      </c>
      <c r="O333" t="s">
        <v>627</v>
      </c>
      <c r="P333" s="7">
        <f ca="1">MIN(P316,20)</f>
        <v>20</v>
      </c>
      <c r="V333" t="s">
        <v>627</v>
      </c>
      <c r="W333" s="7">
        <f ca="1">MIN(W316,20)</f>
        <v>13.750654275011614</v>
      </c>
      <c r="AC333" t="s">
        <v>627</v>
      </c>
      <c r="AD333" s="7">
        <f ca="1">MIN(AD316,20)</f>
        <v>9.2574700570847011</v>
      </c>
      <c r="AJ333" t="s">
        <v>627</v>
      </c>
      <c r="AK333" s="7">
        <f ca="1">MIN(AK316,20)</f>
        <v>6.6847849532952157</v>
      </c>
      <c r="AQ333" t="s">
        <v>627</v>
      </c>
      <c r="AR333" s="7">
        <f ca="1">MIN(AR316,20)</f>
        <v>5.0852882097095922</v>
      </c>
      <c r="AX333" t="s">
        <v>627</v>
      </c>
      <c r="AY333" s="7">
        <f ca="1">MIN(AY316,20)</f>
        <v>4.0091422782495076</v>
      </c>
    </row>
    <row r="334" spans="1:55" x14ac:dyDescent="0.25">
      <c r="A334" t="s">
        <v>625</v>
      </c>
      <c r="B334" s="6" t="e">
        <f ca="1">MAX(B332,B333)</f>
        <v>#VALUE!</v>
      </c>
      <c r="H334" t="s">
        <v>625</v>
      </c>
      <c r="I334" s="6" t="e">
        <f ca="1">I332</f>
        <v>#VALUE!</v>
      </c>
      <c r="O334" t="s">
        <v>625</v>
      </c>
      <c r="P334" s="6" t="e">
        <f t="shared" ref="P334" ca="1" si="307">P332</f>
        <v>#VALUE!</v>
      </c>
      <c r="V334" t="s">
        <v>625</v>
      </c>
      <c r="W334" s="6">
        <f t="shared" ref="W334" ca="1" si="308">W332</f>
        <v>14</v>
      </c>
      <c r="AC334" t="s">
        <v>625</v>
      </c>
      <c r="AD334" s="6">
        <f t="shared" ref="AD334" ca="1" si="309">AD332</f>
        <v>13.257470057084703</v>
      </c>
      <c r="AJ334" t="s">
        <v>625</v>
      </c>
      <c r="AK334" s="6">
        <f t="shared" ref="AK334" ca="1" si="310">AK332</f>
        <v>10.684784953295214</v>
      </c>
      <c r="AQ334" t="s">
        <v>625</v>
      </c>
      <c r="AR334" s="6">
        <f t="shared" ref="AR334" ca="1" si="311">AR332</f>
        <v>9.0852882097095922</v>
      </c>
      <c r="AX334" t="s">
        <v>625</v>
      </c>
      <c r="AY334" s="6">
        <f t="shared" ref="AY334" ca="1" si="312">AY332</f>
        <v>8.0091422782495059</v>
      </c>
    </row>
    <row r="335" spans="1:55" x14ac:dyDescent="0.25">
      <c r="A335" t="s">
        <v>591</v>
      </c>
      <c r="B335" s="6" t="str">
        <f ca="1">IFERROR(MAX(SQRT(B334/B316),1),"")</f>
        <v/>
      </c>
      <c r="H335" t="s">
        <v>591</v>
      </c>
      <c r="I335" s="6" t="str">
        <f ca="1">IFERROR(MAX(SQRT(I334/I313),1),"")</f>
        <v/>
      </c>
      <c r="O335" t="s">
        <v>591</v>
      </c>
      <c r="P335" s="6" t="str">
        <f t="shared" ref="P335" ca="1" si="313">IFERROR(MAX(SQRT(P334/P313),1),"")</f>
        <v/>
      </c>
      <c r="V335" t="s">
        <v>591</v>
      </c>
      <c r="W335" s="6">
        <f t="shared" ref="W335" ca="1" si="314">IFERROR(MAX(SQRT(W334/W313),1),"")</f>
        <v>1.0090259519421836</v>
      </c>
      <c r="AC335" t="s">
        <v>591</v>
      </c>
      <c r="AD335" s="6">
        <f t="shared" ref="AD335" ca="1" si="315">IFERROR(MAX(SQRT(AD334/AD313),1),"")</f>
        <v>1.1966969094763962</v>
      </c>
      <c r="AJ335" t="s">
        <v>591</v>
      </c>
      <c r="AK335" s="6">
        <f t="shared" ref="AK335" ca="1" si="316">IFERROR(MAX(SQRT(AK334/AK313),1),"")</f>
        <v>1.2642680783236233</v>
      </c>
      <c r="AQ335" t="s">
        <v>591</v>
      </c>
      <c r="AR335" s="6">
        <f t="shared" ref="AR335" ca="1" si="317">IFERROR(MAX(SQRT(AR334/AR313),1),"")</f>
        <v>1.3366311207812496</v>
      </c>
      <c r="AX335" t="s">
        <v>591</v>
      </c>
      <c r="AY335" s="6">
        <f t="shared" ref="AY335" ca="1" si="318">IFERROR(MAX(SQRT(AY334/AY313),1),"")</f>
        <v>1.413407104253283</v>
      </c>
    </row>
    <row r="336" spans="1:55" x14ac:dyDescent="0.25">
      <c r="A336" t="s">
        <v>516</v>
      </c>
      <c r="B336" s="6" t="str">
        <f ca="1">IFERROR(B335^2,"")</f>
        <v/>
      </c>
      <c r="D336" s="5"/>
      <c r="E336" s="5"/>
      <c r="F336" s="5"/>
      <c r="H336" t="s">
        <v>516</v>
      </c>
      <c r="I336" s="6" t="str">
        <f t="shared" ref="I336" ca="1" si="319">IFERROR(I335^2,"")</f>
        <v/>
      </c>
      <c r="K336" s="5"/>
      <c r="L336" s="5"/>
      <c r="M336" s="5"/>
      <c r="O336" t="s">
        <v>516</v>
      </c>
      <c r="P336" s="6" t="str">
        <f t="shared" ref="P336" ca="1" si="320">IFERROR(P335^2,"")</f>
        <v/>
      </c>
      <c r="R336" s="5"/>
      <c r="S336" s="5"/>
      <c r="T336" s="5"/>
      <c r="V336" t="s">
        <v>516</v>
      </c>
      <c r="W336" s="298">
        <f t="shared" ref="W336" ca="1" si="321">IFERROR(W335^2,"")</f>
        <v>1.0181333716928298</v>
      </c>
      <c r="Y336" s="5"/>
      <c r="Z336" s="5"/>
      <c r="AA336" s="5"/>
      <c r="AC336" t="s">
        <v>516</v>
      </c>
      <c r="AD336" s="6">
        <f t="shared" ref="AD336" ca="1" si="322">IFERROR(AD335^2,"")</f>
        <v>1.4320834931503579</v>
      </c>
      <c r="AF336" s="5"/>
      <c r="AG336" s="5"/>
      <c r="AH336" s="5"/>
      <c r="AJ336" t="s">
        <v>516</v>
      </c>
      <c r="AK336" s="6">
        <f t="shared" ref="AK336" ca="1" si="323">IFERROR(AK335^2,"")</f>
        <v>1.5983737738681074</v>
      </c>
      <c r="AM336" s="5"/>
      <c r="AN336" s="5"/>
      <c r="AO336" s="5"/>
      <c r="AQ336" t="s">
        <v>516</v>
      </c>
      <c r="AR336" s="6">
        <f t="shared" ref="AR336" ca="1" si="324">IFERROR(AR335^2,"")</f>
        <v>1.7865827530409393</v>
      </c>
      <c r="AT336" s="5"/>
      <c r="AU336" s="5"/>
      <c r="AV336" s="5"/>
      <c r="AX336" t="s">
        <v>516</v>
      </c>
      <c r="AY336" s="6">
        <f t="shared" ref="AY336" ca="1" si="325">IFERROR(AY335^2,"")</f>
        <v>1.9977196423536507</v>
      </c>
      <c r="BA336" s="5"/>
      <c r="BB336" s="5"/>
      <c r="BC336" s="5"/>
    </row>
    <row r="337" spans="1:69" x14ac:dyDescent="0.25">
      <c r="A337" t="s">
        <v>596</v>
      </c>
      <c r="B337" s="6" t="str">
        <f ca="1">IFERROR(1/B335,"")</f>
        <v/>
      </c>
      <c r="D337" s="5"/>
      <c r="E337" s="5"/>
      <c r="F337" s="5"/>
      <c r="H337" t="s">
        <v>596</v>
      </c>
      <c r="I337" s="6" t="str">
        <f t="shared" ref="I337" ca="1" si="326">IFERROR(1/I335,"")</f>
        <v/>
      </c>
      <c r="K337" s="5"/>
      <c r="L337" s="5"/>
      <c r="M337" s="5"/>
      <c r="O337" t="s">
        <v>596</v>
      </c>
      <c r="P337" s="6" t="str">
        <f t="shared" ref="P337" ca="1" si="327">IFERROR(1/P335,"")</f>
        <v/>
      </c>
      <c r="R337" s="5"/>
      <c r="S337" s="5"/>
      <c r="T337" s="5"/>
      <c r="V337" t="s">
        <v>596</v>
      </c>
      <c r="W337" s="6">
        <f t="shared" ref="W337" ca="1" si="328">IFERROR(1/W335,"")</f>
        <v>0.99105478711938944</v>
      </c>
      <c r="Y337" s="5"/>
      <c r="Z337" s="5"/>
      <c r="AA337" s="5"/>
      <c r="AC337" t="s">
        <v>596</v>
      </c>
      <c r="AD337" s="6">
        <f t="shared" ref="AD337" ca="1" si="329">IFERROR(1/AD335,"")</f>
        <v>0.83563347751732797</v>
      </c>
      <c r="AF337" s="5"/>
      <c r="AG337" s="5"/>
      <c r="AH337" s="5"/>
      <c r="AJ337" t="s">
        <v>596</v>
      </c>
      <c r="AK337" s="6">
        <f t="shared" ref="AK337" ca="1" si="330">IFERROR(1/AK335,"")</f>
        <v>0.79097148551434293</v>
      </c>
      <c r="AM337" s="5"/>
      <c r="AN337" s="5"/>
      <c r="AO337" s="5"/>
      <c r="AQ337" t="s">
        <v>596</v>
      </c>
      <c r="AR337" s="6">
        <f t="shared" ref="AR337" ca="1" si="331">IFERROR(1/AR335,"")</f>
        <v>0.74814957130094983</v>
      </c>
      <c r="AT337" s="5"/>
      <c r="AU337" s="5"/>
      <c r="AV337" s="5"/>
      <c r="AX337" t="s">
        <v>596</v>
      </c>
      <c r="AY337" s="6">
        <f t="shared" ref="AY337" ca="1" si="332">IFERROR(1/AY335,"")</f>
        <v>0.70751024031983334</v>
      </c>
      <c r="BA337" s="5"/>
      <c r="BB337" s="5"/>
      <c r="BC337" s="5"/>
    </row>
    <row r="338" spans="1:69" x14ac:dyDescent="0.25">
      <c r="B338" s="6"/>
      <c r="D338" s="5"/>
      <c r="E338" s="5"/>
      <c r="F338" s="5"/>
      <c r="I338" s="6"/>
      <c r="K338" s="5"/>
      <c r="L338" s="5"/>
      <c r="M338" s="5"/>
      <c r="P338" s="6"/>
      <c r="R338" s="5"/>
      <c r="S338" s="5"/>
      <c r="T338" s="5"/>
      <c r="W338" s="6"/>
      <c r="Y338" s="5"/>
      <c r="Z338" s="5"/>
      <c r="AA338" s="5"/>
      <c r="AD338" s="6"/>
      <c r="AF338" s="5"/>
      <c r="AG338" s="5"/>
      <c r="AH338" s="5"/>
      <c r="AK338" s="6"/>
      <c r="AM338" s="5"/>
      <c r="AN338" s="5"/>
      <c r="AO338" s="5"/>
      <c r="AR338" s="6"/>
      <c r="AT338" s="5"/>
      <c r="AU338" s="5"/>
      <c r="AV338" s="5"/>
      <c r="AY338" s="6"/>
      <c r="BA338" s="5"/>
      <c r="BB338" s="5"/>
      <c r="BC338" s="5"/>
    </row>
    <row r="339" spans="1:69" x14ac:dyDescent="0.25">
      <c r="A339" t="s">
        <v>388</v>
      </c>
      <c r="B339" s="6">
        <f ca="1">2*B300</f>
        <v>57.313492309587794</v>
      </c>
      <c r="D339" s="5"/>
      <c r="E339" s="5"/>
      <c r="F339" s="5"/>
      <c r="H339" t="s">
        <v>388</v>
      </c>
      <c r="I339" s="6">
        <f ca="1">2*I300</f>
        <v>44.094363507533096</v>
      </c>
      <c r="K339" s="5"/>
      <c r="L339" s="5"/>
      <c r="M339" s="5"/>
      <c r="O339" t="s">
        <v>388</v>
      </c>
      <c r="P339" s="6">
        <f ca="1">2*P300</f>
        <v>36.368996336120418</v>
      </c>
      <c r="R339" s="5"/>
      <c r="S339" s="5"/>
      <c r="T339" s="5"/>
      <c r="V339" t="s">
        <v>388</v>
      </c>
      <c r="W339" s="6">
        <f ca="1">2*W300</f>
        <v>30.88096605470934</v>
      </c>
      <c r="Y339" s="5"/>
      <c r="Z339" s="5"/>
      <c r="AA339" s="5"/>
      <c r="AC339" t="s">
        <v>388</v>
      </c>
      <c r="AD339" s="6">
        <f ca="1">2*AD300</f>
        <v>26.630809261876042</v>
      </c>
      <c r="AF339" s="5"/>
      <c r="AG339" s="5"/>
      <c r="AH339" s="5"/>
      <c r="AJ339" t="s">
        <v>388</v>
      </c>
      <c r="AK339" s="6">
        <f ca="1">2*AK300</f>
        <v>23.155598883296673</v>
      </c>
      <c r="AM339" s="5"/>
      <c r="AN339" s="5"/>
      <c r="AO339" s="5"/>
      <c r="AQ339" t="s">
        <v>388</v>
      </c>
      <c r="AR339" s="6">
        <f ca="1">2*AR300</f>
        <v>20.214291688805716</v>
      </c>
      <c r="AT339" s="5"/>
      <c r="AU339" s="5"/>
      <c r="AV339" s="5"/>
      <c r="AX339" t="s">
        <v>388</v>
      </c>
      <c r="AY339" s="6">
        <f ca="1">2*AY300</f>
        <v>17.672572634342064</v>
      </c>
      <c r="BA339" s="5"/>
      <c r="BB339" s="5"/>
      <c r="BC339" s="5"/>
    </row>
    <row r="340" spans="1:69" x14ac:dyDescent="0.25">
      <c r="I340" s="6"/>
      <c r="P340" s="6"/>
      <c r="W340" s="6"/>
      <c r="AD340" s="6"/>
      <c r="AK340" s="6"/>
    </row>
    <row r="341" spans="1:69" x14ac:dyDescent="0.25">
      <c r="A341" t="str">
        <f>A160</f>
        <v>1Slot</v>
      </c>
      <c r="H341" t="str">
        <f>H160</f>
        <v>2Slot</v>
      </c>
      <c r="I341" s="7"/>
      <c r="K341" s="5"/>
      <c r="L341" s="5"/>
      <c r="M341" s="5"/>
      <c r="O341" t="str">
        <f>O160</f>
        <v>3Slot</v>
      </c>
      <c r="P341" s="7"/>
      <c r="R341" s="5"/>
      <c r="S341" s="5"/>
      <c r="T341" s="5"/>
      <c r="V341" t="str">
        <f>V160</f>
        <v>4Slot</v>
      </c>
      <c r="W341" s="7"/>
      <c r="Y341" s="5"/>
      <c r="Z341" s="5"/>
      <c r="AA341" s="5"/>
      <c r="AC341" t="str">
        <f>AC160</f>
        <v>5Slot</v>
      </c>
      <c r="AD341" s="7"/>
      <c r="AF341" s="5"/>
      <c r="AG341" s="5"/>
      <c r="AH341" s="5"/>
      <c r="AJ341" t="str">
        <f>AJ160</f>
        <v>6Slot</v>
      </c>
      <c r="AK341" s="7"/>
      <c r="AM341" s="5"/>
      <c r="AN341" s="5"/>
      <c r="AO341" s="5"/>
      <c r="AQ341" t="str">
        <f>AQ160</f>
        <v>7Slot</v>
      </c>
      <c r="AX341" t="str">
        <f>AX160</f>
        <v>8Slot</v>
      </c>
    </row>
    <row r="342" spans="1:69" x14ac:dyDescent="0.25">
      <c r="A342" s="3"/>
      <c r="N342" s="6"/>
      <c r="P342" s="5"/>
      <c r="Q342" s="5"/>
      <c r="R342" s="5"/>
      <c r="S342" s="5"/>
      <c r="U342" s="11"/>
      <c r="Z342" s="6"/>
      <c r="AB342" s="5"/>
      <c r="AC342" s="5"/>
      <c r="AD342" s="5"/>
      <c r="AE342" s="5"/>
      <c r="AG342" s="11"/>
      <c r="AL342" s="6"/>
      <c r="AN342" s="5"/>
      <c r="AO342" s="5"/>
      <c r="AP342" s="5"/>
      <c r="AQ342" s="5"/>
      <c r="AS342" s="11"/>
      <c r="AX342" s="6"/>
      <c r="AZ342" s="5"/>
      <c r="BA342" s="5"/>
      <c r="BB342" s="5"/>
      <c r="BC342" s="5"/>
      <c r="BE342" s="11"/>
      <c r="BJ342" s="6"/>
      <c r="BL342" s="5"/>
      <c r="BM342" s="5"/>
      <c r="BN342" s="5"/>
      <c r="BO342" s="5"/>
      <c r="BQ342" s="11"/>
    </row>
    <row r="343" spans="1:69" x14ac:dyDescent="0.25">
      <c r="E343" s="6"/>
      <c r="N343" s="6"/>
      <c r="R343" s="5"/>
      <c r="U343" s="11"/>
      <c r="Z343" s="6"/>
      <c r="AD343" s="5"/>
      <c r="AG343" s="11"/>
      <c r="AL343" s="6"/>
      <c r="AP343" s="5"/>
      <c r="AS343" s="11"/>
      <c r="AX343" s="6"/>
      <c r="BB343" s="5"/>
      <c r="BE343" s="11"/>
      <c r="BJ343" s="6"/>
      <c r="BN343" s="5"/>
      <c r="BQ343" s="11"/>
    </row>
    <row r="344" spans="1:69" x14ac:dyDescent="0.25">
      <c r="A344" s="3" t="s">
        <v>257</v>
      </c>
      <c r="B344" s="3">
        <v>1</v>
      </c>
      <c r="C344" s="3">
        <v>2</v>
      </c>
      <c r="D344" s="3">
        <v>3</v>
      </c>
      <c r="E344" s="3">
        <v>4</v>
      </c>
      <c r="F344" s="3">
        <v>5</v>
      </c>
      <c r="G344" s="3">
        <v>6</v>
      </c>
      <c r="H344" s="424">
        <v>7</v>
      </c>
      <c r="I344" s="424">
        <v>8</v>
      </c>
      <c r="U344" s="11"/>
      <c r="AG344" s="11"/>
      <c r="AS344" s="11"/>
      <c r="BE344" s="11"/>
      <c r="BQ344" s="11"/>
    </row>
    <row r="345" spans="1:69" x14ac:dyDescent="0.25">
      <c r="A345" t="s">
        <v>28</v>
      </c>
      <c r="B345">
        <f t="shared" ref="B345:I346" ca="1" si="333">B392</f>
        <v>19.689795918367345</v>
      </c>
      <c r="C345">
        <f t="shared" ca="1" si="333"/>
        <v>15.817760617760618</v>
      </c>
      <c r="D345">
        <f t="shared" ca="1" si="333"/>
        <v>14.638775510204082</v>
      </c>
      <c r="E345">
        <f t="shared" ca="1" si="333"/>
        <v>14.068648130393097</v>
      </c>
      <c r="F345">
        <f t="shared" ca="1" si="333"/>
        <v>13.710638297872341</v>
      </c>
      <c r="G345">
        <f t="shared" ca="1" si="333"/>
        <v>13.470676691729324</v>
      </c>
      <c r="H345" s="421">
        <f t="shared" ca="1" si="333"/>
        <v>13.313207547169814</v>
      </c>
      <c r="I345" s="421">
        <f t="shared" ca="1" si="333"/>
        <v>13.188721804511282</v>
      </c>
    </row>
    <row r="346" spans="1:69" x14ac:dyDescent="0.25">
      <c r="A346" t="s">
        <v>34</v>
      </c>
      <c r="B346">
        <f t="shared" ca="1" si="333"/>
        <v>8.338580901745301</v>
      </c>
      <c r="C346">
        <f t="shared" ca="1" si="333"/>
        <v>5.4461072964591697</v>
      </c>
      <c r="D346">
        <f t="shared" ca="1" si="333"/>
        <v>4.9258399535724848</v>
      </c>
      <c r="E346">
        <f t="shared" ca="1" si="333"/>
        <v>4.7083339684638164</v>
      </c>
      <c r="F346">
        <f t="shared" ca="1" si="333"/>
        <v>4.5813048845237425</v>
      </c>
      <c r="G346">
        <f t="shared" ca="1" si="333"/>
        <v>4.4999303525686685</v>
      </c>
      <c r="H346" s="421">
        <f t="shared" ca="1" si="333"/>
        <v>4.4480830809619762</v>
      </c>
      <c r="I346" s="421">
        <f t="shared" ca="1" si="333"/>
        <v>4.407933657716625</v>
      </c>
    </row>
    <row r="347" spans="1:69" x14ac:dyDescent="0.25">
      <c r="A347" t="s">
        <v>268</v>
      </c>
      <c r="B347" s="11" t="b">
        <f ca="1">NOT(B497)</f>
        <v>0</v>
      </c>
      <c r="C347" s="11" t="b">
        <f t="shared" ref="C347:I347" ca="1" si="334">NOT(C497)</f>
        <v>1</v>
      </c>
      <c r="D347" s="11" t="b">
        <f t="shared" ca="1" si="334"/>
        <v>1</v>
      </c>
      <c r="E347" s="11" t="b">
        <f t="shared" ca="1" si="334"/>
        <v>1</v>
      </c>
      <c r="F347" s="11" t="b">
        <f t="shared" ca="1" si="334"/>
        <v>0</v>
      </c>
      <c r="G347" s="11" t="b">
        <f t="shared" ca="1" si="334"/>
        <v>0</v>
      </c>
      <c r="H347" s="425" t="b">
        <f t="shared" ca="1" si="334"/>
        <v>0</v>
      </c>
      <c r="I347" s="425" t="b">
        <f t="shared" ca="1" si="334"/>
        <v>0</v>
      </c>
    </row>
    <row r="348" spans="1:69" x14ac:dyDescent="0.25">
      <c r="A348" t="s">
        <v>269</v>
      </c>
      <c r="B348" t="str">
        <f ca="1">IF(B$347,B345,"")</f>
        <v/>
      </c>
      <c r="C348">
        <f t="shared" ref="C348:G348" ca="1" si="335">IF(C$347,C345,"")</f>
        <v>15.817760617760618</v>
      </c>
      <c r="D348">
        <f t="shared" ca="1" si="335"/>
        <v>14.638775510204082</v>
      </c>
      <c r="E348">
        <f t="shared" ca="1" si="335"/>
        <v>14.068648130393097</v>
      </c>
      <c r="F348" t="str">
        <f t="shared" ca="1" si="335"/>
        <v/>
      </c>
      <c r="G348" t="str">
        <f t="shared" ca="1" si="335"/>
        <v/>
      </c>
      <c r="H348" s="421" t="str">
        <f t="shared" ref="H348:I348" ca="1" si="336">IF(H$347,H345,"")</f>
        <v/>
      </c>
      <c r="I348" s="421" t="str">
        <f t="shared" ca="1" si="336"/>
        <v/>
      </c>
      <c r="J348">
        <f ca="1">AVERAGE(B348:G348)</f>
        <v>14.841728086119266</v>
      </c>
    </row>
    <row r="349" spans="1:69" x14ac:dyDescent="0.25">
      <c r="A349" t="s">
        <v>270</v>
      </c>
      <c r="B349" t="str">
        <f ca="1">IF(B$347,B346,"")</f>
        <v/>
      </c>
      <c r="C349">
        <f t="shared" ref="C349:G349" ca="1" si="337">IF(C$347,C346,"")</f>
        <v>5.4461072964591697</v>
      </c>
      <c r="D349">
        <f t="shared" ca="1" si="337"/>
        <v>4.9258399535724848</v>
      </c>
      <c r="E349">
        <f t="shared" ca="1" si="337"/>
        <v>4.7083339684638164</v>
      </c>
      <c r="F349" t="str">
        <f t="shared" ca="1" si="337"/>
        <v/>
      </c>
      <c r="G349" t="str">
        <f t="shared" ca="1" si="337"/>
        <v/>
      </c>
      <c r="H349" s="421" t="str">
        <f t="shared" ref="H349:I349" ca="1" si="338">IF(H$347,H346,"")</f>
        <v/>
      </c>
      <c r="I349" s="421" t="str">
        <f t="shared" ca="1" si="338"/>
        <v/>
      </c>
      <c r="J349">
        <f ca="1">AVERAGE(B349:G349)</f>
        <v>5.026760406165157</v>
      </c>
    </row>
    <row r="350" spans="1:69" x14ac:dyDescent="0.25">
      <c r="A350" t="s">
        <v>377</v>
      </c>
      <c r="B350">
        <f ca="1">IF(B345&lt;0,"",B345)</f>
        <v>19.689795918367345</v>
      </c>
      <c r="C350">
        <f t="shared" ref="C350:I350" ca="1" si="339">IF(C345&lt;0,"",C345)</f>
        <v>15.817760617760618</v>
      </c>
      <c r="D350">
        <f t="shared" ca="1" si="339"/>
        <v>14.638775510204082</v>
      </c>
      <c r="E350">
        <f t="shared" ca="1" si="339"/>
        <v>14.068648130393097</v>
      </c>
      <c r="F350">
        <f t="shared" ca="1" si="339"/>
        <v>13.710638297872341</v>
      </c>
      <c r="G350">
        <f t="shared" ca="1" si="339"/>
        <v>13.470676691729324</v>
      </c>
      <c r="H350" s="421">
        <f t="shared" ca="1" si="339"/>
        <v>13.313207547169814</v>
      </c>
      <c r="I350" s="421">
        <f t="shared" ca="1" si="339"/>
        <v>13.188721804511282</v>
      </c>
      <c r="J350">
        <f ca="1">AVERAGE(B350:G350)</f>
        <v>15.232715861054468</v>
      </c>
    </row>
    <row r="351" spans="1:69" x14ac:dyDescent="0.25">
      <c r="A351" t="s">
        <v>377</v>
      </c>
      <c r="B351">
        <f ca="1">IF(B346&lt;0,"",B346)</f>
        <v>8.338580901745301</v>
      </c>
      <c r="C351">
        <f t="shared" ref="C351:I351" ca="1" si="340">IF(C346&lt;0,"",C346)</f>
        <v>5.4461072964591697</v>
      </c>
      <c r="D351">
        <f t="shared" ca="1" si="340"/>
        <v>4.9258399535724848</v>
      </c>
      <c r="E351">
        <f t="shared" ca="1" si="340"/>
        <v>4.7083339684638164</v>
      </c>
      <c r="F351">
        <f t="shared" ca="1" si="340"/>
        <v>4.5813048845237425</v>
      </c>
      <c r="G351">
        <f t="shared" ca="1" si="340"/>
        <v>4.4999303525686685</v>
      </c>
      <c r="H351" s="421">
        <f t="shared" ca="1" si="340"/>
        <v>4.4480830809619762</v>
      </c>
      <c r="I351" s="421">
        <f t="shared" ca="1" si="340"/>
        <v>4.407933657716625</v>
      </c>
      <c r="J351">
        <f ca="1">AVERAGE(B351:G351)</f>
        <v>5.416682892888864</v>
      </c>
    </row>
    <row r="352" spans="1:69" x14ac:dyDescent="0.25">
      <c r="A352" t="s">
        <v>271</v>
      </c>
      <c r="B352">
        <f ca="1">IFERROR(AVERAGE(J348:J349),AVERAGE(J350:J351))</f>
        <v>9.934244246142212</v>
      </c>
    </row>
    <row r="353" spans="1:4" x14ac:dyDescent="0.25">
      <c r="B353" s="6"/>
    </row>
    <row r="354" spans="1:4" x14ac:dyDescent="0.25">
      <c r="A354" s="3" t="s">
        <v>302</v>
      </c>
      <c r="B354" s="6"/>
    </row>
    <row r="355" spans="1:4" x14ac:dyDescent="0.25">
      <c r="A355" t="s">
        <v>882</v>
      </c>
      <c r="B355" s="6">
        <f ca="1">B352/C9</f>
        <v>9.934244246142212</v>
      </c>
    </row>
    <row r="356" spans="1:4" x14ac:dyDescent="0.25">
      <c r="A356" t="s">
        <v>255</v>
      </c>
      <c r="B356" s="6">
        <f ca="1">$B$38*$B$44/$B$53</f>
        <v>10</v>
      </c>
      <c r="C356" t="s">
        <v>149</v>
      </c>
    </row>
    <row r="357" spans="1:4" x14ac:dyDescent="0.25">
      <c r="A357" t="s">
        <v>765</v>
      </c>
      <c r="B357" s="6">
        <f ca="1">B356/$C$9</f>
        <v>10</v>
      </c>
      <c r="C357" t="str">
        <f>B9</f>
        <v>m</v>
      </c>
    </row>
    <row r="358" spans="1:4" x14ac:dyDescent="0.25">
      <c r="A358" t="s">
        <v>303</v>
      </c>
      <c r="B358">
        <f ca="1">IF($B$28=1,B352,IF($B$28=2,B52,B38/B53*$B$44))</f>
        <v>9.934244246142212</v>
      </c>
      <c r="C358" t="s">
        <v>149</v>
      </c>
    </row>
    <row r="359" spans="1:4" x14ac:dyDescent="0.25">
      <c r="A359" t="s">
        <v>887</v>
      </c>
      <c r="B359">
        <f ca="1">B358/$C$9</f>
        <v>9.934244246142212</v>
      </c>
      <c r="C359" t="str">
        <f>B9</f>
        <v>m</v>
      </c>
    </row>
    <row r="361" spans="1:4" x14ac:dyDescent="0.25">
      <c r="A361" t="s">
        <v>458</v>
      </c>
      <c r="B361">
        <f ca="1">B358/$B$44</f>
        <v>19.868488492284424</v>
      </c>
      <c r="C361" t="s">
        <v>156</v>
      </c>
    </row>
    <row r="362" spans="1:4" x14ac:dyDescent="0.25">
      <c r="A362" t="s">
        <v>459</v>
      </c>
      <c r="B362">
        <f ca="1">IF($B$28=3,$B$53,$B$38/B361)</f>
        <v>5.0330954988766878</v>
      </c>
      <c r="C362" t="s">
        <v>157</v>
      </c>
    </row>
    <row r="363" spans="1:4" x14ac:dyDescent="0.25">
      <c r="A363" t="s">
        <v>523</v>
      </c>
      <c r="B363" s="103">
        <f ca="1">MEDIAN(2,10,B362)</f>
        <v>5.0330954988766878</v>
      </c>
      <c r="C363" t="s">
        <v>157</v>
      </c>
    </row>
    <row r="364" spans="1:4" x14ac:dyDescent="0.25">
      <c r="A364" t="s">
        <v>766</v>
      </c>
      <c r="B364">
        <f ca="1">B362/$I$9</f>
        <v>5.0330954988766878</v>
      </c>
      <c r="C364" t="str">
        <f>H9</f>
        <v>L/s/m²</v>
      </c>
      <c r="D364" t="s">
        <v>881</v>
      </c>
    </row>
    <row r="365" spans="1:4" x14ac:dyDescent="0.25">
      <c r="A365" t="s">
        <v>469</v>
      </c>
      <c r="B365">
        <f ca="1">ROUND(B364,3-(1+INT(LOG10(ABS(B364)))))</f>
        <v>5.03</v>
      </c>
      <c r="C365" t="str">
        <f>H9</f>
        <v>L/s/m²</v>
      </c>
      <c r="D365" t="s">
        <v>881</v>
      </c>
    </row>
    <row r="366" spans="1:4" x14ac:dyDescent="0.25">
      <c r="B366" s="6"/>
    </row>
    <row r="367" spans="1:4" x14ac:dyDescent="0.25">
      <c r="A367" s="3" t="s">
        <v>245</v>
      </c>
      <c r="B367" t="s">
        <v>246</v>
      </c>
      <c r="C367" t="s">
        <v>247</v>
      </c>
    </row>
    <row r="368" spans="1:4" x14ac:dyDescent="0.25">
      <c r="A368">
        <v>1</v>
      </c>
      <c r="B368" t="s">
        <v>98</v>
      </c>
      <c r="C368" t="s">
        <v>248</v>
      </c>
      <c r="D368" t="str">
        <f>IF($B$45=2,B368,C368)</f>
        <v>A</v>
      </c>
    </row>
    <row r="369" spans="1:62" x14ac:dyDescent="0.25">
      <c r="A369">
        <v>2</v>
      </c>
      <c r="B369" t="s">
        <v>99</v>
      </c>
      <c r="C369" t="s">
        <v>365</v>
      </c>
      <c r="D369" t="str">
        <f t="shared" ref="D369:D370" si="341">IF($B$45=2,B369,C369)</f>
        <v>B</v>
      </c>
    </row>
    <row r="370" spans="1:62" x14ac:dyDescent="0.25">
      <c r="A370">
        <v>3</v>
      </c>
      <c r="B370" t="s">
        <v>91</v>
      </c>
      <c r="C370" t="s">
        <v>249</v>
      </c>
      <c r="D370" t="str">
        <f t="shared" si="341"/>
        <v>C</v>
      </c>
    </row>
    <row r="371" spans="1:62" x14ac:dyDescent="0.25">
      <c r="D371" t="str">
        <f ca="1">IF(data!B28=1,IF($B$43&lt;=2.7432,D368,IF($B$43&lt;=3,D369,D370)),"C")</f>
        <v>A</v>
      </c>
    </row>
    <row r="373" spans="1:62" x14ac:dyDescent="0.25">
      <c r="N373" s="4"/>
      <c r="Z373" s="4"/>
      <c r="AL373" s="4"/>
      <c r="AX373" s="4"/>
      <c r="BJ373" s="4"/>
    </row>
    <row r="374" spans="1:62" ht="20.25" thickBot="1" x14ac:dyDescent="0.35">
      <c r="A374" s="2" t="s">
        <v>170</v>
      </c>
    </row>
    <row r="375" spans="1:62" ht="15.75" thickTop="1" x14ac:dyDescent="0.25">
      <c r="A375" s="3" t="s">
        <v>46</v>
      </c>
      <c r="B375" s="3">
        <v>1</v>
      </c>
      <c r="C375" s="3">
        <v>2</v>
      </c>
      <c r="D375" s="3">
        <v>3</v>
      </c>
      <c r="E375" s="3">
        <v>4</v>
      </c>
      <c r="F375" s="3">
        <v>5</v>
      </c>
      <c r="G375" s="3">
        <v>6</v>
      </c>
      <c r="H375" s="3">
        <v>7</v>
      </c>
      <c r="I375" s="3">
        <v>8</v>
      </c>
    </row>
    <row r="376" spans="1:62" x14ac:dyDescent="0.25">
      <c r="A376" s="3" t="s">
        <v>44</v>
      </c>
      <c r="B376">
        <f ca="1">$B$38</f>
        <v>100</v>
      </c>
      <c r="C376">
        <f t="shared" ref="C376:I376" ca="1" si="342">$B$38</f>
        <v>100</v>
      </c>
      <c r="D376">
        <f t="shared" ca="1" si="342"/>
        <v>100</v>
      </c>
      <c r="E376">
        <f t="shared" ca="1" si="342"/>
        <v>100</v>
      </c>
      <c r="F376">
        <f t="shared" ca="1" si="342"/>
        <v>100</v>
      </c>
      <c r="G376">
        <f t="shared" ca="1" si="342"/>
        <v>100</v>
      </c>
      <c r="H376">
        <f t="shared" ca="1" si="342"/>
        <v>100</v>
      </c>
      <c r="I376">
        <f t="shared" ca="1" si="342"/>
        <v>100</v>
      </c>
      <c r="N376" s="6"/>
      <c r="Z376" s="6"/>
      <c r="AL376" s="6"/>
      <c r="AX376" s="6"/>
      <c r="BJ376" s="6"/>
    </row>
    <row r="377" spans="1:62" x14ac:dyDescent="0.25">
      <c r="A377" s="3" t="s">
        <v>36</v>
      </c>
      <c r="B377">
        <f ca="1">B170</f>
        <v>52.858939845768717</v>
      </c>
      <c r="C377">
        <f ca="1">I170</f>
        <v>107.69752802176512</v>
      </c>
      <c r="D377">
        <f ca="1">P170</f>
        <v>163.84687955551047</v>
      </c>
      <c r="E377">
        <f ca="1">W170</f>
        <v>227.80619096150721</v>
      </c>
      <c r="F377">
        <f ca="1">AD170</f>
        <v>283.23961286125098</v>
      </c>
      <c r="G377">
        <f ca="1">AK170</f>
        <v>339.38930241348095</v>
      </c>
      <c r="H377">
        <f ca="1">AR170</f>
        <v>434.38440543770037</v>
      </c>
      <c r="I377">
        <f ca="1">AY170</f>
        <v>532.49300651247097</v>
      </c>
      <c r="N377" s="6"/>
      <c r="Z377" s="6"/>
      <c r="AL377" s="6"/>
      <c r="AX377" s="6"/>
      <c r="BJ377" s="6"/>
    </row>
    <row r="378" spans="1:62" x14ac:dyDescent="0.25">
      <c r="A378" s="3" t="s">
        <v>45</v>
      </c>
      <c r="B378">
        <f ca="1">$B$40</f>
        <v>100</v>
      </c>
      <c r="C378">
        <f t="shared" ref="C378:I378" ca="1" si="343">$B$40</f>
        <v>100</v>
      </c>
      <c r="D378">
        <f t="shared" ca="1" si="343"/>
        <v>100</v>
      </c>
      <c r="E378">
        <f t="shared" ca="1" si="343"/>
        <v>100</v>
      </c>
      <c r="F378">
        <f t="shared" ca="1" si="343"/>
        <v>100</v>
      </c>
      <c r="G378">
        <f t="shared" ca="1" si="343"/>
        <v>100</v>
      </c>
      <c r="H378">
        <f t="shared" ca="1" si="343"/>
        <v>100</v>
      </c>
      <c r="I378">
        <f t="shared" ca="1" si="343"/>
        <v>100</v>
      </c>
      <c r="N378" s="6"/>
      <c r="Z378" s="6"/>
      <c r="AL378" s="6"/>
      <c r="AX378" s="6"/>
      <c r="BJ378" s="6"/>
    </row>
    <row r="379" spans="1:62" x14ac:dyDescent="0.25">
      <c r="A379" s="3" t="s">
        <v>69</v>
      </c>
      <c r="B379" s="6">
        <f ca="1">B171</f>
        <v>13.639900109604907</v>
      </c>
      <c r="C379" s="6">
        <f ca="1">I171</f>
        <v>28.838645946021803</v>
      </c>
      <c r="D379" s="6">
        <f ca="1">P171</f>
        <v>43.647680350735705</v>
      </c>
      <c r="E379" s="6">
        <f ca="1">W171</f>
        <v>58.067003323746604</v>
      </c>
      <c r="F379" s="6">
        <f ca="1">AD171</f>
        <v>73.265749160163509</v>
      </c>
      <c r="G379" s="6">
        <f ca="1">AK171</f>
        <v>88.854206428283391</v>
      </c>
      <c r="H379">
        <f ca="1">AR171</f>
        <v>103.2735294012943</v>
      </c>
      <c r="I379">
        <f ca="1">AY171</f>
        <v>118.4722752377112</v>
      </c>
    </row>
    <row r="380" spans="1:62" x14ac:dyDescent="0.25">
      <c r="A380" s="3" t="s">
        <v>37</v>
      </c>
      <c r="B380" s="11">
        <f>$B$39</f>
        <v>1</v>
      </c>
      <c r="C380" s="11">
        <f t="shared" ref="C380:I380" si="344">$B$39</f>
        <v>1</v>
      </c>
      <c r="D380" s="11">
        <f t="shared" si="344"/>
        <v>1</v>
      </c>
      <c r="E380" s="11">
        <f t="shared" si="344"/>
        <v>1</v>
      </c>
      <c r="F380" s="11">
        <f t="shared" si="344"/>
        <v>1</v>
      </c>
      <c r="G380" s="11">
        <f t="shared" si="344"/>
        <v>1</v>
      </c>
      <c r="H380" s="11">
        <f t="shared" si="344"/>
        <v>1</v>
      </c>
      <c r="I380" s="11">
        <f t="shared" si="344"/>
        <v>1</v>
      </c>
    </row>
    <row r="381" spans="1:62" x14ac:dyDescent="0.25">
      <c r="A381" s="3" t="s">
        <v>38</v>
      </c>
      <c r="B381" s="13">
        <f ca="1">B172</f>
        <v>0.13639900109604908</v>
      </c>
      <c r="C381" s="13">
        <f ca="1">I172</f>
        <v>0.28838645946021801</v>
      </c>
      <c r="D381" s="13">
        <f ca="1">P172</f>
        <v>0.43647680350735707</v>
      </c>
      <c r="E381" s="13">
        <f ca="1">W172</f>
        <v>0.58067003323746602</v>
      </c>
      <c r="F381" s="13">
        <f ca="1">AD172</f>
        <v>0.73265749160163507</v>
      </c>
      <c r="G381" s="13">
        <f ca="1">AK172</f>
        <v>0.88854206428283389</v>
      </c>
      <c r="H381">
        <f ca="1">AR172</f>
        <v>1.0327352940129431</v>
      </c>
      <c r="I381">
        <f ca="1">AY172</f>
        <v>1.184722752377112</v>
      </c>
    </row>
    <row r="382" spans="1:62" x14ac:dyDescent="0.25">
      <c r="A382" s="3" t="s">
        <v>293</v>
      </c>
      <c r="B382">
        <f ca="1">B168</f>
        <v>107.77062845639477</v>
      </c>
      <c r="C382">
        <f ca="1">I168</f>
        <v>25.91671575434783</v>
      </c>
      <c r="D382">
        <f ca="1">P168</f>
        <v>11.199949992810387</v>
      </c>
      <c r="E382">
        <f ca="1">W168</f>
        <v>5.8058477322944526</v>
      </c>
      <c r="F382">
        <f ca="1">AD168</f>
        <v>3.7530015650048787</v>
      </c>
      <c r="G382">
        <f ca="1">AK168</f>
        <v>2.6124192831701722</v>
      </c>
      <c r="H382">
        <f ca="1">AR168</f>
        <v>1.8351478120433418</v>
      </c>
      <c r="I382">
        <f ca="1">AY168</f>
        <v>1.4460065330012197</v>
      </c>
    </row>
    <row r="383" spans="1:62" x14ac:dyDescent="0.25">
      <c r="A383" s="3" t="s">
        <v>39</v>
      </c>
      <c r="B383">
        <f ca="1">B169</f>
        <v>126.98412698412697</v>
      </c>
      <c r="C383">
        <f ca="1">I169</f>
        <v>28.406785163541922</v>
      </c>
      <c r="D383">
        <f ca="1">P169</f>
        <v>12.40079365079365</v>
      </c>
      <c r="E383">
        <f ca="1">W169</f>
        <v>7.006691390277715</v>
      </c>
      <c r="F383">
        <f ca="1">AD169</f>
        <v>4.4011870630249987</v>
      </c>
      <c r="G383">
        <f ca="1">AK169</f>
        <v>2.9923737218289386</v>
      </c>
      <c r="H383">
        <f ca="1">AR169</f>
        <v>2.2151022507021083</v>
      </c>
      <c r="I383">
        <f ca="1">AY169</f>
        <v>1.6832102185287778</v>
      </c>
    </row>
    <row r="384" spans="1:62" x14ac:dyDescent="0.25">
      <c r="A384" s="3" t="s">
        <v>87</v>
      </c>
      <c r="B384">
        <f ca="1">$B$18</f>
        <v>30</v>
      </c>
      <c r="C384">
        <f t="shared" ref="C384:I384" ca="1" si="345">$B$18</f>
        <v>30</v>
      </c>
      <c r="D384">
        <f t="shared" ca="1" si="345"/>
        <v>30</v>
      </c>
      <c r="E384">
        <f t="shared" ca="1" si="345"/>
        <v>30</v>
      </c>
      <c r="F384">
        <f t="shared" ca="1" si="345"/>
        <v>30</v>
      </c>
      <c r="G384">
        <f t="shared" ca="1" si="345"/>
        <v>30</v>
      </c>
      <c r="H384">
        <f t="shared" ca="1" si="345"/>
        <v>30</v>
      </c>
      <c r="I384">
        <f t="shared" ca="1" si="345"/>
        <v>30</v>
      </c>
    </row>
    <row r="385" spans="1:20" x14ac:dyDescent="0.25">
      <c r="A385" s="3" t="s">
        <v>40</v>
      </c>
      <c r="B385" s="6">
        <f ca="1">B178</f>
        <v>44.946630957867235</v>
      </c>
      <c r="C385" s="6">
        <f ca="1">I178</f>
        <v>36.867978668410814</v>
      </c>
      <c r="D385" s="6">
        <f ca="1">P178</f>
        <v>29.176870902434835</v>
      </c>
      <c r="E385" s="6">
        <f ca="1">W178</f>
        <v>21.166135414651666</v>
      </c>
      <c r="F385" s="6">
        <f ca="1">AD178</f>
        <v>16.873416055927567</v>
      </c>
      <c r="G385" s="6">
        <f ca="1">AK178</f>
        <v>9.926880422642931</v>
      </c>
      <c r="H385" s="6">
        <f ca="1">AR178</f>
        <v>5.5421734262784987</v>
      </c>
      <c r="I385" s="6">
        <f ca="1">AY178</f>
        <v>2.7113463441227008</v>
      </c>
    </row>
    <row r="386" spans="1:20" x14ac:dyDescent="0.25">
      <c r="A386" s="3" t="s">
        <v>41</v>
      </c>
      <c r="B386" s="6">
        <f ca="1">B179</f>
        <v>29.946630957867235</v>
      </c>
      <c r="C386" s="6">
        <f ca="1">I179</f>
        <v>21.867978668410814</v>
      </c>
      <c r="D386" s="6">
        <f ca="1">P179</f>
        <v>14.176870902434835</v>
      </c>
      <c r="E386" s="6">
        <f ca="1">W179</f>
        <v>6.1661354146516665</v>
      </c>
      <c r="F386" s="6">
        <f ca="1">AD179</f>
        <v>1.8734160559275672</v>
      </c>
      <c r="G386" s="6">
        <f ca="1">AK179</f>
        <v>-5.073119577357069</v>
      </c>
      <c r="H386" s="6">
        <f ca="1">AR179</f>
        <v>-9.4578265737215013</v>
      </c>
      <c r="I386" s="6">
        <f ca="1">AY179</f>
        <v>-12.288653655877299</v>
      </c>
    </row>
    <row r="387" spans="1:20" x14ac:dyDescent="0.25">
      <c r="A387" s="3" t="s">
        <v>89</v>
      </c>
      <c r="B387" t="str">
        <f ca="1">$D$371</f>
        <v>A</v>
      </c>
      <c r="C387" t="str">
        <f t="shared" ref="C387:I387" ca="1" si="346">$D$371</f>
        <v>A</v>
      </c>
      <c r="D387" t="str">
        <f t="shared" ca="1" si="346"/>
        <v>A</v>
      </c>
      <c r="E387" t="str">
        <f t="shared" ca="1" si="346"/>
        <v>A</v>
      </c>
      <c r="F387" t="str">
        <f t="shared" ca="1" si="346"/>
        <v>A</v>
      </c>
      <c r="G387" t="str">
        <f t="shared" ca="1" si="346"/>
        <v>A</v>
      </c>
      <c r="H387" t="str">
        <f t="shared" ca="1" si="346"/>
        <v>A</v>
      </c>
      <c r="I387" t="str">
        <f t="shared" ca="1" si="346"/>
        <v>A</v>
      </c>
    </row>
    <row r="388" spans="1:20" x14ac:dyDescent="0.25">
      <c r="A388" s="3" t="s">
        <v>383</v>
      </c>
      <c r="B388" s="6">
        <f ca="1">B301</f>
        <v>42.985119232190847</v>
      </c>
      <c r="C388" s="6">
        <f ca="1">I301</f>
        <v>33.07077263064982</v>
      </c>
      <c r="D388" s="6">
        <f ca="1">P301</f>
        <v>27.276747252090313</v>
      </c>
      <c r="E388" s="6">
        <f ca="1">W301</f>
        <v>23.160724541032003</v>
      </c>
      <c r="F388" s="6">
        <f ca="1">AD301</f>
        <v>19.973106946407032</v>
      </c>
      <c r="G388" s="6">
        <f ca="1">AK301</f>
        <v>17.366699162472504</v>
      </c>
      <c r="H388" s="6">
        <f ca="1">AR301</f>
        <v>15.160718766604287</v>
      </c>
      <c r="I388" s="6">
        <f ca="1">AY301</f>
        <v>13.254429475756549</v>
      </c>
    </row>
    <row r="389" spans="1:20" x14ac:dyDescent="0.25">
      <c r="A389" s="3" t="s">
        <v>47</v>
      </c>
      <c r="B389" s="6">
        <f ca="1">B300</f>
        <v>28.656746154793897</v>
      </c>
      <c r="C389" s="6">
        <f ca="1">I300</f>
        <v>22.047181753766548</v>
      </c>
      <c r="D389" s="6">
        <f ca="1">P300</f>
        <v>18.184498168060209</v>
      </c>
      <c r="E389" s="6">
        <f ca="1">W300</f>
        <v>15.44048302735467</v>
      </c>
      <c r="F389" s="6">
        <f ca="1">AD300</f>
        <v>13.315404630938021</v>
      </c>
      <c r="G389" s="6">
        <f ca="1">AK300</f>
        <v>11.577799441648336</v>
      </c>
      <c r="H389" s="6">
        <f ca="1">AR300</f>
        <v>10.107145844402858</v>
      </c>
      <c r="I389" s="6">
        <f ca="1">AY300</f>
        <v>8.836286317171032</v>
      </c>
    </row>
    <row r="390" spans="1:20" x14ac:dyDescent="0.25">
      <c r="A390" s="3" t="s">
        <v>384</v>
      </c>
      <c r="B390" s="6">
        <f ca="1">B316</f>
        <v>161.68888048148276</v>
      </c>
      <c r="C390" s="6">
        <f ca="1">I316</f>
        <v>47.153115781182841</v>
      </c>
      <c r="D390" s="6">
        <f ca="1">P316</f>
        <v>22.942030264325659</v>
      </c>
      <c r="E390" s="6">
        <f ca="1">W316</f>
        <v>13.750654275011614</v>
      </c>
      <c r="F390" s="6">
        <f ca="1">AD316</f>
        <v>9.2574700570847011</v>
      </c>
      <c r="G390" s="6">
        <f ca="1">AK316</f>
        <v>6.6847849532952157</v>
      </c>
      <c r="H390" s="6">
        <f ca="1">AR316</f>
        <v>5.0852882097095922</v>
      </c>
      <c r="I390" s="6">
        <f ca="1">AY316</f>
        <v>4.0091422782495076</v>
      </c>
    </row>
    <row r="391" spans="1:20" x14ac:dyDescent="0.25">
      <c r="A391" s="3" t="s">
        <v>768</v>
      </c>
      <c r="B391">
        <f ca="1">B208</f>
        <v>19.689795918367345</v>
      </c>
      <c r="C391">
        <f ca="1">I208</f>
        <v>15.817760617760618</v>
      </c>
      <c r="D391">
        <f ca="1">P208</f>
        <v>14.638775510204082</v>
      </c>
      <c r="E391">
        <f ca="1">W208</f>
        <v>14.068648130393097</v>
      </c>
      <c r="F391">
        <f ca="1">AD208</f>
        <v>13.710638297872341</v>
      </c>
      <c r="G391">
        <f ca="1">AK208</f>
        <v>13.470676691729324</v>
      </c>
      <c r="H391">
        <f ca="1">AR208</f>
        <v>13.313207547169814</v>
      </c>
      <c r="I391">
        <f ca="1">AY208</f>
        <v>13.188721804511282</v>
      </c>
    </row>
    <row r="392" spans="1:20" x14ac:dyDescent="0.25">
      <c r="A392" s="3" t="s">
        <v>405</v>
      </c>
      <c r="B392">
        <f ca="1">B200</f>
        <v>19.689795918367345</v>
      </c>
      <c r="C392">
        <f ca="1">I200</f>
        <v>15.817760617760618</v>
      </c>
      <c r="D392">
        <f ca="1">P200</f>
        <v>14.638775510204082</v>
      </c>
      <c r="E392">
        <f ca="1">W200</f>
        <v>14.068648130393097</v>
      </c>
      <c r="F392">
        <f ca="1">AD200</f>
        <v>13.710638297872341</v>
      </c>
      <c r="G392">
        <f ca="1">AK200</f>
        <v>13.470676691729324</v>
      </c>
      <c r="H392">
        <f ca="1">AR200</f>
        <v>13.313207547169814</v>
      </c>
      <c r="I392">
        <f ca="1">AY200</f>
        <v>13.188721804511282</v>
      </c>
    </row>
    <row r="393" spans="1:20" x14ac:dyDescent="0.25">
      <c r="A393" s="3" t="s">
        <v>43</v>
      </c>
      <c r="B393">
        <f ca="1">B192</f>
        <v>8.338580901745301</v>
      </c>
      <c r="C393">
        <f ca="1">I192</f>
        <v>5.4461072964591697</v>
      </c>
      <c r="D393">
        <f ca="1">P192</f>
        <v>4.9258399535724848</v>
      </c>
      <c r="E393">
        <f ca="1">W192</f>
        <v>4.7083339684638164</v>
      </c>
      <c r="F393">
        <f ca="1">AD192</f>
        <v>4.5813048845237425</v>
      </c>
      <c r="G393">
        <f ca="1">AK192</f>
        <v>4.4999303525686685</v>
      </c>
      <c r="H393">
        <f ca="1">AR192</f>
        <v>4.4480830809619762</v>
      </c>
      <c r="I393">
        <f ca="1">AY192</f>
        <v>4.407933657716625</v>
      </c>
    </row>
    <row r="394" spans="1:20" x14ac:dyDescent="0.25">
      <c r="A394" s="3" t="s">
        <v>42</v>
      </c>
      <c r="B394">
        <f ca="1">B184</f>
        <v>2.3410799999999998</v>
      </c>
      <c r="C394">
        <f ca="1">I184</f>
        <v>2.3931040000000001</v>
      </c>
      <c r="D394">
        <f ca="1">P184</f>
        <v>2.445128</v>
      </c>
      <c r="E394">
        <f ca="1">W184</f>
        <v>2.4971519999999998</v>
      </c>
      <c r="F394">
        <f ca="1">AD184</f>
        <v>2.5491760000000001</v>
      </c>
      <c r="G394">
        <f ca="1">AK184</f>
        <v>2.6012</v>
      </c>
      <c r="H394">
        <f ca="1">AR184</f>
        <v>2.6012</v>
      </c>
      <c r="I394">
        <f ca="1">AY184</f>
        <v>2.6012</v>
      </c>
    </row>
    <row r="395" spans="1:20" x14ac:dyDescent="0.25">
      <c r="A395" s="3" t="s">
        <v>168</v>
      </c>
      <c r="B395" s="7">
        <f ca="1">B229</f>
        <v>0.16970970800863</v>
      </c>
      <c r="C395" s="7">
        <f ca="1">I229</f>
        <v>0.14753652733825265</v>
      </c>
      <c r="D395" s="7">
        <f ca="1">P229</f>
        <v>0.13989137177208094</v>
      </c>
      <c r="E395" s="7">
        <f ca="1">W229</f>
        <v>0.13599885929083891</v>
      </c>
      <c r="F395" s="7">
        <f ca="1">AD229</f>
        <v>0.13348123531581835</v>
      </c>
      <c r="G395" s="7">
        <f ca="1">AK229</f>
        <v>0.13175978073502476</v>
      </c>
      <c r="H395" s="7">
        <f ca="1">AR229</f>
        <v>0.13061457703434851</v>
      </c>
      <c r="I395" s="7">
        <f ca="1">AY229</f>
        <v>0.12970023285577187</v>
      </c>
    </row>
    <row r="396" spans="1:20" x14ac:dyDescent="0.25">
      <c r="A396" s="3" t="s">
        <v>150</v>
      </c>
      <c r="B396" s="4">
        <f ca="1">B230</f>
        <v>0.16672943520039241</v>
      </c>
      <c r="C396" s="103">
        <f ca="1">I230</f>
        <v>0.1383174504939359</v>
      </c>
      <c r="D396" s="103">
        <f ca="1">P230</f>
        <v>0.12869695562777858</v>
      </c>
      <c r="E396" s="103">
        <f ca="1">W230</f>
        <v>0.12382833021001254</v>
      </c>
      <c r="F396" s="103">
        <f ca="1">AD230</f>
        <v>0.12068902071787477</v>
      </c>
      <c r="G396" s="103">
        <f ca="1">AK230</f>
        <v>0.11854654778171125</v>
      </c>
      <c r="H396">
        <f ca="1">AR230</f>
        <v>0.11712299328498575</v>
      </c>
      <c r="I396">
        <f ca="1">AY230</f>
        <v>0.11598736370271259</v>
      </c>
      <c r="J396" s="4"/>
      <c r="K396" s="4"/>
      <c r="L396" s="4"/>
      <c r="M396" s="4"/>
      <c r="N396" s="4"/>
    </row>
    <row r="397" spans="1:20" x14ac:dyDescent="0.25">
      <c r="A397" s="3" t="s">
        <v>158</v>
      </c>
      <c r="B397" s="4">
        <f ca="1">B231</f>
        <v>8.5581711081219022E-2</v>
      </c>
      <c r="C397" s="103">
        <f ca="1">I231</f>
        <v>7.4145221179055171E-2</v>
      </c>
      <c r="D397" s="103">
        <f ca="1">P231</f>
        <v>7.0455692100873851E-2</v>
      </c>
      <c r="E397" s="103">
        <f ca="1">W231</f>
        <v>6.8623810233803081E-2</v>
      </c>
      <c r="F397" s="103">
        <f ca="1">AD231</f>
        <v>6.745517504038849E-2</v>
      </c>
      <c r="G397" s="103">
        <f ca="1">AK231</f>
        <v>6.6663278940908594E-2</v>
      </c>
      <c r="H397">
        <f ca="1">AR231</f>
        <v>6.6139646099263844E-2</v>
      </c>
      <c r="I397">
        <f ca="1">AY231</f>
        <v>6.5723375195030811E-2</v>
      </c>
    </row>
    <row r="398" spans="1:20" x14ac:dyDescent="0.25">
      <c r="A398" s="3" t="s">
        <v>165</v>
      </c>
      <c r="B398" s="4" t="str">
        <f ca="1">B232</f>
        <v>B</v>
      </c>
      <c r="C398" s="103" t="str">
        <f ca="1">I232</f>
        <v>B</v>
      </c>
      <c r="D398" s="103" t="str">
        <f ca="1">P232</f>
        <v>B</v>
      </c>
      <c r="E398" s="103" t="str">
        <f ca="1">W232</f>
        <v>B</v>
      </c>
      <c r="F398" s="103" t="str">
        <f ca="1">AD232</f>
        <v>B</v>
      </c>
      <c r="G398" s="103" t="str">
        <f ca="1">AK232</f>
        <v>B</v>
      </c>
      <c r="H398" t="str">
        <f ca="1">AR232</f>
        <v>B</v>
      </c>
      <c r="I398" t="str">
        <f ca="1">AY232</f>
        <v>B</v>
      </c>
      <c r="N398" s="11"/>
    </row>
    <row r="399" spans="1:20" x14ac:dyDescent="0.25">
      <c r="A399" s="3" t="s">
        <v>219</v>
      </c>
      <c r="B399" s="148">
        <f ca="1">B234</f>
        <v>0.4</v>
      </c>
      <c r="C399" s="148">
        <f ca="1">I234</f>
        <v>0.3</v>
      </c>
      <c r="D399" s="148">
        <f ca="1">P234</f>
        <v>0.3</v>
      </c>
      <c r="E399" s="148">
        <f ca="1">W234</f>
        <v>0.3</v>
      </c>
      <c r="F399" s="148">
        <f ca="1">AD234</f>
        <v>0.3</v>
      </c>
      <c r="G399" s="148">
        <f ca="1">AK234</f>
        <v>0.3</v>
      </c>
      <c r="H399">
        <f ca="1">AR234</f>
        <v>0.3</v>
      </c>
      <c r="I399">
        <f ca="1">AY234</f>
        <v>0.3</v>
      </c>
      <c r="M399" s="148"/>
      <c r="N399" s="148"/>
      <c r="O399" s="148"/>
      <c r="P399" s="148"/>
      <c r="Q399" s="148"/>
      <c r="R399" s="148"/>
      <c r="S399" s="6"/>
      <c r="T399" s="6"/>
    </row>
    <row r="400" spans="1:20" x14ac:dyDescent="0.25">
      <c r="A400" s="3" t="s">
        <v>517</v>
      </c>
      <c r="B400" s="148" t="str">
        <f ca="1">$B$328</f>
        <v>n.r.</v>
      </c>
      <c r="C400" s="148" t="str">
        <f ca="1">$I$328</f>
        <v>n.r.</v>
      </c>
      <c r="D400" s="148" t="str">
        <f ca="1">$P$328</f>
        <v>n.r.</v>
      </c>
      <c r="E400" s="148">
        <f ca="1">$W$328</f>
        <v>30</v>
      </c>
      <c r="F400" s="148">
        <f ca="1">$AD$328</f>
        <v>29</v>
      </c>
      <c r="G400" s="148">
        <f ca="1">$AK$328</f>
        <v>27</v>
      </c>
      <c r="H400">
        <f ca="1">$AR$328</f>
        <v>25</v>
      </c>
      <c r="I400">
        <f ca="1">$AY$328</f>
        <v>24</v>
      </c>
      <c r="M400" s="148"/>
      <c r="N400" s="148"/>
      <c r="O400" s="148"/>
      <c r="P400" s="148"/>
      <c r="Q400" s="148"/>
      <c r="R400" s="148"/>
      <c r="S400" s="6"/>
      <c r="T400" s="6"/>
    </row>
    <row r="401" spans="1:20" x14ac:dyDescent="0.25">
      <c r="A401" s="3" t="s">
        <v>518</v>
      </c>
      <c r="B401" s="148" t="str">
        <f ca="1">$B$329</f>
        <v/>
      </c>
      <c r="C401" s="148" t="str">
        <f ca="1">$I$329</f>
        <v/>
      </c>
      <c r="D401" s="148" t="str">
        <f ca="1">$P$329</f>
        <v/>
      </c>
      <c r="E401" s="148" t="str">
        <f ca="1">$W$329</f>
        <v>†</v>
      </c>
      <c r="F401" s="148" t="str">
        <f ca="1">$AD$329</f>
        <v/>
      </c>
      <c r="G401" s="148" t="str">
        <f ca="1">$AK$329</f>
        <v/>
      </c>
      <c r="H401" t="str">
        <f ca="1">$AR$329</f>
        <v/>
      </c>
      <c r="I401" t="str">
        <f ca="1">$AY$329</f>
        <v/>
      </c>
    </row>
    <row r="402" spans="1:20" x14ac:dyDescent="0.25">
      <c r="A402" s="3" t="s">
        <v>592</v>
      </c>
      <c r="B402" s="77" t="e">
        <f ca="1">B334</f>
        <v>#VALUE!</v>
      </c>
      <c r="C402" s="77" t="e">
        <f ca="1">I334</f>
        <v>#VALUE!</v>
      </c>
      <c r="D402" s="77" t="e">
        <f ca="1">P334</f>
        <v>#VALUE!</v>
      </c>
      <c r="E402" s="77">
        <f ca="1">W334</f>
        <v>14</v>
      </c>
      <c r="F402" s="77">
        <f ca="1">AD334</f>
        <v>13.257470057084703</v>
      </c>
      <c r="G402" s="77">
        <f ca="1">AK334</f>
        <v>10.684784953295214</v>
      </c>
      <c r="H402" s="77">
        <f ca="1">AR334</f>
        <v>9.0852882097095922</v>
      </c>
      <c r="I402" s="77">
        <f ca="1">AY334</f>
        <v>8.0091422782495059</v>
      </c>
      <c r="M402" s="148"/>
      <c r="N402" s="148"/>
      <c r="O402" s="148"/>
      <c r="P402" s="148"/>
      <c r="Q402" s="148"/>
      <c r="R402" s="148"/>
      <c r="S402" s="6"/>
      <c r="T402" s="6"/>
    </row>
    <row r="403" spans="1:20" x14ac:dyDescent="0.25">
      <c r="A403" s="3" t="s">
        <v>501</v>
      </c>
      <c r="B403" s="77" t="str">
        <f ca="1">B335</f>
        <v/>
      </c>
      <c r="C403" s="77" t="str">
        <f ca="1">I335</f>
        <v/>
      </c>
      <c r="D403" s="77" t="str">
        <f ca="1">P335</f>
        <v/>
      </c>
      <c r="E403" s="77">
        <f ca="1">W335</f>
        <v>1.0090259519421836</v>
      </c>
      <c r="F403" s="77">
        <f ca="1">AD335</f>
        <v>1.1966969094763962</v>
      </c>
      <c r="G403" s="77">
        <f ca="1">AK335</f>
        <v>1.2642680783236233</v>
      </c>
      <c r="H403" s="77">
        <f ca="1">AR335</f>
        <v>1.3366311207812496</v>
      </c>
      <c r="I403" s="77">
        <f ca="1">AY335</f>
        <v>1.413407104253283</v>
      </c>
      <c r="M403" s="148"/>
      <c r="N403" s="148"/>
      <c r="O403" s="148"/>
      <c r="P403" s="148"/>
      <c r="Q403" s="148"/>
      <c r="R403" s="148"/>
      <c r="S403" s="6"/>
      <c r="T403" s="6"/>
    </row>
    <row r="404" spans="1:20" x14ac:dyDescent="0.25">
      <c r="A404" s="3" t="s">
        <v>519</v>
      </c>
      <c r="B404" s="77" t="str">
        <f ca="1">B336</f>
        <v/>
      </c>
      <c r="C404" s="77" t="str">
        <f ca="1">I336</f>
        <v/>
      </c>
      <c r="D404" s="77" t="str">
        <f ca="1">P336</f>
        <v/>
      </c>
      <c r="E404" s="77">
        <f ca="1">W336</f>
        <v>1.0181333716928298</v>
      </c>
      <c r="F404" s="77">
        <f ca="1">AD336</f>
        <v>1.4320834931503579</v>
      </c>
      <c r="G404" s="77">
        <f ca="1">AK336</f>
        <v>1.5983737738681074</v>
      </c>
      <c r="H404" s="77">
        <f ca="1">AR336</f>
        <v>1.7865827530409393</v>
      </c>
      <c r="I404" s="77">
        <f ca="1">AY336</f>
        <v>1.9977196423536507</v>
      </c>
      <c r="M404" s="148"/>
      <c r="N404" s="148"/>
      <c r="O404" s="148"/>
      <c r="P404" s="148"/>
      <c r="Q404" s="148"/>
      <c r="R404" s="148"/>
      <c r="S404" s="6"/>
      <c r="T404" s="6"/>
    </row>
    <row r="405" spans="1:20" ht="15.75" x14ac:dyDescent="0.25">
      <c r="A405" s="271" t="s">
        <v>597</v>
      </c>
      <c r="B405" s="77" t="str">
        <f ca="1">B337</f>
        <v/>
      </c>
      <c r="C405" s="77" t="str">
        <f ca="1">I337</f>
        <v/>
      </c>
      <c r="D405" s="77" t="str">
        <f ca="1">P337</f>
        <v/>
      </c>
      <c r="E405" s="77">
        <f ca="1">W337</f>
        <v>0.99105478711938944</v>
      </c>
      <c r="F405" s="77">
        <f ca="1">AD337</f>
        <v>0.83563347751732797</v>
      </c>
      <c r="G405" s="77">
        <f ca="1">AK337</f>
        <v>0.79097148551434293</v>
      </c>
      <c r="H405" s="77">
        <f ca="1">AR337</f>
        <v>0.74814957130094983</v>
      </c>
      <c r="I405" s="77">
        <f ca="1">AY337</f>
        <v>0.70751024031983334</v>
      </c>
      <c r="M405" s="148"/>
      <c r="N405" s="148"/>
      <c r="O405" s="148"/>
      <c r="P405" s="148"/>
      <c r="Q405" s="148"/>
      <c r="R405" s="148"/>
      <c r="S405" s="6"/>
      <c r="T405" s="6"/>
    </row>
    <row r="406" spans="1:20" x14ac:dyDescent="0.25">
      <c r="A406" s="3" t="s">
        <v>301</v>
      </c>
      <c r="B406" s="148" t="str">
        <f t="shared" ref="B406:I406" ca="1" si="347">"DN"&amp;$B$81</f>
        <v>DN250</v>
      </c>
      <c r="C406" s="148" t="str">
        <f t="shared" ca="1" si="347"/>
        <v>DN250</v>
      </c>
      <c r="D406" s="148" t="str">
        <f t="shared" ca="1" si="347"/>
        <v>DN250</v>
      </c>
      <c r="E406" s="148" t="str">
        <f t="shared" ca="1" si="347"/>
        <v>DN250</v>
      </c>
      <c r="F406" s="148" t="str">
        <f t="shared" ca="1" si="347"/>
        <v>DN250</v>
      </c>
      <c r="G406" s="148" t="str">
        <f t="shared" ca="1" si="347"/>
        <v>DN250</v>
      </c>
      <c r="H406" s="148" t="str">
        <f t="shared" ca="1" si="347"/>
        <v>DN250</v>
      </c>
      <c r="I406" s="148" t="str">
        <f t="shared" ca="1" si="347"/>
        <v>DN250</v>
      </c>
      <c r="J406" s="148"/>
      <c r="N406" s="11"/>
    </row>
    <row r="407" spans="1:20" x14ac:dyDescent="0.25">
      <c r="A407" s="3" t="s">
        <v>465</v>
      </c>
      <c r="B407" s="11">
        <f ca="1">B287</f>
        <v>0.9</v>
      </c>
      <c r="C407" s="11">
        <f ca="1">I287</f>
        <v>0.95</v>
      </c>
      <c r="D407" s="11">
        <f ca="1">P287</f>
        <v>0.95</v>
      </c>
      <c r="E407" s="11">
        <f ca="1">W287</f>
        <v>0.95</v>
      </c>
      <c r="F407" s="11">
        <f ca="1">AD287</f>
        <v>0.95</v>
      </c>
      <c r="G407" s="11">
        <f ca="1">AK287</f>
        <v>0.95</v>
      </c>
      <c r="H407" s="11">
        <f ca="1">AR287</f>
        <v>0.95</v>
      </c>
      <c r="I407" s="11">
        <f ca="1">AY287</f>
        <v>0.95</v>
      </c>
      <c r="J407" s="148"/>
      <c r="N407" s="11"/>
    </row>
    <row r="408" spans="1:20" x14ac:dyDescent="0.25">
      <c r="A408" s="3" t="s">
        <v>466</v>
      </c>
      <c r="B408" s="11">
        <f ca="1">B288</f>
        <v>0.9</v>
      </c>
      <c r="C408" s="11">
        <f ca="1">I288</f>
        <v>0.95</v>
      </c>
      <c r="D408" s="11">
        <f ca="1">P288</f>
        <v>0.95</v>
      </c>
      <c r="E408" s="11">
        <f ca="1">W288</f>
        <v>0.95</v>
      </c>
      <c r="F408" s="11">
        <f ca="1">AD288</f>
        <v>0.95</v>
      </c>
      <c r="G408" s="11">
        <f ca="1">AK288</f>
        <v>0.95</v>
      </c>
      <c r="H408" s="11">
        <f ca="1">AR288</f>
        <v>0.95</v>
      </c>
      <c r="I408" s="11">
        <f ca="1">AY288</f>
        <v>0.95</v>
      </c>
      <c r="J408" s="148"/>
      <c r="N408" s="11"/>
    </row>
    <row r="409" spans="1:20" x14ac:dyDescent="0.25">
      <c r="A409" s="3"/>
      <c r="B409" s="11"/>
      <c r="C409" s="11"/>
      <c r="D409" s="11"/>
      <c r="E409" s="11"/>
      <c r="F409" s="11"/>
      <c r="G409" s="11"/>
      <c r="H409" s="11"/>
      <c r="I409" s="11"/>
      <c r="J409" s="148"/>
      <c r="N409" s="11"/>
    </row>
    <row r="410" spans="1:20" ht="20.25" thickBot="1" x14ac:dyDescent="0.35">
      <c r="A410" s="2" t="s">
        <v>719</v>
      </c>
      <c r="B410" s="11"/>
      <c r="C410" s="11"/>
      <c r="D410" s="11"/>
      <c r="E410" s="11"/>
      <c r="F410" s="11"/>
      <c r="G410" s="11"/>
      <c r="H410" s="11"/>
      <c r="I410" s="11"/>
      <c r="J410" s="148"/>
      <c r="N410" s="11"/>
    </row>
    <row r="411" spans="1:20" ht="15.75" thickTop="1" x14ac:dyDescent="0.25">
      <c r="A411" s="3" t="s">
        <v>46</v>
      </c>
      <c r="B411" s="3">
        <v>1</v>
      </c>
      <c r="C411" s="3">
        <v>2</v>
      </c>
      <c r="D411" s="3">
        <v>3</v>
      </c>
      <c r="E411" s="3">
        <v>4</v>
      </c>
      <c r="F411" s="3">
        <v>5</v>
      </c>
      <c r="G411" s="3">
        <v>6</v>
      </c>
      <c r="H411" s="3">
        <v>7</v>
      </c>
      <c r="I411" s="3">
        <v>8</v>
      </c>
      <c r="J411" s="148"/>
      <c r="N411" s="11"/>
    </row>
    <row r="412" spans="1:20" x14ac:dyDescent="0.25">
      <c r="A412" s="3" t="str">
        <f>"Selected Airflow "&amp;$F$9</f>
        <v>Selected Airflow L/s/m</v>
      </c>
      <c r="B412" s="77">
        <f t="shared" ref="B412:I414" ca="1" si="348">B376/$E$9</f>
        <v>100</v>
      </c>
      <c r="C412" s="77">
        <f t="shared" ca="1" si="348"/>
        <v>100</v>
      </c>
      <c r="D412" s="77">
        <f t="shared" ca="1" si="348"/>
        <v>100</v>
      </c>
      <c r="E412" s="77">
        <f t="shared" ca="1" si="348"/>
        <v>100</v>
      </c>
      <c r="F412" s="77">
        <f t="shared" ca="1" si="348"/>
        <v>100</v>
      </c>
      <c r="G412" s="77">
        <f t="shared" ca="1" si="348"/>
        <v>100</v>
      </c>
      <c r="H412" s="77">
        <f t="shared" ca="1" si="348"/>
        <v>100</v>
      </c>
      <c r="I412" s="77">
        <f t="shared" ca="1" si="348"/>
        <v>100</v>
      </c>
      <c r="J412" s="148"/>
      <c r="N412" s="11"/>
    </row>
    <row r="413" spans="1:20" x14ac:dyDescent="0.25">
      <c r="A413" s="3" t="str">
        <f>"Airflow @ Max Static Pressure "&amp;$F$9</f>
        <v>Airflow @ Max Static Pressure L/s/m</v>
      </c>
      <c r="B413" s="77">
        <f t="shared" ca="1" si="348"/>
        <v>52.858939845768717</v>
      </c>
      <c r="C413" s="77">
        <f t="shared" ca="1" si="348"/>
        <v>107.69752802176512</v>
      </c>
      <c r="D413" s="77">
        <f t="shared" ca="1" si="348"/>
        <v>163.84687955551047</v>
      </c>
      <c r="E413" s="77">
        <f t="shared" ca="1" si="348"/>
        <v>227.80619096150721</v>
      </c>
      <c r="F413" s="77">
        <f t="shared" ca="1" si="348"/>
        <v>283.23961286125098</v>
      </c>
      <c r="G413" s="77">
        <f t="shared" ca="1" si="348"/>
        <v>339.38930241348095</v>
      </c>
      <c r="H413" s="77">
        <f t="shared" ca="1" si="348"/>
        <v>434.38440543770037</v>
      </c>
      <c r="I413" s="77">
        <f t="shared" ca="1" si="348"/>
        <v>532.49300651247097</v>
      </c>
      <c r="J413" s="148"/>
      <c r="N413" s="11"/>
    </row>
    <row r="414" spans="1:20" x14ac:dyDescent="0.25">
      <c r="A414" s="3" t="str">
        <f>"Min Selected Airflow "&amp;$F$9</f>
        <v>Min Selected Airflow L/s/m</v>
      </c>
      <c r="B414" s="77">
        <f t="shared" ca="1" si="348"/>
        <v>100</v>
      </c>
      <c r="C414" s="77">
        <f t="shared" ca="1" si="348"/>
        <v>100</v>
      </c>
      <c r="D414" s="77">
        <f t="shared" ca="1" si="348"/>
        <v>100</v>
      </c>
      <c r="E414" s="77">
        <f t="shared" ca="1" si="348"/>
        <v>100</v>
      </c>
      <c r="F414" s="77">
        <f t="shared" ca="1" si="348"/>
        <v>100</v>
      </c>
      <c r="G414" s="77">
        <f t="shared" ca="1" si="348"/>
        <v>100</v>
      </c>
      <c r="H414" s="77">
        <f t="shared" ca="1" si="348"/>
        <v>100</v>
      </c>
      <c r="I414" s="77">
        <f t="shared" ca="1" si="348"/>
        <v>100</v>
      </c>
      <c r="J414" s="148"/>
      <c r="N414" s="11"/>
    </row>
    <row r="415" spans="1:20" x14ac:dyDescent="0.25">
      <c r="A415" s="3" t="str">
        <f ca="1">"Min Permissible Airflow @ "&amp;B19&amp;" K"</f>
        <v>Min Permissible Airflow @ -12 K</v>
      </c>
      <c r="B415" s="77">
        <f ca="1">B379/$E$9</f>
        <v>13.639900109604907</v>
      </c>
      <c r="C415" s="77">
        <f t="shared" ref="C415:I415" ca="1" si="349">C379/$E$9</f>
        <v>28.838645946021803</v>
      </c>
      <c r="D415" s="77">
        <f t="shared" ca="1" si="349"/>
        <v>43.647680350735705</v>
      </c>
      <c r="E415" s="77">
        <f t="shared" ca="1" si="349"/>
        <v>58.067003323746604</v>
      </c>
      <c r="F415" s="77">
        <f t="shared" ca="1" si="349"/>
        <v>73.265749160163509</v>
      </c>
      <c r="G415" s="77">
        <f t="shared" ca="1" si="349"/>
        <v>88.854206428283391</v>
      </c>
      <c r="H415" s="77">
        <f t="shared" ca="1" si="349"/>
        <v>103.2735294012943</v>
      </c>
      <c r="I415" s="77">
        <f t="shared" ca="1" si="349"/>
        <v>118.4722752377112</v>
      </c>
      <c r="J415" s="148"/>
      <c r="N415" s="11"/>
    </row>
    <row r="416" spans="1:20" x14ac:dyDescent="0.25">
      <c r="A416" s="3" t="s">
        <v>37</v>
      </c>
      <c r="B416" s="11">
        <f>B380</f>
        <v>1</v>
      </c>
      <c r="C416" s="11">
        <f t="shared" ref="C416:I416" si="350">C380</f>
        <v>1</v>
      </c>
      <c r="D416" s="11">
        <f t="shared" si="350"/>
        <v>1</v>
      </c>
      <c r="E416" s="11">
        <f t="shared" si="350"/>
        <v>1</v>
      </c>
      <c r="F416" s="11">
        <f t="shared" si="350"/>
        <v>1</v>
      </c>
      <c r="G416" s="11">
        <f t="shared" si="350"/>
        <v>1</v>
      </c>
      <c r="H416" s="11">
        <f t="shared" si="350"/>
        <v>1</v>
      </c>
      <c r="I416" s="11">
        <f t="shared" si="350"/>
        <v>1</v>
      </c>
      <c r="J416" s="148"/>
      <c r="N416" s="11"/>
    </row>
    <row r="417" spans="1:14" x14ac:dyDescent="0.25">
      <c r="A417" s="3" t="s">
        <v>38</v>
      </c>
      <c r="B417" s="11">
        <f ca="1">B381</f>
        <v>0.13639900109604908</v>
      </c>
      <c r="C417" s="11">
        <f t="shared" ref="C417:I417" ca="1" si="351">C381</f>
        <v>0.28838645946021801</v>
      </c>
      <c r="D417" s="11">
        <f t="shared" ca="1" si="351"/>
        <v>0.43647680350735707</v>
      </c>
      <c r="E417" s="11">
        <f t="shared" ca="1" si="351"/>
        <v>0.58067003323746602</v>
      </c>
      <c r="F417" s="11">
        <f t="shared" ca="1" si="351"/>
        <v>0.73265749160163507</v>
      </c>
      <c r="G417" s="11">
        <f t="shared" ca="1" si="351"/>
        <v>0.88854206428283389</v>
      </c>
      <c r="H417" s="11">
        <f t="shared" ca="1" si="351"/>
        <v>1.0327352940129431</v>
      </c>
      <c r="I417" s="11">
        <f t="shared" ca="1" si="351"/>
        <v>1.184722752377112</v>
      </c>
      <c r="J417" s="148"/>
      <c r="N417" s="11"/>
    </row>
    <row r="418" spans="1:14" x14ac:dyDescent="0.25">
      <c r="A418" s="3" t="str">
        <f>"Max Static Pressure " &amp; J9</f>
        <v>Max Static Pressure Pa</v>
      </c>
      <c r="B418" s="351">
        <f ca="1">B382/$K$9</f>
        <v>107.77062845639477</v>
      </c>
      <c r="C418" s="351">
        <f t="shared" ref="C418:I418" ca="1" si="352">C382/$K$9</f>
        <v>25.91671575434783</v>
      </c>
      <c r="D418" s="351">
        <f t="shared" ca="1" si="352"/>
        <v>11.199949992810387</v>
      </c>
      <c r="E418" s="351">
        <f t="shared" ca="1" si="352"/>
        <v>5.8058477322944526</v>
      </c>
      <c r="F418" s="351">
        <f t="shared" ca="1" si="352"/>
        <v>3.7530015650048787</v>
      </c>
      <c r="G418" s="351">
        <f t="shared" ca="1" si="352"/>
        <v>2.6124192831701722</v>
      </c>
      <c r="H418" s="351">
        <f t="shared" ca="1" si="352"/>
        <v>1.8351478120433418</v>
      </c>
      <c r="I418" s="351">
        <f t="shared" ca="1" si="352"/>
        <v>1.4460065330012197</v>
      </c>
      <c r="J418" s="148"/>
      <c r="N418" s="11"/>
    </row>
    <row r="419" spans="1:14" x14ac:dyDescent="0.25">
      <c r="A419" s="3" t="str">
        <f>"Max Total Pressure " &amp; J10</f>
        <v>Max Total Pressure [Pa]</v>
      </c>
      <c r="B419" s="351">
        <f ca="1">B383/$K$9</f>
        <v>126.98412698412697</v>
      </c>
      <c r="C419" s="351">
        <f t="shared" ref="C419:I419" ca="1" si="353">C383/$K$9</f>
        <v>28.406785163541922</v>
      </c>
      <c r="D419" s="351">
        <f t="shared" ca="1" si="353"/>
        <v>12.40079365079365</v>
      </c>
      <c r="E419" s="351">
        <f t="shared" ca="1" si="353"/>
        <v>7.006691390277715</v>
      </c>
      <c r="F419" s="351">
        <f t="shared" ca="1" si="353"/>
        <v>4.4011870630249987</v>
      </c>
      <c r="G419" s="351">
        <f t="shared" ca="1" si="353"/>
        <v>2.9923737218289386</v>
      </c>
      <c r="H419" s="351">
        <f t="shared" ca="1" si="353"/>
        <v>2.2151022507021083</v>
      </c>
      <c r="I419" s="351">
        <f t="shared" ca="1" si="353"/>
        <v>1.6832102185287778</v>
      </c>
      <c r="J419" s="148"/>
      <c r="N419" s="11"/>
    </row>
    <row r="420" spans="1:14" x14ac:dyDescent="0.25">
      <c r="A420" s="3" t="s">
        <v>87</v>
      </c>
      <c r="B420" s="351">
        <f ca="1">B384</f>
        <v>30</v>
      </c>
      <c r="C420" s="351">
        <f t="shared" ref="C420:I420" ca="1" si="354">C384</f>
        <v>30</v>
      </c>
      <c r="D420" s="351">
        <f t="shared" ca="1" si="354"/>
        <v>30</v>
      </c>
      <c r="E420" s="351">
        <f t="shared" ca="1" si="354"/>
        <v>30</v>
      </c>
      <c r="F420" s="351">
        <f t="shared" ca="1" si="354"/>
        <v>30</v>
      </c>
      <c r="G420" s="351">
        <f t="shared" ca="1" si="354"/>
        <v>30</v>
      </c>
      <c r="H420" s="351">
        <f t="shared" ca="1" si="354"/>
        <v>30</v>
      </c>
      <c r="I420" s="351">
        <f t="shared" ca="1" si="354"/>
        <v>30</v>
      </c>
      <c r="J420" s="148"/>
      <c r="N420" s="11"/>
    </row>
    <row r="421" spans="1:14" x14ac:dyDescent="0.25">
      <c r="A421" s="3" t="str">
        <f>"Sound Power Level "&amp;$V$10</f>
        <v>Sound Power Level [db(A)/m]</v>
      </c>
      <c r="B421" s="77">
        <f ca="1">B385+$X$9</f>
        <v>44.946630957867235</v>
      </c>
      <c r="C421" s="77">
        <f t="shared" ref="C421:I421" ca="1" si="355">C385+$X$9</f>
        <v>36.867978668410814</v>
      </c>
      <c r="D421" s="77">
        <f t="shared" ca="1" si="355"/>
        <v>29.176870902434835</v>
      </c>
      <c r="E421" s="77">
        <f t="shared" ca="1" si="355"/>
        <v>21.166135414651666</v>
      </c>
      <c r="F421" s="77">
        <f t="shared" ca="1" si="355"/>
        <v>16.873416055927567</v>
      </c>
      <c r="G421" s="77">
        <f t="shared" ca="1" si="355"/>
        <v>9.926880422642931</v>
      </c>
      <c r="H421" s="77">
        <f t="shared" ca="1" si="355"/>
        <v>5.5421734262784987</v>
      </c>
      <c r="I421" s="77">
        <f t="shared" ca="1" si="355"/>
        <v>2.7113463441227008</v>
      </c>
      <c r="J421" s="148"/>
      <c r="N421" s="11"/>
    </row>
    <row r="422" spans="1:14" x14ac:dyDescent="0.25">
      <c r="A422" s="3" t="str">
        <f>"Sound Pressure Level "&amp;$W$10</f>
        <v>Sound Pressure Level [NC/m]</v>
      </c>
      <c r="B422" s="77">
        <f ca="1">B386+$X$9</f>
        <v>29.946630957867235</v>
      </c>
      <c r="C422" s="77">
        <f t="shared" ref="C422:I422" ca="1" si="356">C386+$X$9</f>
        <v>21.867978668410814</v>
      </c>
      <c r="D422" s="77">
        <f t="shared" ca="1" si="356"/>
        <v>14.176870902434835</v>
      </c>
      <c r="E422" s="77">
        <f t="shared" ca="1" si="356"/>
        <v>6.1661354146516665</v>
      </c>
      <c r="F422" s="77">
        <f t="shared" ca="1" si="356"/>
        <v>1.8734160559275672</v>
      </c>
      <c r="G422" s="77">
        <f t="shared" ca="1" si="356"/>
        <v>-5.073119577357069</v>
      </c>
      <c r="H422" s="77">
        <f t="shared" ca="1" si="356"/>
        <v>-9.4578265737215013</v>
      </c>
      <c r="I422" s="77">
        <f t="shared" ca="1" si="356"/>
        <v>-12.288653655877299</v>
      </c>
      <c r="J422" s="148"/>
      <c r="N422" s="11"/>
    </row>
    <row r="423" spans="1:14" x14ac:dyDescent="0.25">
      <c r="A423" s="3" t="s">
        <v>89</v>
      </c>
      <c r="B423" s="77" t="str">
        <f t="shared" ref="B423:I423" ca="1" si="357">B387</f>
        <v>A</v>
      </c>
      <c r="C423" s="77" t="str">
        <f t="shared" ca="1" si="357"/>
        <v>A</v>
      </c>
      <c r="D423" s="77" t="str">
        <f t="shared" ca="1" si="357"/>
        <v>A</v>
      </c>
      <c r="E423" s="77" t="str">
        <f t="shared" ca="1" si="357"/>
        <v>A</v>
      </c>
      <c r="F423" s="77" t="str">
        <f t="shared" ca="1" si="357"/>
        <v>A</v>
      </c>
      <c r="G423" s="77" t="str">
        <f t="shared" ca="1" si="357"/>
        <v>A</v>
      </c>
      <c r="H423" s="77" t="str">
        <f t="shared" ca="1" si="357"/>
        <v>A</v>
      </c>
      <c r="I423" s="77" t="str">
        <f t="shared" ca="1" si="357"/>
        <v>A</v>
      </c>
      <c r="J423" s="148"/>
      <c r="N423" s="11"/>
    </row>
    <row r="424" spans="1:14" ht="15.75" x14ac:dyDescent="0.25">
      <c r="A424" s="78" t="str">
        <f ca="1">"Heating Centre Zones with Direction '"&amp;B423&amp;$O$9</f>
        <v>Heating Centre Zones with Direction 'AK</v>
      </c>
      <c r="B424" s="77">
        <f ca="1">B388/$P$9</f>
        <v>42.985119232190847</v>
      </c>
      <c r="C424" s="77">
        <f t="shared" ref="C424:I424" ca="1" si="358">C388/$P$9</f>
        <v>33.07077263064982</v>
      </c>
      <c r="D424" s="77">
        <f t="shared" ca="1" si="358"/>
        <v>27.276747252090313</v>
      </c>
      <c r="E424" s="77">
        <f t="shared" ca="1" si="358"/>
        <v>23.160724541032003</v>
      </c>
      <c r="F424" s="77">
        <f t="shared" ca="1" si="358"/>
        <v>19.973106946407032</v>
      </c>
      <c r="G424" s="77">
        <f t="shared" ca="1" si="358"/>
        <v>17.366699162472504</v>
      </c>
      <c r="H424" s="77">
        <f t="shared" ca="1" si="358"/>
        <v>15.160718766604287</v>
      </c>
      <c r="I424" s="77">
        <f t="shared" ca="1" si="358"/>
        <v>13.254429475756549</v>
      </c>
      <c r="J424" s="148"/>
      <c r="N424" s="11"/>
    </row>
    <row r="425" spans="1:14" ht="15.75" x14ac:dyDescent="0.25">
      <c r="A425" s="78" t="str">
        <f ca="1">"Heating Perimeter Zones with Direction '" &amp; B423 &amp;$O$9</f>
        <v>Heating Perimeter Zones with Direction 'AK</v>
      </c>
      <c r="B425" s="77">
        <f t="shared" ref="B425:I425" ca="1" si="359">B389/$P$9</f>
        <v>28.656746154793897</v>
      </c>
      <c r="C425" s="77">
        <f t="shared" ca="1" si="359"/>
        <v>22.047181753766548</v>
      </c>
      <c r="D425" s="77">
        <f t="shared" ca="1" si="359"/>
        <v>18.184498168060209</v>
      </c>
      <c r="E425" s="77">
        <f t="shared" ca="1" si="359"/>
        <v>15.44048302735467</v>
      </c>
      <c r="F425" s="77">
        <f t="shared" ca="1" si="359"/>
        <v>13.315404630938021</v>
      </c>
      <c r="G425" s="77">
        <f t="shared" ca="1" si="359"/>
        <v>11.577799441648336</v>
      </c>
      <c r="H425" s="77">
        <f t="shared" ca="1" si="359"/>
        <v>10.107145844402858</v>
      </c>
      <c r="I425" s="77">
        <f t="shared" ca="1" si="359"/>
        <v>8.836286317171032</v>
      </c>
      <c r="J425" s="148"/>
      <c r="N425" s="11"/>
    </row>
    <row r="426" spans="1:14" x14ac:dyDescent="0.25">
      <c r="A426" s="3" t="str">
        <f>"Max Permissible ΔT (heating) E [" &amp; $O$9</f>
        <v>Max Permissible ΔT (heating) E [K</v>
      </c>
      <c r="B426" s="77">
        <f t="shared" ref="B426:I426" ca="1" si="360">B390/$P$9</f>
        <v>161.68888048148276</v>
      </c>
      <c r="C426" s="77">
        <f t="shared" ca="1" si="360"/>
        <v>47.153115781182841</v>
      </c>
      <c r="D426" s="77">
        <f t="shared" ca="1" si="360"/>
        <v>22.942030264325659</v>
      </c>
      <c r="E426" s="77">
        <f t="shared" ca="1" si="360"/>
        <v>13.750654275011614</v>
      </c>
      <c r="F426" s="77">
        <f t="shared" ca="1" si="360"/>
        <v>9.2574700570847011</v>
      </c>
      <c r="G426" s="77">
        <f t="shared" ca="1" si="360"/>
        <v>6.6847849532952157</v>
      </c>
      <c r="H426" s="77">
        <f t="shared" ca="1" si="360"/>
        <v>5.0852882097095922</v>
      </c>
      <c r="I426" s="77">
        <f t="shared" ca="1" si="360"/>
        <v>4.0091422782495076</v>
      </c>
      <c r="J426" s="148"/>
      <c r="N426" s="11"/>
    </row>
    <row r="427" spans="1:14" x14ac:dyDescent="0.25">
      <c r="A427" s="3" t="str">
        <f>"Max Coverage Dist Centre Zone ["&amp;$B$9</f>
        <v>Max Coverage Dist Centre Zone [m</v>
      </c>
      <c r="B427" s="77">
        <f ca="1">B391/$C$9</f>
        <v>19.689795918367345</v>
      </c>
      <c r="C427" s="77">
        <f t="shared" ref="C427:I427" ca="1" si="361">C391/$C$9</f>
        <v>15.817760617760618</v>
      </c>
      <c r="D427" s="77">
        <f t="shared" ca="1" si="361"/>
        <v>14.638775510204082</v>
      </c>
      <c r="E427" s="77">
        <f t="shared" ca="1" si="361"/>
        <v>14.068648130393097</v>
      </c>
      <c r="F427" s="77">
        <f t="shared" ca="1" si="361"/>
        <v>13.710638297872341</v>
      </c>
      <c r="G427" s="77">
        <f t="shared" ca="1" si="361"/>
        <v>13.470676691729324</v>
      </c>
      <c r="H427" s="77">
        <f t="shared" ca="1" si="361"/>
        <v>13.313207547169814</v>
      </c>
      <c r="I427" s="77">
        <f t="shared" ca="1" si="361"/>
        <v>13.188721804511282</v>
      </c>
      <c r="J427" s="148"/>
      <c r="N427" s="11"/>
    </row>
    <row r="428" spans="1:14" x14ac:dyDescent="0.25">
      <c r="A428" s="3" t="str">
        <f>"Max C/L Distance Perimeter [" &amp;$B$9</f>
        <v>Max C/L Distance Perimeter [m</v>
      </c>
      <c r="B428" s="77">
        <f t="shared" ref="B428:I430" ca="1" si="362">B392/$C$9</f>
        <v>19.689795918367345</v>
      </c>
      <c r="C428" s="77">
        <f t="shared" ca="1" si="362"/>
        <v>15.817760617760618</v>
      </c>
      <c r="D428" s="77">
        <f t="shared" ca="1" si="362"/>
        <v>14.638775510204082</v>
      </c>
      <c r="E428" s="77">
        <f t="shared" ca="1" si="362"/>
        <v>14.068648130393097</v>
      </c>
      <c r="F428" s="77">
        <f t="shared" ca="1" si="362"/>
        <v>13.710638297872341</v>
      </c>
      <c r="G428" s="77">
        <f t="shared" ca="1" si="362"/>
        <v>13.470676691729324</v>
      </c>
      <c r="H428" s="77">
        <f t="shared" ca="1" si="362"/>
        <v>13.313207547169814</v>
      </c>
      <c r="I428" s="77">
        <f t="shared" ca="1" si="362"/>
        <v>13.188721804511282</v>
      </c>
      <c r="J428" s="148"/>
      <c r="N428" s="11"/>
    </row>
    <row r="429" spans="1:14" x14ac:dyDescent="0.25">
      <c r="A429" s="3" t="str">
        <f>"Min C/L Distance ["&amp;B9</f>
        <v>Min C/L Distance [m</v>
      </c>
      <c r="B429" s="77">
        <f t="shared" ca="1" si="362"/>
        <v>8.338580901745301</v>
      </c>
      <c r="C429" s="77">
        <f t="shared" ca="1" si="362"/>
        <v>5.4461072964591697</v>
      </c>
      <c r="D429" s="77">
        <f t="shared" ca="1" si="362"/>
        <v>4.9258399535724848</v>
      </c>
      <c r="E429" s="77">
        <f t="shared" ca="1" si="362"/>
        <v>4.7083339684638164</v>
      </c>
      <c r="F429" s="77">
        <f t="shared" ca="1" si="362"/>
        <v>4.5813048845237425</v>
      </c>
      <c r="G429" s="77">
        <f t="shared" ca="1" si="362"/>
        <v>4.4999303525686685</v>
      </c>
      <c r="H429" s="77">
        <f t="shared" ca="1" si="362"/>
        <v>4.4480830809619762</v>
      </c>
      <c r="I429" s="77">
        <f t="shared" ca="1" si="362"/>
        <v>4.407933657716625</v>
      </c>
      <c r="J429" s="148"/>
      <c r="N429" s="11"/>
    </row>
    <row r="430" spans="1:14" x14ac:dyDescent="0.25">
      <c r="A430" s="3" t="str">
        <f>"Min Diffuser Height ["&amp;B9</f>
        <v>Min Diffuser Height [m</v>
      </c>
      <c r="B430" s="77">
        <f ca="1">B394/$C$9</f>
        <v>2.3410799999999998</v>
      </c>
      <c r="C430" s="77">
        <f t="shared" ca="1" si="362"/>
        <v>2.3931040000000001</v>
      </c>
      <c r="D430" s="77">
        <f t="shared" ca="1" si="362"/>
        <v>2.445128</v>
      </c>
      <c r="E430" s="77">
        <f t="shared" ca="1" si="362"/>
        <v>2.4971519999999998</v>
      </c>
      <c r="F430" s="77">
        <f t="shared" ca="1" si="362"/>
        <v>2.5491760000000001</v>
      </c>
      <c r="G430" s="77">
        <f t="shared" ca="1" si="362"/>
        <v>2.6012</v>
      </c>
      <c r="H430" s="77">
        <f t="shared" ca="1" si="362"/>
        <v>2.6012</v>
      </c>
      <c r="I430" s="77">
        <f t="shared" ca="1" si="362"/>
        <v>2.6012</v>
      </c>
      <c r="J430" s="148"/>
      <c r="N430" s="11"/>
    </row>
    <row r="431" spans="1:14" x14ac:dyDescent="0.25">
      <c r="A431" s="3" t="str">
        <f>"Mean Room Air V " &amp;B9&amp;"/s"</f>
        <v>Mean Room Air V m/s</v>
      </c>
      <c r="B431" s="77">
        <f ca="1">B395/$C$9</f>
        <v>0.16970970800863</v>
      </c>
      <c r="C431" s="77">
        <f t="shared" ref="C431:I431" ca="1" si="363">C395/$C$9</f>
        <v>0.14753652733825265</v>
      </c>
      <c r="D431" s="77">
        <f t="shared" ca="1" si="363"/>
        <v>0.13989137177208094</v>
      </c>
      <c r="E431" s="77">
        <f t="shared" ca="1" si="363"/>
        <v>0.13599885929083891</v>
      </c>
      <c r="F431" s="77">
        <f t="shared" ca="1" si="363"/>
        <v>0.13348123531581835</v>
      </c>
      <c r="G431" s="77">
        <f t="shared" ca="1" si="363"/>
        <v>0.13175978073502476</v>
      </c>
      <c r="H431" s="77">
        <f t="shared" ca="1" si="363"/>
        <v>0.13061457703434851</v>
      </c>
      <c r="I431" s="77">
        <f t="shared" ca="1" si="363"/>
        <v>0.12970023285577187</v>
      </c>
      <c r="J431" s="148"/>
      <c r="N431" s="11"/>
    </row>
    <row r="432" spans="1:14" x14ac:dyDescent="0.25">
      <c r="A432" s="3" t="s">
        <v>150</v>
      </c>
      <c r="B432" s="11">
        <f ca="1">B396</f>
        <v>0.16672943520039241</v>
      </c>
      <c r="C432" s="11">
        <f t="shared" ref="C432:I432" ca="1" si="364">C396</f>
        <v>0.1383174504939359</v>
      </c>
      <c r="D432" s="11">
        <f t="shared" ca="1" si="364"/>
        <v>0.12869695562777858</v>
      </c>
      <c r="E432" s="11">
        <f t="shared" ca="1" si="364"/>
        <v>0.12382833021001254</v>
      </c>
      <c r="F432" s="11">
        <f t="shared" ca="1" si="364"/>
        <v>0.12068902071787477</v>
      </c>
      <c r="G432" s="11">
        <f t="shared" ca="1" si="364"/>
        <v>0.11854654778171125</v>
      </c>
      <c r="H432" s="11">
        <f t="shared" ca="1" si="364"/>
        <v>0.11712299328498575</v>
      </c>
      <c r="I432" s="11">
        <f t="shared" ca="1" si="364"/>
        <v>0.11598736370271259</v>
      </c>
      <c r="J432" s="148"/>
      <c r="N432" s="11"/>
    </row>
    <row r="433" spans="1:14" x14ac:dyDescent="0.25">
      <c r="A433" s="3" t="s">
        <v>158</v>
      </c>
      <c r="B433" s="11">
        <f t="shared" ref="B433:I435" ca="1" si="365">B397</f>
        <v>8.5581711081219022E-2</v>
      </c>
      <c r="C433" s="11">
        <f t="shared" ca="1" si="365"/>
        <v>7.4145221179055171E-2</v>
      </c>
      <c r="D433" s="11">
        <f t="shared" ca="1" si="365"/>
        <v>7.0455692100873851E-2</v>
      </c>
      <c r="E433" s="11">
        <f t="shared" ca="1" si="365"/>
        <v>6.8623810233803081E-2</v>
      </c>
      <c r="F433" s="11">
        <f t="shared" ca="1" si="365"/>
        <v>6.745517504038849E-2</v>
      </c>
      <c r="G433" s="11">
        <f t="shared" ca="1" si="365"/>
        <v>6.6663278940908594E-2</v>
      </c>
      <c r="H433" s="11">
        <f t="shared" ca="1" si="365"/>
        <v>6.6139646099263844E-2</v>
      </c>
      <c r="I433" s="11">
        <f t="shared" ca="1" si="365"/>
        <v>6.5723375195030811E-2</v>
      </c>
      <c r="J433" s="148"/>
      <c r="N433" s="11"/>
    </row>
    <row r="434" spans="1:14" x14ac:dyDescent="0.25">
      <c r="A434" s="3" t="s">
        <v>219</v>
      </c>
      <c r="B434" s="11" t="str">
        <f t="shared" ca="1" si="365"/>
        <v>B</v>
      </c>
      <c r="C434" s="11" t="str">
        <f t="shared" ca="1" si="365"/>
        <v>B</v>
      </c>
      <c r="D434" s="11" t="str">
        <f t="shared" ca="1" si="365"/>
        <v>B</v>
      </c>
      <c r="E434" s="11" t="str">
        <f t="shared" ca="1" si="365"/>
        <v>B</v>
      </c>
      <c r="F434" s="11" t="str">
        <f t="shared" ca="1" si="365"/>
        <v>B</v>
      </c>
      <c r="G434" s="11" t="str">
        <f t="shared" ca="1" si="365"/>
        <v>B</v>
      </c>
      <c r="H434" s="11" t="str">
        <f t="shared" ca="1" si="365"/>
        <v>B</v>
      </c>
      <c r="I434" s="11" t="str">
        <f t="shared" ca="1" si="365"/>
        <v>B</v>
      </c>
      <c r="J434" s="148"/>
      <c r="N434" s="11"/>
    </row>
    <row r="435" spans="1:14" x14ac:dyDescent="0.25">
      <c r="A435" s="3" t="s">
        <v>165</v>
      </c>
      <c r="B435" s="11">
        <f t="shared" ca="1" si="365"/>
        <v>0.4</v>
      </c>
      <c r="C435" s="11">
        <f t="shared" ca="1" si="365"/>
        <v>0.3</v>
      </c>
      <c r="D435" s="11">
        <f t="shared" ca="1" si="365"/>
        <v>0.3</v>
      </c>
      <c r="E435" s="11">
        <f t="shared" ca="1" si="365"/>
        <v>0.3</v>
      </c>
      <c r="F435" s="11">
        <f t="shared" ca="1" si="365"/>
        <v>0.3</v>
      </c>
      <c r="G435" s="11">
        <f t="shared" ca="1" si="365"/>
        <v>0.3</v>
      </c>
      <c r="H435" s="11">
        <f t="shared" ca="1" si="365"/>
        <v>0.3</v>
      </c>
      <c r="I435" s="11">
        <f t="shared" ca="1" si="365"/>
        <v>0.3</v>
      </c>
      <c r="J435" s="148"/>
      <c r="N435" s="11"/>
    </row>
    <row r="436" spans="1:14" x14ac:dyDescent="0.25">
      <c r="A436" s="3" t="s">
        <v>500</v>
      </c>
      <c r="B436" s="77" t="str">
        <f ca="1">IFERROR(IF($Q$9,CONVERT(B400,"C","F"),B400),"n.r.")</f>
        <v>n.r.</v>
      </c>
      <c r="C436" s="77" t="str">
        <f t="shared" ref="C436:I436" ca="1" si="366">IFERROR(IF($Q$9,CONVERT(C400,"C","F"),C400),"n.r.")</f>
        <v>n.r.</v>
      </c>
      <c r="D436" s="77" t="str">
        <f t="shared" ca="1" si="366"/>
        <v>n.r.</v>
      </c>
      <c r="E436" s="77">
        <f t="shared" ca="1" si="366"/>
        <v>30</v>
      </c>
      <c r="F436" s="77">
        <f t="shared" ca="1" si="366"/>
        <v>29</v>
      </c>
      <c r="G436" s="77">
        <f t="shared" ca="1" si="366"/>
        <v>27</v>
      </c>
      <c r="H436" s="77">
        <f t="shared" ca="1" si="366"/>
        <v>25</v>
      </c>
      <c r="I436" s="77">
        <f t="shared" ca="1" si="366"/>
        <v>24</v>
      </c>
      <c r="J436" s="148"/>
      <c r="N436" s="11"/>
    </row>
    <row r="437" spans="1:14" x14ac:dyDescent="0.25">
      <c r="A437" s="3" t="s">
        <v>672</v>
      </c>
      <c r="B437" s="11" t="str">
        <f ca="1">IFERROR(B401,"")</f>
        <v/>
      </c>
      <c r="C437" s="11" t="str">
        <f t="shared" ref="C437:I437" ca="1" si="367">IFERROR(C401,"")</f>
        <v/>
      </c>
      <c r="D437" s="11" t="str">
        <f t="shared" ca="1" si="367"/>
        <v/>
      </c>
      <c r="E437" s="11" t="str">
        <f t="shared" ca="1" si="367"/>
        <v>†</v>
      </c>
      <c r="F437" s="11" t="str">
        <f t="shared" ca="1" si="367"/>
        <v/>
      </c>
      <c r="G437" s="11" t="str">
        <f t="shared" ca="1" si="367"/>
        <v/>
      </c>
      <c r="H437" s="11" t="str">
        <f t="shared" ca="1" si="367"/>
        <v/>
      </c>
      <c r="I437" s="11" t="str">
        <f t="shared" ca="1" si="367"/>
        <v/>
      </c>
      <c r="J437" s="148"/>
      <c r="N437" s="11"/>
    </row>
    <row r="438" spans="1:14" x14ac:dyDescent="0.25">
      <c r="A438" s="3" t="s">
        <v>592</v>
      </c>
      <c r="B438" s="77" t="e">
        <f ca="1">B402/$P$9</f>
        <v>#VALUE!</v>
      </c>
      <c r="C438" s="77" t="e">
        <f t="shared" ref="C438:I438" ca="1" si="368">C402/$P$9</f>
        <v>#VALUE!</v>
      </c>
      <c r="D438" s="77" t="e">
        <f t="shared" ca="1" si="368"/>
        <v>#VALUE!</v>
      </c>
      <c r="E438" s="77">
        <f t="shared" ca="1" si="368"/>
        <v>14</v>
      </c>
      <c r="F438" s="77">
        <f t="shared" ca="1" si="368"/>
        <v>13.257470057084703</v>
      </c>
      <c r="G438" s="77">
        <f t="shared" ca="1" si="368"/>
        <v>10.684784953295214</v>
      </c>
      <c r="H438" s="77">
        <f t="shared" ca="1" si="368"/>
        <v>9.0852882097095922</v>
      </c>
      <c r="I438" s="77">
        <f t="shared" ca="1" si="368"/>
        <v>8.0091422782495059</v>
      </c>
      <c r="J438" s="148"/>
      <c r="N438" s="11"/>
    </row>
    <row r="439" spans="1:14" x14ac:dyDescent="0.25">
      <c r="A439" s="3" t="s">
        <v>501</v>
      </c>
      <c r="B439" s="11" t="str">
        <f ca="1">B403</f>
        <v/>
      </c>
      <c r="C439" s="11" t="str">
        <f t="shared" ref="C439:I439" ca="1" si="369">C403</f>
        <v/>
      </c>
      <c r="D439" s="11" t="str">
        <f t="shared" ca="1" si="369"/>
        <v/>
      </c>
      <c r="E439" s="11">
        <f t="shared" ca="1" si="369"/>
        <v>1.0090259519421836</v>
      </c>
      <c r="F439" s="11">
        <f t="shared" ca="1" si="369"/>
        <v>1.1966969094763962</v>
      </c>
      <c r="G439" s="11">
        <f t="shared" ca="1" si="369"/>
        <v>1.2642680783236233</v>
      </c>
      <c r="H439" s="11">
        <f t="shared" ca="1" si="369"/>
        <v>1.3366311207812496</v>
      </c>
      <c r="I439" s="11">
        <f t="shared" ca="1" si="369"/>
        <v>1.413407104253283</v>
      </c>
      <c r="J439" s="148"/>
      <c r="N439" s="11"/>
    </row>
    <row r="440" spans="1:14" x14ac:dyDescent="0.25">
      <c r="A440" s="3" t="s">
        <v>519</v>
      </c>
      <c r="B440" s="11" t="str">
        <f ca="1">B404</f>
        <v/>
      </c>
      <c r="C440" s="11" t="str">
        <f t="shared" ref="C440:I440" ca="1" si="370">C404</f>
        <v/>
      </c>
      <c r="D440" s="11" t="str">
        <f t="shared" ca="1" si="370"/>
        <v/>
      </c>
      <c r="E440" s="11">
        <f t="shared" ca="1" si="370"/>
        <v>1.0181333716928298</v>
      </c>
      <c r="F440" s="11">
        <f t="shared" ca="1" si="370"/>
        <v>1.4320834931503579</v>
      </c>
      <c r="G440" s="11">
        <f t="shared" ca="1" si="370"/>
        <v>1.5983737738681074</v>
      </c>
      <c r="H440" s="11">
        <f t="shared" ca="1" si="370"/>
        <v>1.7865827530409393</v>
      </c>
      <c r="I440" s="11">
        <f t="shared" ca="1" si="370"/>
        <v>1.9977196423536507</v>
      </c>
      <c r="J440" s="148"/>
      <c r="N440" s="11"/>
    </row>
    <row r="441" spans="1:14" ht="15.75" x14ac:dyDescent="0.25">
      <c r="A441" s="271" t="s">
        <v>597</v>
      </c>
      <c r="B441" s="11" t="str">
        <f ca="1">B405</f>
        <v/>
      </c>
      <c r="C441" s="11" t="str">
        <f t="shared" ref="C441:I441" ca="1" si="371">C405</f>
        <v/>
      </c>
      <c r="D441" s="11" t="str">
        <f t="shared" ca="1" si="371"/>
        <v/>
      </c>
      <c r="E441" s="11">
        <f t="shared" ca="1" si="371"/>
        <v>0.99105478711938944</v>
      </c>
      <c r="F441" s="11">
        <f t="shared" ca="1" si="371"/>
        <v>0.83563347751732797</v>
      </c>
      <c r="G441" s="11">
        <f t="shared" ca="1" si="371"/>
        <v>0.79097148551434293</v>
      </c>
      <c r="H441" s="11">
        <f t="shared" ca="1" si="371"/>
        <v>0.74814957130094983</v>
      </c>
      <c r="I441" s="11">
        <f t="shared" ca="1" si="371"/>
        <v>0.70751024031983334</v>
      </c>
      <c r="J441" s="148"/>
      <c r="N441" s="11"/>
    </row>
    <row r="442" spans="1:14" x14ac:dyDescent="0.25">
      <c r="A442" s="3" t="s">
        <v>301</v>
      </c>
      <c r="B442" s="11" t="str">
        <f ca="1">B406</f>
        <v>DN250</v>
      </c>
      <c r="C442" s="11" t="str">
        <f t="shared" ref="C442:I442" ca="1" si="372">C406</f>
        <v>DN250</v>
      </c>
      <c r="D442" s="11" t="str">
        <f t="shared" ca="1" si="372"/>
        <v>DN250</v>
      </c>
      <c r="E442" s="11" t="str">
        <f t="shared" ca="1" si="372"/>
        <v>DN250</v>
      </c>
      <c r="F442" s="11" t="str">
        <f t="shared" ca="1" si="372"/>
        <v>DN250</v>
      </c>
      <c r="G442" s="11" t="str">
        <f t="shared" ca="1" si="372"/>
        <v>DN250</v>
      </c>
      <c r="H442" s="11" t="str">
        <f t="shared" ca="1" si="372"/>
        <v>DN250</v>
      </c>
      <c r="I442" s="11" t="str">
        <f t="shared" ca="1" si="372"/>
        <v>DN250</v>
      </c>
      <c r="J442" s="148"/>
      <c r="N442" s="11"/>
    </row>
    <row r="443" spans="1:14" x14ac:dyDescent="0.25">
      <c r="A443" s="3" t="s">
        <v>465</v>
      </c>
      <c r="B443" s="11"/>
      <c r="C443" s="11"/>
      <c r="D443" s="11"/>
      <c r="E443" s="11"/>
      <c r="F443" s="11"/>
      <c r="G443" s="11"/>
      <c r="H443" s="11"/>
      <c r="I443" s="11"/>
      <c r="J443" s="148"/>
      <c r="N443" s="11"/>
    </row>
    <row r="444" spans="1:14" x14ac:dyDescent="0.25">
      <c r="A444" s="3" t="s">
        <v>466</v>
      </c>
      <c r="B444" s="11"/>
      <c r="C444" s="11"/>
      <c r="D444" s="11"/>
      <c r="E444" s="11"/>
      <c r="F444" s="11"/>
      <c r="G444" s="11"/>
      <c r="H444" s="11"/>
      <c r="I444" s="11"/>
      <c r="J444" s="148"/>
      <c r="N444" s="11"/>
    </row>
    <row r="445" spans="1:14" x14ac:dyDescent="0.25">
      <c r="A445" s="3"/>
      <c r="B445" s="148"/>
      <c r="C445" s="148"/>
      <c r="D445" s="148"/>
      <c r="E445" s="148"/>
      <c r="F445" s="148"/>
      <c r="G445" s="148"/>
      <c r="H445" s="6"/>
      <c r="I445" s="6"/>
      <c r="J445" s="148"/>
      <c r="N445" s="11"/>
    </row>
    <row r="446" spans="1:14" ht="20.25" thickBot="1" x14ac:dyDescent="0.35">
      <c r="A446" s="2" t="s">
        <v>171</v>
      </c>
      <c r="B446" s="4"/>
      <c r="C446" s="4"/>
      <c r="D446" s="4"/>
      <c r="E446" s="4"/>
      <c r="F446" s="4"/>
      <c r="G446" s="4"/>
      <c r="N446" s="11"/>
    </row>
    <row r="447" spans="1:14" ht="15.75" thickTop="1" x14ac:dyDescent="0.25">
      <c r="A447" s="3" t="s">
        <v>46</v>
      </c>
      <c r="B447" s="3">
        <v>1</v>
      </c>
      <c r="C447" s="3">
        <v>2</v>
      </c>
      <c r="D447" s="3">
        <v>3</v>
      </c>
      <c r="E447" s="3">
        <v>4</v>
      </c>
      <c r="F447" s="3">
        <v>5</v>
      </c>
      <c r="G447" s="3">
        <v>6</v>
      </c>
      <c r="H447" s="3">
        <v>7</v>
      </c>
      <c r="I447" s="3">
        <v>8</v>
      </c>
      <c r="N447" s="11"/>
    </row>
    <row r="448" spans="1:14" x14ac:dyDescent="0.25">
      <c r="A448" s="3" t="str">
        <f>"Selected Airflow "&amp;D10</f>
        <v>Selected Airflow [L/s]</v>
      </c>
      <c r="B448" s="6">
        <f ca="1">ROUND(B412,0)</f>
        <v>100</v>
      </c>
      <c r="C448" s="6">
        <f t="shared" ref="C448:I448" ca="1" si="373">ROUND(C412,0)</f>
        <v>100</v>
      </c>
      <c r="D448" s="6">
        <f t="shared" ca="1" si="373"/>
        <v>100</v>
      </c>
      <c r="E448" s="6">
        <f t="shared" ca="1" si="373"/>
        <v>100</v>
      </c>
      <c r="F448" s="6">
        <f t="shared" ca="1" si="373"/>
        <v>100</v>
      </c>
      <c r="G448" s="6">
        <f t="shared" ca="1" si="373"/>
        <v>100</v>
      </c>
      <c r="H448" s="6">
        <f t="shared" ca="1" si="373"/>
        <v>100</v>
      </c>
      <c r="I448" s="6">
        <f t="shared" ca="1" si="373"/>
        <v>100</v>
      </c>
      <c r="N448" s="11"/>
    </row>
    <row r="449" spans="1:14" x14ac:dyDescent="0.25">
      <c r="A449" s="3" t="str">
        <f>"Airflow @ Max Static Pressure"&amp;D10</f>
        <v>Airflow @ Max Static Pressure[L/s]</v>
      </c>
      <c r="B449" s="6">
        <f t="shared" ref="B449:I450" ca="1" si="374">ROUND(B413,0)</f>
        <v>53</v>
      </c>
      <c r="C449" s="6">
        <f t="shared" ca="1" si="374"/>
        <v>108</v>
      </c>
      <c r="D449" s="6">
        <f t="shared" ca="1" si="374"/>
        <v>164</v>
      </c>
      <c r="E449" s="6">
        <f t="shared" ca="1" si="374"/>
        <v>228</v>
      </c>
      <c r="F449" s="6">
        <f t="shared" ca="1" si="374"/>
        <v>283</v>
      </c>
      <c r="G449" s="6">
        <f t="shared" ca="1" si="374"/>
        <v>339</v>
      </c>
      <c r="H449" s="6">
        <f t="shared" ca="1" si="374"/>
        <v>434</v>
      </c>
      <c r="I449" s="6">
        <f t="shared" ca="1" si="374"/>
        <v>532</v>
      </c>
      <c r="N449" s="11"/>
    </row>
    <row r="450" spans="1:14" x14ac:dyDescent="0.25">
      <c r="A450" s="3" t="str">
        <f>"Min Selected Airflow "&amp;B10</f>
        <v>Min Selected Airflow [m]</v>
      </c>
      <c r="B450" s="6">
        <f t="shared" ca="1" si="374"/>
        <v>100</v>
      </c>
      <c r="C450" s="6">
        <f t="shared" ca="1" si="374"/>
        <v>100</v>
      </c>
      <c r="D450" s="6">
        <f t="shared" ca="1" si="374"/>
        <v>100</v>
      </c>
      <c r="E450" s="6">
        <f t="shared" ca="1" si="374"/>
        <v>100</v>
      </c>
      <c r="F450" s="6">
        <f t="shared" ca="1" si="374"/>
        <v>100</v>
      </c>
      <c r="G450" s="6">
        <f t="shared" ca="1" si="374"/>
        <v>100</v>
      </c>
      <c r="H450" s="6">
        <f t="shared" ca="1" si="374"/>
        <v>100</v>
      </c>
      <c r="I450" s="6">
        <f t="shared" ca="1" si="374"/>
        <v>100</v>
      </c>
      <c r="N450" s="11"/>
    </row>
    <row r="451" spans="1:14" x14ac:dyDescent="0.25">
      <c r="A451" s="3" t="str">
        <f ca="1">"Min Permissible Airflow @ ΔT = "&amp;B19&amp;O9</f>
        <v>Min Permissible Airflow @ ΔT = -12K</v>
      </c>
      <c r="B451" s="6">
        <f ca="1">ROUND(B415,1)</f>
        <v>13.6</v>
      </c>
      <c r="C451" s="6">
        <f t="shared" ref="C451:H451" ca="1" si="375">ROUND(C415,1)</f>
        <v>28.8</v>
      </c>
      <c r="D451" s="6">
        <f t="shared" ca="1" si="375"/>
        <v>43.6</v>
      </c>
      <c r="E451" s="6">
        <f t="shared" ca="1" si="375"/>
        <v>58.1</v>
      </c>
      <c r="F451" s="6">
        <f t="shared" ca="1" si="375"/>
        <v>73.3</v>
      </c>
      <c r="G451" s="6">
        <f t="shared" ca="1" si="375"/>
        <v>88.9</v>
      </c>
      <c r="H451" s="6">
        <f t="shared" ca="1" si="375"/>
        <v>103.3</v>
      </c>
      <c r="I451" s="6">
        <f ca="1">ROUND(I415,1)</f>
        <v>118.5</v>
      </c>
      <c r="N451" s="11"/>
    </row>
    <row r="452" spans="1:14" x14ac:dyDescent="0.25">
      <c r="A452" s="3" t="s">
        <v>37</v>
      </c>
      <c r="B452" s="1">
        <f>B416</f>
        <v>1</v>
      </c>
      <c r="C452" s="1">
        <f t="shared" ref="C452:I452" si="376">C416</f>
        <v>1</v>
      </c>
      <c r="D452" s="1">
        <f t="shared" si="376"/>
        <v>1</v>
      </c>
      <c r="E452" s="1">
        <f t="shared" si="376"/>
        <v>1</v>
      </c>
      <c r="F452" s="1">
        <f t="shared" si="376"/>
        <v>1</v>
      </c>
      <c r="G452" s="1">
        <f t="shared" si="376"/>
        <v>1</v>
      </c>
      <c r="H452" s="1">
        <f t="shared" si="376"/>
        <v>1</v>
      </c>
      <c r="I452" s="1">
        <f t="shared" si="376"/>
        <v>1</v>
      </c>
      <c r="N452" s="11"/>
    </row>
    <row r="453" spans="1:14" x14ac:dyDescent="0.25">
      <c r="A453" s="3" t="s">
        <v>38</v>
      </c>
      <c r="B453" s="161">
        <f ca="1">ROUND(B417,2)</f>
        <v>0.14000000000000001</v>
      </c>
      <c r="C453" s="161">
        <f t="shared" ref="C453:I453" ca="1" si="377">ROUND(C417,2)</f>
        <v>0.28999999999999998</v>
      </c>
      <c r="D453" s="161">
        <f t="shared" ca="1" si="377"/>
        <v>0.44</v>
      </c>
      <c r="E453" s="161">
        <f t="shared" ca="1" si="377"/>
        <v>0.57999999999999996</v>
      </c>
      <c r="F453" s="161">
        <f t="shared" ca="1" si="377"/>
        <v>0.73</v>
      </c>
      <c r="G453" s="161">
        <f t="shared" ca="1" si="377"/>
        <v>0.89</v>
      </c>
      <c r="H453" s="161">
        <f t="shared" ca="1" si="377"/>
        <v>1.03</v>
      </c>
      <c r="I453" s="161">
        <f t="shared" ca="1" si="377"/>
        <v>1.18</v>
      </c>
      <c r="K453" t="s">
        <v>6</v>
      </c>
      <c r="L453" t="s">
        <v>774</v>
      </c>
      <c r="N453" s="11"/>
    </row>
    <row r="454" spans="1:14" x14ac:dyDescent="0.25">
      <c r="A454" s="3" t="s">
        <v>293</v>
      </c>
      <c r="B454">
        <f ca="1">IF(B418&gt;$K$455,ROUND(B418,$L$455),"&lt; "&amp;$K$455)</f>
        <v>107.8</v>
      </c>
      <c r="C454">
        <f t="shared" ref="C454:I455" ca="1" si="378">IF(C418&gt;$K$455,ROUND(C418,$L$455),"&lt; "&amp;$K$455)</f>
        <v>25.9</v>
      </c>
      <c r="D454">
        <f t="shared" ca="1" si="378"/>
        <v>11.2</v>
      </c>
      <c r="E454">
        <f t="shared" ca="1" si="378"/>
        <v>5.8</v>
      </c>
      <c r="F454" t="str">
        <f t="shared" ca="1" si="378"/>
        <v>&lt; 5</v>
      </c>
      <c r="G454" t="str">
        <f t="shared" ca="1" si="378"/>
        <v>&lt; 5</v>
      </c>
      <c r="H454" t="str">
        <f t="shared" ca="1" si="378"/>
        <v>&lt; 5</v>
      </c>
      <c r="I454" t="str">
        <f t="shared" ca="1" si="378"/>
        <v>&lt; 5</v>
      </c>
      <c r="J454" t="s">
        <v>772</v>
      </c>
      <c r="K454">
        <v>5</v>
      </c>
      <c r="N454" s="11"/>
    </row>
    <row r="455" spans="1:14" x14ac:dyDescent="0.25">
      <c r="A455" s="3" t="s">
        <v>39</v>
      </c>
      <c r="B455">
        <f ca="1">IF(B419&gt;$K$455,ROUND(B419,$L$455),"&lt; "&amp;$K$455)</f>
        <v>127</v>
      </c>
      <c r="C455">
        <f t="shared" ca="1" si="378"/>
        <v>28.4</v>
      </c>
      <c r="D455">
        <f t="shared" ca="1" si="378"/>
        <v>12.4</v>
      </c>
      <c r="E455">
        <f t="shared" ca="1" si="378"/>
        <v>7</v>
      </c>
      <c r="F455" t="str">
        <f t="shared" ca="1" si="378"/>
        <v>&lt; 5</v>
      </c>
      <c r="G455" t="str">
        <f t="shared" ca="1" si="378"/>
        <v>&lt; 5</v>
      </c>
      <c r="H455" t="str">
        <f t="shared" ca="1" si="378"/>
        <v>&lt; 5</v>
      </c>
      <c r="I455" t="str">
        <f t="shared" ca="1" si="378"/>
        <v>&lt; 5</v>
      </c>
      <c r="J455" t="s">
        <v>773</v>
      </c>
      <c r="K455">
        <f>ROUND(K454/K9,3)</f>
        <v>5</v>
      </c>
      <c r="L455">
        <f>IF(B8=3,3,1)</f>
        <v>1</v>
      </c>
      <c r="N455" s="11"/>
    </row>
    <row r="456" spans="1:14" x14ac:dyDescent="0.25">
      <c r="A456" s="3" t="s">
        <v>87</v>
      </c>
      <c r="B456">
        <f t="shared" ref="B456:I456" ca="1" si="379">B384</f>
        <v>30</v>
      </c>
      <c r="C456">
        <f t="shared" ca="1" si="379"/>
        <v>30</v>
      </c>
      <c r="D456">
        <f t="shared" ca="1" si="379"/>
        <v>30</v>
      </c>
      <c r="E456">
        <f t="shared" ca="1" si="379"/>
        <v>30</v>
      </c>
      <c r="F456">
        <f t="shared" ca="1" si="379"/>
        <v>30</v>
      </c>
      <c r="G456">
        <f t="shared" ca="1" si="379"/>
        <v>30</v>
      </c>
      <c r="H456">
        <f t="shared" ca="1" si="379"/>
        <v>30</v>
      </c>
      <c r="I456">
        <f t="shared" ca="1" si="379"/>
        <v>30</v>
      </c>
      <c r="N456" s="11"/>
    </row>
    <row r="457" spans="1:14" x14ac:dyDescent="0.25">
      <c r="A457" s="3" t="s">
        <v>40</v>
      </c>
      <c r="B457">
        <f t="shared" ref="B457:I457" ca="1" si="380">IF(B385&gt;=15,ROUND(B385,1),"&lt; 15")</f>
        <v>44.9</v>
      </c>
      <c r="C457">
        <f t="shared" ca="1" si="380"/>
        <v>36.9</v>
      </c>
      <c r="D457">
        <f t="shared" ca="1" si="380"/>
        <v>29.2</v>
      </c>
      <c r="E457">
        <f t="shared" ca="1" si="380"/>
        <v>21.2</v>
      </c>
      <c r="F457">
        <f t="shared" ca="1" si="380"/>
        <v>16.899999999999999</v>
      </c>
      <c r="G457" t="str">
        <f t="shared" ca="1" si="380"/>
        <v>&lt; 15</v>
      </c>
      <c r="H457" t="str">
        <f t="shared" ca="1" si="380"/>
        <v>&lt; 15</v>
      </c>
      <c r="I457" t="str">
        <f t="shared" ca="1" si="380"/>
        <v>&lt; 15</v>
      </c>
      <c r="N457" s="11"/>
    </row>
    <row r="458" spans="1:14" x14ac:dyDescent="0.25">
      <c r="A458" s="3" t="s">
        <v>41</v>
      </c>
      <c r="B458">
        <f t="shared" ref="B458:I458" ca="1" si="381">IF(B386&gt;=10,ROUND(B386,1),"&lt; 10")</f>
        <v>29.9</v>
      </c>
      <c r="C458">
        <f t="shared" ca="1" si="381"/>
        <v>21.9</v>
      </c>
      <c r="D458">
        <f t="shared" ca="1" si="381"/>
        <v>14.2</v>
      </c>
      <c r="E458" t="str">
        <f t="shared" ca="1" si="381"/>
        <v>&lt; 10</v>
      </c>
      <c r="F458" t="str">
        <f t="shared" ca="1" si="381"/>
        <v>&lt; 10</v>
      </c>
      <c r="G458" t="str">
        <f t="shared" ca="1" si="381"/>
        <v>&lt; 10</v>
      </c>
      <c r="H458" t="str">
        <f t="shared" ca="1" si="381"/>
        <v>&lt; 10</v>
      </c>
      <c r="I458" t="str">
        <f t="shared" ca="1" si="381"/>
        <v>&lt; 10</v>
      </c>
      <c r="N458" s="11"/>
    </row>
    <row r="459" spans="1:14" x14ac:dyDescent="0.25">
      <c r="A459" s="3" t="s">
        <v>89</v>
      </c>
      <c r="B459" t="str">
        <f ca="1">B387</f>
        <v>A</v>
      </c>
      <c r="C459" t="str">
        <f t="shared" ref="C459:I459" ca="1" si="382">C387</f>
        <v>A</v>
      </c>
      <c r="D459" t="str">
        <f t="shared" ca="1" si="382"/>
        <v>A</v>
      </c>
      <c r="E459" t="str">
        <f t="shared" ca="1" si="382"/>
        <v>A</v>
      </c>
      <c r="F459" t="str">
        <f t="shared" ca="1" si="382"/>
        <v>A</v>
      </c>
      <c r="G459" t="str">
        <f t="shared" ca="1" si="382"/>
        <v>A</v>
      </c>
      <c r="H459" t="str">
        <f t="shared" ca="1" si="382"/>
        <v>A</v>
      </c>
      <c r="I459" t="str">
        <f t="shared" ca="1" si="382"/>
        <v>A</v>
      </c>
    </row>
    <row r="460" spans="1:14" ht="15.75" x14ac:dyDescent="0.25">
      <c r="A460" s="78" t="str">
        <f ca="1">"Centre Zones with Direction '"&amp;B459&amp;"'"</f>
        <v>Centre Zones with Direction 'A'</v>
      </c>
      <c r="B460" s="6">
        <f ca="1">IFERROR(MIN(ROUND(B388,1),15),"≈ 0.0")</f>
        <v>15</v>
      </c>
      <c r="C460" s="6">
        <f t="shared" ref="C460:I460" ca="1" si="383">IFERROR(MIN(ROUND(C388,1),15),"≈ 0.0")</f>
        <v>15</v>
      </c>
      <c r="D460" s="6">
        <f t="shared" ca="1" si="383"/>
        <v>15</v>
      </c>
      <c r="E460" s="6">
        <f t="shared" ca="1" si="383"/>
        <v>15</v>
      </c>
      <c r="F460" s="6">
        <f t="shared" ca="1" si="383"/>
        <v>15</v>
      </c>
      <c r="G460" s="6">
        <f t="shared" ca="1" si="383"/>
        <v>15</v>
      </c>
      <c r="H460" s="6">
        <f t="shared" ca="1" si="383"/>
        <v>15</v>
      </c>
      <c r="I460" s="6">
        <f t="shared" ca="1" si="383"/>
        <v>13.3</v>
      </c>
      <c r="J460" t="s">
        <v>392</v>
      </c>
      <c r="N460" s="11"/>
    </row>
    <row r="461" spans="1:14" ht="15.75" x14ac:dyDescent="0.25">
      <c r="A461" s="78" t="str">
        <f ca="1">"Perimeter Zones with Direction '" &amp; B459 &amp;"'"</f>
        <v>Perimeter Zones with Direction 'A'</v>
      </c>
      <c r="B461" s="6">
        <f ca="1">IFERROR(MIN(ROUND(B389,1),15),"≈ 0.0")</f>
        <v>15</v>
      </c>
      <c r="C461" s="6">
        <f t="shared" ref="C461:I461" ca="1" si="384">IFERROR(MIN(ROUND(C389,1),15),"≈ 0.0")</f>
        <v>15</v>
      </c>
      <c r="D461" s="6">
        <f t="shared" ca="1" si="384"/>
        <v>15</v>
      </c>
      <c r="E461" s="6">
        <f t="shared" ca="1" si="384"/>
        <v>15</v>
      </c>
      <c r="F461" s="6">
        <f t="shared" ca="1" si="384"/>
        <v>13.3</v>
      </c>
      <c r="G461" s="6">
        <f t="shared" ca="1" si="384"/>
        <v>11.6</v>
      </c>
      <c r="H461" s="6">
        <f t="shared" ca="1" si="384"/>
        <v>10.1</v>
      </c>
      <c r="I461" s="6">
        <f t="shared" ca="1" si="384"/>
        <v>8.8000000000000007</v>
      </c>
      <c r="J461" t="s">
        <v>391</v>
      </c>
      <c r="N461" s="11"/>
    </row>
    <row r="462" spans="1:14" x14ac:dyDescent="0.25">
      <c r="A462" s="3" t="s">
        <v>382</v>
      </c>
      <c r="B462" s="6">
        <f ca="1">IFERROR(MIN(ROUND(B390,1),20),"≈ 0.0")</f>
        <v>20</v>
      </c>
      <c r="C462" s="6">
        <f t="shared" ref="C462:I462" ca="1" si="385">IFERROR(MIN(ROUND(C390,1),20),"≈ 0.0")</f>
        <v>20</v>
      </c>
      <c r="D462" s="6">
        <f t="shared" ca="1" si="385"/>
        <v>20</v>
      </c>
      <c r="E462" s="6">
        <f t="shared" ca="1" si="385"/>
        <v>13.8</v>
      </c>
      <c r="F462" s="6">
        <f t="shared" ca="1" si="385"/>
        <v>9.3000000000000007</v>
      </c>
      <c r="G462" s="6">
        <f t="shared" ca="1" si="385"/>
        <v>6.7</v>
      </c>
      <c r="H462" s="6">
        <f t="shared" ca="1" si="385"/>
        <v>5.0999999999999996</v>
      </c>
      <c r="I462" s="6">
        <f t="shared" ca="1" si="385"/>
        <v>4</v>
      </c>
      <c r="J462" t="s">
        <v>393</v>
      </c>
      <c r="N462" s="11"/>
    </row>
    <row r="463" spans="1:14" x14ac:dyDescent="0.25">
      <c r="A463" s="3" t="s">
        <v>406</v>
      </c>
      <c r="B463">
        <f ca="1">IF(B427&lt;0,"",ROUND(B427,1))</f>
        <v>19.7</v>
      </c>
      <c r="C463">
        <f t="shared" ref="C463:I463" ca="1" si="386">IF(C427&lt;0,"",ROUND(C427,1))</f>
        <v>15.8</v>
      </c>
      <c r="D463">
        <f t="shared" ca="1" si="386"/>
        <v>14.6</v>
      </c>
      <c r="E463">
        <f t="shared" ca="1" si="386"/>
        <v>14.1</v>
      </c>
      <c r="F463">
        <f t="shared" ca="1" si="386"/>
        <v>13.7</v>
      </c>
      <c r="G463">
        <f t="shared" ca="1" si="386"/>
        <v>13.5</v>
      </c>
      <c r="H463">
        <f t="shared" ca="1" si="386"/>
        <v>13.3</v>
      </c>
      <c r="I463">
        <f t="shared" ca="1" si="386"/>
        <v>13.2</v>
      </c>
      <c r="N463" s="11"/>
    </row>
    <row r="464" spans="1:14" x14ac:dyDescent="0.25">
      <c r="A464" s="3" t="s">
        <v>405</v>
      </c>
      <c r="B464">
        <f ca="1">IF(B428&lt;0,"",ROUND(B428,1))</f>
        <v>19.7</v>
      </c>
      <c r="C464">
        <f t="shared" ref="C464:I464" ca="1" si="387">IF(C428&lt;0,"",ROUND(C428,1))</f>
        <v>15.8</v>
      </c>
      <c r="D464">
        <f t="shared" ca="1" si="387"/>
        <v>14.6</v>
      </c>
      <c r="E464">
        <f t="shared" ca="1" si="387"/>
        <v>14.1</v>
      </c>
      <c r="F464">
        <f t="shared" ca="1" si="387"/>
        <v>13.7</v>
      </c>
      <c r="G464">
        <f t="shared" ca="1" si="387"/>
        <v>13.5</v>
      </c>
      <c r="H464">
        <f t="shared" ca="1" si="387"/>
        <v>13.3</v>
      </c>
      <c r="I464">
        <f t="shared" ca="1" si="387"/>
        <v>13.2</v>
      </c>
      <c r="N464" s="11"/>
    </row>
    <row r="465" spans="1:10" x14ac:dyDescent="0.25">
      <c r="A465" s="3" t="s">
        <v>43</v>
      </c>
      <c r="B465">
        <f ca="1">IF(B428&lt;0,"",ROUND(B429,1))</f>
        <v>8.3000000000000007</v>
      </c>
      <c r="C465">
        <f t="shared" ref="C465:I465" ca="1" si="388">IF(C428&lt;0,"",ROUND(C429,1))</f>
        <v>5.4</v>
      </c>
      <c r="D465">
        <f t="shared" ca="1" si="388"/>
        <v>4.9000000000000004</v>
      </c>
      <c r="E465">
        <f t="shared" ca="1" si="388"/>
        <v>4.7</v>
      </c>
      <c r="F465">
        <f t="shared" ca="1" si="388"/>
        <v>4.5999999999999996</v>
      </c>
      <c r="G465">
        <f t="shared" ca="1" si="388"/>
        <v>4.5</v>
      </c>
      <c r="H465">
        <f t="shared" ca="1" si="388"/>
        <v>4.4000000000000004</v>
      </c>
      <c r="I465">
        <f t="shared" ca="1" si="388"/>
        <v>4.4000000000000004</v>
      </c>
    </row>
    <row r="466" spans="1:10" x14ac:dyDescent="0.25">
      <c r="A466" s="3" t="s">
        <v>42</v>
      </c>
      <c r="B466" s="6">
        <f ca="1">ROUND(B430,1)</f>
        <v>2.2999999999999998</v>
      </c>
      <c r="C466" s="6">
        <f t="shared" ref="C466:I466" ca="1" si="389">ROUND(C430,1)</f>
        <v>2.4</v>
      </c>
      <c r="D466" s="6">
        <f t="shared" ca="1" si="389"/>
        <v>2.4</v>
      </c>
      <c r="E466" s="6">
        <f t="shared" ca="1" si="389"/>
        <v>2.5</v>
      </c>
      <c r="F466" s="6">
        <f t="shared" ca="1" si="389"/>
        <v>2.5</v>
      </c>
      <c r="G466" s="6">
        <f t="shared" ca="1" si="389"/>
        <v>2.6</v>
      </c>
      <c r="H466" s="6">
        <f t="shared" ca="1" si="389"/>
        <v>2.6</v>
      </c>
      <c r="I466" s="6">
        <f t="shared" ca="1" si="389"/>
        <v>2.6</v>
      </c>
    </row>
    <row r="467" spans="1:10" x14ac:dyDescent="0.25">
      <c r="A467" s="3" t="s">
        <v>168</v>
      </c>
      <c r="B467" s="6">
        <f ca="1">ROUND(B431,2)</f>
        <v>0.17</v>
      </c>
      <c r="C467" s="6">
        <f t="shared" ref="C467:I467" ca="1" si="390">ROUND(C431,2)</f>
        <v>0.15</v>
      </c>
      <c r="D467" s="6">
        <f t="shared" ca="1" si="390"/>
        <v>0.14000000000000001</v>
      </c>
      <c r="E467" s="6">
        <f t="shared" ca="1" si="390"/>
        <v>0.14000000000000001</v>
      </c>
      <c r="F467" s="6">
        <f t="shared" ca="1" si="390"/>
        <v>0.13</v>
      </c>
      <c r="G467" s="6">
        <f t="shared" ca="1" si="390"/>
        <v>0.13</v>
      </c>
      <c r="H467" s="6">
        <f t="shared" ca="1" si="390"/>
        <v>0.13</v>
      </c>
      <c r="I467" s="6">
        <f t="shared" ca="1" si="390"/>
        <v>0.13</v>
      </c>
    </row>
    <row r="468" spans="1:10" x14ac:dyDescent="0.25">
      <c r="A468" s="3" t="s">
        <v>150</v>
      </c>
      <c r="B468" s="4">
        <f t="shared" ref="B468:I469" ca="1" si="391">ROUND(B396,3)</f>
        <v>0.16700000000000001</v>
      </c>
      <c r="C468" s="4">
        <f t="shared" ca="1" si="391"/>
        <v>0.13800000000000001</v>
      </c>
      <c r="D468" s="4">
        <f t="shared" ca="1" si="391"/>
        <v>0.129</v>
      </c>
      <c r="E468" s="4">
        <f t="shared" ca="1" si="391"/>
        <v>0.124</v>
      </c>
      <c r="F468" s="4">
        <f t="shared" ca="1" si="391"/>
        <v>0.121</v>
      </c>
      <c r="G468" s="4">
        <f t="shared" ca="1" si="391"/>
        <v>0.11899999999999999</v>
      </c>
      <c r="H468" s="4">
        <f t="shared" ca="1" si="391"/>
        <v>0.11700000000000001</v>
      </c>
      <c r="I468" s="4">
        <f t="shared" ca="1" si="391"/>
        <v>0.11600000000000001</v>
      </c>
    </row>
    <row r="469" spans="1:10" x14ac:dyDescent="0.25">
      <c r="A469" s="3" t="s">
        <v>158</v>
      </c>
      <c r="B469" s="4">
        <f t="shared" ca="1" si="391"/>
        <v>8.5999999999999993E-2</v>
      </c>
      <c r="C469" s="4">
        <f t="shared" ca="1" si="391"/>
        <v>7.3999999999999996E-2</v>
      </c>
      <c r="D469" s="4">
        <f t="shared" ca="1" si="391"/>
        <v>7.0000000000000007E-2</v>
      </c>
      <c r="E469" s="4">
        <f t="shared" ca="1" si="391"/>
        <v>6.9000000000000006E-2</v>
      </c>
      <c r="F469" s="4">
        <f t="shared" ca="1" si="391"/>
        <v>6.7000000000000004E-2</v>
      </c>
      <c r="G469" s="4">
        <f t="shared" ca="1" si="391"/>
        <v>6.7000000000000004E-2</v>
      </c>
      <c r="H469" s="4">
        <f t="shared" ca="1" si="391"/>
        <v>6.6000000000000003E-2</v>
      </c>
      <c r="I469" s="4">
        <f t="shared" ca="1" si="391"/>
        <v>6.6000000000000003E-2</v>
      </c>
    </row>
    <row r="470" spans="1:10" x14ac:dyDescent="0.25">
      <c r="A470" s="3" t="s">
        <v>219</v>
      </c>
      <c r="B470" s="148">
        <f t="shared" ref="B470:I470" ca="1" si="392">ROUND(B399, 1)</f>
        <v>0.4</v>
      </c>
      <c r="C470" s="148">
        <f t="shared" ca="1" si="392"/>
        <v>0.3</v>
      </c>
      <c r="D470" s="148">
        <f t="shared" ca="1" si="392"/>
        <v>0.3</v>
      </c>
      <c r="E470" s="148">
        <f t="shared" ca="1" si="392"/>
        <v>0.3</v>
      </c>
      <c r="F470" s="148">
        <f t="shared" ca="1" si="392"/>
        <v>0.3</v>
      </c>
      <c r="G470" s="148">
        <f t="shared" ca="1" si="392"/>
        <v>0.3</v>
      </c>
      <c r="H470" s="148">
        <f t="shared" ca="1" si="392"/>
        <v>0.3</v>
      </c>
      <c r="I470" s="148">
        <f t="shared" ca="1" si="392"/>
        <v>0.3</v>
      </c>
    </row>
    <row r="471" spans="1:10" x14ac:dyDescent="0.25">
      <c r="A471" s="3" t="s">
        <v>165</v>
      </c>
      <c r="B471" s="4" t="str">
        <f t="shared" ref="B471:I471" ca="1" si="393">B398</f>
        <v>B</v>
      </c>
      <c r="C471" s="4" t="str">
        <f t="shared" ca="1" si="393"/>
        <v>B</v>
      </c>
      <c r="D471" s="4" t="str">
        <f t="shared" ca="1" si="393"/>
        <v>B</v>
      </c>
      <c r="E471" s="4" t="str">
        <f t="shared" ca="1" si="393"/>
        <v>B</v>
      </c>
      <c r="F471" s="4" t="str">
        <f t="shared" ca="1" si="393"/>
        <v>B</v>
      </c>
      <c r="G471" s="4" t="str">
        <f t="shared" ca="1" si="393"/>
        <v>B</v>
      </c>
      <c r="H471" s="4" t="str">
        <f t="shared" ca="1" si="393"/>
        <v>B</v>
      </c>
      <c r="I471" s="4" t="str">
        <f t="shared" ca="1" si="393"/>
        <v>B</v>
      </c>
    </row>
    <row r="472" spans="1:10" x14ac:dyDescent="0.25">
      <c r="A472" s="3" t="s">
        <v>500</v>
      </c>
      <c r="B472" s="4" t="str">
        <f ca="1">B436&amp;B437</f>
        <v>n.r.</v>
      </c>
      <c r="C472" s="4" t="str">
        <f t="shared" ref="C472:H472" ca="1" si="394">C436&amp;C437</f>
        <v>n.r.</v>
      </c>
      <c r="D472" s="4" t="str">
        <f t="shared" ca="1" si="394"/>
        <v>n.r.</v>
      </c>
      <c r="E472" s="4" t="str">
        <f t="shared" ca="1" si="394"/>
        <v>30†</v>
      </c>
      <c r="F472" s="4" t="str">
        <f t="shared" ca="1" si="394"/>
        <v>29</v>
      </c>
      <c r="G472" s="4" t="str">
        <f t="shared" ca="1" si="394"/>
        <v>27</v>
      </c>
      <c r="H472" s="4" t="str">
        <f t="shared" ca="1" si="394"/>
        <v>25</v>
      </c>
      <c r="I472" s="4" t="str">
        <f ca="1">I436&amp;I437</f>
        <v>24</v>
      </c>
    </row>
    <row r="473" spans="1:10" x14ac:dyDescent="0.25">
      <c r="A473" s="3" t="s">
        <v>592</v>
      </c>
      <c r="B473" s="6" t="str">
        <f t="shared" ref="B473:I473" ca="1" si="395">IFERROR(ROUND(B402,1),"")</f>
        <v/>
      </c>
      <c r="C473" s="6" t="str">
        <f t="shared" ca="1" si="395"/>
        <v/>
      </c>
      <c r="D473" s="6" t="str">
        <f t="shared" ca="1" si="395"/>
        <v/>
      </c>
      <c r="E473" s="6">
        <f t="shared" ca="1" si="395"/>
        <v>14</v>
      </c>
      <c r="F473" s="6">
        <f t="shared" ca="1" si="395"/>
        <v>13.3</v>
      </c>
      <c r="G473" s="6">
        <f t="shared" ca="1" si="395"/>
        <v>10.7</v>
      </c>
      <c r="H473" s="6">
        <f t="shared" ca="1" si="395"/>
        <v>9.1</v>
      </c>
      <c r="I473" s="6">
        <f t="shared" ca="1" si="395"/>
        <v>8</v>
      </c>
    </row>
    <row r="474" spans="1:10" x14ac:dyDescent="0.25">
      <c r="A474" s="3" t="s">
        <v>501</v>
      </c>
      <c r="B474" s="6" t="str">
        <f t="shared" ref="B474:I479" ca="1" si="396">B403</f>
        <v/>
      </c>
      <c r="C474" s="6" t="str">
        <f t="shared" ca="1" si="396"/>
        <v/>
      </c>
      <c r="D474" s="6" t="str">
        <f t="shared" ca="1" si="396"/>
        <v/>
      </c>
      <c r="E474" s="6">
        <f t="shared" ca="1" si="396"/>
        <v>1.0090259519421836</v>
      </c>
      <c r="F474" s="6">
        <f t="shared" ca="1" si="396"/>
        <v>1.1966969094763962</v>
      </c>
      <c r="G474" s="6">
        <f t="shared" ca="1" si="396"/>
        <v>1.2642680783236233</v>
      </c>
      <c r="H474" s="6">
        <f t="shared" ca="1" si="396"/>
        <v>1.3366311207812496</v>
      </c>
      <c r="I474" s="6">
        <f t="shared" ca="1" si="396"/>
        <v>1.413407104253283</v>
      </c>
    </row>
    <row r="475" spans="1:10" x14ac:dyDescent="0.25">
      <c r="A475" s="3" t="s">
        <v>519</v>
      </c>
      <c r="B475" s="6" t="str">
        <f t="shared" ca="1" si="396"/>
        <v/>
      </c>
      <c r="C475" s="6" t="str">
        <f t="shared" ca="1" si="396"/>
        <v/>
      </c>
      <c r="D475" s="6" t="str">
        <f t="shared" ca="1" si="396"/>
        <v/>
      </c>
      <c r="E475" s="6">
        <f t="shared" ca="1" si="396"/>
        <v>1.0181333716928298</v>
      </c>
      <c r="F475" s="6">
        <f t="shared" ca="1" si="396"/>
        <v>1.4320834931503579</v>
      </c>
      <c r="G475" s="6">
        <f t="shared" ca="1" si="396"/>
        <v>1.5983737738681074</v>
      </c>
      <c r="H475" s="6">
        <f t="shared" ca="1" si="396"/>
        <v>1.7865827530409393</v>
      </c>
      <c r="I475" s="6">
        <f t="shared" ca="1" si="396"/>
        <v>1.9977196423536507</v>
      </c>
    </row>
    <row r="476" spans="1:10" ht="15.75" x14ac:dyDescent="0.25">
      <c r="A476" s="271" t="s">
        <v>597</v>
      </c>
      <c r="B476" s="4" t="str">
        <f t="shared" ca="1" si="396"/>
        <v/>
      </c>
      <c r="C476" s="4" t="str">
        <f t="shared" ca="1" si="396"/>
        <v/>
      </c>
      <c r="D476" s="4" t="str">
        <f t="shared" ca="1" si="396"/>
        <v/>
      </c>
      <c r="E476" s="4">
        <f t="shared" ca="1" si="396"/>
        <v>0.99105478711938944</v>
      </c>
      <c r="F476" s="4">
        <f t="shared" ca="1" si="396"/>
        <v>0.83563347751732797</v>
      </c>
      <c r="G476" s="4">
        <f t="shared" ca="1" si="396"/>
        <v>0.79097148551434293</v>
      </c>
      <c r="H476" s="4">
        <f t="shared" ca="1" si="396"/>
        <v>0.74814957130094983</v>
      </c>
      <c r="I476" s="4">
        <f t="shared" ca="1" si="396"/>
        <v>0.70751024031983334</v>
      </c>
    </row>
    <row r="477" spans="1:10" x14ac:dyDescent="0.25">
      <c r="A477" s="3" t="str">
        <f>"Nominal Spigot Size / " &amp; J477</f>
        <v>Nominal Spigot Size / 1200 mm</v>
      </c>
      <c r="B477" s="4" t="str">
        <f t="shared" ca="1" si="396"/>
        <v>DN250</v>
      </c>
      <c r="C477" s="4" t="str">
        <f t="shared" ca="1" si="396"/>
        <v>DN250</v>
      </c>
      <c r="D477" s="4" t="str">
        <f t="shared" ca="1" si="396"/>
        <v>DN250</v>
      </c>
      <c r="E477" s="4" t="str">
        <f t="shared" ca="1" si="396"/>
        <v>DN250</v>
      </c>
      <c r="F477" s="4" t="str">
        <f t="shared" ca="1" si="396"/>
        <v>DN250</v>
      </c>
      <c r="G477" s="4" t="str">
        <f t="shared" ca="1" si="396"/>
        <v>DN250</v>
      </c>
      <c r="H477" s="4" t="str">
        <f t="shared" ca="1" si="396"/>
        <v>DN250</v>
      </c>
      <c r="I477" s="4" t="str">
        <f t="shared" ca="1" si="396"/>
        <v>DN250</v>
      </c>
      <c r="J477" s="391" t="str">
        <f>IF(B8=3,"4 ft","1200 mm")</f>
        <v>1200 mm</v>
      </c>
    </row>
    <row r="478" spans="1:10" x14ac:dyDescent="0.25">
      <c r="A478" s="3" t="s">
        <v>465</v>
      </c>
      <c r="B478" s="1">
        <f t="shared" ca="1" si="396"/>
        <v>0.9</v>
      </c>
      <c r="C478" s="1">
        <f t="shared" ca="1" si="396"/>
        <v>0.95</v>
      </c>
      <c r="D478" s="1">
        <f t="shared" ca="1" si="396"/>
        <v>0.95</v>
      </c>
      <c r="E478" s="1">
        <f t="shared" ca="1" si="396"/>
        <v>0.95</v>
      </c>
      <c r="F478" s="1">
        <f t="shared" ca="1" si="396"/>
        <v>0.95</v>
      </c>
      <c r="G478" s="1">
        <f t="shared" ca="1" si="396"/>
        <v>0.95</v>
      </c>
      <c r="H478" s="1">
        <f t="shared" ca="1" si="396"/>
        <v>0.95</v>
      </c>
      <c r="I478" s="1">
        <f t="shared" ca="1" si="396"/>
        <v>0.95</v>
      </c>
    </row>
    <row r="479" spans="1:10" x14ac:dyDescent="0.25">
      <c r="A479" s="3" t="s">
        <v>466</v>
      </c>
      <c r="B479" s="1">
        <f t="shared" ca="1" si="396"/>
        <v>0.9</v>
      </c>
      <c r="C479" s="1">
        <f t="shared" ca="1" si="396"/>
        <v>0.95</v>
      </c>
      <c r="D479" s="1">
        <f t="shared" ca="1" si="396"/>
        <v>0.95</v>
      </c>
      <c r="E479" s="1">
        <f t="shared" ca="1" si="396"/>
        <v>0.95</v>
      </c>
      <c r="F479" s="1">
        <f t="shared" ca="1" si="396"/>
        <v>0.95</v>
      </c>
      <c r="G479" s="1">
        <f t="shared" ca="1" si="396"/>
        <v>0.95</v>
      </c>
      <c r="H479" s="1">
        <f t="shared" ca="1" si="396"/>
        <v>0.95</v>
      </c>
      <c r="I479" s="1">
        <f t="shared" ca="1" si="396"/>
        <v>0.95</v>
      </c>
    </row>
    <row r="480" spans="1:10" x14ac:dyDescent="0.25">
      <c r="A480" s="3" t="s">
        <v>672</v>
      </c>
      <c r="B480" s="148" t="str">
        <f ca="1">B329</f>
        <v/>
      </c>
      <c r="C480" s="148" t="str">
        <f ca="1">I329</f>
        <v/>
      </c>
      <c r="D480" s="148" t="str">
        <f ca="1">P329</f>
        <v/>
      </c>
      <c r="E480" s="148" t="str">
        <f ca="1">W329</f>
        <v>†</v>
      </c>
      <c r="F480" s="148" t="str">
        <f ca="1">AD329</f>
        <v/>
      </c>
      <c r="G480" s="148" t="str">
        <f ca="1">AK329</f>
        <v/>
      </c>
      <c r="H480" s="6" t="str">
        <f ca="1">AR329</f>
        <v/>
      </c>
      <c r="I480" s="6" t="str">
        <f ca="1">AY329</f>
        <v/>
      </c>
    </row>
    <row r="481" spans="1:11" x14ac:dyDescent="0.25">
      <c r="A481" s="3" t="s">
        <v>669</v>
      </c>
      <c r="B481" s="148" t="str">
        <f ca="1">B330</f>
        <v/>
      </c>
      <c r="C481" s="148" t="str">
        <f ca="1">I330</f>
        <v/>
      </c>
      <c r="D481" s="148" t="str">
        <f ca="1">P330</f>
        <v/>
      </c>
      <c r="E481" s="148" t="str">
        <f ca="1">W330</f>
        <v>mid</v>
      </c>
      <c r="F481" s="148" t="str">
        <f ca="1">AD330</f>
        <v/>
      </c>
      <c r="G481" s="148" t="str">
        <f ca="1">AK330</f>
        <v/>
      </c>
      <c r="H481" s="6" t="str">
        <f ca="1">AR330</f>
        <v/>
      </c>
      <c r="I481" s="6" t="str">
        <f ca="1">AY330</f>
        <v/>
      </c>
    </row>
    <row r="482" spans="1:11" x14ac:dyDescent="0.25">
      <c r="A482" s="3"/>
      <c r="B482" s="6"/>
      <c r="C482" s="4"/>
      <c r="D482" s="4"/>
      <c r="E482" s="4"/>
      <c r="F482" s="4"/>
      <c r="G482" s="4"/>
    </row>
    <row r="483" spans="1:11" x14ac:dyDescent="0.25">
      <c r="A483" s="3" t="s">
        <v>263</v>
      </c>
      <c r="B483" s="154">
        <v>1</v>
      </c>
      <c r="C483" s="154">
        <v>2</v>
      </c>
      <c r="D483" s="154">
        <v>3</v>
      </c>
      <c r="E483" s="154">
        <v>4</v>
      </c>
      <c r="F483" s="154">
        <v>5</v>
      </c>
      <c r="G483" s="154">
        <v>6</v>
      </c>
      <c r="H483" s="412">
        <v>7</v>
      </c>
      <c r="I483" s="412">
        <v>8</v>
      </c>
    </row>
    <row r="484" spans="1:11" x14ac:dyDescent="0.25">
      <c r="A484" t="s">
        <v>883</v>
      </c>
      <c r="B484" s="154" t="b">
        <f ca="1">ISTEXT(B454)</f>
        <v>0</v>
      </c>
      <c r="C484" s="154" t="b">
        <f t="shared" ref="C484:I484" ca="1" si="397">ISTEXT(C454)</f>
        <v>0</v>
      </c>
      <c r="D484" s="154" t="b">
        <f t="shared" ca="1" si="397"/>
        <v>0</v>
      </c>
      <c r="E484" s="154" t="b">
        <f t="shared" ca="1" si="397"/>
        <v>0</v>
      </c>
      <c r="F484" s="154" t="b">
        <f t="shared" ca="1" si="397"/>
        <v>1</v>
      </c>
      <c r="G484" s="154" t="b">
        <f t="shared" ca="1" si="397"/>
        <v>1</v>
      </c>
      <c r="H484" s="412" t="b">
        <f t="shared" ca="1" si="397"/>
        <v>1</v>
      </c>
      <c r="I484" s="412" t="b">
        <f t="shared" ca="1" si="397"/>
        <v>1</v>
      </c>
    </row>
    <row r="485" spans="1:11" x14ac:dyDescent="0.25">
      <c r="A485" t="s">
        <v>264</v>
      </c>
      <c r="B485" s="4" t="b">
        <f t="shared" ref="B485:H485" ca="1" si="398">ROUND(B448,1)&gt;ROUND(B449,1)</f>
        <v>1</v>
      </c>
      <c r="C485" s="4" t="b">
        <f t="shared" ca="1" si="398"/>
        <v>0</v>
      </c>
      <c r="D485" s="4" t="b">
        <f t="shared" ca="1" si="398"/>
        <v>0</v>
      </c>
      <c r="E485" s="4" t="b">
        <f t="shared" ca="1" si="398"/>
        <v>0</v>
      </c>
      <c r="F485" s="4" t="b">
        <f t="shared" ca="1" si="398"/>
        <v>0</v>
      </c>
      <c r="G485" s="4" t="b">
        <f t="shared" ca="1" si="398"/>
        <v>0</v>
      </c>
      <c r="H485" s="413" t="b">
        <f t="shared" ca="1" si="398"/>
        <v>0</v>
      </c>
      <c r="I485" s="413" t="b">
        <f ca="1">ROUND(I448,1)&gt;ROUND(I449,1)</f>
        <v>0</v>
      </c>
      <c r="K485" t="s">
        <v>266</v>
      </c>
    </row>
    <row r="486" spans="1:11" x14ac:dyDescent="0.25">
      <c r="A486" t="s">
        <v>265</v>
      </c>
      <c r="B486" s="4" t="b">
        <f t="shared" ref="B486:I486" ca="1" si="399">ROUND(B450,1)&lt;ROUND(B451,1)</f>
        <v>0</v>
      </c>
      <c r="C486" s="4" t="b">
        <f t="shared" ca="1" si="399"/>
        <v>0</v>
      </c>
      <c r="D486" s="4" t="b">
        <f t="shared" ca="1" si="399"/>
        <v>0</v>
      </c>
      <c r="E486" s="4" t="b">
        <f t="shared" ca="1" si="399"/>
        <v>0</v>
      </c>
      <c r="F486" s="4" t="b">
        <f t="shared" ca="1" si="399"/>
        <v>0</v>
      </c>
      <c r="G486" s="4" t="b">
        <f t="shared" ca="1" si="399"/>
        <v>0</v>
      </c>
      <c r="H486" s="413" t="b">
        <f t="shared" ca="1" si="399"/>
        <v>1</v>
      </c>
      <c r="I486" s="413" t="b">
        <f t="shared" ca="1" si="399"/>
        <v>1</v>
      </c>
    </row>
    <row r="487" spans="1:11" x14ac:dyDescent="0.25">
      <c r="A487" t="s">
        <v>853</v>
      </c>
      <c r="B487" s="4" t="b">
        <f ca="1">$B$359&gt;B463</f>
        <v>0</v>
      </c>
      <c r="C487" s="4" t="b">
        <f t="shared" ref="C487:I487" ca="1" si="400">$B$359&gt;C463</f>
        <v>0</v>
      </c>
      <c r="D487" s="4" t="b">
        <f t="shared" ca="1" si="400"/>
        <v>0</v>
      </c>
      <c r="E487" s="4" t="b">
        <f t="shared" ca="1" si="400"/>
        <v>0</v>
      </c>
      <c r="F487" s="4" t="b">
        <f t="shared" ca="1" si="400"/>
        <v>0</v>
      </c>
      <c r="G487" s="4" t="b">
        <f t="shared" ca="1" si="400"/>
        <v>0</v>
      </c>
      <c r="H487" s="413" t="b">
        <f t="shared" ca="1" si="400"/>
        <v>0</v>
      </c>
      <c r="I487" s="413" t="b">
        <f t="shared" ca="1" si="400"/>
        <v>0</v>
      </c>
      <c r="J487" s="4" t="s">
        <v>160</v>
      </c>
      <c r="K487" t="s">
        <v>858</v>
      </c>
    </row>
    <row r="488" spans="1:11" x14ac:dyDescent="0.25">
      <c r="A488" t="s">
        <v>854</v>
      </c>
      <c r="B488" s="4" t="b">
        <f ca="1">$B$359&gt;B464</f>
        <v>0</v>
      </c>
      <c r="C488" s="4" t="b">
        <f t="shared" ref="C488:I488" ca="1" si="401">$B$359&gt;C464</f>
        <v>0</v>
      </c>
      <c r="D488" s="4" t="b">
        <f t="shared" ca="1" si="401"/>
        <v>0</v>
      </c>
      <c r="E488" s="4" t="b">
        <f t="shared" ca="1" si="401"/>
        <v>0</v>
      </c>
      <c r="F488" s="4" t="b">
        <f t="shared" ca="1" si="401"/>
        <v>0</v>
      </c>
      <c r="G488" s="4" t="b">
        <f t="shared" ca="1" si="401"/>
        <v>0</v>
      </c>
      <c r="H488" s="413" t="b">
        <f t="shared" ca="1" si="401"/>
        <v>0</v>
      </c>
      <c r="I488" s="413" t="b">
        <f t="shared" ca="1" si="401"/>
        <v>0</v>
      </c>
      <c r="J488" s="4" t="b">
        <f ca="1">OR(B487:G488)</f>
        <v>0</v>
      </c>
      <c r="K488" s="4" t="b">
        <f ca="1">AND(B487:G488)</f>
        <v>0</v>
      </c>
    </row>
    <row r="489" spans="1:11" x14ac:dyDescent="0.25">
      <c r="A489" t="s">
        <v>428</v>
      </c>
      <c r="B489" s="4" t="b">
        <f ca="1">B465&gt;B463</f>
        <v>0</v>
      </c>
      <c r="C489" s="4" t="b">
        <f t="shared" ref="C489:H489" ca="1" si="402">C465&gt;C463</f>
        <v>0</v>
      </c>
      <c r="D489" s="4" t="b">
        <f t="shared" ca="1" si="402"/>
        <v>0</v>
      </c>
      <c r="E489" s="4" t="b">
        <f t="shared" ca="1" si="402"/>
        <v>0</v>
      </c>
      <c r="F489" s="4" t="b">
        <f t="shared" ca="1" si="402"/>
        <v>0</v>
      </c>
      <c r="G489" s="4" t="b">
        <f t="shared" ca="1" si="402"/>
        <v>0</v>
      </c>
      <c r="H489" s="413" t="b">
        <f t="shared" ca="1" si="402"/>
        <v>0</v>
      </c>
      <c r="I489" s="413" t="b">
        <f ca="1">I465&gt;I463</f>
        <v>0</v>
      </c>
      <c r="J489" t="b">
        <f ca="1">OR(B489:G489)</f>
        <v>0</v>
      </c>
    </row>
    <row r="490" spans="1:11" x14ac:dyDescent="0.25">
      <c r="A490" t="s">
        <v>429</v>
      </c>
      <c r="B490" s="4" t="b">
        <f ca="1">B465&gt;B464</f>
        <v>0</v>
      </c>
      <c r="C490" s="4" t="b">
        <f t="shared" ref="C490:I490" ca="1" si="403">C465&gt;C464</f>
        <v>0</v>
      </c>
      <c r="D490" s="4" t="b">
        <f t="shared" ca="1" si="403"/>
        <v>0</v>
      </c>
      <c r="E490" s="4" t="b">
        <f t="shared" ca="1" si="403"/>
        <v>0</v>
      </c>
      <c r="F490" s="4" t="b">
        <f t="shared" ca="1" si="403"/>
        <v>0</v>
      </c>
      <c r="G490" s="4" t="b">
        <f t="shared" ca="1" si="403"/>
        <v>0</v>
      </c>
      <c r="H490" s="413" t="b">
        <f t="shared" ca="1" si="403"/>
        <v>0</v>
      </c>
      <c r="I490" s="413" t="b">
        <f t="shared" ca="1" si="403"/>
        <v>0</v>
      </c>
      <c r="J490" s="4" t="b">
        <f ca="1">OR(B490:G490)</f>
        <v>0</v>
      </c>
    </row>
    <row r="491" spans="1:11" x14ac:dyDescent="0.25">
      <c r="A491" t="s">
        <v>855</v>
      </c>
      <c r="B491" s="4" t="b">
        <f ca="1">OR(B487,B489)</f>
        <v>0</v>
      </c>
      <c r="C491" s="4" t="b">
        <f t="shared" ref="C491:I491" ca="1" si="404">OR(C487,C489)</f>
        <v>0</v>
      </c>
      <c r="D491" s="4" t="b">
        <f t="shared" ca="1" si="404"/>
        <v>0</v>
      </c>
      <c r="E491" s="4" t="b">
        <f t="shared" ca="1" si="404"/>
        <v>0</v>
      </c>
      <c r="F491" s="4" t="b">
        <f t="shared" ca="1" si="404"/>
        <v>0</v>
      </c>
      <c r="G491" s="4" t="b">
        <f t="shared" ca="1" si="404"/>
        <v>0</v>
      </c>
      <c r="H491" s="413" t="b">
        <f t="shared" ca="1" si="404"/>
        <v>0</v>
      </c>
      <c r="I491" s="413" t="b">
        <f t="shared" ca="1" si="404"/>
        <v>0</v>
      </c>
    </row>
    <row r="492" spans="1:11" x14ac:dyDescent="0.25">
      <c r="A492" t="s">
        <v>856</v>
      </c>
      <c r="B492" s="4" t="b">
        <f ca="1">OR(B488,B490)</f>
        <v>0</v>
      </c>
      <c r="C492" s="4" t="b">
        <f t="shared" ref="C492:I492" ca="1" si="405">OR(C488,C490)</f>
        <v>0</v>
      </c>
      <c r="D492" s="4" t="b">
        <f t="shared" ca="1" si="405"/>
        <v>0</v>
      </c>
      <c r="E492" s="4" t="b">
        <f t="shared" ca="1" si="405"/>
        <v>0</v>
      </c>
      <c r="F492" s="4" t="b">
        <f t="shared" ca="1" si="405"/>
        <v>0</v>
      </c>
      <c r="G492" s="4" t="b">
        <f t="shared" ca="1" si="405"/>
        <v>0</v>
      </c>
      <c r="H492" s="413" t="b">
        <f t="shared" ca="1" si="405"/>
        <v>0</v>
      </c>
      <c r="I492" s="413" t="b">
        <f t="shared" ca="1" si="405"/>
        <v>0</v>
      </c>
      <c r="J492" t="b">
        <f ca="1">OR(B491:G492)</f>
        <v>0</v>
      </c>
    </row>
    <row r="493" spans="1:11" x14ac:dyDescent="0.25">
      <c r="A493" t="s">
        <v>430</v>
      </c>
      <c r="B493" s="4" t="b">
        <f>IF($B$28=1,FALSE,$B$359&lt;B465)</f>
        <v>0</v>
      </c>
      <c r="C493" s="4" t="b">
        <f t="shared" ref="C493:I493" si="406">IF($B$28=1,FALSE,$B$359&lt;C465)</f>
        <v>0</v>
      </c>
      <c r="D493" s="4" t="b">
        <f t="shared" si="406"/>
        <v>0</v>
      </c>
      <c r="E493" s="4" t="b">
        <f t="shared" si="406"/>
        <v>0</v>
      </c>
      <c r="F493" s="4" t="b">
        <f t="shared" si="406"/>
        <v>0</v>
      </c>
      <c r="G493" s="4" t="b">
        <f t="shared" si="406"/>
        <v>0</v>
      </c>
      <c r="H493" s="413" t="b">
        <f t="shared" si="406"/>
        <v>0</v>
      </c>
      <c r="I493" s="413" t="b">
        <f t="shared" si="406"/>
        <v>0</v>
      </c>
      <c r="J493" s="4" t="s">
        <v>160</v>
      </c>
      <c r="K493" t="s">
        <v>858</v>
      </c>
    </row>
    <row r="494" spans="1:11" x14ac:dyDescent="0.25">
      <c r="B494" s="4"/>
      <c r="C494" s="4"/>
      <c r="D494" s="4"/>
      <c r="E494" s="4"/>
      <c r="F494" s="4"/>
      <c r="G494" s="4"/>
      <c r="H494" s="413"/>
      <c r="I494" s="413"/>
      <c r="J494" t="b">
        <f>OR(B493:G493)</f>
        <v>0</v>
      </c>
      <c r="K494" t="b">
        <f>AND(B493:G493)</f>
        <v>0</v>
      </c>
    </row>
    <row r="495" spans="1:11" x14ac:dyDescent="0.25">
      <c r="A495" t="s">
        <v>874</v>
      </c>
      <c r="B495" s="4" t="b">
        <f ca="1">$B$20&lt;ROUND(B466,1)</f>
        <v>0</v>
      </c>
      <c r="C495" s="4" t="b">
        <f t="shared" ref="C495:I495" ca="1" si="407">$B$20&lt;ROUND(C466,1)</f>
        <v>0</v>
      </c>
      <c r="D495" s="4" t="b">
        <f t="shared" ca="1" si="407"/>
        <v>0</v>
      </c>
      <c r="E495" s="4" t="b">
        <f t="shared" ca="1" si="407"/>
        <v>0</v>
      </c>
      <c r="F495" s="4" t="b">
        <f t="shared" ca="1" si="407"/>
        <v>0</v>
      </c>
      <c r="G495" s="4" t="b">
        <f t="shared" ca="1" si="407"/>
        <v>0</v>
      </c>
      <c r="H495" s="413" t="b">
        <f t="shared" ca="1" si="407"/>
        <v>0</v>
      </c>
      <c r="I495" s="413" t="b">
        <f t="shared" ca="1" si="407"/>
        <v>0</v>
      </c>
      <c r="J495" s="4" t="b">
        <f ca="1">OR(B495:G495)</f>
        <v>0</v>
      </c>
      <c r="K495" s="4" t="b">
        <f ca="1">AND(B495:G495)</f>
        <v>0</v>
      </c>
    </row>
    <row r="496" spans="1:11" x14ac:dyDescent="0.25">
      <c r="A496" s="3"/>
      <c r="B496" s="4"/>
      <c r="C496" s="4"/>
      <c r="D496" s="4"/>
      <c r="E496" s="4"/>
      <c r="F496" s="4"/>
      <c r="G496" s="4"/>
      <c r="H496" s="413"/>
      <c r="I496" s="413"/>
    </row>
    <row r="497" spans="1:9" x14ac:dyDescent="0.25">
      <c r="A497" t="s">
        <v>267</v>
      </c>
      <c r="B497" s="4" t="b">
        <f ca="1">OR(B484:B486,B493)</f>
        <v>1</v>
      </c>
      <c r="C497" s="4" t="b">
        <f t="shared" ref="C497:I497" ca="1" si="408">OR(C484:C486,C493)</f>
        <v>0</v>
      </c>
      <c r="D497" s="4" t="b">
        <f t="shared" ca="1" si="408"/>
        <v>0</v>
      </c>
      <c r="E497" s="4" t="b">
        <f t="shared" ca="1" si="408"/>
        <v>0</v>
      </c>
      <c r="F497" s="4" t="b">
        <f t="shared" ca="1" si="408"/>
        <v>1</v>
      </c>
      <c r="G497" s="4" t="b">
        <f t="shared" ca="1" si="408"/>
        <v>1</v>
      </c>
      <c r="H497" s="413" t="b">
        <f t="shared" ca="1" si="408"/>
        <v>1</v>
      </c>
      <c r="I497" s="413" t="b">
        <f t="shared" ca="1" si="408"/>
        <v>1</v>
      </c>
    </row>
    <row r="498" spans="1:9" x14ac:dyDescent="0.25">
      <c r="A498" s="3"/>
      <c r="B498" s="4"/>
      <c r="C498" s="4"/>
      <c r="D498" s="4"/>
      <c r="E498" s="4"/>
      <c r="F498" s="4"/>
      <c r="G498" s="4"/>
      <c r="H498" s="421"/>
      <c r="I498" s="421"/>
    </row>
    <row r="499" spans="1:9" x14ac:dyDescent="0.25">
      <c r="A499" s="3" t="s">
        <v>488</v>
      </c>
      <c r="B499" s="4"/>
      <c r="C499" s="4"/>
      <c r="D499" s="4"/>
      <c r="E499" s="4"/>
      <c r="F499" s="4"/>
      <c r="G499" s="4"/>
      <c r="H499" s="421"/>
      <c r="I499" s="421"/>
    </row>
    <row r="500" spans="1:9" x14ac:dyDescent="0.25">
      <c r="A500" s="3" t="s">
        <v>489</v>
      </c>
      <c r="B500" s="4"/>
      <c r="C500" s="4"/>
      <c r="D500" s="4"/>
      <c r="E500" s="4"/>
      <c r="F500" s="4"/>
      <c r="G500" s="4"/>
      <c r="H500" s="421"/>
      <c r="I500" s="421"/>
    </row>
    <row r="501" spans="1:9" x14ac:dyDescent="0.25">
      <c r="A501" s="3"/>
      <c r="B501" s="4"/>
      <c r="C501" s="4"/>
      <c r="D501" s="4"/>
      <c r="E501" s="4"/>
      <c r="F501" s="4"/>
      <c r="G501" s="4"/>
      <c r="H501" s="421"/>
      <c r="I501" s="421"/>
    </row>
    <row r="502" spans="1:9" x14ac:dyDescent="0.25">
      <c r="A502" s="3"/>
      <c r="B502" s="4"/>
      <c r="C502" s="4"/>
      <c r="D502" s="4"/>
      <c r="E502" s="4"/>
      <c r="F502" s="4"/>
      <c r="G502" s="4"/>
    </row>
    <row r="503" spans="1:9" x14ac:dyDescent="0.25">
      <c r="A503" s="3" t="s">
        <v>145</v>
      </c>
      <c r="B503" s="4"/>
      <c r="C503" s="4"/>
      <c r="D503" s="4"/>
      <c r="E503" s="4"/>
      <c r="F503" s="4"/>
      <c r="G503" s="4"/>
    </row>
    <row r="504" spans="1:9" x14ac:dyDescent="0.25">
      <c r="A504" s="3"/>
      <c r="B504" s="4"/>
      <c r="C504" s="4"/>
      <c r="D504" s="4"/>
      <c r="E504" s="4"/>
      <c r="F504" s="4"/>
      <c r="G504" s="4"/>
    </row>
    <row r="505" spans="1:9" x14ac:dyDescent="0.25">
      <c r="A505" s="3"/>
      <c r="B505" s="4"/>
      <c r="C505" s="4"/>
      <c r="D505" s="4"/>
      <c r="E505" s="4"/>
      <c r="F505" s="4"/>
      <c r="G505" s="4"/>
    </row>
    <row r="506" spans="1:9" x14ac:dyDescent="0.25">
      <c r="A506" s="3" t="s">
        <v>107</v>
      </c>
      <c r="B506" s="4"/>
      <c r="C506" s="4"/>
      <c r="D506" s="4"/>
      <c r="E506" s="4"/>
      <c r="F506" s="4"/>
      <c r="G506" s="4"/>
    </row>
    <row r="507" spans="1:9" x14ac:dyDescent="0.25">
      <c r="A507" s="3"/>
      <c r="B507" s="4"/>
      <c r="C507" s="4"/>
      <c r="D507" s="4"/>
      <c r="E507" s="4"/>
      <c r="F507" s="4"/>
      <c r="G507" s="4"/>
    </row>
    <row r="509" spans="1:9" x14ac:dyDescent="0.25">
      <c r="A509" s="3"/>
    </row>
    <row r="510" spans="1:9" x14ac:dyDescent="0.25">
      <c r="A510" s="3"/>
    </row>
    <row r="511" spans="1:9" x14ac:dyDescent="0.25">
      <c r="A511" s="3"/>
    </row>
    <row r="512" spans="1:9" ht="20.25" thickBot="1" x14ac:dyDescent="0.35">
      <c r="A512" s="2" t="s">
        <v>567</v>
      </c>
      <c r="F512" t="s">
        <v>576</v>
      </c>
    </row>
    <row r="513" spans="1:12" ht="15.75" thickTop="1" x14ac:dyDescent="0.25">
      <c r="A513" t="s">
        <v>573</v>
      </c>
      <c r="B513">
        <f ca="1">-1*B42</f>
        <v>-12</v>
      </c>
      <c r="C513" t="s">
        <v>569</v>
      </c>
      <c r="D513">
        <v>10</v>
      </c>
      <c r="F513" t="s">
        <v>574</v>
      </c>
      <c r="G513">
        <f>B514</f>
        <v>-6</v>
      </c>
      <c r="H513" t="s">
        <v>570</v>
      </c>
      <c r="I513">
        <f>D514</f>
        <v>10</v>
      </c>
    </row>
    <row r="514" spans="1:12" x14ac:dyDescent="0.25">
      <c r="A514" t="s">
        <v>574</v>
      </c>
      <c r="B514" s="265">
        <v>-6</v>
      </c>
      <c r="C514" t="s">
        <v>570</v>
      </c>
      <c r="D514">
        <v>10</v>
      </c>
      <c r="F514" t="s">
        <v>568</v>
      </c>
      <c r="G514" t="e">
        <f ca="1">2*B516</f>
        <v>#VALUE!</v>
      </c>
      <c r="H514" t="s">
        <v>572</v>
      </c>
      <c r="I514">
        <v>2</v>
      </c>
    </row>
    <row r="515" spans="1:12" x14ac:dyDescent="0.25">
      <c r="A515" t="s">
        <v>575</v>
      </c>
      <c r="B515">
        <v>0</v>
      </c>
      <c r="C515" t="s">
        <v>571</v>
      </c>
      <c r="D515" t="e">
        <f ca="1">G515</f>
        <v>#VALUE!</v>
      </c>
      <c r="F515" t="s">
        <v>577</v>
      </c>
      <c r="G515" t="e">
        <f ca="1">INTERCEPT(I513:I514,G513:G514)</f>
        <v>#VALUE!</v>
      </c>
    </row>
    <row r="516" spans="1:12" x14ac:dyDescent="0.25">
      <c r="A516" t="s">
        <v>568</v>
      </c>
      <c r="B516" t="str">
        <f ca="1">data!C129</f>
        <v>Max Permissible ΔT (heating) E (K)</v>
      </c>
      <c r="C516" t="s">
        <v>572</v>
      </c>
      <c r="D516">
        <v>2</v>
      </c>
    </row>
    <row r="521" spans="1:12" ht="15.75" x14ac:dyDescent="0.25">
      <c r="A521" s="16"/>
      <c r="B521" s="87"/>
      <c r="C521" s="88"/>
      <c r="D521" s="88"/>
      <c r="E521" s="89"/>
      <c r="F521" s="90" t="s">
        <v>15</v>
      </c>
      <c r="G521" s="90" t="s">
        <v>54</v>
      </c>
      <c r="H521" s="90" t="s">
        <v>55</v>
      </c>
      <c r="I521" s="90" t="s">
        <v>56</v>
      </c>
      <c r="J521" s="90" t="s">
        <v>57</v>
      </c>
      <c r="K521" s="90" t="s">
        <v>58</v>
      </c>
      <c r="L521" s="227"/>
    </row>
    <row r="522" spans="1:12" ht="15.75" x14ac:dyDescent="0.25">
      <c r="A522" s="97" t="s">
        <v>206</v>
      </c>
      <c r="B522" s="95"/>
      <c r="C522" s="95"/>
      <c r="D522" s="95"/>
      <c r="E522" s="95"/>
      <c r="F522" s="91">
        <f>42*_xlfn.NUMBERVALUE(LEFT(F521,1))+1.5</f>
        <v>43.5</v>
      </c>
      <c r="G522" s="91">
        <f t="shared" ref="G522:K522" si="409">42*_xlfn.NUMBERVALUE(LEFT(G521,1))+1.5</f>
        <v>85.5</v>
      </c>
      <c r="H522" s="91">
        <f t="shared" si="409"/>
        <v>127.5</v>
      </c>
      <c r="I522" s="91">
        <f t="shared" si="409"/>
        <v>169.5</v>
      </c>
      <c r="J522" s="91">
        <f t="shared" si="409"/>
        <v>211.5</v>
      </c>
      <c r="K522" s="91">
        <f t="shared" si="409"/>
        <v>253.5</v>
      </c>
      <c r="L522" s="192" t="s">
        <v>205</v>
      </c>
    </row>
    <row r="523" spans="1:12" ht="15.75" x14ac:dyDescent="0.25">
      <c r="A523" s="95" t="s">
        <v>207</v>
      </c>
      <c r="B523" s="16"/>
      <c r="C523" s="95"/>
      <c r="D523" s="95"/>
      <c r="E523" s="96"/>
      <c r="F523" s="92">
        <f>42*_xlfn.NUMBERVALUE(LEFT(F521,1))+30</f>
        <v>72</v>
      </c>
      <c r="G523" s="92">
        <f t="shared" ref="G523:K523" si="410">42*_xlfn.NUMBERVALUE(LEFT(G521,1))+30</f>
        <v>114</v>
      </c>
      <c r="H523" s="92">
        <f t="shared" si="410"/>
        <v>156</v>
      </c>
      <c r="I523" s="92">
        <f t="shared" si="410"/>
        <v>198</v>
      </c>
      <c r="J523" s="92">
        <f t="shared" si="410"/>
        <v>240</v>
      </c>
      <c r="K523" s="92">
        <f t="shared" si="410"/>
        <v>282</v>
      </c>
      <c r="L523" s="192" t="s">
        <v>205</v>
      </c>
    </row>
    <row r="524" spans="1:12" ht="15.75" x14ac:dyDescent="0.25">
      <c r="A524" s="95" t="s">
        <v>208</v>
      </c>
      <c r="B524" s="16"/>
      <c r="C524" s="95"/>
      <c r="D524" s="95"/>
      <c r="E524" s="96"/>
      <c r="F524" s="236">
        <f>42*_xlfn.NUMBERVALUE(LEFT(F521,1))-4</f>
        <v>38</v>
      </c>
      <c r="G524" s="236">
        <f t="shared" ref="G524:K524" si="411">42*_xlfn.NUMBERVALUE(LEFT(G521,1))-4</f>
        <v>80</v>
      </c>
      <c r="H524" s="236">
        <f t="shared" si="411"/>
        <v>122</v>
      </c>
      <c r="I524" s="236">
        <f t="shared" si="411"/>
        <v>164</v>
      </c>
      <c r="J524" s="236">
        <f t="shared" si="411"/>
        <v>206</v>
      </c>
      <c r="K524" s="236">
        <f t="shared" si="411"/>
        <v>248</v>
      </c>
      <c r="L524" s="192" t="s">
        <v>205</v>
      </c>
    </row>
    <row r="525" spans="1:12" ht="15.75" x14ac:dyDescent="0.25">
      <c r="A525" s="95" t="s">
        <v>491</v>
      </c>
      <c r="B525" s="16"/>
      <c r="C525" s="95"/>
      <c r="D525" s="95"/>
      <c r="E525" s="96"/>
      <c r="F525" s="456" t="s">
        <v>490</v>
      </c>
      <c r="G525" s="457"/>
      <c r="H525" s="457"/>
      <c r="I525" s="457"/>
      <c r="J525" s="457"/>
      <c r="K525" s="457"/>
      <c r="L525" s="240" t="s">
        <v>205</v>
      </c>
    </row>
    <row r="526" spans="1:12" ht="15.75" x14ac:dyDescent="0.25">
      <c r="A526" s="95" t="s">
        <v>492</v>
      </c>
      <c r="B526" s="16"/>
      <c r="C526" s="95"/>
      <c r="D526" s="95"/>
      <c r="E526" s="95"/>
      <c r="F526" s="237">
        <f>F522+50</f>
        <v>93.5</v>
      </c>
      <c r="G526" s="238">
        <f t="shared" ref="G526:K526" si="412">G522+50</f>
        <v>135.5</v>
      </c>
      <c r="H526" s="238">
        <f t="shared" si="412"/>
        <v>177.5</v>
      </c>
      <c r="I526" s="238">
        <f t="shared" si="412"/>
        <v>219.5</v>
      </c>
      <c r="J526" s="238">
        <f t="shared" si="412"/>
        <v>261.5</v>
      </c>
      <c r="K526" s="239">
        <f t="shared" si="412"/>
        <v>303.5</v>
      </c>
      <c r="L526" s="192" t="s">
        <v>205</v>
      </c>
    </row>
    <row r="529" spans="1:12" ht="15.75" x14ac:dyDescent="0.25">
      <c r="A529" s="16"/>
      <c r="B529" s="87"/>
      <c r="C529" s="88"/>
      <c r="D529" s="88"/>
      <c r="E529" s="89"/>
      <c r="F529" s="90" t="s">
        <v>15</v>
      </c>
      <c r="G529" s="90" t="s">
        <v>54</v>
      </c>
      <c r="H529" s="90" t="s">
        <v>55</v>
      </c>
      <c r="I529" s="90" t="s">
        <v>56</v>
      </c>
      <c r="J529" s="90" t="s">
        <v>57</v>
      </c>
      <c r="K529" s="90" t="s">
        <v>58</v>
      </c>
      <c r="L529" s="227"/>
    </row>
    <row r="530" spans="1:12" ht="15.75" x14ac:dyDescent="0.25">
      <c r="A530" s="97" t="s">
        <v>206</v>
      </c>
      <c r="B530" s="95"/>
      <c r="C530" s="95"/>
      <c r="D530" s="95"/>
      <c r="E530" s="95"/>
      <c r="F530" s="91">
        <f>ROUND(F522/$S$9,2)</f>
        <v>43.5</v>
      </c>
      <c r="G530" s="91">
        <f t="shared" ref="G530:K530" si="413">ROUND(G522/$S$9,2)</f>
        <v>85.5</v>
      </c>
      <c r="H530" s="91">
        <f t="shared" si="413"/>
        <v>127.5</v>
      </c>
      <c r="I530" s="91">
        <f t="shared" si="413"/>
        <v>169.5</v>
      </c>
      <c r="J530" s="91">
        <f t="shared" si="413"/>
        <v>211.5</v>
      </c>
      <c r="K530" s="91">
        <f t="shared" si="413"/>
        <v>253.5</v>
      </c>
      <c r="L530" s="192" t="str">
        <f>$R$9</f>
        <v>mm</v>
      </c>
    </row>
    <row r="531" spans="1:12" ht="15.75" x14ac:dyDescent="0.25">
      <c r="A531" s="95" t="s">
        <v>207</v>
      </c>
      <c r="B531" s="16"/>
      <c r="C531" s="95"/>
      <c r="D531" s="95"/>
      <c r="E531" s="96"/>
      <c r="F531" s="91">
        <f t="shared" ref="F531:K534" si="414">ROUND(F523/$S$9,2)</f>
        <v>72</v>
      </c>
      <c r="G531" s="91">
        <f t="shared" si="414"/>
        <v>114</v>
      </c>
      <c r="H531" s="91">
        <f t="shared" si="414"/>
        <v>156</v>
      </c>
      <c r="I531" s="91">
        <f t="shared" si="414"/>
        <v>198</v>
      </c>
      <c r="J531" s="91">
        <f t="shared" si="414"/>
        <v>240</v>
      </c>
      <c r="K531" s="91">
        <f t="shared" si="414"/>
        <v>282</v>
      </c>
      <c r="L531" s="192" t="str">
        <f t="shared" ref="L531:L534" si="415">$R$9</f>
        <v>mm</v>
      </c>
    </row>
    <row r="532" spans="1:12" ht="15.75" x14ac:dyDescent="0.25">
      <c r="A532" s="95" t="s">
        <v>208</v>
      </c>
      <c r="B532" s="16"/>
      <c r="C532" s="95"/>
      <c r="D532" s="95"/>
      <c r="E532" s="96"/>
      <c r="F532" s="91">
        <f t="shared" si="414"/>
        <v>38</v>
      </c>
      <c r="G532" s="91">
        <f t="shared" si="414"/>
        <v>80</v>
      </c>
      <c r="H532" s="91">
        <f t="shared" si="414"/>
        <v>122</v>
      </c>
      <c r="I532" s="91">
        <f t="shared" si="414"/>
        <v>164</v>
      </c>
      <c r="J532" s="91">
        <f t="shared" si="414"/>
        <v>206</v>
      </c>
      <c r="K532" s="91">
        <f t="shared" si="414"/>
        <v>248</v>
      </c>
      <c r="L532" s="192" t="str">
        <f t="shared" si="415"/>
        <v>mm</v>
      </c>
    </row>
    <row r="533" spans="1:12" ht="15.75" x14ac:dyDescent="0.25">
      <c r="A533" s="95" t="s">
        <v>491</v>
      </c>
      <c r="B533" s="16"/>
      <c r="C533" s="95"/>
      <c r="D533" s="95"/>
      <c r="E533" s="96"/>
      <c r="F533" s="456" t="str">
        <f>"D + "&amp;ROUND(76/S9,2)</f>
        <v>D + 76</v>
      </c>
      <c r="G533" s="457"/>
      <c r="H533" s="457"/>
      <c r="I533" s="457"/>
      <c r="J533" s="457"/>
      <c r="K533" s="457"/>
      <c r="L533" s="192" t="str">
        <f t="shared" si="415"/>
        <v>mm</v>
      </c>
    </row>
    <row r="534" spans="1:12" ht="15.75" x14ac:dyDescent="0.25">
      <c r="A534" s="95" t="s">
        <v>492</v>
      </c>
      <c r="B534" s="16"/>
      <c r="C534" s="95"/>
      <c r="D534" s="95"/>
      <c r="E534" s="95"/>
      <c r="G534" s="91">
        <f>ROUND(G526/$S$9,2)</f>
        <v>135.5</v>
      </c>
      <c r="H534" s="91">
        <f t="shared" si="414"/>
        <v>177.5</v>
      </c>
      <c r="I534" s="91">
        <f t="shared" si="414"/>
        <v>219.5</v>
      </c>
      <c r="J534" s="91">
        <f t="shared" si="414"/>
        <v>261.5</v>
      </c>
      <c r="K534" s="91">
        <f t="shared" si="414"/>
        <v>303.5</v>
      </c>
      <c r="L534" s="192" t="str">
        <f t="shared" si="415"/>
        <v>mm</v>
      </c>
    </row>
    <row r="536" spans="1:12" ht="15.75" x14ac:dyDescent="0.25">
      <c r="A536" s="357" t="s">
        <v>186</v>
      </c>
    </row>
    <row r="537" spans="1:12" ht="15.75" x14ac:dyDescent="0.25">
      <c r="A537" s="358" t="s">
        <v>777</v>
      </c>
      <c r="B537">
        <v>63</v>
      </c>
      <c r="C537" s="359">
        <f>ROUND(B537/$S$9,2)</f>
        <v>63</v>
      </c>
    </row>
    <row r="538" spans="1:12" ht="15.75" x14ac:dyDescent="0.25">
      <c r="A538" s="358" t="s">
        <v>778</v>
      </c>
      <c r="B538">
        <v>35</v>
      </c>
      <c r="C538" s="359">
        <f>ROUND(B538/$S$9,2)</f>
        <v>35</v>
      </c>
    </row>
    <row r="541" spans="1:12" x14ac:dyDescent="0.25">
      <c r="A541" t="s">
        <v>798</v>
      </c>
    </row>
    <row r="542" spans="1:12" x14ac:dyDescent="0.25">
      <c r="A542" t="s">
        <v>788</v>
      </c>
      <c r="B542">
        <v>1</v>
      </c>
      <c r="C542">
        <v>4</v>
      </c>
    </row>
    <row r="544" spans="1:12" x14ac:dyDescent="0.25">
      <c r="A544">
        <v>0.5</v>
      </c>
      <c r="B544">
        <v>1</v>
      </c>
      <c r="C544">
        <v>2</v>
      </c>
      <c r="D544">
        <v>3</v>
      </c>
      <c r="E544">
        <v>4</v>
      </c>
      <c r="F544">
        <v>5</v>
      </c>
      <c r="G544">
        <v>6</v>
      </c>
      <c r="H544">
        <v>7</v>
      </c>
      <c r="I544" t="s">
        <v>149</v>
      </c>
    </row>
    <row r="545" spans="1:9" x14ac:dyDescent="0.25">
      <c r="A545">
        <f t="shared" ref="A545:H545" si="416">10*LOG(A544/$B$542)</f>
        <v>-3.0102999566398121</v>
      </c>
      <c r="B545">
        <f t="shared" si="416"/>
        <v>0</v>
      </c>
      <c r="C545">
        <f t="shared" si="416"/>
        <v>3.0102999566398121</v>
      </c>
      <c r="D545">
        <f t="shared" si="416"/>
        <v>4.7712125471966242</v>
      </c>
      <c r="E545">
        <f t="shared" si="416"/>
        <v>6.0205999132796242</v>
      </c>
      <c r="F545">
        <f t="shared" si="416"/>
        <v>6.9897000433601884</v>
      </c>
      <c r="G545">
        <f t="shared" si="416"/>
        <v>7.7815125038364368</v>
      </c>
      <c r="H545">
        <f t="shared" si="416"/>
        <v>8.4509804001425675</v>
      </c>
    </row>
    <row r="546" spans="1:9" x14ac:dyDescent="0.25">
      <c r="A546">
        <v>2</v>
      </c>
      <c r="B546">
        <v>3</v>
      </c>
      <c r="C546">
        <v>4</v>
      </c>
      <c r="D546">
        <v>5</v>
      </c>
      <c r="E546">
        <v>6</v>
      </c>
      <c r="F546">
        <v>7</v>
      </c>
      <c r="G546">
        <v>8</v>
      </c>
      <c r="H546">
        <v>9</v>
      </c>
      <c r="I546" t="s">
        <v>720</v>
      </c>
    </row>
    <row r="547" spans="1:9" x14ac:dyDescent="0.25">
      <c r="A547" s="149">
        <f t="shared" ref="A547:H547" si="417">10*LOG(A546/$C$542)</f>
        <v>-3.0102999566398121</v>
      </c>
      <c r="B547" s="149">
        <f t="shared" si="417"/>
        <v>-1.2493873660829995</v>
      </c>
      <c r="C547" s="149">
        <f t="shared" si="417"/>
        <v>0</v>
      </c>
      <c r="D547" s="149">
        <f t="shared" si="417"/>
        <v>0.96910013008056417</v>
      </c>
      <c r="E547" s="149">
        <f t="shared" si="417"/>
        <v>1.7609125905568124</v>
      </c>
      <c r="F547" s="149">
        <f t="shared" si="417"/>
        <v>2.4303804868629446</v>
      </c>
      <c r="G547" s="149">
        <f t="shared" si="417"/>
        <v>3.0102999566398121</v>
      </c>
      <c r="H547" s="149">
        <f t="shared" si="417"/>
        <v>3.5218251811136247</v>
      </c>
    </row>
    <row r="548" spans="1:9" x14ac:dyDescent="0.25">
      <c r="A548">
        <f>IF($B$8=3,A546,A544)</f>
        <v>0.5</v>
      </c>
      <c r="B548">
        <f t="shared" ref="B548:H548" si="418">IF($B$8=3,B546,B544)</f>
        <v>1</v>
      </c>
      <c r="C548">
        <f t="shared" si="418"/>
        <v>2</v>
      </c>
      <c r="D548">
        <f t="shared" si="418"/>
        <v>3</v>
      </c>
      <c r="E548">
        <f t="shared" si="418"/>
        <v>4</v>
      </c>
      <c r="F548">
        <f t="shared" si="418"/>
        <v>5</v>
      </c>
      <c r="G548">
        <f t="shared" si="418"/>
        <v>6</v>
      </c>
      <c r="H548">
        <f t="shared" si="418"/>
        <v>7</v>
      </c>
    </row>
    <row r="549" spans="1:9" x14ac:dyDescent="0.25">
      <c r="A549">
        <f>ROUND(IF($B$8=3,A547,A545),1)</f>
        <v>-3</v>
      </c>
      <c r="B549">
        <f t="shared" ref="B549:H549" si="419">ROUND(IF($B$8=3,B547,B545),1)</f>
        <v>0</v>
      </c>
      <c r="C549">
        <f t="shared" si="419"/>
        <v>3</v>
      </c>
      <c r="D549">
        <f t="shared" si="419"/>
        <v>4.8</v>
      </c>
      <c r="E549">
        <f t="shared" si="419"/>
        <v>6</v>
      </c>
      <c r="F549">
        <f t="shared" si="419"/>
        <v>7</v>
      </c>
      <c r="G549">
        <f t="shared" si="419"/>
        <v>7.8</v>
      </c>
      <c r="H549">
        <f t="shared" si="419"/>
        <v>8.5</v>
      </c>
    </row>
  </sheetData>
  <sheetProtection selectLockedCells="1" selectUnlockedCells="1"/>
  <mergeCells count="12">
    <mergeCell ref="B3:C3"/>
    <mergeCell ref="D3:E3"/>
    <mergeCell ref="F3:G3"/>
    <mergeCell ref="H3:I3"/>
    <mergeCell ref="J3:K3"/>
    <mergeCell ref="R3:S3"/>
    <mergeCell ref="F525:K525"/>
    <mergeCell ref="F533:K533"/>
    <mergeCell ref="T3:U3"/>
    <mergeCell ref="V3:W3"/>
    <mergeCell ref="O3:Q3"/>
    <mergeCell ref="L3:N3"/>
  </mergeCells>
  <phoneticPr fontId="62" type="noConversion"/>
  <conditionalFormatting sqref="F521:F524 G523:K524 F526:K526 G534:K534 C537:C538">
    <cfRule type="expression" dxfId="17" priority="8">
      <formula>OR(#REF!&gt;#REF!,#REF!&lt;#REF!)</formula>
    </cfRule>
  </conditionalFormatting>
  <conditionalFormatting sqref="F529:F533 G530:K532">
    <cfRule type="expression" dxfId="16" priority="2">
      <formula>OR(#REF!&gt;#REF!,#REF!&lt;#REF!)</formula>
    </cfRule>
  </conditionalFormatting>
  <conditionalFormatting sqref="G521:G522">
    <cfRule type="expression" dxfId="15" priority="9">
      <formula>OR(#REF!&gt;#REF!,#REF!&lt;#REF!)</formula>
    </cfRule>
  </conditionalFormatting>
  <conditionalFormatting sqref="G529:L529 A531:A534 A536:A538">
    <cfRule type="expression" dxfId="14" priority="1">
      <formula>OR(#REF!&gt;#REF!,#REF!&lt;#REF!)</formula>
    </cfRule>
  </conditionalFormatting>
  <conditionalFormatting sqref="H521:H522 A523:A526">
    <cfRule type="expression" dxfId="13" priority="7">
      <formula>OR(#REF!&gt;#REF!,#REF!&lt;#REF!)</formula>
    </cfRule>
  </conditionalFormatting>
  <conditionalFormatting sqref="I521:I522 F525">
    <cfRule type="expression" dxfId="12" priority="10">
      <formula>OR(#REF!&gt;#REF!,#REF!&lt;#REF!)</formula>
    </cfRule>
  </conditionalFormatting>
  <conditionalFormatting sqref="J521:J522">
    <cfRule type="expression" dxfId="11" priority="11">
      <formula>OR(#REF!&gt;#REF!,#REF!&lt;#REF!)</formula>
    </cfRule>
  </conditionalFormatting>
  <conditionalFormatting sqref="K521:L521 K522">
    <cfRule type="expression" dxfId="10" priority="12">
      <formula>OR(#REF!&gt;#REF!,#REF!&lt;#REF!)</formula>
    </cfRule>
  </conditionalFormatting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/>
  <dimension ref="A1:L321"/>
  <sheetViews>
    <sheetView topLeftCell="A237" workbookViewId="0">
      <selection activeCell="B268" sqref="B268"/>
    </sheetView>
  </sheetViews>
  <sheetFormatPr defaultRowHeight="15" x14ac:dyDescent="0.25"/>
  <cols>
    <col min="1" max="1" width="39.5703125" customWidth="1"/>
    <col min="2" max="2" width="45.7109375" customWidth="1"/>
    <col min="3" max="3" width="46.7109375" customWidth="1"/>
    <col min="4" max="4" width="14.5703125" customWidth="1"/>
    <col min="5" max="5" width="22.28515625" customWidth="1"/>
    <col min="6" max="6" width="11.5703125" customWidth="1"/>
    <col min="7" max="7" width="13.28515625" customWidth="1"/>
    <col min="8" max="8" width="11.7109375" customWidth="1"/>
    <col min="9" max="9" width="11.85546875" customWidth="1"/>
    <col min="10" max="11" width="11" customWidth="1"/>
    <col min="16" max="16" width="38" customWidth="1"/>
  </cols>
  <sheetData>
    <row r="1" spans="1:7" x14ac:dyDescent="0.25">
      <c r="A1" s="3" t="s">
        <v>9</v>
      </c>
    </row>
    <row r="2" spans="1:7" x14ac:dyDescent="0.25">
      <c r="A2" s="1">
        <v>0.95</v>
      </c>
      <c r="B2">
        <v>0.2</v>
      </c>
    </row>
    <row r="3" spans="1:7" x14ac:dyDescent="0.25">
      <c r="A3" s="1">
        <v>0.9</v>
      </c>
      <c r="B3">
        <v>0.25</v>
      </c>
    </row>
    <row r="4" spans="1:7" x14ac:dyDescent="0.25">
      <c r="A4" s="1">
        <v>0.8</v>
      </c>
      <c r="B4">
        <v>0.28999999999999998</v>
      </c>
    </row>
    <row r="5" spans="1:7" x14ac:dyDescent="0.25">
      <c r="A5" s="1">
        <v>0.7</v>
      </c>
      <c r="B5">
        <v>0.33</v>
      </c>
    </row>
    <row r="6" spans="1:7" x14ac:dyDescent="0.25">
      <c r="A6" s="1"/>
    </row>
    <row r="7" spans="1:7" x14ac:dyDescent="0.25">
      <c r="A7" s="3" t="s">
        <v>115</v>
      </c>
      <c r="B7" s="25">
        <v>0</v>
      </c>
      <c r="C7" s="75">
        <f>IF($B$7=7,"&lt;slots&gt;",$B$7)</f>
        <v>0</v>
      </c>
    </row>
    <row r="8" spans="1:7" x14ac:dyDescent="0.25">
      <c r="A8" s="1"/>
    </row>
    <row r="9" spans="1:7" x14ac:dyDescent="0.25">
      <c r="A9" s="1"/>
      <c r="C9" t="s">
        <v>811</v>
      </c>
      <c r="D9" t="s">
        <v>812</v>
      </c>
      <c r="E9" t="s">
        <v>813</v>
      </c>
      <c r="F9" t="s">
        <v>814</v>
      </c>
    </row>
    <row r="10" spans="1:7" x14ac:dyDescent="0.25">
      <c r="A10" s="3" t="s">
        <v>122</v>
      </c>
      <c r="B10" s="75">
        <v>1</v>
      </c>
      <c r="C10" s="25" t="str">
        <f>IF(equations!$B$8=3,data!D19,data!D16)</f>
        <v>N1200</v>
      </c>
      <c r="D10" s="25" t="str">
        <f>IF(equations!$B$8=3,data!E19,data!E16)</f>
        <v>Neck</v>
      </c>
      <c r="E10" s="25" t="str">
        <f>IF(equations!$B$8=3,data!F19,data!F16)</f>
        <v>1200* mm (neck)</v>
      </c>
      <c r="F10" s="25" t="str">
        <f>IF(equations!$B$8=3,data!G19,data!G16)</f>
        <v>1200 mm neck length</v>
      </c>
    </row>
    <row r="11" spans="1:7" x14ac:dyDescent="0.25">
      <c r="B11" s="75">
        <v>2</v>
      </c>
      <c r="C11" s="25" t="str">
        <f>IF(equations!$B$8=3,data!D20,data!D17)</f>
        <v>F1195</v>
      </c>
      <c r="D11" s="25" t="str">
        <f>IF(equations!$B$8=3,data!E20,data!E17)</f>
        <v>Face</v>
      </c>
      <c r="E11" s="25" t="str">
        <f>IF(equations!$B$8=3,data!F20,data!F17)</f>
        <v>1195 mm (face)</v>
      </c>
      <c r="F11" s="25" t="str">
        <f>IF(equations!$B$8=3,data!G20,data!G17)</f>
        <v>1195 mm face length</v>
      </c>
    </row>
    <row r="12" spans="1:7" x14ac:dyDescent="0.25">
      <c r="A12" s="1"/>
      <c r="B12" s="389">
        <v>3</v>
      </c>
      <c r="C12" s="332" t="str">
        <f>IF(equations!$B$8=3,data!D21,data!D18)</f>
        <v>&lt;length&gt;</v>
      </c>
      <c r="D12" s="332" t="str">
        <f>IF(equations!$B$8=3,data!E21,data!E18)</f>
        <v>neck length</v>
      </c>
      <c r="E12" s="332" t="str">
        <f>IF(equations!$B$8=3,data!F21,data!F18)</f>
        <v>custom^ ≤ 1200 mm (neck)</v>
      </c>
      <c r="F12" s="332" t="str">
        <f>IF(equations!$B$8=3,data!G21,data!G18)</f>
        <v>custom neck length</v>
      </c>
    </row>
    <row r="13" spans="1:7" x14ac:dyDescent="0.25">
      <c r="B13" s="25">
        <v>1</v>
      </c>
      <c r="C13" s="74" t="str" cm="1">
        <f t="array" ref="C13:F13">VLOOKUP(B13,$B$10:$F$12,{2,3,4,5},0)</f>
        <v>N1200</v>
      </c>
      <c r="D13" t="str">
        <v>Neck</v>
      </c>
      <c r="E13" t="str">
        <v>1200* mm (neck)</v>
      </c>
      <c r="F13" t="str">
        <v>1200 mm neck length</v>
      </c>
    </row>
    <row r="15" spans="1:7" x14ac:dyDescent="0.25">
      <c r="C15" s="3" t="s">
        <v>799</v>
      </c>
      <c r="D15" t="s">
        <v>335</v>
      </c>
      <c r="E15" t="s">
        <v>820</v>
      </c>
      <c r="F15" t="s">
        <v>818</v>
      </c>
      <c r="G15" t="s">
        <v>819</v>
      </c>
    </row>
    <row r="16" spans="1:7" x14ac:dyDescent="0.25">
      <c r="A16" s="3"/>
      <c r="C16" s="75">
        <v>1</v>
      </c>
      <c r="D16" s="25" t="s">
        <v>195</v>
      </c>
      <c r="E16" t="s">
        <v>198</v>
      </c>
      <c r="F16" t="s">
        <v>810</v>
      </c>
      <c r="G16" t="s">
        <v>807</v>
      </c>
    </row>
    <row r="17" spans="1:9" x14ac:dyDescent="0.25">
      <c r="A17" s="3"/>
      <c r="B17" s="3"/>
      <c r="C17" s="75">
        <v>2</v>
      </c>
      <c r="D17" s="25" t="s">
        <v>588</v>
      </c>
      <c r="E17" t="s">
        <v>589</v>
      </c>
      <c r="F17" t="s">
        <v>587</v>
      </c>
      <c r="G17" t="s">
        <v>808</v>
      </c>
    </row>
    <row r="18" spans="1:9" x14ac:dyDescent="0.25">
      <c r="A18" s="3"/>
      <c r="B18" s="3"/>
      <c r="C18" s="389">
        <v>3</v>
      </c>
      <c r="D18" s="332" t="s">
        <v>847</v>
      </c>
      <c r="E18" s="149" t="s">
        <v>800</v>
      </c>
      <c r="F18" s="149" t="s">
        <v>578</v>
      </c>
      <c r="G18" s="149" t="s">
        <v>806</v>
      </c>
    </row>
    <row r="19" spans="1:9" x14ac:dyDescent="0.25">
      <c r="A19" s="3"/>
      <c r="B19" s="3"/>
      <c r="C19" s="75">
        <v>1</v>
      </c>
      <c r="D19" t="s">
        <v>815</v>
      </c>
      <c r="E19" t="s">
        <v>198</v>
      </c>
      <c r="F19" t="s">
        <v>816</v>
      </c>
      <c r="G19" t="s">
        <v>817</v>
      </c>
    </row>
    <row r="20" spans="1:9" x14ac:dyDescent="0.25">
      <c r="B20" s="3"/>
      <c r="C20" s="75">
        <v>2</v>
      </c>
      <c r="D20" s="25" t="s">
        <v>849</v>
      </c>
      <c r="E20" t="s">
        <v>589</v>
      </c>
      <c r="F20" t="s">
        <v>850</v>
      </c>
      <c r="G20" t="s">
        <v>851</v>
      </c>
      <c r="I20" s="3"/>
    </row>
    <row r="21" spans="1:9" x14ac:dyDescent="0.25">
      <c r="B21" s="3"/>
      <c r="C21" s="389">
        <v>3</v>
      </c>
      <c r="D21" s="332" t="s">
        <v>847</v>
      </c>
      <c r="E21" s="149" t="s">
        <v>800</v>
      </c>
      <c r="F21" s="149" t="s">
        <v>809</v>
      </c>
      <c r="G21" s="149" t="s">
        <v>806</v>
      </c>
      <c r="I21" s="3"/>
    </row>
    <row r="22" spans="1:9" x14ac:dyDescent="0.25">
      <c r="I22" s="3"/>
    </row>
    <row r="23" spans="1:9" x14ac:dyDescent="0.25">
      <c r="A23" s="3"/>
      <c r="B23" s="75"/>
      <c r="C23" s="25"/>
    </row>
    <row r="24" spans="1:9" x14ac:dyDescent="0.25">
      <c r="A24" s="3" t="s">
        <v>691</v>
      </c>
      <c r="B24" s="75"/>
      <c r="C24" s="25" t="s">
        <v>335</v>
      </c>
      <c r="D24" t="s">
        <v>190</v>
      </c>
      <c r="E24" t="s">
        <v>537</v>
      </c>
    </row>
    <row r="25" spans="1:9" x14ac:dyDescent="0.25">
      <c r="A25" s="3"/>
      <c r="B25">
        <v>1</v>
      </c>
      <c r="C25" t="s">
        <v>698</v>
      </c>
      <c r="D25" s="258" t="s">
        <v>692</v>
      </c>
      <c r="E25" t="s">
        <v>689</v>
      </c>
      <c r="F25" t="s">
        <v>707</v>
      </c>
    </row>
    <row r="26" spans="1:9" x14ac:dyDescent="0.25">
      <c r="A26" s="3"/>
      <c r="B26">
        <v>2</v>
      </c>
      <c r="C26" t="s">
        <v>694</v>
      </c>
      <c r="D26" s="258" t="s">
        <v>688</v>
      </c>
      <c r="F26" t="s">
        <v>708</v>
      </c>
    </row>
    <row r="27" spans="1:9" x14ac:dyDescent="0.25">
      <c r="A27" s="3"/>
      <c r="B27" s="149">
        <v>3</v>
      </c>
      <c r="C27" s="332" t="s">
        <v>695</v>
      </c>
      <c r="D27" s="333" t="s">
        <v>693</v>
      </c>
      <c r="E27" s="149"/>
      <c r="F27" t="s">
        <v>709</v>
      </c>
    </row>
    <row r="28" spans="1:9" x14ac:dyDescent="0.25">
      <c r="A28" s="3"/>
      <c r="B28" s="75">
        <v>1</v>
      </c>
      <c r="C28" s="25" t="str" cm="1">
        <f t="array" ref="C28:F28">VLOOKUP($B$28,$B$25:$F$27,{2,3,4,5},0)</f>
        <v>AD</v>
      </c>
      <c r="D28" t="str">
        <v>supply</v>
      </c>
      <c r="E28" t="str">
        <v>see 'Notes' Row 16 for performance adjustments as a return air inlet</v>
      </c>
      <c r="F28" t="str">
        <v>LJC-AD (supply air)</v>
      </c>
    </row>
    <row r="29" spans="1:9" x14ac:dyDescent="0.25">
      <c r="A29" s="3"/>
      <c r="B29" s="75" t="s">
        <v>861</v>
      </c>
      <c r="C29" s="25" t="b">
        <f>B28=1</f>
        <v>1</v>
      </c>
    </row>
    <row r="30" spans="1:9" x14ac:dyDescent="0.25">
      <c r="A30" s="3"/>
      <c r="B30" s="75"/>
      <c r="C30" s="25"/>
    </row>
    <row r="31" spans="1:9" x14ac:dyDescent="0.25">
      <c r="A31" s="3" t="s">
        <v>7</v>
      </c>
      <c r="B31" s="75">
        <f>equations!B45</f>
        <v>2</v>
      </c>
      <c r="C31" s="25"/>
    </row>
    <row r="32" spans="1:9" x14ac:dyDescent="0.25">
      <c r="B32" s="75"/>
      <c r="C32" s="25"/>
    </row>
    <row r="33" spans="1:8" x14ac:dyDescent="0.25">
      <c r="A33" s="3" t="s">
        <v>126</v>
      </c>
      <c r="B33" s="74" t="str">
        <f>IF(C33=1,"RAL9003",IF(C33=2,"RAL9005","&lt;colour&gt;"))</f>
        <v>RAL9003</v>
      </c>
      <c r="C33" s="25">
        <v>1</v>
      </c>
      <c r="D33" t="str">
        <f>'LJC-AD'!$I$87</f>
        <v>RAL9005 (jet black)</v>
      </c>
    </row>
    <row r="34" spans="1:8" x14ac:dyDescent="0.25">
      <c r="A34" s="3" t="s">
        <v>127</v>
      </c>
      <c r="B34" s="74" t="str">
        <f>IF(C34=1,"B","W")</f>
        <v>B</v>
      </c>
      <c r="C34" s="25">
        <v>1</v>
      </c>
    </row>
    <row r="35" spans="1:8" x14ac:dyDescent="0.25">
      <c r="B35" s="74"/>
      <c r="C35" s="25"/>
    </row>
    <row r="36" spans="1:8" x14ac:dyDescent="0.25">
      <c r="A36" s="3" t="s">
        <v>543</v>
      </c>
      <c r="B36" s="75">
        <v>1</v>
      </c>
      <c r="C36" s="25">
        <v>2</v>
      </c>
      <c r="D36">
        <v>3</v>
      </c>
      <c r="E36" s="75">
        <v>4</v>
      </c>
      <c r="F36" s="25">
        <v>5</v>
      </c>
      <c r="G36">
        <v>6</v>
      </c>
      <c r="H36" s="75">
        <v>7</v>
      </c>
    </row>
    <row r="37" spans="1:8" x14ac:dyDescent="0.25">
      <c r="A37" t="s">
        <v>366</v>
      </c>
      <c r="B37" s="75" t="s">
        <v>369</v>
      </c>
      <c r="C37" s="25" t="s">
        <v>248</v>
      </c>
      <c r="D37" t="s">
        <v>365</v>
      </c>
      <c r="E37" t="s">
        <v>249</v>
      </c>
      <c r="F37" t="s">
        <v>370</v>
      </c>
      <c r="G37" t="s">
        <v>371</v>
      </c>
      <c r="H37" t="s">
        <v>368</v>
      </c>
    </row>
    <row r="38" spans="1:8" x14ac:dyDescent="0.25">
      <c r="A38" t="s">
        <v>367</v>
      </c>
      <c r="B38" s="75" t="s">
        <v>369</v>
      </c>
      <c r="C38" s="25" t="s">
        <v>585</v>
      </c>
      <c r="D38" t="s">
        <v>352</v>
      </c>
      <c r="E38" t="s">
        <v>353</v>
      </c>
      <c r="F38" t="s">
        <v>354</v>
      </c>
      <c r="G38" t="s">
        <v>355</v>
      </c>
      <c r="H38" t="s">
        <v>368</v>
      </c>
    </row>
    <row r="39" spans="1:8" x14ac:dyDescent="0.25">
      <c r="A39" t="str">
        <f>IF($B$31=2,A38,A37)</f>
        <v>2way text</v>
      </c>
      <c r="B39" s="74" t="str">
        <f t="shared" ref="B39:H39" si="0">IF($B$31=2,B38,B37)</f>
        <v>recommended</v>
      </c>
      <c r="C39" t="str">
        <f t="shared" si="0"/>
        <v>A (0 to -15°)</v>
      </c>
      <c r="D39" t="str">
        <f t="shared" si="0"/>
        <v>B (0 to -30°)</v>
      </c>
      <c r="E39" t="str">
        <f t="shared" si="0"/>
        <v>C (≈ -45°)</v>
      </c>
      <c r="F39" t="str">
        <f t="shared" si="0"/>
        <v>D (≈ -60°)</v>
      </c>
      <c r="G39" t="str">
        <f t="shared" si="0"/>
        <v>E (vertical)</v>
      </c>
      <c r="H39" t="str">
        <f t="shared" si="0"/>
        <v>custom</v>
      </c>
    </row>
    <row r="40" spans="1:8" x14ac:dyDescent="0.25">
      <c r="A40" t="s">
        <v>373</v>
      </c>
      <c r="C40" t="str">
        <f>C37</f>
        <v>AB</v>
      </c>
      <c r="D40" t="str">
        <f t="shared" ref="D40:F40" si="1">D37</f>
        <v>AC</v>
      </c>
      <c r="E40" t="str">
        <f t="shared" si="1"/>
        <v>BC</v>
      </c>
      <c r="F40" t="str">
        <f t="shared" si="1"/>
        <v>BD</v>
      </c>
      <c r="G40" t="s">
        <v>375</v>
      </c>
      <c r="H40" t="s">
        <v>376</v>
      </c>
    </row>
    <row r="41" spans="1:8" x14ac:dyDescent="0.25">
      <c r="A41" t="s">
        <v>374</v>
      </c>
      <c r="C41" t="s">
        <v>98</v>
      </c>
      <c r="D41" t="s">
        <v>99</v>
      </c>
      <c r="E41" t="s">
        <v>91</v>
      </c>
      <c r="F41" t="s">
        <v>211</v>
      </c>
      <c r="G41" t="s">
        <v>218</v>
      </c>
      <c r="H41" t="s">
        <v>376</v>
      </c>
    </row>
    <row r="42" spans="1:8" x14ac:dyDescent="0.25">
      <c r="A42" t="s">
        <v>372</v>
      </c>
      <c r="B42" s="75" t="str">
        <f ca="1">C126</f>
        <v>Air Pattern Setting</v>
      </c>
      <c r="C42" s="25" t="str">
        <f>IF($B$31=1,C40,C41)</f>
        <v>A</v>
      </c>
      <c r="D42" s="25" t="str">
        <f t="shared" ref="D42:G42" si="2">IF($B$31=1,D40,D41)</f>
        <v>B</v>
      </c>
      <c r="E42" s="25" t="str">
        <f t="shared" si="2"/>
        <v>C</v>
      </c>
      <c r="F42" s="25" t="str">
        <f t="shared" si="2"/>
        <v>D</v>
      </c>
      <c r="G42" s="25" t="str">
        <f t="shared" si="2"/>
        <v>E</v>
      </c>
      <c r="H42" t="s">
        <v>376</v>
      </c>
    </row>
    <row r="43" spans="1:8" x14ac:dyDescent="0.25">
      <c r="A43" t="s">
        <v>543</v>
      </c>
      <c r="B43" s="74" t="str">
        <f ca="1">IF($C$29,IF(C43=1,B42,HLOOKUP(C43,C36:H42,7,0)),"C")</f>
        <v>Air Pattern Setting</v>
      </c>
      <c r="C43" s="25">
        <v>1</v>
      </c>
    </row>
    <row r="44" spans="1:8" x14ac:dyDescent="0.25">
      <c r="C44" s="25"/>
    </row>
    <row r="45" spans="1:8" x14ac:dyDescent="0.25">
      <c r="A45" s="3" t="s">
        <v>533</v>
      </c>
      <c r="B45" s="75"/>
      <c r="C45" s="25"/>
    </row>
    <row r="46" spans="1:8" x14ac:dyDescent="0.25">
      <c r="A46" t="s">
        <v>263</v>
      </c>
      <c r="B46" s="75" t="s">
        <v>535</v>
      </c>
      <c r="C46" s="25" t="s">
        <v>536</v>
      </c>
      <c r="D46" t="s">
        <v>218</v>
      </c>
    </row>
    <row r="47" spans="1:8" x14ac:dyDescent="0.25">
      <c r="B47" s="75"/>
      <c r="C47" s="25">
        <f ca="1">IF($C$114&lt;=1, 1,0)</f>
        <v>0</v>
      </c>
      <c r="D47" s="25">
        <f ca="1">IF($C$114&lt;=1, 1,0)</f>
        <v>0</v>
      </c>
    </row>
    <row r="48" spans="1:8" x14ac:dyDescent="0.25">
      <c r="A48" t="s">
        <v>46</v>
      </c>
      <c r="B48" s="75"/>
      <c r="C48" s="25"/>
    </row>
    <row r="49" spans="1:11" x14ac:dyDescent="0.25">
      <c r="C49" s="75" t="s">
        <v>335</v>
      </c>
      <c r="D49" s="25" t="s">
        <v>190</v>
      </c>
      <c r="E49" t="s">
        <v>537</v>
      </c>
      <c r="F49" t="s">
        <v>680</v>
      </c>
    </row>
    <row r="50" spans="1:11" x14ac:dyDescent="0.25">
      <c r="B50">
        <v>0</v>
      </c>
      <c r="D50" s="258" t="s">
        <v>534</v>
      </c>
    </row>
    <row r="51" spans="1:11" x14ac:dyDescent="0.25">
      <c r="B51">
        <v>1</v>
      </c>
      <c r="C51" t="str">
        <f ca="1">"M."&amp;B43</f>
        <v>M.Air Pattern Setting</v>
      </c>
      <c r="D51" s="258" t="s">
        <v>531</v>
      </c>
      <c r="E51" t="s">
        <v>541</v>
      </c>
    </row>
    <row r="52" spans="1:11" x14ac:dyDescent="0.25">
      <c r="B52">
        <v>2</v>
      </c>
      <c r="C52" t="str">
        <f ca="1">IF($C$114=1,"T&lt;n/a&gt;","T"&amp;C139)</f>
        <v>TThermal Element Setting</v>
      </c>
      <c r="D52" s="258" t="str">
        <f ca="1">IF($C$114=1, "thermal actuator (n/a)", "thermal actuator")</f>
        <v>thermal actuator</v>
      </c>
      <c r="E52" t="str">
        <f ca="1">IF($C$114=1,"thermal actuator not available for 1-slot LJC","thermal actuator set to " &amp;E139 &amp; "°C"&amp;C147)</f>
        <v>thermal actuator set to Th°Cthermal element note</v>
      </c>
      <c r="G52" s="162"/>
    </row>
    <row r="53" spans="1:11" x14ac:dyDescent="0.25">
      <c r="B53">
        <v>3</v>
      </c>
      <c r="C53" t="str">
        <f ca="1">IF($C$114=1,"E&lt;n/a&gt;","E1")</f>
        <v>E1</v>
      </c>
      <c r="D53" s="258" t="str">
        <f ca="1">IF($C$114=1, "electric actuator (n/a)", "electric actuator")</f>
        <v>electric actuator</v>
      </c>
      <c r="E53" t="str">
        <f ca="1">IF($C$114=1,"electric actuator not available for 1-slot LJC","24V electric actuator 2-10V")</f>
        <v>24V electric actuator 2-10V</v>
      </c>
      <c r="F53" t="s">
        <v>682</v>
      </c>
    </row>
    <row r="54" spans="1:11" x14ac:dyDescent="0.25">
      <c r="B54">
        <v>4</v>
      </c>
      <c r="C54" t="str">
        <f ca="1">IF($C$114=1,"E&lt;n/a&gt;","E2")</f>
        <v>E2</v>
      </c>
      <c r="D54" s="258" t="str">
        <f ca="1">IF($C$114=1, "electric actuator (n/a)", "electric actuator")</f>
        <v>electric actuator</v>
      </c>
      <c r="E54" t="str">
        <f ca="1">IF($C$114=1,"electric actuator not available for 1-slot LJC","24V electric actuator 3-pt")</f>
        <v>24V electric actuator 3-pt</v>
      </c>
      <c r="F54" t="s">
        <v>681</v>
      </c>
    </row>
    <row r="55" spans="1:11" x14ac:dyDescent="0.25">
      <c r="A55" t="s">
        <v>334</v>
      </c>
      <c r="B55" s="266">
        <v>1</v>
      </c>
      <c r="C55" s="267" t="str">
        <f ca="1">VLOOKUP(B55,B50:D54,2,0)</f>
        <v>M.Air Pattern Setting</v>
      </c>
      <c r="D55" s="267" t="str">
        <f>VLOOKUP(B55,B50:D54,3,0)</f>
        <v>manual</v>
      </c>
      <c r="E55" s="268" t="str">
        <f>VLOOKUP(B55,B50:E54,4,0)</f>
        <v>manual adjustment only</v>
      </c>
      <c r="F55" s="268">
        <f>VLOOKUP(B55,$B$50:$F$54,5,0)</f>
        <v>0</v>
      </c>
    </row>
    <row r="56" spans="1:11" x14ac:dyDescent="0.25">
      <c r="B56" s="75"/>
      <c r="C56" s="25"/>
      <c r="K56" s="128"/>
    </row>
    <row r="57" spans="1:11" x14ac:dyDescent="0.25">
      <c r="A57" s="3" t="s">
        <v>197</v>
      </c>
      <c r="C57" t="s">
        <v>335</v>
      </c>
      <c r="D57" t="s">
        <v>190</v>
      </c>
    </row>
    <row r="58" spans="1:11" x14ac:dyDescent="0.25">
      <c r="A58" s="3"/>
      <c r="B58">
        <v>1</v>
      </c>
      <c r="C58" t="s">
        <v>356</v>
      </c>
      <c r="D58" t="s">
        <v>358</v>
      </c>
    </row>
    <row r="59" spans="1:11" x14ac:dyDescent="0.25">
      <c r="A59" s="3"/>
      <c r="B59">
        <v>2</v>
      </c>
      <c r="C59" t="s">
        <v>357</v>
      </c>
      <c r="D59" t="s">
        <v>397</v>
      </c>
    </row>
    <row r="60" spans="1:11" x14ac:dyDescent="0.25">
      <c r="A60" t="s">
        <v>334</v>
      </c>
      <c r="B60">
        <v>1</v>
      </c>
      <c r="C60" s="3" t="str">
        <f>VLOOKUP(B60,B58:D59,2,0)</f>
        <v>SF</v>
      </c>
      <c r="D60" s="3" t="str">
        <f>VLOOKUP(B60,B58:D59,3,0)</f>
        <v>with side flanges</v>
      </c>
    </row>
    <row r="63" spans="1:11" x14ac:dyDescent="0.25">
      <c r="A63" s="3" t="s">
        <v>325</v>
      </c>
    </row>
    <row r="64" spans="1:11" x14ac:dyDescent="0.25">
      <c r="A64" s="3"/>
      <c r="C64" t="s">
        <v>335</v>
      </c>
      <c r="D64" t="s">
        <v>190</v>
      </c>
    </row>
    <row r="65" spans="1:4" x14ac:dyDescent="0.25">
      <c r="B65">
        <v>1</v>
      </c>
      <c r="C65" t="s">
        <v>579</v>
      </c>
      <c r="D65" t="s">
        <v>359</v>
      </c>
    </row>
    <row r="66" spans="1:4" x14ac:dyDescent="0.25">
      <c r="B66">
        <v>2</v>
      </c>
      <c r="C66" t="s">
        <v>580</v>
      </c>
      <c r="D66" t="s">
        <v>360</v>
      </c>
    </row>
    <row r="67" spans="1:4" x14ac:dyDescent="0.25">
      <c r="B67">
        <v>3</v>
      </c>
      <c r="C67" t="s">
        <v>581</v>
      </c>
      <c r="D67" t="s">
        <v>361</v>
      </c>
    </row>
    <row r="68" spans="1:4" x14ac:dyDescent="0.25">
      <c r="B68" s="175">
        <v>4</v>
      </c>
      <c r="C68" t="s">
        <v>582</v>
      </c>
      <c r="D68" t="s">
        <v>336</v>
      </c>
    </row>
    <row r="69" spans="1:4" x14ac:dyDescent="0.25">
      <c r="A69" t="s">
        <v>334</v>
      </c>
      <c r="B69">
        <v>1</v>
      </c>
      <c r="C69" s="3" t="str">
        <f>VLOOKUP(B69,B65:D68,2,0)</f>
        <v>DE2</v>
      </c>
      <c r="D69" s="3" t="str">
        <f>VLOOKUP(B69,B65:D68,3,0)</f>
        <v>with two end flanges</v>
      </c>
    </row>
    <row r="71" spans="1:4" x14ac:dyDescent="0.25">
      <c r="A71" s="3" t="s">
        <v>326</v>
      </c>
      <c r="C71" t="s">
        <v>335</v>
      </c>
      <c r="D71" t="s">
        <v>190</v>
      </c>
    </row>
    <row r="72" spans="1:4" x14ac:dyDescent="0.25">
      <c r="B72">
        <v>1</v>
      </c>
      <c r="C72" t="s">
        <v>337</v>
      </c>
      <c r="D72" t="s">
        <v>398</v>
      </c>
    </row>
    <row r="73" spans="1:4" x14ac:dyDescent="0.25">
      <c r="B73">
        <v>2</v>
      </c>
      <c r="C73" t="s">
        <v>338</v>
      </c>
      <c r="D73" t="s">
        <v>396</v>
      </c>
    </row>
    <row r="74" spans="1:4" x14ac:dyDescent="0.25">
      <c r="B74">
        <v>3</v>
      </c>
      <c r="C74" t="s">
        <v>544</v>
      </c>
      <c r="D74" t="s">
        <v>545</v>
      </c>
    </row>
    <row r="75" spans="1:4" x14ac:dyDescent="0.25">
      <c r="A75" t="s">
        <v>334</v>
      </c>
      <c r="B75">
        <v>1</v>
      </c>
      <c r="C75" s="3" t="str">
        <f>VLOOKUP(B75,B72:D74,2,0)</f>
        <v>F0</v>
      </c>
      <c r="D75" s="3" t="str">
        <f>VLOOKUP(B75,B72:D74,3,0)</f>
        <v>fixing by others; without accessories</v>
      </c>
    </row>
    <row r="77" spans="1:4" x14ac:dyDescent="0.25">
      <c r="A77" s="3" t="s">
        <v>340</v>
      </c>
    </row>
    <row r="78" spans="1:4" x14ac:dyDescent="0.25">
      <c r="B78">
        <v>1</v>
      </c>
      <c r="C78" t="s">
        <v>346</v>
      </c>
      <c r="D78" t="s">
        <v>343</v>
      </c>
    </row>
    <row r="79" spans="1:4" x14ac:dyDescent="0.25">
      <c r="B79">
        <v>2</v>
      </c>
      <c r="C79" t="s">
        <v>344</v>
      </c>
      <c r="D79" t="s">
        <v>332</v>
      </c>
    </row>
    <row r="80" spans="1:4" x14ac:dyDescent="0.25">
      <c r="B80">
        <v>3</v>
      </c>
      <c r="C80" t="s">
        <v>345</v>
      </c>
      <c r="D80" t="s">
        <v>333</v>
      </c>
    </row>
    <row r="81" spans="1:12" x14ac:dyDescent="0.25">
      <c r="A81" t="s">
        <v>334</v>
      </c>
      <c r="B81">
        <v>1</v>
      </c>
      <c r="C81" s="3" t="str">
        <f>VLOOKUP(B81,B78:D80,2,0)</f>
        <v>K0</v>
      </c>
      <c r="D81" s="3" t="str">
        <f>VLOOKUP(B81,B78:D80,3,0)</f>
        <v>no connection box</v>
      </c>
    </row>
    <row r="82" spans="1:12" x14ac:dyDescent="0.25">
      <c r="C82" s="3"/>
      <c r="D82" s="3"/>
    </row>
    <row r="83" spans="1:12" x14ac:dyDescent="0.25">
      <c r="B83">
        <v>0</v>
      </c>
      <c r="C83" s="3" t="s">
        <v>347</v>
      </c>
      <c r="D83" s="3" t="s">
        <v>347</v>
      </c>
    </row>
    <row r="84" spans="1:12" x14ac:dyDescent="0.25">
      <c r="B84">
        <v>1</v>
      </c>
      <c r="C84" t="s">
        <v>341</v>
      </c>
      <c r="D84" t="s">
        <v>348</v>
      </c>
    </row>
    <row r="85" spans="1:12" x14ac:dyDescent="0.25">
      <c r="B85">
        <v>2</v>
      </c>
      <c r="C85" t="s">
        <v>342</v>
      </c>
      <c r="D85" t="s">
        <v>349</v>
      </c>
    </row>
    <row r="86" spans="1:12" x14ac:dyDescent="0.25">
      <c r="A86" t="s">
        <v>334</v>
      </c>
      <c r="B86">
        <v>0</v>
      </c>
    </row>
    <row r="87" spans="1:12" x14ac:dyDescent="0.25">
      <c r="B87">
        <f>IF(B81=1,0,B86)</f>
        <v>0</v>
      </c>
      <c r="C87" s="3" t="str">
        <f>VLOOKUP(B87,B83:D85,2,0)</f>
        <v xml:space="preserve"> </v>
      </c>
      <c r="D87" s="3" t="str">
        <f>VLOOKUP(B87,B83:D85,3,0)</f>
        <v xml:space="preserve"> </v>
      </c>
    </row>
    <row r="88" spans="1:12" x14ac:dyDescent="0.25">
      <c r="A88" s="3" t="s">
        <v>334</v>
      </c>
      <c r="C88" t="str">
        <f>C81&amp;C87</f>
        <v xml:space="preserve">K0 </v>
      </c>
      <c r="D88" t="str">
        <f>D81&amp;" "&amp;D87</f>
        <v xml:space="preserve">no connection box  </v>
      </c>
    </row>
    <row r="91" spans="1:12" x14ac:dyDescent="0.25">
      <c r="A91" t="s">
        <v>113</v>
      </c>
    </row>
    <row r="92" spans="1:12" x14ac:dyDescent="0.25">
      <c r="A92" t="s">
        <v>696</v>
      </c>
      <c r="B92" t="s">
        <v>686</v>
      </c>
      <c r="C92" t="s">
        <v>114</v>
      </c>
      <c r="D92" t="s">
        <v>115</v>
      </c>
      <c r="E92" t="s">
        <v>121</v>
      </c>
      <c r="F92" t="s">
        <v>542</v>
      </c>
      <c r="G92" t="s">
        <v>116</v>
      </c>
      <c r="H92" t="s">
        <v>117</v>
      </c>
      <c r="I92" t="s">
        <v>118</v>
      </c>
      <c r="J92" t="s">
        <v>119</v>
      </c>
      <c r="K92" t="s">
        <v>120</v>
      </c>
      <c r="L92" t="s">
        <v>350</v>
      </c>
    </row>
    <row r="93" spans="1:12" x14ac:dyDescent="0.25">
      <c r="A93" t="s">
        <v>699</v>
      </c>
      <c r="B93" t="str">
        <f>$C$28&amp;"-"</f>
        <v>AD-</v>
      </c>
      <c r="C93" t="str">
        <f>$C$13&amp;"-"</f>
        <v>N1200-</v>
      </c>
      <c r="D93" t="str">
        <f>$C$7&amp;"-"</f>
        <v>0-</v>
      </c>
      <c r="E93" t="str">
        <f>$B$31&amp;"W-"</f>
        <v>2W-</v>
      </c>
      <c r="F93" t="str">
        <f ca="1">$C$55&amp;"-"</f>
        <v>M.Air Pattern Setting-</v>
      </c>
      <c r="G93" t="str">
        <f>$C$60&amp;"-"</f>
        <v>SF-</v>
      </c>
      <c r="H93" t="str">
        <f>$C$69&amp;"-"</f>
        <v>DE2-</v>
      </c>
      <c r="I93" t="str">
        <f>$C$75&amp;"-"</f>
        <v>F0-</v>
      </c>
      <c r="J93" t="str">
        <f>$B$33&amp;"-"</f>
        <v>RAL9003-</v>
      </c>
      <c r="K93" t="str">
        <f>$B$34&amp;"-"</f>
        <v>B-</v>
      </c>
      <c r="L93" t="str">
        <f>$C$88</f>
        <v xml:space="preserve">K0 </v>
      </c>
    </row>
    <row r="94" spans="1:12" x14ac:dyDescent="0.25">
      <c r="A94" t="s">
        <v>697</v>
      </c>
      <c r="B94" t="s">
        <v>686</v>
      </c>
      <c r="C94" t="s">
        <v>114</v>
      </c>
      <c r="D94" t="s">
        <v>115</v>
      </c>
      <c r="E94" t="s">
        <v>121</v>
      </c>
      <c r="F94" t="s">
        <v>542</v>
      </c>
      <c r="G94" t="s">
        <v>116</v>
      </c>
      <c r="H94" t="s">
        <v>117</v>
      </c>
      <c r="I94" t="s">
        <v>118</v>
      </c>
      <c r="J94" t="s">
        <v>119</v>
      </c>
      <c r="K94" t="s">
        <v>120</v>
      </c>
      <c r="L94" t="s">
        <v>350</v>
      </c>
    </row>
    <row r="95" spans="1:12" x14ac:dyDescent="0.25">
      <c r="A95" t="s">
        <v>699</v>
      </c>
      <c r="B95" t="str">
        <f>$C$28&amp;"-"</f>
        <v>AD-</v>
      </c>
      <c r="C95" t="str">
        <f>$C$13&amp;"-"</f>
        <v>N1200-</v>
      </c>
      <c r="D95" t="str">
        <f>$C$7&amp;"-"</f>
        <v>0-</v>
      </c>
      <c r="G95" t="str">
        <f>$C$60&amp;"-"</f>
        <v>SF-</v>
      </c>
      <c r="H95" t="str">
        <f>$C$69&amp;"-"</f>
        <v>DE2-</v>
      </c>
      <c r="I95" t="str">
        <f>$C$75&amp;"-"</f>
        <v>F0-</v>
      </c>
      <c r="J95" t="str">
        <f>$B$33&amp;"-"</f>
        <v>RAL9003-</v>
      </c>
      <c r="K95" t="str">
        <f>$B$34&amp;"-"</f>
        <v>B-</v>
      </c>
      <c r="L95" t="str">
        <f>$C$88</f>
        <v xml:space="preserve">K0 </v>
      </c>
    </row>
    <row r="97" spans="1:3" x14ac:dyDescent="0.25">
      <c r="A97" t="s">
        <v>696</v>
      </c>
      <c r="B97" t="str">
        <f>IF(OR(C7=0,B13=0),"Please select length and number of slots",CONCATENATE(A93,B93,C93,D93,E93,,F93,G93,H93,I93,J93,K93,L93))</f>
        <v>Please select length and number of slots</v>
      </c>
      <c r="C97" t="s">
        <v>502</v>
      </c>
    </row>
    <row r="98" spans="1:3" x14ac:dyDescent="0.25">
      <c r="A98" s="149" t="s">
        <v>697</v>
      </c>
      <c r="B98" s="149" t="str">
        <f>IF(OR(C7=0,B13=0),"Please select length and number of slots",CONCATENATE(A95,B95,C95,D95,E95,,F95,G95,H95,I95,J95,K95,L95))</f>
        <v>Please select length and number of slots</v>
      </c>
      <c r="C98" t="s">
        <v>704</v>
      </c>
    </row>
    <row r="99" spans="1:3" x14ac:dyDescent="0.25">
      <c r="A99" t="s">
        <v>700</v>
      </c>
      <c r="B99" t="str">
        <f>IF($B$28=1,B97,B98)</f>
        <v>Please select length and number of slots</v>
      </c>
      <c r="C99" t="str">
        <f>IF($B$28=1,C97,C98)</f>
        <v>SMARTEMP LJC-AD</v>
      </c>
    </row>
    <row r="102" spans="1:3" x14ac:dyDescent="0.25">
      <c r="A102" t="s">
        <v>144</v>
      </c>
    </row>
    <row r="105" spans="1:3" x14ac:dyDescent="0.25">
      <c r="A105" s="3" t="s">
        <v>182</v>
      </c>
    </row>
    <row r="106" spans="1:3" x14ac:dyDescent="0.25">
      <c r="A106" t="s">
        <v>122</v>
      </c>
    </row>
    <row r="107" spans="1:3" x14ac:dyDescent="0.25">
      <c r="A107" t="s">
        <v>46</v>
      </c>
      <c r="B107" t="str">
        <f>IF(B7=9,"Custom Slots",IF(B7=0,"please select number of",C7))</f>
        <v>please select number of</v>
      </c>
    </row>
    <row r="108" spans="1:3" x14ac:dyDescent="0.25">
      <c r="A108" t="s">
        <v>183</v>
      </c>
      <c r="B108" t="str">
        <f>F13&amp;" × "&amp;B107&amp;" slots"</f>
        <v>1200 mm neck length × please select number of slots</v>
      </c>
    </row>
    <row r="109" spans="1:3" x14ac:dyDescent="0.25">
      <c r="A109" t="s">
        <v>184</v>
      </c>
      <c r="B109" t="str">
        <f>equations!B22&amp;"-way blow"</f>
        <v>2-way blow</v>
      </c>
    </row>
    <row r="110" spans="1:3" x14ac:dyDescent="0.25">
      <c r="A110" t="s">
        <v>185</v>
      </c>
      <c r="B110" t="str">
        <f>IF(equations!B26=1,"Closed Ceiling","Freely Suspended")</f>
        <v>Closed Ceiling</v>
      </c>
    </row>
    <row r="113" spans="1:5" x14ac:dyDescent="0.25">
      <c r="D113" t="s">
        <v>172</v>
      </c>
      <c r="E113" t="s">
        <v>310</v>
      </c>
    </row>
    <row r="114" spans="1:5" x14ac:dyDescent="0.25">
      <c r="A114">
        <v>0</v>
      </c>
      <c r="B114" t="s">
        <v>46</v>
      </c>
      <c r="C114" t="str">
        <f ca="1">OFFSET(equations!$B$447,data!A114,data!$B$7-1)</f>
        <v>Slots</v>
      </c>
    </row>
    <row r="115" spans="1:5" x14ac:dyDescent="0.25">
      <c r="A115">
        <v>1</v>
      </c>
      <c r="B115" t="s">
        <v>389</v>
      </c>
      <c r="C115" t="str">
        <f ca="1">OFFSET(equations!$B$447,data!A115,data!$B$7-1)</f>
        <v>Selected Airflow [L/s]</v>
      </c>
      <c r="D115" t="str">
        <f>equations!$F$9</f>
        <v>L/s/m</v>
      </c>
      <c r="E115" t="str">
        <f ca="1">C115&amp;" "&amp;D115</f>
        <v>Selected Airflow [L/s] L/s/m</v>
      </c>
    </row>
    <row r="116" spans="1:5" x14ac:dyDescent="0.25">
      <c r="A116">
        <v>2</v>
      </c>
      <c r="B116" t="s">
        <v>305</v>
      </c>
      <c r="C116" t="str">
        <f ca="1">OFFSET(equations!$B$447,data!A116,data!$B$7-1)</f>
        <v>Airflow @ Max Static Pressure[L/s]</v>
      </c>
      <c r="D116" t="str">
        <f>equations!$F$9</f>
        <v>L/s/m</v>
      </c>
      <c r="E116" t="str">
        <f t="shared" ref="E116:E117" ca="1" si="3">C116&amp;" "&amp;D116</f>
        <v>Airflow @ Max Static Pressure[L/s] L/s/m</v>
      </c>
    </row>
    <row r="117" spans="1:5" x14ac:dyDescent="0.25">
      <c r="A117">
        <v>3</v>
      </c>
      <c r="B117" t="s">
        <v>390</v>
      </c>
      <c r="C117" t="str">
        <f ca="1">OFFSET(equations!$B$447,data!A117,data!$B$7-1)</f>
        <v>Min Selected Airflow [m]</v>
      </c>
      <c r="D117" t="str">
        <f>equations!$F$9</f>
        <v>L/s/m</v>
      </c>
      <c r="E117" t="str">
        <f t="shared" ca="1" si="3"/>
        <v>Min Selected Airflow [m] L/s/m</v>
      </c>
    </row>
    <row r="118" spans="1:5" ht="14.65" customHeight="1" x14ac:dyDescent="0.25">
      <c r="A118">
        <v>4</v>
      </c>
      <c r="B118" t="s">
        <v>538</v>
      </c>
      <c r="C118" t="str">
        <f ca="1">OFFSET(equations!$B$447,data!A118,data!$B$7-1)</f>
        <v>Min Permissible Airflow @ ΔT = -12K</v>
      </c>
    </row>
    <row r="119" spans="1:5" ht="14.65" customHeight="1" x14ac:dyDescent="0.25">
      <c r="A119">
        <v>5</v>
      </c>
      <c r="B119" t="s">
        <v>37</v>
      </c>
      <c r="C119" t="str">
        <f ca="1">OFFSET(equations!$B$447,data!A119,data!$B$7-1)</f>
        <v>Min % Turndown to</v>
      </c>
      <c r="E119" t="e">
        <f ca="1">C119*100</f>
        <v>#VALUE!</v>
      </c>
    </row>
    <row r="120" spans="1:5" x14ac:dyDescent="0.25">
      <c r="A120">
        <v>6</v>
      </c>
      <c r="B120" t="s">
        <v>38</v>
      </c>
      <c r="C120" t="str">
        <f ca="1">OFFSET(equations!$B$447,data!A120,data!$B$7-1)</f>
        <v>Min Permissible % Turndown to</v>
      </c>
    </row>
    <row r="121" spans="1:5" x14ac:dyDescent="0.25">
      <c r="A121">
        <v>7</v>
      </c>
      <c r="B121" t="s">
        <v>293</v>
      </c>
      <c r="C121" t="str">
        <f ca="1">OFFSET(equations!$B$447,data!A121,data!$B$7-1)</f>
        <v>Max Static Pressure (Pa)</v>
      </c>
      <c r="D121" t="str">
        <f>equations!$J$9</f>
        <v>Pa</v>
      </c>
      <c r="E121" t="str">
        <f ca="1">C121&amp;" "&amp;D121</f>
        <v>Max Static Pressure (Pa) Pa</v>
      </c>
    </row>
    <row r="122" spans="1:5" x14ac:dyDescent="0.25">
      <c r="A122">
        <v>8</v>
      </c>
      <c r="B122" t="s">
        <v>39</v>
      </c>
      <c r="C122" t="str">
        <f ca="1">OFFSET(equations!$B$447,data!A122,data!$B$7-1)</f>
        <v>Max Total Pressure (Pa)</v>
      </c>
      <c r="D122" t="str">
        <f>equations!$J$9</f>
        <v>Pa</v>
      </c>
      <c r="E122" t="str">
        <f t="shared" ref="E122:E125" ca="1" si="4">C122&amp;" "&amp;D122</f>
        <v>Max Total Pressure (Pa) Pa</v>
      </c>
    </row>
    <row r="123" spans="1:5" x14ac:dyDescent="0.25">
      <c r="A123">
        <v>9</v>
      </c>
      <c r="B123" t="s">
        <v>87</v>
      </c>
      <c r="C123" t="str">
        <f ca="1">OFFSET(equations!$B$447,data!A123,data!$B$7-1)</f>
        <v>Max Permissible Pressure (Pa)</v>
      </c>
      <c r="D123" t="str">
        <f>equations!$J$9</f>
        <v>Pa</v>
      </c>
      <c r="E123" t="str">
        <f t="shared" ca="1" si="4"/>
        <v>Max Permissible Pressure (Pa) Pa</v>
      </c>
    </row>
    <row r="124" spans="1:5" x14ac:dyDescent="0.25">
      <c r="A124">
        <v>10</v>
      </c>
      <c r="B124" t="s">
        <v>40</v>
      </c>
      <c r="C124" t="str">
        <f ca="1">OFFSET(equations!$B$447,data!A124,data!$B$7-1)</f>
        <v>Sound Power Level (dBA)</v>
      </c>
      <c r="D124" t="str">
        <f>equations!$V$9</f>
        <v>db(A)/m</v>
      </c>
      <c r="E124" t="str">
        <f t="shared" ca="1" si="4"/>
        <v>Sound Power Level (dBA) db(A)/m</v>
      </c>
    </row>
    <row r="125" spans="1:5" x14ac:dyDescent="0.25">
      <c r="A125">
        <v>11</v>
      </c>
      <c r="B125" t="s">
        <v>41</v>
      </c>
      <c r="C125" t="str">
        <f ca="1">OFFSET(equations!$B$447,data!A125,data!$B$7-1)</f>
        <v>Sound Pressure Level (NC)</v>
      </c>
      <c r="D125" t="str">
        <f>equations!$W$9</f>
        <v>NC/m</v>
      </c>
      <c r="E125" t="str">
        <f t="shared" ca="1" si="4"/>
        <v>Sound Pressure Level (NC) NC/m</v>
      </c>
    </row>
    <row r="126" spans="1:5" x14ac:dyDescent="0.25">
      <c r="A126">
        <v>12</v>
      </c>
      <c r="B126" t="s">
        <v>89</v>
      </c>
      <c r="C126" t="str">
        <f ca="1">OFFSET(equations!$B$447,data!A126,data!$B$7-1)</f>
        <v>Air Pattern Setting</v>
      </c>
    </row>
    <row r="127" spans="1:5" x14ac:dyDescent="0.25">
      <c r="A127">
        <v>13</v>
      </c>
      <c r="B127" t="s">
        <v>539</v>
      </c>
      <c r="C127" t="str">
        <f ca="1">OFFSET(equations!$B$447,data!A127,data!$B$7-1)</f>
        <v>Centre Zones with Direction 'A'</v>
      </c>
      <c r="D127" t="str">
        <f>equations!$O$9</f>
        <v>K</v>
      </c>
      <c r="E127" t="str">
        <f ca="1">"+"&amp;C127&amp;" "&amp;D127</f>
        <v>+Centre Zones with Direction 'A' K</v>
      </c>
    </row>
    <row r="128" spans="1:5" x14ac:dyDescent="0.25">
      <c r="A128">
        <v>14</v>
      </c>
      <c r="B128" t="s">
        <v>540</v>
      </c>
      <c r="C128" t="str">
        <f ca="1">OFFSET(equations!$B$447,data!A128,data!$B$7-1)</f>
        <v>Perimeter Zones with Direction 'A'</v>
      </c>
      <c r="D128" t="str">
        <f>equations!$O$9</f>
        <v>K</v>
      </c>
      <c r="E128" t="str">
        <f t="shared" ref="E128:E129" ca="1" si="5">"+"&amp;C128&amp;" "&amp;D128</f>
        <v>+Perimeter Zones with Direction 'A' K</v>
      </c>
    </row>
    <row r="129" spans="1:5" x14ac:dyDescent="0.25">
      <c r="A129">
        <v>15</v>
      </c>
      <c r="B129" t="s">
        <v>393</v>
      </c>
      <c r="C129" t="str">
        <f ca="1">OFFSET(equations!$B$447,data!A129,data!$B$7-1)</f>
        <v>Max Permissible ΔT (heating) E (K)</v>
      </c>
      <c r="D129" t="str">
        <f>equations!$O$9</f>
        <v>K</v>
      </c>
      <c r="E129" t="str">
        <f t="shared" ca="1" si="5"/>
        <v>+Max Permissible ΔT (heating) E (K) K</v>
      </c>
    </row>
    <row r="130" spans="1:5" x14ac:dyDescent="0.25">
      <c r="A130">
        <v>16</v>
      </c>
      <c r="B130" t="s">
        <v>406</v>
      </c>
      <c r="C130" t="str">
        <f ca="1">OFFSET(equations!$B$447,data!A130,data!$B$7-1)</f>
        <v>Max Coverage Dist Centre Zone</v>
      </c>
      <c r="D130" t="str">
        <f>equations!$B$9</f>
        <v>m</v>
      </c>
      <c r="E130" t="str">
        <f t="shared" ref="E130:E134" ca="1" si="6">C130&amp;" "&amp;D130</f>
        <v>Max Coverage Dist Centre Zone m</v>
      </c>
    </row>
    <row r="131" spans="1:5" x14ac:dyDescent="0.25">
      <c r="A131">
        <v>17</v>
      </c>
      <c r="B131" t="s">
        <v>405</v>
      </c>
      <c r="C131" t="str">
        <f ca="1">OFFSET(equations!$B$447,data!A131,data!$B$7-1)</f>
        <v>Max C/L Distance (m) Perimeter</v>
      </c>
      <c r="D131" t="str">
        <f>equations!$B$9</f>
        <v>m</v>
      </c>
      <c r="E131" t="str">
        <f t="shared" ca="1" si="6"/>
        <v>Max C/L Distance (m) Perimeter m</v>
      </c>
    </row>
    <row r="132" spans="1:5" x14ac:dyDescent="0.25">
      <c r="A132">
        <v>18</v>
      </c>
      <c r="B132" t="s">
        <v>43</v>
      </c>
      <c r="C132" t="str">
        <f ca="1">OFFSET(equations!$B$447,data!A132,data!$B$7-1)</f>
        <v>Min C/L Distance (m)</v>
      </c>
      <c r="D132" t="str">
        <f>equations!$B$9</f>
        <v>m</v>
      </c>
      <c r="E132" t="str">
        <f t="shared" ca="1" si="6"/>
        <v>Min C/L Distance (m) m</v>
      </c>
    </row>
    <row r="133" spans="1:5" x14ac:dyDescent="0.25">
      <c r="A133">
        <v>19</v>
      </c>
      <c r="B133" t="s">
        <v>42</v>
      </c>
      <c r="C133" t="str">
        <f ca="1">OFFSET(equations!$B$447,data!A133,data!$B$7-1)</f>
        <v>Min Diffuser Height (m)</v>
      </c>
      <c r="D133" t="str">
        <f>equations!$B$9</f>
        <v>m</v>
      </c>
      <c r="E133" t="str">
        <f t="shared" ca="1" si="6"/>
        <v>Min Diffuser Height (m) m</v>
      </c>
    </row>
    <row r="134" spans="1:5" x14ac:dyDescent="0.25">
      <c r="A134">
        <v>20</v>
      </c>
      <c r="B134" t="s">
        <v>168</v>
      </c>
      <c r="C134" t="str">
        <f ca="1">OFFSET(equations!$B$447,data!A134,data!$B$7-1)</f>
        <v>Mean Room Air V</v>
      </c>
      <c r="D134" t="str">
        <f>equations!$T$9</f>
        <v>m/s</v>
      </c>
      <c r="E134" t="str">
        <f t="shared" ca="1" si="6"/>
        <v>Mean Room Air V m/s</v>
      </c>
    </row>
    <row r="135" spans="1:5" x14ac:dyDescent="0.25">
      <c r="A135">
        <v>21</v>
      </c>
      <c r="B135" t="s">
        <v>150</v>
      </c>
      <c r="C135" t="str">
        <f ca="1">OFFSET(equations!$B$447,data!A135,data!$B$7-1)</f>
        <v>Draught Rating</v>
      </c>
    </row>
    <row r="136" spans="1:5" x14ac:dyDescent="0.25">
      <c r="A136">
        <v>22</v>
      </c>
      <c r="B136" t="s">
        <v>158</v>
      </c>
      <c r="C136" t="str">
        <f ca="1">OFFSET(equations!$B$447,data!A136,data!$B$7-1)</f>
        <v>PPD</v>
      </c>
    </row>
    <row r="137" spans="1:5" x14ac:dyDescent="0.25">
      <c r="A137">
        <v>23</v>
      </c>
      <c r="B137" t="s">
        <v>219</v>
      </c>
      <c r="C137" t="str">
        <f ca="1">OFFSET(equations!$B$447,data!A137,data!$B$7-1)</f>
        <v>PMV</v>
      </c>
    </row>
    <row r="138" spans="1:5" x14ac:dyDescent="0.25">
      <c r="A138">
        <v>24</v>
      </c>
      <c r="B138" t="s">
        <v>165</v>
      </c>
      <c r="C138" t="str">
        <f ca="1">OFFSET(equations!$B$447,data!A138,data!$B$7-1)</f>
        <v>PPD Class</v>
      </c>
    </row>
    <row r="139" spans="1:5" x14ac:dyDescent="0.25">
      <c r="A139">
        <v>25</v>
      </c>
      <c r="B139" t="s">
        <v>500</v>
      </c>
      <c r="C139" s="11" t="str">
        <f ca="1">OFFSET(equations!$B$447,data!A139,data!$B$7-1)</f>
        <v>Thermal Element Setting</v>
      </c>
      <c r="E139" t="str">
        <f ca="1">LEFT(C139,2)</f>
        <v>Th</v>
      </c>
    </row>
    <row r="140" spans="1:5" x14ac:dyDescent="0.25">
      <c r="A140">
        <v>26</v>
      </c>
      <c r="B140" t="s">
        <v>592</v>
      </c>
      <c r="C140" s="11" t="str">
        <f ca="1">OFFSET(equations!$B$447,data!A140,data!$B$7-1)</f>
        <v>Warm-Up Max Boost DT</v>
      </c>
      <c r="D140" t="str">
        <f>equations!$O$9</f>
        <v>K</v>
      </c>
    </row>
    <row r="141" spans="1:5" x14ac:dyDescent="0.25">
      <c r="A141">
        <v>27</v>
      </c>
      <c r="B141" t="s">
        <v>501</v>
      </c>
      <c r="C141" s="11" t="str">
        <f ca="1">OFFSET(equations!$B$447,data!A141,data!$B$7-1)</f>
        <v>Warm-Up Airflow Boost</v>
      </c>
    </row>
    <row r="142" spans="1:5" x14ac:dyDescent="0.25">
      <c r="A142">
        <v>28</v>
      </c>
      <c r="B142" t="s">
        <v>519</v>
      </c>
      <c r="C142" s="11" t="str">
        <f ca="1">OFFSET(equations!$B$447,data!A142,data!$B$7-1)</f>
        <v>Warm-Up Pressure Boost</v>
      </c>
    </row>
    <row r="143" spans="1:5" x14ac:dyDescent="0.25">
      <c r="A143">
        <v>29</v>
      </c>
      <c r="B143" t="s">
        <v>597</v>
      </c>
      <c r="C143" s="11" t="str">
        <f ca="1">OFFSET(equations!$B$447,data!A143,data!$B$7-1)</f>
        <v>Diffusers Active During Warm-Up Boost</v>
      </c>
    </row>
    <row r="144" spans="1:5" x14ac:dyDescent="0.25">
      <c r="A144">
        <v>30</v>
      </c>
      <c r="B144" t="s">
        <v>301</v>
      </c>
      <c r="C144" s="11" t="str">
        <f ca="1">OFFSET(equations!$B$447,data!A144,data!$B$7-1)</f>
        <v>Nominal Spigot Size / 1200 mm</v>
      </c>
    </row>
    <row r="145" spans="1:7" x14ac:dyDescent="0.25">
      <c r="A145">
        <v>31</v>
      </c>
      <c r="B145" t="s">
        <v>465</v>
      </c>
      <c r="C145" s="11" t="str">
        <f ca="1">OFFSET(equations!$B$447,data!A145,data!$B$7-1)</f>
        <v>ADPI actual (centre)</v>
      </c>
      <c r="D145" t="e">
        <f ca="1">IF(C145=0,"N/A for centre zones","≥ "&amp;C145*100&amp;"% (for centre zones)")</f>
        <v>#VALUE!</v>
      </c>
    </row>
    <row r="146" spans="1:7" x14ac:dyDescent="0.25">
      <c r="A146">
        <v>32</v>
      </c>
      <c r="B146" t="s">
        <v>466</v>
      </c>
      <c r="C146" s="11" t="str">
        <f ca="1">OFFSET(equations!$B$447,data!A146,data!$B$7-1)</f>
        <v>ADPI actual (perim)</v>
      </c>
      <c r="D146" t="e">
        <f ca="1">IF(C146=0,"N/A for perimeter zones","≥ "&amp;C146*100&amp;"% (for perimeter zones)")</f>
        <v>#VALUE!</v>
      </c>
    </row>
    <row r="147" spans="1:7" x14ac:dyDescent="0.25">
      <c r="A147">
        <v>33</v>
      </c>
      <c r="B147" t="s">
        <v>673</v>
      </c>
      <c r="C147" s="11" t="str">
        <f ca="1">OFFSET(equations!$B$447,data!A147,data!$B$7-1)</f>
        <v>thermal element note</v>
      </c>
    </row>
    <row r="148" spans="1:7" x14ac:dyDescent="0.25">
      <c r="A148">
        <v>34</v>
      </c>
      <c r="B148" t="s">
        <v>674</v>
      </c>
      <c r="C148" s="11" t="str">
        <f ca="1">OFFSET(equations!$B$447,data!A148,data!$B$7-1)</f>
        <v>Thermal element velocity note</v>
      </c>
      <c r="D148" t="e">
        <f ca="1">VLOOKUP(C148,F148:G149,2,0)</f>
        <v>#N/A</v>
      </c>
      <c r="F148" t="s">
        <v>675</v>
      </c>
      <c r="G148" t="s">
        <v>676</v>
      </c>
    </row>
    <row r="149" spans="1:7" x14ac:dyDescent="0.25">
      <c r="F149" t="s">
        <v>678</v>
      </c>
      <c r="G149" t="s">
        <v>677</v>
      </c>
    </row>
    <row r="150" spans="1:7" x14ac:dyDescent="0.25">
      <c r="C150" t="s">
        <v>801</v>
      </c>
      <c r="D150" t="s">
        <v>802</v>
      </c>
    </row>
    <row r="151" spans="1:7" x14ac:dyDescent="0.25">
      <c r="A151" t="s">
        <v>309</v>
      </c>
      <c r="B151">
        <f ca="1">'LJC-AD'!E15</f>
        <v>-12</v>
      </c>
      <c r="C151" t="str">
        <f>equations!$O$9</f>
        <v>K</v>
      </c>
      <c r="D151" t="str">
        <f ca="1">B151&amp;" " &amp;C151</f>
        <v>-12 K</v>
      </c>
    </row>
    <row r="152" spans="1:7" x14ac:dyDescent="0.25">
      <c r="A152" t="s">
        <v>316</v>
      </c>
      <c r="B152">
        <f ca="1">'LJC-AD'!N23</f>
        <v>23</v>
      </c>
      <c r="C152" t="str">
        <f>equations!$L$9</f>
        <v>°C</v>
      </c>
      <c r="D152" t="str">
        <f ca="1">B152&amp;" " &amp;C152</f>
        <v>23 °C</v>
      </c>
    </row>
    <row r="153" spans="1:7" x14ac:dyDescent="0.25">
      <c r="A153" t="s">
        <v>318</v>
      </c>
      <c r="B153">
        <f>equations!B28</f>
        <v>1</v>
      </c>
    </row>
    <row r="154" spans="1:7" x14ac:dyDescent="0.25">
      <c r="A154" t="s">
        <v>324</v>
      </c>
      <c r="B154">
        <f ca="1">'LJC-AD'!E17</f>
        <v>2.7</v>
      </c>
      <c r="C154" t="str">
        <f>equations!$B$9</f>
        <v>m</v>
      </c>
      <c r="D154" t="str">
        <f ca="1">B154&amp;" " &amp;C154</f>
        <v>2.7 m</v>
      </c>
    </row>
    <row r="155" spans="1:7" x14ac:dyDescent="0.25">
      <c r="A155" t="s">
        <v>172</v>
      </c>
      <c r="B155" t="str">
        <f>equations!F9</f>
        <v>L/s/m</v>
      </c>
      <c r="C155">
        <f>equations!E9</f>
        <v>1</v>
      </c>
    </row>
    <row r="157" spans="1:7" x14ac:dyDescent="0.25">
      <c r="A157" s="3" t="s">
        <v>182</v>
      </c>
      <c r="B157" s="3" t="s">
        <v>703</v>
      </c>
    </row>
    <row r="158" spans="1:7" x14ac:dyDescent="0.25">
      <c r="A158" s="3"/>
      <c r="B158" s="3"/>
    </row>
    <row r="159" spans="1:7" x14ac:dyDescent="0.25">
      <c r="A159" t="str">
        <f>IF(B28=1,A157,B157)</f>
        <v>Summary</v>
      </c>
      <c r="B159" t="s">
        <v>307</v>
      </c>
    </row>
    <row r="160" spans="1:7" x14ac:dyDescent="0.25">
      <c r="A160" t="s">
        <v>306</v>
      </c>
      <c r="B160" t="str">
        <f ca="1">E115&amp;" @ "&amp; E122 &amp; " total (" &amp;E121&amp; " static)"</f>
        <v>Selected Airflow [L/s] L/s/m @ Max Total Pressure (Pa) Pa total (Max Static Pressure (Pa) Pa static)</v>
      </c>
    </row>
    <row r="161" spans="1:6" x14ac:dyDescent="0.25">
      <c r="A161" t="s">
        <v>308</v>
      </c>
      <c r="B161" t="e">
        <f ca="1">IF($C$29,C161,"N/A for return air")</f>
        <v>#VALUE!</v>
      </c>
      <c r="C161" t="e">
        <f ca="1">C117&amp;" "&amp;B155&amp;" ("&amp;E119&amp;"% turndown to) @ ΔT = "&amp;D151</f>
        <v>#VALUE!</v>
      </c>
    </row>
    <row r="162" spans="1:6" x14ac:dyDescent="0.25">
      <c r="A162" t="s">
        <v>394</v>
      </c>
      <c r="B162" t="str">
        <f ca="1">E127&amp;" for centre zones; "&amp;E128&amp;" for perimeter zones (pattern '" &amp;C126&amp; "')"</f>
        <v>+Centre Zones with Direction 'A' K for centre zones; +Perimeter Zones with Direction 'A' K for perimeter zones (pattern 'Air Pattern Setting')</v>
      </c>
    </row>
    <row r="163" spans="1:6" x14ac:dyDescent="0.25">
      <c r="A163" t="s">
        <v>395</v>
      </c>
      <c r="B163" t="str">
        <f ca="1">E129&amp; " for vertical discharge (pattern 'E')"</f>
        <v>+Max Permissible ΔT (heating) E (K) K for vertical discharge (pattern 'E')</v>
      </c>
    </row>
    <row r="164" spans="1:6" x14ac:dyDescent="0.25">
      <c r="A164" t="s">
        <v>311</v>
      </c>
      <c r="B164" t="str">
        <f ca="1">IF($C$29,C164,"N/A for return air")</f>
        <v>+Centre Zones with Direction 'A' K for centre zones; +Perimeter Zones with Direction 'A' K for perimeter zones (pattern 'Air Pattern Setting')</v>
      </c>
      <c r="C164" t="str">
        <f ca="1">IF(OR(C43=6,NOT(B55=1)),B163,B162)</f>
        <v>+Centre Zones with Direction 'A' K for centre zones; +Perimeter Zones with Direction 'A' K for perimeter zones (pattern 'Air Pattern Setting')</v>
      </c>
    </row>
    <row r="166" spans="1:6" x14ac:dyDescent="0.25">
      <c r="A166" t="s">
        <v>550</v>
      </c>
      <c r="B166" t="str">
        <f ca="1">"discharge direction manually set to "&amp;"'"&amp;data!B43&amp;"'"</f>
        <v>discharge direction manually set to 'Air Pattern Setting'</v>
      </c>
    </row>
    <row r="167" spans="1:6" x14ac:dyDescent="0.25">
      <c r="A167" t="s">
        <v>551</v>
      </c>
      <c r="B167" t="str">
        <f>"directional adjustment with "&amp;E55</f>
        <v>directional adjustment with manual adjustment only</v>
      </c>
    </row>
    <row r="169" spans="1:6" x14ac:dyDescent="0.25">
      <c r="A169" s="3" t="s">
        <v>312</v>
      </c>
    </row>
    <row r="170" spans="1:6" x14ac:dyDescent="0.25">
      <c r="A170" t="s">
        <v>22</v>
      </c>
      <c r="B170" t="str">
        <f ca="1">E124</f>
        <v>Sound Power Level (dBA) db(A)/m</v>
      </c>
    </row>
    <row r="171" spans="1:6" x14ac:dyDescent="0.25">
      <c r="A171" t="s">
        <v>23</v>
      </c>
      <c r="B171" t="str">
        <f ca="1">E125</f>
        <v>Sound Pressure Level (NC) NC/m</v>
      </c>
    </row>
    <row r="172" spans="1:6" x14ac:dyDescent="0.25">
      <c r="A172" t="str">
        <f>"Recommended Connection Box Spigot Diameter per "&amp;C172</f>
        <v>Recommended Connection Box Spigot Diameter per 1200 mm length</v>
      </c>
      <c r="B172" s="1" t="str">
        <f ca="1">C144&amp; " " &amp; equations!R9</f>
        <v>Nominal Spigot Size / 1200 mm mm</v>
      </c>
      <c r="C172" t="str">
        <f>IF(equations!B8=3,"4 ft length","1200 mm length")</f>
        <v>1200 mm length</v>
      </c>
    </row>
    <row r="173" spans="1:6" x14ac:dyDescent="0.25">
      <c r="F173" s="162"/>
    </row>
    <row r="174" spans="1:6" x14ac:dyDescent="0.25">
      <c r="A174" s="312" t="str">
        <f>IF(C29,"Comfort Performance","Comfort Performance (N/A for return air inlet)")</f>
        <v>Comfort Performance</v>
      </c>
    </row>
    <row r="175" spans="1:6" x14ac:dyDescent="0.25">
      <c r="A175" t="s">
        <v>9</v>
      </c>
      <c r="B175" t="e">
        <f ca="1">IF($C$29,C175,"")</f>
        <v>#VALUE!</v>
      </c>
      <c r="C175" s="1" t="e">
        <f ca="1">D145 &amp; " // "&amp;D146</f>
        <v>#VALUE!</v>
      </c>
    </row>
    <row r="176" spans="1:6" x14ac:dyDescent="0.25">
      <c r="A176" t="s">
        <v>313</v>
      </c>
      <c r="B176" t="str">
        <f t="shared" ref="B176:B180" ca="1" si="7">IF($C$29,C176,"")</f>
        <v>Mean Room Air V m/s</v>
      </c>
      <c r="C176" t="str">
        <f ca="1">C134 &amp;" "&amp;equations!$T$9</f>
        <v>Mean Room Air V m/s</v>
      </c>
    </row>
    <row r="177" spans="1:3" x14ac:dyDescent="0.25">
      <c r="A177" t="s">
        <v>314</v>
      </c>
      <c r="B177" t="e">
        <f t="shared" ca="1" si="7"/>
        <v>#VALUE!</v>
      </c>
      <c r="C177" s="162" t="e">
        <f ca="1">C135*100 &amp;"% @ room temperature of "&amp;D152</f>
        <v>#VALUE!</v>
      </c>
    </row>
    <row r="178" spans="1:3" x14ac:dyDescent="0.25">
      <c r="A178" t="s">
        <v>167</v>
      </c>
      <c r="B178" t="e">
        <f t="shared" ca="1" si="7"/>
        <v>#VALUE!</v>
      </c>
      <c r="C178" t="e">
        <f ca="1">C136*100&amp;"%"</f>
        <v>#VALUE!</v>
      </c>
    </row>
    <row r="179" spans="1:3" x14ac:dyDescent="0.25">
      <c r="A179" t="s">
        <v>180</v>
      </c>
      <c r="B179" t="str">
        <f t="shared" ca="1" si="7"/>
        <v>Category PPD Class</v>
      </c>
      <c r="C179" t="str">
        <f ca="1">"Category "&amp;C138</f>
        <v>Category PPD Class</v>
      </c>
    </row>
    <row r="180" spans="1:3" x14ac:dyDescent="0.25">
      <c r="A180" t="s">
        <v>315</v>
      </c>
      <c r="B180" t="str">
        <f t="shared" ca="1" si="7"/>
        <v>-PMV &lt; PMV &lt; +PMV</v>
      </c>
      <c r="C180" t="str">
        <f ca="1">"-"&amp;C137&amp;" &lt; PMV &lt; +"&amp;C137</f>
        <v>-PMV &lt; PMV &lt; +PMV</v>
      </c>
    </row>
    <row r="182" spans="1:3" x14ac:dyDescent="0.25">
      <c r="A182" s="3" t="s">
        <v>186</v>
      </c>
    </row>
    <row r="183" spans="1:3" x14ac:dyDescent="0.25">
      <c r="A183" s="3"/>
    </row>
    <row r="184" spans="1:3" x14ac:dyDescent="0.25">
      <c r="A184" t="s">
        <v>467</v>
      </c>
      <c r="B184" s="1" t="str">
        <f>IF(C29,"Recommended distances for ≥ " &amp; equations!B47 * 100&amp;"% ADPI (Selected)","Recommended distances N/A for return air inlet")</f>
        <v>Recommended distances for ≥ 90% ADPI (Selected)</v>
      </c>
    </row>
    <row r="186" spans="1:3" x14ac:dyDescent="0.25">
      <c r="A186" t="s">
        <v>34</v>
      </c>
      <c r="B186" t="str">
        <f ca="1">C132</f>
        <v>Min C/L Distance (m)</v>
      </c>
    </row>
    <row r="187" spans="1:3" x14ac:dyDescent="0.25">
      <c r="A187" t="s">
        <v>471</v>
      </c>
      <c r="B187" t="str">
        <f ca="1">E130</f>
        <v>Max Coverage Dist Centre Zone m</v>
      </c>
    </row>
    <row r="188" spans="1:3" x14ac:dyDescent="0.25">
      <c r="A188" t="s">
        <v>470</v>
      </c>
      <c r="B188" t="str">
        <f ca="1">E131</f>
        <v>Max C/L Distance (m) Perimeter m</v>
      </c>
    </row>
    <row r="190" spans="1:3" x14ac:dyDescent="0.25">
      <c r="A190" t="s">
        <v>307</v>
      </c>
      <c r="B190" t="str">
        <f ca="1">"C Max (centre/perimeter) = " &amp;B187&amp;" / "&amp;B188</f>
        <v>C Max (centre/perimeter) = Max Coverage Dist Centre Zone m / Max C/L Distance (m) Perimeter m</v>
      </c>
    </row>
    <row r="191" spans="1:3" x14ac:dyDescent="0.25">
      <c r="B191" t="str">
        <f ca="1">"C Min = " &amp; E132</f>
        <v>C Min = Min C/L Distance (m) m</v>
      </c>
    </row>
    <row r="192" spans="1:3" x14ac:dyDescent="0.25">
      <c r="B192" t="str">
        <f>IF($B$153=1,"Nominal",IF($B$153=2,"Selected",IF($B$153=3,"Average")))</f>
        <v>Nominal</v>
      </c>
    </row>
    <row r="193" spans="1:5" x14ac:dyDescent="0.25">
      <c r="A193" t="s">
        <v>319</v>
      </c>
      <c r="B193" s="423" t="str">
        <f ca="1">C193&amp;" " &amp;D193</f>
        <v>9.9 m</v>
      </c>
      <c r="C193" s="423">
        <f ca="1">ROUND(equations!B358/equations!$C$9,1)</f>
        <v>9.9</v>
      </c>
      <c r="D193" t="str">
        <f>equations!$B$9</f>
        <v>m</v>
      </c>
    </row>
    <row r="194" spans="1:5" x14ac:dyDescent="0.25">
      <c r="B194" s="423" t="str">
        <f ca="1">C194&amp;" " &amp;D194</f>
        <v>5.03 L/s/m²</v>
      </c>
      <c r="C194" s="423">
        <f ca="1">ROUND(equations!B365,2)</f>
        <v>5.03</v>
      </c>
      <c r="D194" s="6" t="str">
        <f>equations!C365</f>
        <v>L/s/m²</v>
      </c>
    </row>
    <row r="195" spans="1:5" x14ac:dyDescent="0.25">
      <c r="B195" s="423" t="str">
        <f ca="1">B192&amp;" C = "&amp;B193</f>
        <v>Nominal C = 9.9 m</v>
      </c>
      <c r="C195" s="423"/>
    </row>
    <row r="197" spans="1:5" x14ac:dyDescent="0.25">
      <c r="A197" t="s">
        <v>321</v>
      </c>
      <c r="B197" t="str">
        <f ca="1">IF($C$29,C197,"")</f>
        <v>C Max (centre/perimeter) = Max Coverage Dist Centre Zone m / Max C/L Distance (m) Perimeter m</v>
      </c>
      <c r="C197" t="str">
        <f ca="1">IF($B$153=3,"",B190)</f>
        <v>C Max (centre/perimeter) = Max Coverage Dist Centre Zone m / Max C/L Distance (m) Perimeter m</v>
      </c>
      <c r="D197">
        <v>1</v>
      </c>
      <c r="E197" t="str">
        <f ca="1">"Specific Airflow Rate = "&amp;B194&amp;CHAR(10)&amp;" @ Average C of "&amp;B193</f>
        <v>Specific Airflow Rate = 5.03 L/s/m²
 @ Average C of 9.9 m</v>
      </c>
    </row>
    <row r="198" spans="1:5" x14ac:dyDescent="0.25">
      <c r="A198" t="s">
        <v>320</v>
      </c>
      <c r="B198" t="str">
        <f t="shared" ref="B198:B203" ca="1" si="8">IF($C$29,C198,"")</f>
        <v>C Min = Min C/L Distance (m) m</v>
      </c>
      <c r="C198" t="str">
        <f ca="1">IF($B$153=3,B190,B191)</f>
        <v>C Min = Min C/L Distance (m) m</v>
      </c>
      <c r="D198">
        <v>2</v>
      </c>
      <c r="E198" t="str">
        <f ca="1">"Specific Airflow Rate = "&amp;B194&amp;CHAR(10)&amp;" @ Selected C of "&amp;B193</f>
        <v>Specific Airflow Rate = 5.03 L/s/m²
 @ Selected C of 9.9 m</v>
      </c>
    </row>
    <row r="199" spans="1:5" x14ac:dyDescent="0.25">
      <c r="A199" t="s">
        <v>322</v>
      </c>
      <c r="B199" t="str">
        <f t="shared" ca="1" si="8"/>
        <v>Nominal C = 9.9 m</v>
      </c>
      <c r="C199" t="str">
        <f ca="1">IF($B$153=3,B191,B195)</f>
        <v>Nominal C = 9.9 m</v>
      </c>
      <c r="D199">
        <v>3</v>
      </c>
      <c r="E199" t="str">
        <f ca="1">"Specific Airflow Rate = "&amp;B194</f>
        <v>Specific Airflow Rate = 5.03 L/s/m²</v>
      </c>
    </row>
    <row r="200" spans="1:5" x14ac:dyDescent="0.25">
      <c r="A200" t="s">
        <v>323</v>
      </c>
      <c r="B200" t="str">
        <f t="shared" ca="1" si="8"/>
        <v>Specific Airflow Rate = 5.03 L/s/m²
 @ Average C of 9.9 m</v>
      </c>
      <c r="C200" t="str">
        <f ca="1">VLOOKUP(B153,D197:E199,2,0)</f>
        <v>Specific Airflow Rate = 5.03 L/s/m²
 @ Average C of 9.9 m</v>
      </c>
    </row>
    <row r="202" spans="1:5" x14ac:dyDescent="0.25">
      <c r="A202" t="s">
        <v>216</v>
      </c>
      <c r="B202" t="str">
        <f t="shared" ca="1" si="8"/>
        <v>Selected Diffuser Height = 2.7 m</v>
      </c>
      <c r="C202" t="str">
        <f ca="1" xml:space="preserve"> "Selected Diffuser Height = "&amp;D154</f>
        <v>Selected Diffuser Height = 2.7 m</v>
      </c>
    </row>
    <row r="203" spans="1:5" x14ac:dyDescent="0.25">
      <c r="B203" t="str">
        <f t="shared" ca="1" si="8"/>
        <v>Min Recommended Diffuser Height = Min Diffuser Height (m) m</v>
      </c>
      <c r="C203" t="str">
        <f ca="1" xml:space="preserve"> "Min Recommended Diffuser Height = "&amp;E133</f>
        <v>Min Recommended Diffuser Height = Min Diffuser Height (m) m</v>
      </c>
    </row>
    <row r="205" spans="1:5" x14ac:dyDescent="0.25">
      <c r="A205" s="3" t="s">
        <v>705</v>
      </c>
    </row>
    <row r="207" spans="1:5" x14ac:dyDescent="0.25">
      <c r="A207" t="str">
        <f>"1. Use setting 'C' for R/A." &amp;CHAR(10)</f>
        <v xml:space="preserve">1. Use setting 'C' for R/A.
</v>
      </c>
    </row>
    <row r="208" spans="1:5" x14ac:dyDescent="0.25">
      <c r="A208" t="str">
        <f>"2. R/A diffuser pressure loss is up to 25% greater than supply air static pressure."&amp;CHAR(10)</f>
        <v xml:space="preserve">2. R/A diffuser pressure loss is up to 25% greater than supply air static pressure.
</v>
      </c>
    </row>
    <row r="209" spans="1:2" x14ac:dyDescent="0.25">
      <c r="A209" t="str">
        <f>"3. R/A diffuser sound power level is up to 3 db(A) greater than the supply air sound power level."&amp;CHAR(10)</f>
        <v xml:space="preserve">3. R/A diffuser sound power level is up to 3 db(A) greater than the supply air sound power level.
</v>
      </c>
    </row>
    <row r="211" spans="1:2" x14ac:dyDescent="0.25">
      <c r="A211" t="s">
        <v>706</v>
      </c>
    </row>
    <row r="213" spans="1:2" x14ac:dyDescent="0.25">
      <c r="B213" t="str">
        <f>IF($B$28=2,"Return Air Inlet Adjustments",IF($B$28=3,"Return Air Inlet (boosted) Notes",""))</f>
        <v/>
      </c>
    </row>
    <row r="214" spans="1:2" x14ac:dyDescent="0.25">
      <c r="A214">
        <v>1</v>
      </c>
      <c r="B214" t="str">
        <f>IF($B$28=2,A207,IF($B$28=3,A211,""))</f>
        <v/>
      </c>
    </row>
    <row r="215" spans="1:2" x14ac:dyDescent="0.25">
      <c r="A215">
        <v>2</v>
      </c>
      <c r="B215" t="str">
        <f>IF($B$28=2,A208,"")</f>
        <v/>
      </c>
    </row>
    <row r="216" spans="1:2" x14ac:dyDescent="0.25">
      <c r="A216">
        <v>3</v>
      </c>
      <c r="B216" t="str">
        <f>IF($B$28=2,A209,"")</f>
        <v/>
      </c>
    </row>
    <row r="217" spans="1:2" x14ac:dyDescent="0.25">
      <c r="B217" t="str">
        <f>_xlfn.CONCAT(B214:B216)</f>
        <v/>
      </c>
    </row>
    <row r="225" spans="1:5" x14ac:dyDescent="0.25">
      <c r="A225" s="3" t="s">
        <v>530</v>
      </c>
    </row>
    <row r="227" spans="1:5" x14ac:dyDescent="0.25">
      <c r="A227" t="s">
        <v>535</v>
      </c>
      <c r="B227" t="s">
        <v>679</v>
      </c>
    </row>
    <row r="228" spans="1:5" x14ac:dyDescent="0.25">
      <c r="A228" t="s">
        <v>536</v>
      </c>
      <c r="B228" t="str">
        <f ca="1">IF(C139="n.r.","Thermal actuator (not recommended)","Thermal actuator set to "&amp;E139&amp;"°C"&amp;C147)</f>
        <v>Thermal actuator set to Th°Cthermal element note</v>
      </c>
    </row>
    <row r="229" spans="1:5" x14ac:dyDescent="0.25">
      <c r="A229" t="s">
        <v>218</v>
      </c>
      <c r="B229">
        <f>F55</f>
        <v>0</v>
      </c>
    </row>
    <row r="230" spans="1:5" x14ac:dyDescent="0.25">
      <c r="A230" t="s">
        <v>862</v>
      </c>
      <c r="B230" t="s">
        <v>863</v>
      </c>
    </row>
    <row r="232" spans="1:5" x14ac:dyDescent="0.25">
      <c r="A232" t="str">
        <f ca="1">IF(C29,LEFT(C55,1),"M2")</f>
        <v>M</v>
      </c>
      <c r="B232" t="str">
        <f ca="1">VLOOKUP(A232,A227:B230,2,0)</f>
        <v>Manual adjustment</v>
      </c>
    </row>
    <row r="233" spans="1:5" x14ac:dyDescent="0.25">
      <c r="A233" t="s">
        <v>671</v>
      </c>
      <c r="B233" s="6" t="str">
        <f ca="1">IF(A232="T",IF(OR(C139="",C139="n.r."),"",C147 &amp;": "&amp;D148),"")</f>
        <v/>
      </c>
    </row>
    <row r="237" spans="1:5" ht="21" x14ac:dyDescent="0.35">
      <c r="A237" s="347" t="s">
        <v>756</v>
      </c>
    </row>
    <row r="239" spans="1:5" x14ac:dyDescent="0.25">
      <c r="A239" s="3" t="s">
        <v>739</v>
      </c>
      <c r="B239" t="s">
        <v>741</v>
      </c>
      <c r="C239" t="s">
        <v>744</v>
      </c>
      <c r="D239" s="341" t="s">
        <v>742</v>
      </c>
      <c r="E239" t="s">
        <v>743</v>
      </c>
    </row>
    <row r="240" spans="1:5" x14ac:dyDescent="0.25">
      <c r="A240" t="s">
        <v>745</v>
      </c>
      <c r="B240">
        <v>1</v>
      </c>
      <c r="C240">
        <v>2</v>
      </c>
      <c r="D240" s="341">
        <v>3</v>
      </c>
    </row>
    <row r="241" spans="1:5" x14ac:dyDescent="0.25">
      <c r="A241" t="s">
        <v>746</v>
      </c>
      <c r="B241">
        <v>100</v>
      </c>
      <c r="C241">
        <f>B241*3.6</f>
        <v>360</v>
      </c>
      <c r="D241" s="341">
        <v>220</v>
      </c>
      <c r="E241" cm="1">
        <f t="array" aca="1" ref="E241" ca="1">OFFSET(A241,0,equations!$B$8,)</f>
        <v>100</v>
      </c>
    </row>
    <row r="242" spans="1:5" x14ac:dyDescent="0.25">
      <c r="A242" t="s">
        <v>82</v>
      </c>
      <c r="B242">
        <v>100</v>
      </c>
      <c r="C242">
        <v>100</v>
      </c>
      <c r="D242" s="341">
        <v>100</v>
      </c>
      <c r="E242" cm="1">
        <f t="array" aca="1" ref="E242" ca="1">OFFSET(A242,0,equations!$B$8,)</f>
        <v>100</v>
      </c>
    </row>
    <row r="243" spans="1:5" x14ac:dyDescent="0.25">
      <c r="A243" t="s">
        <v>381</v>
      </c>
      <c r="B243">
        <v>30</v>
      </c>
      <c r="C243">
        <v>30</v>
      </c>
      <c r="D243" s="341">
        <f>ROUND(C243/equations!K7,3)</f>
        <v>0.121</v>
      </c>
      <c r="E243" cm="1">
        <f t="array" aca="1" ref="E243" ca="1">OFFSET(A243,0,equations!$B$8,)</f>
        <v>30</v>
      </c>
    </row>
    <row r="244" spans="1:5" x14ac:dyDescent="0.25">
      <c r="A244" t="s">
        <v>3</v>
      </c>
      <c r="B244">
        <v>-12</v>
      </c>
      <c r="C244">
        <v>-12</v>
      </c>
      <c r="D244" s="341">
        <f>ROUND(C244*9/5,0)</f>
        <v>-22</v>
      </c>
      <c r="E244" cm="1">
        <f t="array" aca="1" ref="E244" ca="1">OFFSET(A244,0,equations!$B$8,)</f>
        <v>-12</v>
      </c>
    </row>
    <row r="245" spans="1:5" x14ac:dyDescent="0.25">
      <c r="A245" t="s">
        <v>102</v>
      </c>
      <c r="B245">
        <v>2.7</v>
      </c>
      <c r="C245">
        <v>2.7</v>
      </c>
      <c r="D245" s="341">
        <v>9</v>
      </c>
      <c r="E245" cm="1">
        <f t="array" aca="1" ref="E245" ca="1">OFFSET(A245,0,equations!$B$8,)</f>
        <v>2.7</v>
      </c>
    </row>
    <row r="246" spans="1:5" x14ac:dyDescent="0.25">
      <c r="A246" t="s">
        <v>399</v>
      </c>
      <c r="B246">
        <v>0.5</v>
      </c>
      <c r="C246">
        <v>0.5</v>
      </c>
      <c r="D246" s="341">
        <v>0.5</v>
      </c>
      <c r="E246" cm="1">
        <f t="array" aca="1" ref="E246" ca="1">OFFSET(A246,0,equations!$B$8,)</f>
        <v>0.5</v>
      </c>
    </row>
    <row r="247" spans="1:5" x14ac:dyDescent="0.25">
      <c r="A247" t="s">
        <v>740</v>
      </c>
      <c r="B247" s="1">
        <v>0.9</v>
      </c>
      <c r="C247" s="1">
        <v>0.9</v>
      </c>
      <c r="D247" s="348">
        <v>0.9</v>
      </c>
      <c r="E247" cm="1">
        <f t="array" aca="1" ref="E247" ca="1">OFFSET(A247,0,equations!$B$8,)</f>
        <v>0.9</v>
      </c>
    </row>
    <row r="248" spans="1:5" x14ac:dyDescent="0.25">
      <c r="A248" t="s">
        <v>421</v>
      </c>
      <c r="B248">
        <v>7</v>
      </c>
      <c r="C248">
        <v>7</v>
      </c>
      <c r="D248" s="341">
        <v>23</v>
      </c>
      <c r="E248" cm="1">
        <f t="array" aca="1" ref="E248" ca="1">OFFSET(A248,0,equations!$B$8,)</f>
        <v>7</v>
      </c>
    </row>
    <row r="249" spans="1:5" x14ac:dyDescent="0.25">
      <c r="A249" t="s">
        <v>163</v>
      </c>
      <c r="B249">
        <v>5</v>
      </c>
      <c r="C249">
        <f>B249*3.6</f>
        <v>18</v>
      </c>
      <c r="D249" s="341">
        <v>1</v>
      </c>
      <c r="E249" s="6" cm="1">
        <f t="array" aca="1" ref="E249" ca="1">OFFSET(A249,0,equations!$B$8,)</f>
        <v>5</v>
      </c>
    </row>
    <row r="250" spans="1:5" x14ac:dyDescent="0.25">
      <c r="A250" t="s">
        <v>487</v>
      </c>
      <c r="B250">
        <v>23</v>
      </c>
      <c r="C250">
        <v>23</v>
      </c>
      <c r="D250" s="341">
        <f>ROUND(CONVERT(B250,"C","F"),0)</f>
        <v>73</v>
      </c>
      <c r="E250" cm="1">
        <f t="array" aca="1" ref="E250" ca="1">OFFSET(A250,0,equations!$B$8,)</f>
        <v>23</v>
      </c>
    </row>
    <row r="251" spans="1:5" x14ac:dyDescent="0.25">
      <c r="A251" t="s">
        <v>506</v>
      </c>
      <c r="B251">
        <v>21</v>
      </c>
      <c r="C251">
        <v>21</v>
      </c>
      <c r="D251" s="341">
        <f>ROUND(CONVERT(B251,"C","F"),0)</f>
        <v>70</v>
      </c>
      <c r="E251" cm="1">
        <f t="array" aca="1" ref="E251" ca="1">OFFSET(A251,0,equations!$B$8,)</f>
        <v>21</v>
      </c>
    </row>
    <row r="252" spans="1:5" x14ac:dyDescent="0.25">
      <c r="A252" t="s">
        <v>508</v>
      </c>
      <c r="B252">
        <v>16</v>
      </c>
      <c r="C252">
        <v>16</v>
      </c>
      <c r="D252" s="341">
        <f>ROUND(CONVERT(B252,"C","F"),0)</f>
        <v>61</v>
      </c>
      <c r="E252" cm="1">
        <f t="array" aca="1" ref="E252" ca="1">OFFSET(A252,0,equations!$B$8,)</f>
        <v>16</v>
      </c>
    </row>
    <row r="253" spans="1:5" x14ac:dyDescent="0.25">
      <c r="A253" t="s">
        <v>507</v>
      </c>
      <c r="B253">
        <v>0</v>
      </c>
      <c r="C253">
        <v>0</v>
      </c>
      <c r="D253" s="341">
        <v>0</v>
      </c>
      <c r="E253" cm="1">
        <f t="array" aca="1" ref="E253" ca="1">OFFSET(A253,0,equations!$B$8,)</f>
        <v>0</v>
      </c>
    </row>
    <row r="255" spans="1:5" x14ac:dyDescent="0.25">
      <c r="A255" s="3" t="s">
        <v>750</v>
      </c>
    </row>
    <row r="256" spans="1:5" x14ac:dyDescent="0.25">
      <c r="A256" t="s">
        <v>381</v>
      </c>
      <c r="B256">
        <v>30</v>
      </c>
      <c r="C256">
        <v>30</v>
      </c>
      <c r="D256">
        <v>0.121</v>
      </c>
      <c r="E256" cm="1">
        <f t="array" aca="1" ref="E256" ca="1">OFFSET(A256,0,equations!$B$8,)</f>
        <v>30</v>
      </c>
    </row>
    <row r="257" spans="1:5" x14ac:dyDescent="0.25">
      <c r="A257" t="s">
        <v>751</v>
      </c>
      <c r="B257">
        <v>-16</v>
      </c>
      <c r="C257">
        <v>-16</v>
      </c>
      <c r="D257">
        <v>-29</v>
      </c>
      <c r="E257" cm="1">
        <f t="array" aca="1" ref="E257" ca="1">OFFSET(A257,0,equations!$B$8,)</f>
        <v>-16</v>
      </c>
    </row>
    <row r="258" spans="1:5" x14ac:dyDescent="0.25">
      <c r="A258" t="s">
        <v>754</v>
      </c>
      <c r="B258">
        <v>2</v>
      </c>
      <c r="C258">
        <v>2</v>
      </c>
      <c r="D258">
        <f>ROUND(CONVERT(C258,"m","ft"),0)</f>
        <v>7</v>
      </c>
      <c r="E258" cm="1">
        <f t="array" aca="1" ref="E258" ca="1">OFFSET(A258,0,equations!$B$8,)</f>
        <v>2</v>
      </c>
    </row>
    <row r="259" spans="1:5" x14ac:dyDescent="0.25">
      <c r="B259">
        <v>10</v>
      </c>
      <c r="C259">
        <v>10</v>
      </c>
      <c r="D259">
        <f>ROUND(CONVERT(C259,"m","ft"),0)</f>
        <v>33</v>
      </c>
      <c r="E259" cm="1">
        <f t="array" aca="1" ref="E259" ca="1">OFFSET(A259,0,equations!$B$8,)</f>
        <v>10</v>
      </c>
    </row>
    <row r="260" spans="1:5" x14ac:dyDescent="0.25">
      <c r="A260" t="s">
        <v>755</v>
      </c>
      <c r="B260">
        <v>15</v>
      </c>
      <c r="C260">
        <v>15</v>
      </c>
      <c r="D260">
        <f>ROUND(CONVERT(C260,"m","ft"),0)</f>
        <v>49</v>
      </c>
      <c r="E260" cm="1">
        <f t="array" aca="1" ref="E260" ca="1">OFFSET(A260,0,equations!$B$8,)</f>
        <v>15</v>
      </c>
    </row>
    <row r="261" spans="1:5" x14ac:dyDescent="0.25">
      <c r="A261" t="s">
        <v>762</v>
      </c>
      <c r="B261">
        <f ca="1">ROUND(equations!$B$352,1)</f>
        <v>9.9</v>
      </c>
      <c r="C261">
        <f ca="1">ROUND(equations!$B$352,1)</f>
        <v>9.9</v>
      </c>
      <c r="D261">
        <f ca="1">ROUND(CONVERT(B261,"m","ft"),1)</f>
        <v>32.5</v>
      </c>
      <c r="E261" cm="1">
        <f t="array" aca="1" ref="E261" ca="1">OFFSET(A261,0,equations!$B$8,)</f>
        <v>9.9</v>
      </c>
    </row>
    <row r="262" spans="1:5" x14ac:dyDescent="0.25">
      <c r="A262" t="s">
        <v>758</v>
      </c>
      <c r="B262">
        <v>30</v>
      </c>
      <c r="C262">
        <f>B262/equations!$I$6</f>
        <v>108</v>
      </c>
      <c r="D262" s="6">
        <f>ROUND(B262/equations!I7,2)</f>
        <v>5.91</v>
      </c>
      <c r="E262" cm="1">
        <f t="array" aca="1" ref="E262" ca="1">OFFSET(A262,0,equations!$B$8,)</f>
        <v>30</v>
      </c>
    </row>
    <row r="263" spans="1:5" x14ac:dyDescent="0.25">
      <c r="A263" t="s">
        <v>760</v>
      </c>
      <c r="B263">
        <v>20</v>
      </c>
      <c r="C263">
        <v>20</v>
      </c>
      <c r="D263" s="154">
        <f>ROUND(CONVERT(B263,"C","F"),0)</f>
        <v>68</v>
      </c>
      <c r="E263" cm="1">
        <f t="array" aca="1" ref="E263" ca="1">OFFSET(A263,0,equations!$B$8,)</f>
        <v>20</v>
      </c>
    </row>
    <row r="264" spans="1:5" x14ac:dyDescent="0.25">
      <c r="B264">
        <v>26</v>
      </c>
      <c r="C264">
        <v>26</v>
      </c>
      <c r="D264" s="154">
        <f>ROUND(CONVERT(B264,"C","F"),0)</f>
        <v>79</v>
      </c>
      <c r="E264" cm="1">
        <f t="array" aca="1" ref="E264" ca="1">OFFSET(A264,0,equations!$B$8,)</f>
        <v>26</v>
      </c>
    </row>
    <row r="265" spans="1:5" x14ac:dyDescent="0.25">
      <c r="A265" t="s">
        <v>775</v>
      </c>
      <c r="B265">
        <f ca="1">equations!$B$58</f>
        <v>21</v>
      </c>
      <c r="C265">
        <f ca="1">equations!$B$58</f>
        <v>21</v>
      </c>
      <c r="D265" s="148">
        <f ca="1">ROUND(CONVERT(B265,"C","F"),1)</f>
        <v>69.8</v>
      </c>
      <c r="E265" cm="1">
        <f t="array" aca="1" ref="E265" ca="1">OFFSET(A265,0,equations!$B$8,)</f>
        <v>21</v>
      </c>
    </row>
    <row r="266" spans="1:5" x14ac:dyDescent="0.25">
      <c r="A266" t="s">
        <v>776</v>
      </c>
      <c r="B266" s="148">
        <v>16</v>
      </c>
      <c r="C266" s="148">
        <v>16</v>
      </c>
      <c r="D266" s="148">
        <v>61</v>
      </c>
      <c r="E266" s="148" cm="1">
        <f t="array" aca="1" ref="E266" ca="1">OFFSET(A266,0,equations!$B$8,)</f>
        <v>16</v>
      </c>
    </row>
    <row r="267" spans="1:5" x14ac:dyDescent="0.25">
      <c r="A267" t="s">
        <v>878</v>
      </c>
      <c r="B267">
        <f ca="1">ROUND(equations!B358,1)</f>
        <v>9.9</v>
      </c>
      <c r="C267">
        <f ca="1">ROUND(B267,1)</f>
        <v>9.9</v>
      </c>
      <c r="D267">
        <f ca="1">ROUND(CONVERT(B267,"m","ft"),1)</f>
        <v>32.5</v>
      </c>
      <c r="E267" cm="1">
        <f t="array" aca="1" ref="E267" ca="1">OFFSET(A267,0,equations!$B$8,)</f>
        <v>9.9</v>
      </c>
    </row>
    <row r="269" spans="1:5" x14ac:dyDescent="0.25">
      <c r="A269" s="3" t="s">
        <v>107</v>
      </c>
      <c r="C269" t="s">
        <v>749</v>
      </c>
    </row>
    <row r="270" spans="1:5" x14ac:dyDescent="0.25">
      <c r="A270" t="s">
        <v>381</v>
      </c>
      <c r="B270" t="str">
        <f ca="1">"default "&amp;_defaultPressure&amp;" "&amp;equations!J9</f>
        <v>default 30 Pa</v>
      </c>
    </row>
    <row r="271" spans="1:5" x14ac:dyDescent="0.25">
      <c r="A271" t="s">
        <v>748</v>
      </c>
      <c r="B271" t="str">
        <f ca="1">C271&amp;" to "&amp;D271&amp;" (default "&amp;E271&amp;")"</f>
        <v>0K to -16K (default -12K)</v>
      </c>
      <c r="C271" t="str">
        <f>"0" &amp; equations!$O$9</f>
        <v>0K</v>
      </c>
      <c r="D271" t="str">
        <f ca="1">$E$257 &amp; equations!$O$9</f>
        <v>-16K</v>
      </c>
      <c r="E271" t="str">
        <f ca="1">_defaultDT &amp; equations!$O$9</f>
        <v>-12K</v>
      </c>
    </row>
    <row r="272" spans="1:5" x14ac:dyDescent="0.25">
      <c r="A272" t="s">
        <v>752</v>
      </c>
      <c r="B272" t="str">
        <f ca="1">C272&amp;" to " &amp;D272&amp;" (heating and cooling)"</f>
        <v>2 m to 10 m (heating and cooling)</v>
      </c>
      <c r="C272" t="str">
        <f ca="1">$E$258&amp;" "&amp;equations!$B$9</f>
        <v>2 m</v>
      </c>
      <c r="D272" t="str">
        <f ca="1">$E$259&amp;" "&amp;equations!$B$9</f>
        <v>10 m</v>
      </c>
    </row>
    <row r="273" spans="1:5" x14ac:dyDescent="0.25">
      <c r="A273" t="s">
        <v>753</v>
      </c>
      <c r="B273" t="str">
        <f ca="1">C273&amp;" to " &amp;D273&amp;" (cooling only)"</f>
        <v>2 m to 15 m (cooling only)</v>
      </c>
      <c r="C273" t="str">
        <f ca="1">$E$258&amp;" "&amp;equations!$B$9</f>
        <v>2 m</v>
      </c>
      <c r="D273" t="str">
        <f ca="1">$E$260&amp;" "&amp;equations!$B$9</f>
        <v>15 m</v>
      </c>
    </row>
    <row r="274" spans="1:5" x14ac:dyDescent="0.25">
      <c r="A274" t="s">
        <v>761</v>
      </c>
      <c r="B274" t="str">
        <f ca="1">"nominal distance = "&amp;C274</f>
        <v>nominal distance = 9.9 m</v>
      </c>
      <c r="C274" t="str">
        <f ca="1">E261&amp;" " &amp;equations!$B$9</f>
        <v>9.9 m</v>
      </c>
    </row>
    <row r="275" spans="1:5" x14ac:dyDescent="0.25">
      <c r="A275" t="s">
        <v>763</v>
      </c>
      <c r="B275" t="str">
        <f ca="1">"average specific flow rate: "&amp; C275</f>
        <v>average specific flow rate: 5.03 L/s/m²</v>
      </c>
      <c r="C275" t="str">
        <f ca="1">equations!B365&amp;" "&amp; equations!H9</f>
        <v>5.03 L/s/m²</v>
      </c>
    </row>
    <row r="276" spans="1:5" x14ac:dyDescent="0.25">
      <c r="A276" t="s">
        <v>757</v>
      </c>
      <c r="B276" t="str">
        <f ca="1">"≤ "&amp;$E$262&amp;" "&amp;equations!$H$9</f>
        <v>≤ 30 L/s/m²</v>
      </c>
    </row>
    <row r="277" spans="1:5" x14ac:dyDescent="0.25">
      <c r="A277" t="s">
        <v>764</v>
      </c>
      <c r="B277" t="str">
        <f ca="1">"average diffuser coverage: "&amp;C277</f>
        <v>average diffuser coverage: 10 m</v>
      </c>
      <c r="C277" s="6" t="str">
        <f ca="1">ROUND(equations!B357,1)&amp;" " &amp; equations!B9</f>
        <v>10 m</v>
      </c>
    </row>
    <row r="278" spans="1:5" x14ac:dyDescent="0.25">
      <c r="A278" t="s">
        <v>759</v>
      </c>
      <c r="B278" t="str">
        <f ca="1">C278&amp;" to "&amp;D278&amp;" (for draught rating)"</f>
        <v>20 °C to 26 °C (for draught rating)</v>
      </c>
      <c r="C278" t="str">
        <f ca="1">E263&amp;" "&amp;equations!$L$9</f>
        <v>20 °C</v>
      </c>
      <c r="D278" t="str">
        <f ca="1">E264&amp;" "&amp;equations!$L$9</f>
        <v>26 °C</v>
      </c>
    </row>
    <row r="279" spans="1:5" x14ac:dyDescent="0.25">
      <c r="A279" t="s">
        <v>775</v>
      </c>
      <c r="B279" t="str">
        <f ca="1">"auto room temp. (heating) = "&amp;C279</f>
        <v>auto room temp. (heating) = 21 °C</v>
      </c>
      <c r="C279" t="str">
        <f ca="1">E265&amp;" "&amp;equations!$L$9</f>
        <v>21 °C</v>
      </c>
    </row>
    <row r="280" spans="1:5" x14ac:dyDescent="0.25">
      <c r="A280" t="s">
        <v>776</v>
      </c>
      <c r="B280" t="str">
        <f ca="1">"night setback temperature default ("&amp;C280&amp;")"</f>
        <v>night setback temperature default (16 °C)</v>
      </c>
      <c r="C280" t="str">
        <f ca="1">E266&amp; " " &amp;equations!$L$9</f>
        <v>16 °C</v>
      </c>
    </row>
    <row r="282" spans="1:5" x14ac:dyDescent="0.25">
      <c r="E282" t="s">
        <v>172</v>
      </c>
    </row>
    <row r="283" spans="1:5" x14ac:dyDescent="0.25">
      <c r="A283" t="s">
        <v>796</v>
      </c>
      <c r="B283" t="str">
        <f>"Rows 55:56: Typical max vertical temperature gradient "&amp;C283&amp;" to "&amp;D283&amp;E283 &amp;CHAR(10)</f>
        <v xml:space="preserve">Rows 55:56: Typical max vertical temperature gradient 2 to 3°C/m
</v>
      </c>
      <c r="C283">
        <f>ROUND(2*equations!$C$9/equations!$P$9,1)</f>
        <v>2</v>
      </c>
      <c r="D283">
        <f>ROUND(3*equations!$C$9/equations!$P$9,1)</f>
        <v>3</v>
      </c>
      <c r="E283" t="str">
        <f>equations!L9&amp;"/"&amp;equations!B9</f>
        <v>°C/m</v>
      </c>
    </row>
    <row r="284" spans="1:5" x14ac:dyDescent="0.25">
      <c r="A284" t="s">
        <v>797</v>
      </c>
      <c r="B284" t="str">
        <f>"Row 57: Typical vertical temperature gradient ≤ "&amp;C284&amp;E284 &amp; CHAR(10)</f>
        <v xml:space="preserve">Row 57: Typical vertical temperature gradient ≤ 1°C/m
</v>
      </c>
      <c r="C284" s="148">
        <f>ROUND(1*equations!$C$9/equations!$P$9,1)</f>
        <v>1</v>
      </c>
      <c r="E284" t="str">
        <f>equations!L9&amp;"/"&amp;equations!B9</f>
        <v>°C/m</v>
      </c>
    </row>
    <row r="285" spans="1:5" x14ac:dyDescent="0.25">
      <c r="B285" t="str">
        <f>"Vertical discharge: manual setting 'E' or with thermal/electric actuator." &amp;CHAR(10)</f>
        <v xml:space="preserve">Vertical discharge: manual setting 'E' or with thermal/electric actuator.
</v>
      </c>
    </row>
    <row r="286" spans="1:5" x14ac:dyDescent="0.25">
      <c r="B286" t="str">
        <f>"Thermal and electric actuator available for 2 slots or more only."&amp;CHAR(10)</f>
        <v xml:space="preserve">Thermal and electric actuator available for 2 slots or more only.
</v>
      </c>
    </row>
    <row r="287" spans="1:5" ht="135" x14ac:dyDescent="0.25">
      <c r="A287" t="s">
        <v>860</v>
      </c>
      <c r="B287" s="254" t="str">
        <f>B283&amp;B284&amp;B285&amp;B286</f>
        <v xml:space="preserve">Rows 55:56: Typical max vertical temperature gradient 2 to 3°C/m
Row 57: Typical vertical temperature gradient ≤ 1°C/m
Vertical discharge: manual setting 'E' or with thermal/electric actuator.
Thermal and electric actuator available for 2 slots or more only.
</v>
      </c>
    </row>
    <row r="291" spans="1:4" x14ac:dyDescent="0.25">
      <c r="A291" s="414" t="s">
        <v>307</v>
      </c>
    </row>
    <row r="292" spans="1:4" x14ac:dyDescent="0.25">
      <c r="A292" t="str">
        <f>LOWER(B192)</f>
        <v>nominal</v>
      </c>
      <c r="B292" t="str">
        <f>B192</f>
        <v>Nominal</v>
      </c>
      <c r="C292" t="str">
        <f>IF($B$153=1,"",IF($B$153=2,"(cell N19)",IF($B$153=3,"(cell N21)")))</f>
        <v/>
      </c>
    </row>
    <row r="293" spans="1:4" x14ac:dyDescent="0.25">
      <c r="A293" t="s">
        <v>818</v>
      </c>
      <c r="B293" t="b">
        <f ca="1">OR(equations!$J$488:$J$490,equations!$J$492,equations!$J$494,equations!J495)</f>
        <v>0</v>
      </c>
    </row>
    <row r="294" spans="1:4" x14ac:dyDescent="0.25">
      <c r="A294" t="s">
        <v>859</v>
      </c>
      <c r="B294" t="str">
        <f ca="1">IF(equations!J488,$C$294,"")</f>
        <v/>
      </c>
      <c r="C294" t="str">
        <f>"Rows 58-59: " &amp;B292&amp;" coverage distance "&amp;C292&amp; " &gt; Cmax."&amp;CHAR(10)</f>
        <v xml:space="preserve">Rows 58-59: Nominal coverage distance  &gt; Cmax.
</v>
      </c>
    </row>
    <row r="295" spans="1:4" ht="42.75" customHeight="1" x14ac:dyDescent="0.25">
      <c r="A295" t="s">
        <v>852</v>
      </c>
      <c r="B295" s="422" t="str">
        <f ca="1">IF(OR(equations!J489:J490),data!C295&amp;CHAR(10),"")</f>
        <v/>
      </c>
      <c r="C295" s="411" t="s">
        <v>875</v>
      </c>
    </row>
    <row r="296" spans="1:4" x14ac:dyDescent="0.25">
      <c r="A296" t="s">
        <v>859</v>
      </c>
      <c r="B296" t="str">
        <f>IF(equations!J494,$C$296,"")</f>
        <v/>
      </c>
      <c r="C296" t="str">
        <f>"Row 60: " &amp; B292&amp;" coverage distance "&amp;C292&amp; " &lt; Cmin."&amp;CHAR(10)</f>
        <v xml:space="preserve">Row 60: Nominal coverage distance  &lt; Cmin.
</v>
      </c>
    </row>
    <row r="297" spans="1:4" ht="42.75" customHeight="1" x14ac:dyDescent="0.25">
      <c r="A297" t="s">
        <v>874</v>
      </c>
      <c r="B297" s="411" t="str">
        <f ca="1">IF(equations!J495,data!C297,"")</f>
        <v/>
      </c>
      <c r="C297" s="411" t="s">
        <v>876</v>
      </c>
    </row>
    <row r="298" spans="1:4" ht="129.6" customHeight="1" x14ac:dyDescent="0.25">
      <c r="A298" t="s">
        <v>819</v>
      </c>
      <c r="B298" s="254" t="str">
        <f ca="1">IF($B$293,"Warning: "&amp;B294&amp;B295&amp;B296&amp;B297,"")</f>
        <v/>
      </c>
    </row>
    <row r="299" spans="1:4" x14ac:dyDescent="0.25">
      <c r="B299" s="254"/>
    </row>
    <row r="300" spans="1:4" x14ac:dyDescent="0.25">
      <c r="A300" t="s">
        <v>877</v>
      </c>
      <c r="B300" t="str">
        <f ca="1">"Comfort criteria valid for diffuser spacing of "&amp;E267&amp;" " &amp;equations!B9&amp; " &amp; room temperature of "&amp; equations!$B$30&amp;equations!$L$9&amp;" (see cells L18:L21 &amp; L23)"</f>
        <v>Comfort criteria valid for diffuser spacing of 9.9 m &amp; room temperature of 23°C (see cells L18:L21 &amp; L23)</v>
      </c>
    </row>
    <row r="302" spans="1:4" x14ac:dyDescent="0.25">
      <c r="A302" s="3" t="s">
        <v>190</v>
      </c>
      <c r="B302" t="str">
        <f>F28</f>
        <v>LJC-AD (supply air)</v>
      </c>
    </row>
    <row r="303" spans="1:4" x14ac:dyDescent="0.25">
      <c r="B303" t="str">
        <f>C303&amp;"; "&amp;D303</f>
        <v>1200 mm neck length; (number of slots not selected)</v>
      </c>
      <c r="C303" t="str">
        <f>F13</f>
        <v>1200 mm neck length</v>
      </c>
      <c r="D303" t="str">
        <f>IF(B7=0,"(number of slots not selected)",C7&amp;" slots")</f>
        <v>(number of slots not selected)</v>
      </c>
    </row>
    <row r="304" spans="1:4" x14ac:dyDescent="0.25">
      <c r="C304" t="str">
        <f>data!B109</f>
        <v>2-way blow</v>
      </c>
    </row>
    <row r="305" spans="1:4" x14ac:dyDescent="0.25">
      <c r="B305" t="str">
        <f ca="1">IF(B55=1,B166,B167)</f>
        <v>discharge direction manually set to 'Air Pattern Setting'</v>
      </c>
    </row>
    <row r="306" spans="1:4" x14ac:dyDescent="0.25">
      <c r="B306" t="str">
        <f>"profile powder coated to "&amp;C306&amp;" with "&amp;D306&amp; " barrels"</f>
        <v>profile powder coated to RAL9003 with black barrels</v>
      </c>
      <c r="C306" t="str">
        <f>IF(C33=3,"custom colour",B33)</f>
        <v>RAL9003</v>
      </c>
      <c r="D306" t="str">
        <f>IF(C34=1,"black","white")</f>
        <v>black</v>
      </c>
    </row>
    <row r="307" spans="1:4" x14ac:dyDescent="0.25">
      <c r="B307" t="str">
        <f>D60</f>
        <v>with side flanges</v>
      </c>
    </row>
    <row r="308" spans="1:4" x14ac:dyDescent="0.25">
      <c r="B308" t="str">
        <f>D69</f>
        <v>with two end flanges</v>
      </c>
    </row>
    <row r="309" spans="1:4" x14ac:dyDescent="0.25">
      <c r="B309" t="str">
        <f>D75</f>
        <v>fixing by others; without accessories</v>
      </c>
    </row>
    <row r="310" spans="1:4" x14ac:dyDescent="0.25">
      <c r="B310" t="str">
        <f>D88</f>
        <v xml:space="preserve">no connection box  </v>
      </c>
    </row>
    <row r="312" spans="1:4" x14ac:dyDescent="0.25">
      <c r="B312" s="254"/>
    </row>
    <row r="313" spans="1:4" x14ac:dyDescent="0.25">
      <c r="B313" s="254"/>
    </row>
    <row r="314" spans="1:4" ht="45" x14ac:dyDescent="0.25">
      <c r="A314" s="419" t="s">
        <v>869</v>
      </c>
      <c r="B314" s="420" t="str">
        <f>"• "&amp;B302&amp;CHAR(10)</f>
        <v xml:space="preserve">• LJC-AD (supply air)
</v>
      </c>
      <c r="C314" s="420" t="str">
        <f>"• "&amp;B306&amp;CHAR(10)</f>
        <v xml:space="preserve">• profile powder coated to RAL9003 with black barrels
</v>
      </c>
    </row>
    <row r="315" spans="1:4" ht="45" x14ac:dyDescent="0.25">
      <c r="B315" s="420" t="str">
        <f>"• "&amp;B303&amp;CHAR(10)</f>
        <v xml:space="preserve">• 1200 mm neck length; (number of slots not selected)
</v>
      </c>
      <c r="C315" s="420" t="str">
        <f>"• "&amp;B307&amp;CHAR(10)</f>
        <v xml:space="preserve">• with side flanges
</v>
      </c>
    </row>
    <row r="316" spans="1:4" ht="30" x14ac:dyDescent="0.25">
      <c r="B316" s="420" t="str">
        <f>"• "&amp;C304&amp;CHAR(10)</f>
        <v xml:space="preserve">• 2-way blow
</v>
      </c>
      <c r="C316" s="420" t="str">
        <f>"• "&amp;B308&amp;CHAR(10)</f>
        <v xml:space="preserve">• with two end flanges
</v>
      </c>
    </row>
    <row r="317" spans="1:4" ht="45" x14ac:dyDescent="0.25">
      <c r="B317" s="420" t="str">
        <f ca="1">"• "&amp;B305&amp;CHAR(10)</f>
        <v xml:space="preserve">• discharge direction manually set to 'Air Pattern Setting'
</v>
      </c>
      <c r="C317" s="420" t="str">
        <f>"• "&amp;B309&amp;CHAR(10)</f>
        <v xml:space="preserve">• fixing by others; without accessories
</v>
      </c>
    </row>
    <row r="318" spans="1:4" ht="30" x14ac:dyDescent="0.25">
      <c r="B318" s="420"/>
      <c r="C318" s="420" t="str">
        <f>"• "&amp;B310&amp;CHAR(10)</f>
        <v xml:space="preserve">• no connection box  
</v>
      </c>
    </row>
    <row r="320" spans="1:4" ht="118.15" customHeight="1" x14ac:dyDescent="0.25">
      <c r="B320" s="420" t="str">
        <f ca="1">_xlfn.CONCAT(B314:B317)</f>
        <v xml:space="preserve">• LJC-AD (supply air)
• 1200 mm neck length; (number of slots not selected)
• 2-way blow
• discharge direction manually set to 'Air Pattern Setting'
</v>
      </c>
      <c r="C320" s="420" t="str">
        <f>_xlfn.CONCAT(C314:C318)</f>
        <v xml:space="preserve">• profile powder coated to RAL9003 with black barrels
• with side flanges
• with two end flanges
• fixing by others; without accessories
• no connection box  
</v>
      </c>
    </row>
    <row r="321" spans="2:2" x14ac:dyDescent="0.25">
      <c r="B321" s="420"/>
    </row>
  </sheetData>
  <sheetProtection selectLockedCells="1" selectUnlockedCells="1"/>
  <pageMargins left="0.7" right="0.7" top="0.75" bottom="0.75" header="0.3" footer="0.3"/>
  <pageSetup paperSize="9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M54"/>
  <sheetViews>
    <sheetView view="pageLayout" zoomScaleNormal="100" workbookViewId="0">
      <selection activeCell="B3" sqref="B3:F3"/>
    </sheetView>
  </sheetViews>
  <sheetFormatPr defaultColWidth="9" defaultRowHeight="15" x14ac:dyDescent="0.25"/>
  <cols>
    <col min="1" max="1" width="27.5703125" style="142" customWidth="1"/>
    <col min="2" max="3" width="7.28515625" style="142" customWidth="1"/>
    <col min="4" max="4" width="27.5703125" style="142" customWidth="1"/>
    <col min="5" max="6" width="7.28515625" style="142" customWidth="1"/>
    <col min="7" max="7" width="27.42578125" style="142" customWidth="1"/>
    <col min="8" max="12" width="9" style="142"/>
    <col min="13" max="13" width="13.7109375" style="142" customWidth="1"/>
    <col min="14" max="16384" width="9" style="142"/>
  </cols>
  <sheetData>
    <row r="1" spans="1:13" ht="25.5" customHeight="1" x14ac:dyDescent="0.25">
      <c r="B1" s="143" t="s">
        <v>552</v>
      </c>
      <c r="C1" s="144"/>
      <c r="D1" s="144"/>
      <c r="E1" s="145"/>
      <c r="F1" s="145"/>
      <c r="H1" s="143" t="s">
        <v>552</v>
      </c>
    </row>
    <row r="2" spans="1:13" ht="13.9" customHeight="1" x14ac:dyDescent="0.25">
      <c r="A2" s="160"/>
      <c r="B2" s="160"/>
      <c r="C2" s="160"/>
      <c r="D2" s="160"/>
      <c r="E2" s="160"/>
      <c r="G2" s="314"/>
      <c r="H2" s="314"/>
      <c r="I2" s="314"/>
      <c r="J2" s="314"/>
      <c r="K2" s="314"/>
      <c r="L2" s="314"/>
      <c r="M2" s="314"/>
    </row>
    <row r="3" spans="1:13" ht="13.9" customHeight="1" x14ac:dyDescent="0.25">
      <c r="A3" s="312" t="s">
        <v>175</v>
      </c>
      <c r="B3" s="461" t="str">
        <f>'LJC-AD'!D5</f>
        <v>&lt;Project Name&gt;</v>
      </c>
      <c r="C3" s="461"/>
      <c r="D3" s="461"/>
      <c r="E3" s="461"/>
      <c r="F3" s="461"/>
      <c r="G3" s="310" t="s">
        <v>666</v>
      </c>
      <c r="H3" s="314" t="str">
        <f ca="1">data!$B$232</f>
        <v>Manual adjustment</v>
      </c>
      <c r="I3" s="314"/>
      <c r="J3" s="314"/>
      <c r="K3" s="314"/>
      <c r="L3" s="314"/>
      <c r="M3" s="314"/>
    </row>
    <row r="4" spans="1:13" ht="13.9" customHeight="1" x14ac:dyDescent="0.25">
      <c r="A4" s="313" t="s">
        <v>62</v>
      </c>
      <c r="B4" s="461" t="s">
        <v>189</v>
      </c>
      <c r="C4" s="461"/>
      <c r="D4" s="461"/>
      <c r="E4" s="461"/>
      <c r="F4" s="461"/>
      <c r="G4" s="310"/>
      <c r="H4" s="322" t="str">
        <f ca="1">data!$B$233</f>
        <v/>
      </c>
      <c r="I4" s="314"/>
      <c r="J4" s="314"/>
      <c r="K4" s="314"/>
      <c r="L4" s="314"/>
      <c r="M4" s="314"/>
    </row>
    <row r="5" spans="1:13" ht="13.9" customHeight="1" x14ac:dyDescent="0.25">
      <c r="A5" s="313" t="s">
        <v>176</v>
      </c>
      <c r="B5" s="461" t="s">
        <v>189</v>
      </c>
      <c r="C5" s="461"/>
      <c r="D5" s="461"/>
      <c r="E5" s="461"/>
      <c r="F5" s="461"/>
      <c r="G5" s="314"/>
      <c r="H5" s="314"/>
      <c r="I5" s="314"/>
      <c r="J5" s="314"/>
      <c r="K5" s="314"/>
      <c r="L5" s="314"/>
      <c r="M5" s="314"/>
    </row>
    <row r="6" spans="1:13" ht="13.9" customHeight="1" x14ac:dyDescent="0.25">
      <c r="A6" s="314"/>
      <c r="B6" s="314"/>
      <c r="C6" s="314"/>
      <c r="D6" s="314"/>
      <c r="E6" s="314"/>
      <c r="F6" s="314"/>
      <c r="G6" s="312" t="s">
        <v>190</v>
      </c>
      <c r="H6" s="314" t="str">
        <f>data!B302</f>
        <v>LJC-AD (supply air)</v>
      </c>
      <c r="I6" s="314"/>
      <c r="J6" s="314"/>
      <c r="K6" s="314"/>
      <c r="L6" s="314"/>
      <c r="M6" s="314"/>
    </row>
    <row r="7" spans="1:13" ht="13.9" customHeight="1" x14ac:dyDescent="0.25">
      <c r="A7" s="312" t="s">
        <v>177</v>
      </c>
      <c r="B7" s="314" t="str">
        <f>data!C99</f>
        <v>SMARTEMP LJC-AD</v>
      </c>
      <c r="C7" s="314"/>
      <c r="D7" s="314"/>
      <c r="E7" s="314"/>
      <c r="F7" s="314"/>
      <c r="G7" s="314"/>
      <c r="H7" s="314" t="str">
        <f>data!B303</f>
        <v>1200 mm neck length; (number of slots not selected)</v>
      </c>
      <c r="I7" s="314"/>
      <c r="J7" s="314"/>
      <c r="K7" s="314"/>
      <c r="L7" s="314"/>
      <c r="M7" s="314"/>
    </row>
    <row r="8" spans="1:13" ht="13.9" customHeight="1" x14ac:dyDescent="0.25">
      <c r="A8" s="314"/>
      <c r="B8" s="314" t="s">
        <v>548</v>
      </c>
      <c r="C8" s="314"/>
      <c r="D8" s="314"/>
      <c r="E8" s="314"/>
      <c r="F8" s="314"/>
      <c r="G8" s="314"/>
      <c r="H8" s="314" t="str">
        <f>data!C304</f>
        <v>2-way blow</v>
      </c>
      <c r="I8" s="314"/>
      <c r="J8" s="314"/>
      <c r="K8" s="314"/>
      <c r="L8" s="314"/>
      <c r="M8" s="314"/>
    </row>
    <row r="9" spans="1:13" ht="13.9" customHeight="1" x14ac:dyDescent="0.25">
      <c r="A9" s="314" t="s">
        <v>178</v>
      </c>
      <c r="B9" s="314" t="str">
        <f>data!B108</f>
        <v>1200 mm neck length × please select number of slots</v>
      </c>
      <c r="C9" s="314"/>
      <c r="D9" s="314"/>
      <c r="E9" s="314"/>
      <c r="F9" s="314"/>
      <c r="G9" s="314"/>
      <c r="H9" s="314" t="str">
        <f>data!B306</f>
        <v>profile powder coated to RAL9003 with black barrels</v>
      </c>
      <c r="I9" s="314"/>
      <c r="J9" s="314"/>
      <c r="K9" s="314"/>
      <c r="L9" s="314"/>
      <c r="M9" s="314"/>
    </row>
    <row r="10" spans="1:13" ht="13.9" customHeight="1" x14ac:dyDescent="0.25">
      <c r="A10" s="314" t="s">
        <v>549</v>
      </c>
      <c r="B10" s="314" t="str">
        <f>data!B109</f>
        <v>2-way blow</v>
      </c>
      <c r="C10" s="314"/>
      <c r="D10" s="314"/>
      <c r="E10" s="314"/>
      <c r="F10" s="314"/>
      <c r="G10" s="323"/>
      <c r="H10" s="314" t="str">
        <f>data!B307</f>
        <v>with side flanges</v>
      </c>
      <c r="I10" s="314"/>
      <c r="J10" s="314"/>
      <c r="K10" s="314"/>
      <c r="L10" s="314"/>
      <c r="M10" s="314"/>
    </row>
    <row r="11" spans="1:13" ht="13.9" customHeight="1" x14ac:dyDescent="0.25">
      <c r="A11" s="314" t="s">
        <v>62</v>
      </c>
      <c r="B11" s="314" t="str">
        <f>data!B110</f>
        <v>Closed Ceiling</v>
      </c>
      <c r="C11" s="314"/>
      <c r="D11" s="314"/>
      <c r="E11" s="314"/>
      <c r="F11" s="314"/>
      <c r="G11" s="314"/>
      <c r="H11" s="314" t="str">
        <f>data!B308</f>
        <v>with two end flanges</v>
      </c>
      <c r="I11" s="314"/>
      <c r="J11" s="314"/>
      <c r="K11" s="314"/>
      <c r="L11" s="314"/>
      <c r="M11" s="314"/>
    </row>
    <row r="12" spans="1:13" ht="13.9" customHeight="1" x14ac:dyDescent="0.25">
      <c r="A12" s="314"/>
      <c r="B12" s="314"/>
      <c r="C12" s="314"/>
      <c r="D12" s="314"/>
      <c r="E12" s="314"/>
      <c r="F12" s="314"/>
      <c r="H12" s="314" t="str">
        <f>data!B309</f>
        <v>fixing by others; without accessories</v>
      </c>
    </row>
    <row r="13" spans="1:13" ht="13.9" customHeight="1" x14ac:dyDescent="0.25">
      <c r="A13" s="312" t="str">
        <f>data!A159</f>
        <v>Summary</v>
      </c>
      <c r="B13" s="315"/>
      <c r="C13" s="314"/>
      <c r="D13" s="312"/>
      <c r="E13" s="314"/>
      <c r="F13" s="314"/>
      <c r="H13" s="314" t="str">
        <f>data!B310</f>
        <v xml:space="preserve">no connection box  </v>
      </c>
    </row>
    <row r="14" spans="1:13" ht="13.9" customHeight="1" x14ac:dyDescent="0.25">
      <c r="A14" s="314" t="s">
        <v>192</v>
      </c>
      <c r="B14" s="316" t="str">
        <f ca="1">data!B160</f>
        <v>Selected Airflow [L/s] L/s/m @ Max Total Pressure (Pa) Pa total (Max Static Pressure (Pa) Pa static)</v>
      </c>
      <c r="C14" s="314"/>
      <c r="D14" s="314"/>
      <c r="E14" s="316"/>
      <c r="F14" s="314"/>
      <c r="H14" s="314"/>
    </row>
    <row r="15" spans="1:13" ht="13.9" customHeight="1" x14ac:dyDescent="0.25">
      <c r="A15" s="314" t="s">
        <v>864</v>
      </c>
      <c r="B15" s="314" t="e">
        <f ca="1">data!B161</f>
        <v>#VALUE!</v>
      </c>
      <c r="C15" s="314"/>
      <c r="D15" s="314"/>
      <c r="E15" s="314"/>
      <c r="F15" s="316"/>
    </row>
    <row r="16" spans="1:13" ht="13.9" customHeight="1" x14ac:dyDescent="0.25">
      <c r="A16" s="314" t="s">
        <v>317</v>
      </c>
      <c r="B16" s="317" t="str">
        <f ca="1">data!B164</f>
        <v>+Centre Zones with Direction 'A' K for centre zones; +Perimeter Zones with Direction 'A' K for perimeter zones (pattern 'Air Pattern Setting')</v>
      </c>
      <c r="C16" s="314"/>
      <c r="D16" s="314"/>
      <c r="E16" s="316"/>
      <c r="F16" s="314"/>
      <c r="G16" s="314"/>
      <c r="H16" s="314"/>
      <c r="I16" s="314"/>
      <c r="J16" s="314"/>
      <c r="K16" s="314"/>
      <c r="L16" s="314"/>
      <c r="M16" s="314"/>
    </row>
    <row r="17" spans="1:13" ht="13.9" customHeight="1" x14ac:dyDescent="0.25">
      <c r="A17" s="314"/>
      <c r="B17" s="316"/>
      <c r="C17" s="314"/>
      <c r="D17" s="314"/>
      <c r="E17" s="316"/>
      <c r="F17" s="314"/>
      <c r="G17" s="314"/>
      <c r="H17" s="314"/>
      <c r="I17" s="314"/>
      <c r="J17" s="314"/>
      <c r="K17" s="314"/>
      <c r="L17" s="314"/>
      <c r="M17" s="314"/>
    </row>
    <row r="18" spans="1:13" ht="13.9" customHeight="1" x14ac:dyDescent="0.25">
      <c r="A18" s="312" t="s">
        <v>179</v>
      </c>
      <c r="B18" s="314"/>
      <c r="C18" s="314"/>
      <c r="D18" s="314"/>
      <c r="E18" s="317"/>
      <c r="F18" s="314"/>
      <c r="G18" s="312" t="s">
        <v>667</v>
      </c>
      <c r="H18" s="460" t="str">
        <f>_product_code</f>
        <v>Please select length and number of slots</v>
      </c>
      <c r="I18" s="460"/>
      <c r="J18" s="460"/>
      <c r="K18" s="460"/>
      <c r="L18" s="460"/>
      <c r="M18" s="460"/>
    </row>
    <row r="19" spans="1:13" ht="13.9" customHeight="1" x14ac:dyDescent="0.25">
      <c r="A19" s="314" t="s">
        <v>181</v>
      </c>
      <c r="B19" s="316" t="str">
        <f ca="1">data!B170</f>
        <v>Sound Power Level (dBA) db(A)/m</v>
      </c>
      <c r="C19" s="314"/>
      <c r="D19" s="314"/>
      <c r="E19" s="314"/>
      <c r="F19" s="314"/>
      <c r="G19" s="314"/>
      <c r="H19" s="314"/>
      <c r="I19" s="314"/>
      <c r="J19" s="314"/>
      <c r="K19" s="314"/>
      <c r="L19" s="314"/>
      <c r="M19" s="314"/>
    </row>
    <row r="20" spans="1:13" ht="13.9" customHeight="1" x14ac:dyDescent="0.25">
      <c r="A20" s="314" t="s">
        <v>304</v>
      </c>
      <c r="B20" s="316" t="str">
        <f ca="1">data!B171</f>
        <v>Sound Pressure Level (NC) NC/m</v>
      </c>
      <c r="C20" s="314"/>
      <c r="D20" s="318" t="s">
        <v>193</v>
      </c>
      <c r="E20" s="314"/>
      <c r="F20" s="314"/>
      <c r="G20" s="312" t="s">
        <v>865</v>
      </c>
      <c r="H20" s="314"/>
      <c r="I20" s="314"/>
      <c r="J20" s="314"/>
      <c r="K20" s="314"/>
      <c r="L20" s="314"/>
      <c r="M20" s="314"/>
    </row>
    <row r="21" spans="1:13" ht="13.9" customHeight="1" x14ac:dyDescent="0.25">
      <c r="A21" s="462" t="str">
        <f>data!A172</f>
        <v>Recommended Connection Box Spigot Diameter per 1200 mm length</v>
      </c>
      <c r="B21" s="314" t="str">
        <f ca="1">data!B172</f>
        <v>Nominal Spigot Size / 1200 mm mm</v>
      </c>
      <c r="C21" s="311"/>
      <c r="D21" s="311"/>
      <c r="E21" s="314"/>
      <c r="F21" s="314"/>
      <c r="G21" s="314"/>
      <c r="H21" s="314"/>
      <c r="I21" s="314"/>
      <c r="J21" s="314"/>
      <c r="K21" s="314"/>
      <c r="L21" s="314"/>
      <c r="M21" s="314"/>
    </row>
    <row r="22" spans="1:13" ht="13.9" customHeight="1" x14ac:dyDescent="0.25">
      <c r="A22" s="462"/>
      <c r="B22" s="311"/>
      <c r="C22" s="311"/>
      <c r="D22" s="311"/>
      <c r="E22" s="314"/>
      <c r="F22" s="314"/>
      <c r="G22" s="314"/>
      <c r="H22" s="314"/>
      <c r="I22" s="314"/>
      <c r="J22" s="314"/>
      <c r="K22" s="314"/>
      <c r="L22" s="314"/>
      <c r="M22" s="314"/>
    </row>
    <row r="23" spans="1:13" ht="13.9" customHeight="1" x14ac:dyDescent="0.25">
      <c r="A23" s="462"/>
      <c r="B23" s="311"/>
      <c r="C23" s="311"/>
      <c r="D23" s="311"/>
      <c r="E23" s="314"/>
      <c r="F23" s="314"/>
      <c r="G23" s="314"/>
      <c r="H23" s="314"/>
      <c r="I23" s="314"/>
      <c r="J23" s="314"/>
      <c r="K23" s="314"/>
      <c r="L23" s="314"/>
      <c r="M23" s="314"/>
    </row>
    <row r="24" spans="1:13" ht="13.9" customHeight="1" x14ac:dyDescent="0.25">
      <c r="A24" s="416"/>
      <c r="B24" s="311"/>
      <c r="C24" s="311"/>
      <c r="D24" s="311"/>
      <c r="E24" s="314"/>
      <c r="F24" s="314"/>
      <c r="G24" s="314"/>
      <c r="H24" s="314"/>
      <c r="I24" s="314"/>
      <c r="J24" s="314"/>
      <c r="K24" s="314"/>
      <c r="L24" s="314"/>
      <c r="M24" s="314"/>
    </row>
    <row r="25" spans="1:13" ht="13.9" customHeight="1" x14ac:dyDescent="0.25">
      <c r="A25" s="334" t="str">
        <f>data!B213</f>
        <v/>
      </c>
      <c r="B25" s="335"/>
      <c r="C25" s="336"/>
      <c r="D25" s="336"/>
      <c r="E25" s="336"/>
      <c r="F25" s="336"/>
      <c r="G25" s="314"/>
      <c r="H25" s="314"/>
      <c r="I25" s="314"/>
      <c r="J25" s="314"/>
      <c r="K25" s="314"/>
      <c r="L25" s="314"/>
      <c r="M25" s="314"/>
    </row>
    <row r="26" spans="1:13" ht="13.9" customHeight="1" x14ac:dyDescent="0.25">
      <c r="A26" s="459" t="str">
        <f>data!B217</f>
        <v/>
      </c>
      <c r="B26" s="459"/>
      <c r="C26" s="459"/>
      <c r="D26" s="459"/>
      <c r="E26" s="459"/>
      <c r="F26" s="459"/>
      <c r="G26" s="314"/>
      <c r="H26" s="314"/>
      <c r="I26" s="314"/>
      <c r="J26" s="314"/>
      <c r="K26" s="314"/>
      <c r="L26" s="314"/>
      <c r="M26" s="314"/>
    </row>
    <row r="27" spans="1:13" ht="13.9" customHeight="1" x14ac:dyDescent="0.25">
      <c r="A27" s="459"/>
      <c r="B27" s="459"/>
      <c r="C27" s="459"/>
      <c r="D27" s="459"/>
      <c r="E27" s="459"/>
      <c r="F27" s="459"/>
      <c r="G27" s="314"/>
      <c r="H27" s="314"/>
      <c r="I27" s="314"/>
      <c r="J27" s="314"/>
      <c r="K27" s="314"/>
      <c r="L27" s="314"/>
      <c r="M27" s="314"/>
    </row>
    <row r="28" spans="1:13" ht="13.9" customHeight="1" x14ac:dyDescent="0.25">
      <c r="A28" s="459"/>
      <c r="B28" s="459"/>
      <c r="C28" s="459"/>
      <c r="D28" s="459"/>
      <c r="E28" s="459"/>
      <c r="F28" s="459"/>
      <c r="G28" s="314"/>
      <c r="H28" s="314"/>
      <c r="I28" s="314"/>
      <c r="J28" s="314"/>
      <c r="K28" s="314"/>
      <c r="L28" s="314"/>
      <c r="M28" s="314"/>
    </row>
    <row r="29" spans="1:13" ht="13.9" customHeight="1" x14ac:dyDescent="0.25">
      <c r="A29" s="416"/>
      <c r="B29" s="311"/>
      <c r="C29" s="311"/>
      <c r="D29" s="311"/>
      <c r="E29" s="314"/>
      <c r="F29" s="314"/>
      <c r="G29" s="314"/>
      <c r="H29" s="314"/>
      <c r="I29" s="314"/>
      <c r="J29" s="314"/>
      <c r="K29" s="314"/>
      <c r="L29" s="314"/>
      <c r="M29" s="314"/>
    </row>
    <row r="30" spans="1:13" ht="13.9" customHeight="1" x14ac:dyDescent="0.25">
      <c r="A30" s="312" t="str">
        <f>data!A174</f>
        <v>Comfort Performance</v>
      </c>
      <c r="B30" s="314"/>
      <c r="C30" s="314"/>
      <c r="D30" s="314"/>
      <c r="E30" s="314"/>
      <c r="F30" s="314"/>
      <c r="G30" s="314"/>
      <c r="H30" s="314"/>
      <c r="I30" s="314"/>
      <c r="J30" s="314"/>
      <c r="K30" s="314"/>
      <c r="L30" s="314"/>
      <c r="M30" s="314"/>
    </row>
    <row r="31" spans="1:13" ht="13.9" customHeight="1" x14ac:dyDescent="0.25">
      <c r="A31" s="314" t="s">
        <v>9</v>
      </c>
      <c r="B31" s="319" t="e">
        <f ca="1">data!B175</f>
        <v>#VALUE!</v>
      </c>
      <c r="C31" s="314"/>
      <c r="D31" s="314"/>
      <c r="E31" s="314"/>
      <c r="F31" s="314"/>
      <c r="G31" s="314"/>
      <c r="H31" s="314"/>
      <c r="I31" s="314"/>
      <c r="J31" s="314"/>
      <c r="K31" s="314"/>
      <c r="L31" s="314"/>
      <c r="M31" s="314"/>
    </row>
    <row r="32" spans="1:13" ht="13.9" customHeight="1" x14ac:dyDescent="0.25">
      <c r="A32" s="314" t="s">
        <v>313</v>
      </c>
      <c r="B32" s="319" t="str">
        <f ca="1">data!B176</f>
        <v>Mean Room Air V m/s</v>
      </c>
      <c r="C32" s="314"/>
      <c r="D32" s="314"/>
      <c r="E32" s="314"/>
      <c r="F32" s="314"/>
      <c r="G32" s="314"/>
      <c r="H32" s="314"/>
      <c r="I32" s="314"/>
      <c r="J32" s="314"/>
      <c r="K32" s="314"/>
      <c r="L32" s="314"/>
      <c r="M32" s="314"/>
    </row>
    <row r="33" spans="1:13" ht="13.9" customHeight="1" x14ac:dyDescent="0.25">
      <c r="A33" s="314" t="s">
        <v>314</v>
      </c>
      <c r="B33" s="319" t="e">
        <f ca="1">data!B177</f>
        <v>#VALUE!</v>
      </c>
      <c r="C33" s="314"/>
      <c r="D33" s="314"/>
      <c r="E33" s="314"/>
      <c r="F33" s="314"/>
      <c r="G33" s="314"/>
      <c r="H33" s="314"/>
      <c r="I33" s="314"/>
      <c r="J33" s="314"/>
      <c r="K33" s="314"/>
      <c r="L33" s="314"/>
      <c r="M33" s="314"/>
    </row>
    <row r="34" spans="1:13" ht="13.9" customHeight="1" x14ac:dyDescent="0.25">
      <c r="A34" s="314" t="s">
        <v>167</v>
      </c>
      <c r="B34" s="319" t="e">
        <f ca="1">data!B178</f>
        <v>#VALUE!</v>
      </c>
      <c r="C34" s="314"/>
      <c r="D34" s="314"/>
      <c r="E34" s="314"/>
      <c r="F34" s="314"/>
      <c r="G34" s="314"/>
      <c r="H34" s="314"/>
      <c r="I34" s="314"/>
      <c r="J34" s="314"/>
      <c r="K34" s="314"/>
      <c r="L34" s="314"/>
      <c r="M34" s="314"/>
    </row>
    <row r="35" spans="1:13" ht="13.9" customHeight="1" x14ac:dyDescent="0.25">
      <c r="A35" s="314" t="s">
        <v>180</v>
      </c>
      <c r="B35" s="319" t="str">
        <f ca="1">data!B179</f>
        <v>Category PPD Class</v>
      </c>
      <c r="C35" s="314"/>
      <c r="D35" s="314"/>
      <c r="E35" s="314"/>
      <c r="F35" s="314"/>
      <c r="G35" s="314"/>
      <c r="H35" s="314"/>
      <c r="I35" s="314"/>
      <c r="J35" s="314"/>
      <c r="K35" s="314"/>
      <c r="L35" s="314"/>
      <c r="M35" s="314"/>
    </row>
    <row r="36" spans="1:13" ht="13.9" customHeight="1" x14ac:dyDescent="0.25">
      <c r="A36" s="314" t="s">
        <v>315</v>
      </c>
      <c r="B36" s="319" t="str">
        <f ca="1">data!B180</f>
        <v>-PMV &lt; PMV &lt; +PMV</v>
      </c>
      <c r="C36" s="314"/>
      <c r="D36" s="314"/>
      <c r="E36" s="314"/>
      <c r="F36" s="314"/>
      <c r="G36" s="314"/>
      <c r="H36" s="314"/>
      <c r="I36" s="314"/>
      <c r="J36" s="314"/>
      <c r="K36" s="314"/>
      <c r="L36" s="314"/>
      <c r="M36" s="314"/>
    </row>
    <row r="37" spans="1:13" ht="13.9" customHeight="1" x14ac:dyDescent="0.25">
      <c r="A37" s="320" t="s">
        <v>351</v>
      </c>
      <c r="B37" s="314"/>
      <c r="C37" s="314"/>
      <c r="D37" s="314"/>
      <c r="E37" s="314"/>
      <c r="F37" s="314"/>
      <c r="G37" s="314"/>
      <c r="H37" s="314"/>
      <c r="I37" s="314"/>
      <c r="J37" s="314"/>
      <c r="K37" s="314"/>
      <c r="L37" s="314"/>
      <c r="M37" s="314"/>
    </row>
    <row r="38" spans="1:13" ht="13.9" customHeight="1" x14ac:dyDescent="0.25">
      <c r="A38" s="314"/>
      <c r="B38" s="314"/>
      <c r="C38" s="314"/>
      <c r="D38" s="314"/>
      <c r="E38" s="314"/>
      <c r="F38" s="314"/>
      <c r="G38" s="314"/>
      <c r="H38" s="314"/>
      <c r="I38" s="314"/>
      <c r="J38" s="314"/>
      <c r="K38" s="314"/>
      <c r="L38" s="314"/>
      <c r="M38" s="314"/>
    </row>
    <row r="39" spans="1:13" ht="13.9" customHeight="1" x14ac:dyDescent="0.25">
      <c r="A39" s="314"/>
      <c r="B39" s="314"/>
      <c r="C39" s="314"/>
      <c r="D39" s="314"/>
      <c r="E39" s="314"/>
      <c r="F39" s="314"/>
      <c r="G39" s="314"/>
      <c r="H39" s="314"/>
      <c r="I39" s="314"/>
      <c r="J39" s="314"/>
      <c r="K39" s="314"/>
      <c r="L39" s="314"/>
      <c r="M39" s="314"/>
    </row>
    <row r="40" spans="1:13" ht="13.9" customHeight="1" x14ac:dyDescent="0.25">
      <c r="A40" s="311"/>
      <c r="B40" s="311"/>
      <c r="C40" s="311"/>
      <c r="D40" s="311"/>
      <c r="E40" s="311"/>
      <c r="F40" s="311"/>
      <c r="G40" s="314"/>
      <c r="H40" s="314"/>
      <c r="I40" s="314"/>
      <c r="J40" s="314"/>
      <c r="K40" s="314"/>
      <c r="L40" s="314"/>
      <c r="M40" s="314"/>
    </row>
    <row r="41" spans="1:13" ht="13.9" customHeight="1" x14ac:dyDescent="0.25">
      <c r="A41" s="311"/>
      <c r="B41" s="311"/>
      <c r="C41" s="311"/>
      <c r="D41" s="311"/>
      <c r="E41" s="311"/>
      <c r="F41" s="311"/>
      <c r="G41" s="314"/>
      <c r="H41" s="314"/>
      <c r="I41" s="314"/>
      <c r="J41" s="314"/>
      <c r="K41" s="314"/>
      <c r="L41" s="314"/>
      <c r="M41" s="314"/>
    </row>
    <row r="42" spans="1:13" ht="13.9" customHeight="1" x14ac:dyDescent="0.25">
      <c r="A42" s="311"/>
      <c r="B42" s="311"/>
      <c r="C42" s="311"/>
      <c r="D42" s="311"/>
      <c r="E42" s="311"/>
      <c r="F42" s="311"/>
      <c r="G42" s="314"/>
      <c r="H42" s="314"/>
      <c r="I42" s="314"/>
      <c r="J42" s="314"/>
      <c r="K42" s="314"/>
      <c r="L42" s="314"/>
      <c r="M42" s="314"/>
    </row>
    <row r="43" spans="1:13" ht="13.9" customHeight="1" x14ac:dyDescent="0.25">
      <c r="A43" s="311"/>
      <c r="B43" s="311"/>
      <c r="C43" s="311"/>
      <c r="D43" s="311"/>
      <c r="E43" s="311"/>
      <c r="F43" s="311"/>
      <c r="G43" s="314"/>
      <c r="H43" s="314"/>
      <c r="I43" s="314"/>
      <c r="J43" s="314"/>
      <c r="K43" s="314"/>
      <c r="L43" s="314"/>
      <c r="M43" s="314"/>
    </row>
    <row r="44" spans="1:13" ht="13.9" customHeight="1" x14ac:dyDescent="0.25">
      <c r="A44" s="311"/>
      <c r="B44" s="311"/>
      <c r="C44" s="311"/>
      <c r="D44" s="311"/>
      <c r="E44" s="311"/>
      <c r="F44" s="311"/>
      <c r="G44" s="314"/>
      <c r="H44" s="314"/>
      <c r="I44" s="314"/>
      <c r="J44" s="314"/>
      <c r="K44" s="314"/>
      <c r="L44" s="314"/>
      <c r="M44" s="314"/>
    </row>
    <row r="45" spans="1:13" ht="13.9" customHeight="1" x14ac:dyDescent="0.25">
      <c r="A45" s="311"/>
      <c r="B45" s="311"/>
      <c r="C45" s="311"/>
      <c r="D45" s="311"/>
      <c r="E45" s="311"/>
      <c r="F45" s="311"/>
      <c r="G45" s="314"/>
      <c r="H45" s="314"/>
      <c r="I45" s="314"/>
      <c r="J45" s="314"/>
      <c r="K45" s="314"/>
      <c r="L45" s="314"/>
      <c r="M45" s="314"/>
    </row>
    <row r="46" spans="1:13" ht="13.9" customHeight="1" x14ac:dyDescent="0.25">
      <c r="A46" s="311"/>
      <c r="B46" s="311"/>
      <c r="C46" s="311"/>
      <c r="D46" s="311"/>
      <c r="E46" s="311"/>
      <c r="F46" s="311"/>
      <c r="G46" s="314"/>
      <c r="H46" s="314"/>
      <c r="I46" s="314"/>
      <c r="J46" s="314"/>
      <c r="K46" s="314"/>
      <c r="L46" s="314"/>
      <c r="M46" s="314"/>
    </row>
    <row r="47" spans="1:13" ht="13.9" customHeight="1" x14ac:dyDescent="0.25">
      <c r="A47" s="312"/>
      <c r="C47" s="314"/>
      <c r="D47" s="314"/>
      <c r="E47" s="314"/>
      <c r="F47" s="314"/>
      <c r="G47" s="314"/>
      <c r="H47" s="314"/>
      <c r="I47" s="314"/>
      <c r="J47" s="314"/>
      <c r="K47" s="314"/>
      <c r="L47" s="314"/>
      <c r="M47" s="314"/>
    </row>
    <row r="48" spans="1:13" ht="13.9" customHeight="1" x14ac:dyDescent="0.25">
      <c r="A48" s="314"/>
      <c r="C48" s="314"/>
      <c r="D48" s="314"/>
      <c r="E48" s="314"/>
      <c r="F48" s="314"/>
      <c r="G48" s="314"/>
      <c r="H48" s="314"/>
      <c r="I48" s="314"/>
      <c r="J48" s="314"/>
      <c r="K48" s="314"/>
      <c r="L48" s="314"/>
      <c r="M48" s="314"/>
    </row>
    <row r="49" spans="1:13" ht="13.9" customHeight="1" x14ac:dyDescent="0.25">
      <c r="A49" s="314"/>
      <c r="C49" s="314"/>
      <c r="D49" s="314"/>
      <c r="E49" s="314"/>
      <c r="F49" s="314"/>
      <c r="G49" s="314"/>
      <c r="H49" s="314"/>
      <c r="I49" s="314"/>
      <c r="J49" s="314"/>
      <c r="K49" s="314"/>
      <c r="L49" s="314"/>
      <c r="M49" s="314"/>
    </row>
    <row r="50" spans="1:13" ht="13.5" customHeight="1" x14ac:dyDescent="0.25">
      <c r="G50" s="314"/>
      <c r="H50" s="314"/>
      <c r="I50" s="314"/>
      <c r="J50" s="314"/>
      <c r="K50" s="314"/>
      <c r="L50" s="314"/>
      <c r="M50" s="314"/>
    </row>
    <row r="51" spans="1:13" ht="13.5" customHeight="1" x14ac:dyDescent="0.25">
      <c r="A51" s="314"/>
      <c r="B51" s="314"/>
      <c r="C51" s="314"/>
      <c r="D51" s="314"/>
      <c r="E51" s="314"/>
      <c r="F51" s="321" t="str">
        <f>'LJC-AD'!X7</f>
        <v>v 3.3 [02/2025]</v>
      </c>
      <c r="G51" s="314"/>
      <c r="H51" s="314"/>
      <c r="I51" s="314"/>
      <c r="J51" s="314"/>
      <c r="K51" s="314"/>
      <c r="L51" s="314"/>
      <c r="M51" s="314"/>
    </row>
    <row r="52" spans="1:13" ht="13.9" customHeight="1" x14ac:dyDescent="0.25">
      <c r="A52" s="312"/>
      <c r="B52" s="312"/>
      <c r="C52" s="312"/>
      <c r="D52" s="312"/>
      <c r="E52" s="312"/>
      <c r="F52" s="312"/>
      <c r="G52" s="314"/>
      <c r="H52" s="314"/>
      <c r="I52" s="314"/>
      <c r="J52" s="314"/>
      <c r="K52" s="314"/>
      <c r="L52" s="314"/>
      <c r="M52" s="321" t="str">
        <f>'LJC-AD'!X7</f>
        <v>v 3.3 [02/2025]</v>
      </c>
    </row>
    <row r="53" spans="1:13" ht="13.9" customHeight="1" x14ac:dyDescent="0.25">
      <c r="A53" s="146"/>
      <c r="B53" s="146"/>
      <c r="C53" s="146"/>
      <c r="D53" s="146"/>
      <c r="E53" s="146"/>
      <c r="F53" s="146"/>
      <c r="G53" s="314"/>
      <c r="H53" s="314"/>
      <c r="I53" s="314"/>
      <c r="J53" s="314"/>
      <c r="K53" s="314"/>
      <c r="L53" s="314"/>
      <c r="M53" s="314"/>
    </row>
    <row r="54" spans="1:13" ht="13.9" customHeight="1" x14ac:dyDescent="0.25"/>
  </sheetData>
  <sheetProtection algorithmName="SHA-512" hashValue="ZnypUhwGSUmGPVYBe3zoNlnGp6XNawAAfamDwg7skobfv8VWDclF5fYQ8X0yiIIhKeQBHpsAiPPZch/thkEQiw==" saltValue="ezZ2o8AKO+1ilNNR+bHSgA==" spinCount="100000" sheet="1" selectLockedCells="1"/>
  <mergeCells count="6">
    <mergeCell ref="A26:F28"/>
    <mergeCell ref="H18:M18"/>
    <mergeCell ref="B3:F3"/>
    <mergeCell ref="B4:F4"/>
    <mergeCell ref="B5:F5"/>
    <mergeCell ref="A21:A23"/>
  </mergeCells>
  <pageMargins left="0.7" right="0.7" top="0.75" bottom="0.55729166666666663" header="0.3" footer="0.3"/>
  <pageSetup paperSize="9" orientation="portrait" horizontalDpi="4294967293" verticalDpi="4294967293" r:id="rId1"/>
  <headerFooter>
    <oddFooter>&amp;R&amp;10&amp;K01+028© 2024 SMARTAIR DIFFUSION</oddFooter>
  </headerFooter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2C729C27-308C-479E-A2CC-32CFD2C8CE30}">
            <xm:f>NOT(ISNUMBER(data!$B$107))</xm:f>
            <x14:dxf>
              <font>
                <color rgb="FFC00000"/>
              </font>
            </x14:dxf>
          </x14:cfRule>
          <xm:sqref>B9</xm:sqref>
        </x14:conditionalFormatting>
        <x14:conditionalFormatting xmlns:xm="http://schemas.microsoft.com/office/excel/2006/main">
          <x14:cfRule type="expression" priority="1" id="{D3B6B5A7-B762-4C73-B387-D10E71E57AA4}">
            <xm:f>NOT(data!$C$29)</xm:f>
            <x14:dxf>
              <font>
                <b val="0"/>
                <i/>
              </font>
            </x14:dxf>
          </x14:cfRule>
          <xm:sqref>B15:B16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/>
  <dimension ref="B1:W123"/>
  <sheetViews>
    <sheetView workbookViewId="0">
      <selection activeCell="J96" sqref="J96"/>
    </sheetView>
  </sheetViews>
  <sheetFormatPr defaultRowHeight="15" x14ac:dyDescent="0.25"/>
  <cols>
    <col min="1" max="1" width="3" customWidth="1"/>
    <col min="2" max="2" width="3.28515625" customWidth="1"/>
    <col min="3" max="3" width="10" customWidth="1"/>
    <col min="4" max="4" width="7.28515625" customWidth="1"/>
    <col min="5" max="5" width="11.42578125" customWidth="1"/>
    <col min="6" max="12" width="9.7109375" customWidth="1"/>
    <col min="13" max="14" width="11.140625" customWidth="1"/>
    <col min="15" max="15" width="11.42578125" customWidth="1"/>
    <col min="16" max="16" width="10" customWidth="1"/>
    <col min="17" max="17" width="9.140625" customWidth="1"/>
    <col min="23" max="23" width="3.28515625" customWidth="1"/>
  </cols>
  <sheetData>
    <row r="1" spans="2:23" ht="13.5" customHeight="1" x14ac:dyDescent="0.25">
      <c r="B1" s="51"/>
      <c r="C1" s="52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4"/>
    </row>
    <row r="2" spans="2:23" ht="21" x14ac:dyDescent="0.35">
      <c r="B2" s="55"/>
      <c r="C2" s="31"/>
      <c r="D2" s="32" t="s">
        <v>83</v>
      </c>
      <c r="E2" s="30"/>
      <c r="F2" s="30"/>
      <c r="G2" s="30"/>
      <c r="H2" s="33"/>
      <c r="I2" s="33"/>
      <c r="J2" s="33"/>
      <c r="K2" s="33"/>
      <c r="L2" s="30"/>
      <c r="M2" s="33"/>
      <c r="N2" s="33"/>
      <c r="O2" s="33"/>
      <c r="P2" s="33"/>
      <c r="Q2" s="33"/>
      <c r="R2" s="33"/>
      <c r="S2" s="33"/>
      <c r="T2" s="33"/>
      <c r="U2" s="33"/>
      <c r="V2" s="33"/>
      <c r="W2" s="56"/>
    </row>
    <row r="3" spans="2:23" ht="25.5" customHeight="1" x14ac:dyDescent="0.35">
      <c r="B3" s="55"/>
      <c r="C3" s="31"/>
      <c r="D3" s="34" t="s">
        <v>656</v>
      </c>
      <c r="E3" s="30"/>
      <c r="F3" s="30"/>
      <c r="G3" s="30"/>
      <c r="H3" s="33"/>
      <c r="I3" s="33"/>
      <c r="J3" s="33"/>
      <c r="K3" s="33"/>
      <c r="L3" s="30"/>
      <c r="M3" s="33"/>
      <c r="N3" s="33"/>
      <c r="O3" s="33"/>
      <c r="P3" s="33"/>
      <c r="Q3" s="33"/>
      <c r="R3" s="33"/>
      <c r="S3" s="33"/>
      <c r="T3" s="33"/>
      <c r="U3" s="33"/>
      <c r="V3" s="33"/>
      <c r="W3" s="56"/>
    </row>
    <row r="4" spans="2:23" ht="13.5" customHeight="1" x14ac:dyDescent="0.3">
      <c r="B4" s="55"/>
      <c r="C4" s="31"/>
      <c r="D4" s="35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57"/>
    </row>
    <row r="5" spans="2:23" ht="19.5" x14ac:dyDescent="0.3">
      <c r="B5" s="58"/>
      <c r="C5" s="72"/>
      <c r="D5" s="72"/>
      <c r="E5" s="72"/>
      <c r="F5" s="72"/>
      <c r="G5" s="16"/>
      <c r="H5" s="16"/>
      <c r="I5" s="16"/>
      <c r="J5" s="16"/>
      <c r="K5" s="16"/>
      <c r="L5" s="306"/>
      <c r="M5" s="16"/>
      <c r="N5" s="16"/>
      <c r="O5" s="16"/>
      <c r="P5" s="16"/>
      <c r="Q5" s="16"/>
      <c r="R5" s="16"/>
      <c r="S5" s="16"/>
      <c r="T5" s="16"/>
      <c r="U5" s="16"/>
      <c r="V5" s="16"/>
      <c r="W5" s="59"/>
    </row>
    <row r="6" spans="2:23" ht="20.25" thickBot="1" x14ac:dyDescent="0.35">
      <c r="B6" s="58"/>
      <c r="C6" s="429" t="s">
        <v>653</v>
      </c>
      <c r="D6" s="429"/>
      <c r="E6" s="429"/>
      <c r="F6" s="429"/>
      <c r="G6" s="16"/>
      <c r="H6" s="16"/>
      <c r="I6" s="16"/>
      <c r="J6" s="16"/>
      <c r="K6" s="16"/>
      <c r="L6" s="306"/>
      <c r="M6" s="16"/>
      <c r="N6" s="16"/>
      <c r="O6" s="16"/>
      <c r="P6" s="16"/>
      <c r="Q6" s="16"/>
      <c r="R6" s="16"/>
      <c r="S6" s="16"/>
      <c r="T6" s="16"/>
      <c r="U6" s="16"/>
      <c r="V6" s="16"/>
      <c r="W6" s="59"/>
    </row>
    <row r="7" spans="2:23" ht="17.100000000000001" customHeight="1" thickTop="1" x14ac:dyDescent="0.3">
      <c r="B7" s="58"/>
      <c r="C7" s="306" t="s">
        <v>651</v>
      </c>
      <c r="D7" s="72"/>
      <c r="E7" s="72"/>
      <c r="F7" s="306" t="s">
        <v>652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59"/>
    </row>
    <row r="8" spans="2:23" ht="17.100000000000001" customHeight="1" x14ac:dyDescent="0.3">
      <c r="B8" s="58"/>
      <c r="C8" s="73" t="s">
        <v>427</v>
      </c>
      <c r="D8" s="72"/>
      <c r="E8" s="72"/>
      <c r="F8" s="72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59"/>
    </row>
    <row r="9" spans="2:23" ht="17.100000000000001" customHeight="1" x14ac:dyDescent="0.3">
      <c r="B9" s="58"/>
      <c r="C9" s="73" t="s">
        <v>109</v>
      </c>
      <c r="D9" s="72"/>
      <c r="E9" s="72"/>
      <c r="F9" s="72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59"/>
    </row>
    <row r="10" spans="2:23" ht="17.100000000000001" customHeight="1" x14ac:dyDescent="0.3">
      <c r="B10" s="58"/>
      <c r="C10" s="73" t="s">
        <v>110</v>
      </c>
      <c r="D10" s="72"/>
      <c r="E10" s="72"/>
      <c r="F10" s="72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59"/>
    </row>
    <row r="11" spans="2:23" ht="10.15" customHeight="1" x14ac:dyDescent="0.3">
      <c r="B11" s="58"/>
      <c r="C11" s="72"/>
      <c r="D11" s="72"/>
      <c r="E11" s="72"/>
      <c r="F11" s="72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59"/>
    </row>
    <row r="12" spans="2:23" ht="20.25" thickBot="1" x14ac:dyDescent="0.35">
      <c r="B12" s="58"/>
      <c r="C12" s="305" t="s">
        <v>654</v>
      </c>
      <c r="D12" s="305"/>
      <c r="E12" s="305"/>
      <c r="F12" s="305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59"/>
    </row>
    <row r="13" spans="2:23" ht="19.899999999999999" customHeight="1" thickTop="1" x14ac:dyDescent="0.25">
      <c r="B13" s="58"/>
      <c r="C13" s="478" t="s">
        <v>648</v>
      </c>
      <c r="D13" s="478"/>
      <c r="E13" s="478"/>
      <c r="F13" s="478"/>
      <c r="G13" s="478"/>
      <c r="H13" s="478"/>
      <c r="I13" s="478"/>
      <c r="J13" s="478"/>
      <c r="K13" s="478"/>
      <c r="L13" s="478"/>
      <c r="M13" s="478"/>
      <c r="N13" s="478"/>
      <c r="O13" s="478"/>
      <c r="P13" s="478"/>
      <c r="Q13" s="478"/>
      <c r="R13" s="478"/>
      <c r="S13" s="478"/>
      <c r="T13" s="478"/>
      <c r="U13" s="478"/>
      <c r="V13" s="478"/>
      <c r="W13" s="59"/>
    </row>
    <row r="14" spans="2:23" ht="19.899999999999999" customHeight="1" x14ac:dyDescent="0.25">
      <c r="B14" s="58"/>
      <c r="C14" s="478"/>
      <c r="D14" s="478"/>
      <c r="E14" s="478"/>
      <c r="F14" s="478"/>
      <c r="G14" s="478"/>
      <c r="H14" s="478"/>
      <c r="I14" s="478"/>
      <c r="J14" s="478"/>
      <c r="K14" s="478"/>
      <c r="L14" s="478"/>
      <c r="M14" s="478"/>
      <c r="N14" s="478"/>
      <c r="O14" s="478"/>
      <c r="P14" s="478"/>
      <c r="Q14" s="478"/>
      <c r="R14" s="478"/>
      <c r="S14" s="478"/>
      <c r="T14" s="478"/>
      <c r="U14" s="478"/>
      <c r="V14" s="478"/>
      <c r="W14" s="59"/>
    </row>
    <row r="15" spans="2:23" ht="19.899999999999999" customHeight="1" x14ac:dyDescent="0.25">
      <c r="B15" s="58"/>
      <c r="C15" s="478"/>
      <c r="D15" s="478"/>
      <c r="E15" s="478"/>
      <c r="F15" s="478"/>
      <c r="G15" s="478"/>
      <c r="H15" s="478"/>
      <c r="I15" s="478"/>
      <c r="J15" s="478"/>
      <c r="K15" s="478"/>
      <c r="L15" s="478"/>
      <c r="M15" s="478"/>
      <c r="N15" s="478"/>
      <c r="O15" s="478"/>
      <c r="P15" s="478"/>
      <c r="Q15" s="478"/>
      <c r="R15" s="478"/>
      <c r="S15" s="478"/>
      <c r="T15" s="478"/>
      <c r="U15" s="478"/>
      <c r="V15" s="478"/>
      <c r="W15" s="59"/>
    </row>
    <row r="16" spans="2:23" ht="17.25" customHeight="1" x14ac:dyDescent="0.25">
      <c r="B16" s="58"/>
      <c r="C16" s="386" t="s">
        <v>794</v>
      </c>
      <c r="D16" s="378"/>
      <c r="E16" s="378"/>
      <c r="F16" s="378"/>
      <c r="G16" s="378"/>
      <c r="H16" s="378"/>
      <c r="I16" s="378"/>
      <c r="J16" s="378"/>
      <c r="K16" s="378"/>
      <c r="L16" s="378"/>
      <c r="M16" s="378"/>
      <c r="N16" s="378"/>
      <c r="O16" s="378"/>
      <c r="P16" s="378"/>
      <c r="Q16" s="378"/>
      <c r="R16" s="378"/>
      <c r="S16" s="378"/>
      <c r="T16" s="378"/>
      <c r="U16" s="378"/>
      <c r="V16" s="378"/>
      <c r="W16" s="16"/>
    </row>
    <row r="17" spans="2:23" ht="18.75" customHeight="1" x14ac:dyDescent="0.25">
      <c r="B17" s="58"/>
      <c r="C17" s="472" t="s">
        <v>122</v>
      </c>
      <c r="D17" s="473"/>
      <c r="E17" s="380" t="str">
        <f>equations!B10</f>
        <v>[m]</v>
      </c>
      <c r="F17" s="383">
        <f>equations!A548</f>
        <v>0.5</v>
      </c>
      <c r="G17" s="383">
        <f>equations!B548</f>
        <v>1</v>
      </c>
      <c r="H17" s="383">
        <f>equations!C548</f>
        <v>2</v>
      </c>
      <c r="I17" s="383">
        <f>equations!D548</f>
        <v>3</v>
      </c>
      <c r="J17" s="383">
        <f>equations!E548</f>
        <v>4</v>
      </c>
      <c r="K17" s="383">
        <f>equations!F548</f>
        <v>5</v>
      </c>
      <c r="L17" s="383">
        <f>equations!G548</f>
        <v>6</v>
      </c>
      <c r="M17" s="16"/>
      <c r="N17" s="378"/>
      <c r="O17" s="378"/>
      <c r="P17" s="378"/>
      <c r="Q17" s="378"/>
      <c r="R17" s="378"/>
      <c r="S17" s="378"/>
      <c r="T17" s="378"/>
      <c r="U17" s="378"/>
      <c r="V17" s="378"/>
      <c r="W17" s="59"/>
    </row>
    <row r="18" spans="2:23" ht="17.100000000000001" customHeight="1" x14ac:dyDescent="0.25">
      <c r="B18" s="58"/>
      <c r="C18" s="474" t="s">
        <v>790</v>
      </c>
      <c r="D18" s="475"/>
      <c r="E18" s="381" t="s">
        <v>793</v>
      </c>
      <c r="F18" s="476">
        <f>equations!A549</f>
        <v>-3</v>
      </c>
      <c r="G18" s="476">
        <f>equations!B549</f>
        <v>0</v>
      </c>
      <c r="H18" s="476">
        <f>equations!C549</f>
        <v>3</v>
      </c>
      <c r="I18" s="476">
        <f>equations!D549</f>
        <v>4.8</v>
      </c>
      <c r="J18" s="476">
        <f>equations!E549</f>
        <v>6</v>
      </c>
      <c r="K18" s="476">
        <f>equations!F549</f>
        <v>7</v>
      </c>
      <c r="L18" s="476">
        <f>equations!G549</f>
        <v>7.8</v>
      </c>
      <c r="M18" s="16"/>
      <c r="N18" s="378"/>
      <c r="O18" s="378"/>
      <c r="P18" s="378"/>
      <c r="Q18" s="378"/>
      <c r="R18" s="378"/>
      <c r="S18" s="378"/>
      <c r="T18" s="378"/>
      <c r="U18" s="378"/>
      <c r="V18" s="378"/>
      <c r="W18" s="59"/>
    </row>
    <row r="19" spans="2:23" ht="17.100000000000001" customHeight="1" x14ac:dyDescent="0.25">
      <c r="B19" s="58"/>
      <c r="C19" s="384" t="s">
        <v>791</v>
      </c>
      <c r="D19" s="385"/>
      <c r="E19" s="382" t="s">
        <v>792</v>
      </c>
      <c r="F19" s="477"/>
      <c r="G19" s="477"/>
      <c r="H19" s="477"/>
      <c r="I19" s="477"/>
      <c r="J19" s="477"/>
      <c r="K19" s="477"/>
      <c r="L19" s="477"/>
      <c r="M19" s="16"/>
      <c r="N19" s="378"/>
      <c r="O19" s="378"/>
      <c r="P19" s="378"/>
      <c r="Q19" s="378"/>
      <c r="R19" s="378"/>
      <c r="S19" s="378"/>
      <c r="T19" s="378"/>
      <c r="U19" s="378"/>
      <c r="V19" s="378"/>
      <c r="W19" s="59"/>
    </row>
    <row r="20" spans="2:23" ht="17.100000000000001" customHeight="1" x14ac:dyDescent="0.25">
      <c r="B20" s="58"/>
      <c r="C20" s="378"/>
      <c r="D20" s="378"/>
      <c r="E20" s="378"/>
      <c r="F20" s="378"/>
      <c r="G20" s="378"/>
      <c r="H20" s="378"/>
      <c r="I20" s="378"/>
      <c r="J20" s="378"/>
      <c r="K20" s="378"/>
      <c r="L20" s="378"/>
      <c r="M20" s="378"/>
      <c r="N20" s="378"/>
      <c r="O20" s="378"/>
      <c r="P20" s="378"/>
      <c r="Q20" s="378"/>
      <c r="R20" s="378"/>
      <c r="S20" s="378"/>
      <c r="T20" s="378"/>
      <c r="U20" s="378"/>
      <c r="V20" s="378"/>
      <c r="W20" s="59"/>
    </row>
    <row r="21" spans="2:23" ht="20.25" thickBot="1" x14ac:dyDescent="0.35">
      <c r="B21" s="58"/>
      <c r="C21" s="305" t="s">
        <v>655</v>
      </c>
      <c r="D21" s="305"/>
      <c r="E21" s="305"/>
      <c r="F21" s="305"/>
      <c r="G21" s="305"/>
      <c r="H21" s="72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59"/>
    </row>
    <row r="22" spans="2:23" ht="17.100000000000001" customHeight="1" thickTop="1" x14ac:dyDescent="0.25">
      <c r="B22" s="58"/>
      <c r="C22" s="309" t="s">
        <v>684</v>
      </c>
      <c r="D22" s="308"/>
      <c r="E22" s="308"/>
      <c r="F22" s="308"/>
      <c r="G22" s="308"/>
      <c r="H22" s="308"/>
      <c r="I22" s="308"/>
      <c r="J22" s="308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59"/>
    </row>
    <row r="23" spans="2:23" ht="17.100000000000001" customHeight="1" x14ac:dyDescent="0.25">
      <c r="B23" s="58"/>
      <c r="C23" s="309" t="s">
        <v>685</v>
      </c>
      <c r="D23" s="308"/>
      <c r="E23" s="308"/>
      <c r="F23" s="308"/>
      <c r="G23" s="308"/>
      <c r="H23" s="308"/>
      <c r="I23" s="308"/>
      <c r="J23" s="308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59"/>
    </row>
    <row r="24" spans="2:23" ht="17.100000000000001" customHeight="1" x14ac:dyDescent="0.25">
      <c r="B24" s="58"/>
      <c r="C24" s="309" t="s">
        <v>701</v>
      </c>
      <c r="D24" s="308"/>
      <c r="E24" s="308"/>
      <c r="F24" s="308"/>
      <c r="G24" s="308"/>
      <c r="H24" s="308"/>
      <c r="I24" s="308"/>
      <c r="J24" s="308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59"/>
    </row>
    <row r="25" spans="2:23" ht="17.100000000000001" customHeight="1" x14ac:dyDescent="0.25">
      <c r="B25" s="58"/>
      <c r="C25" s="309" t="s">
        <v>702</v>
      </c>
      <c r="D25" s="308"/>
      <c r="E25" s="308"/>
      <c r="F25" s="308"/>
      <c r="G25" s="308"/>
      <c r="H25" s="308"/>
      <c r="I25" s="308"/>
      <c r="J25" s="308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59"/>
    </row>
    <row r="26" spans="2:23" ht="19.5" x14ac:dyDescent="0.3">
      <c r="B26" s="58"/>
      <c r="C26" s="72"/>
      <c r="D26" s="72"/>
      <c r="E26" s="72"/>
      <c r="F26" s="72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59"/>
    </row>
    <row r="27" spans="2:23" ht="20.25" thickBot="1" x14ac:dyDescent="0.35">
      <c r="B27" s="58"/>
      <c r="C27" s="429" t="s">
        <v>711</v>
      </c>
      <c r="D27" s="429"/>
      <c r="E27" s="429"/>
      <c r="F27" s="429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59"/>
    </row>
    <row r="28" spans="2:23" ht="15.75" thickTop="1" x14ac:dyDescent="0.25">
      <c r="B28" s="58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59"/>
    </row>
    <row r="29" spans="2:23" ht="18.75" x14ac:dyDescent="0.35">
      <c r="B29" s="58"/>
      <c r="C29" s="464" t="s">
        <v>97</v>
      </c>
      <c r="D29" s="464"/>
      <c r="E29" s="464"/>
      <c r="F29" s="60" t="s">
        <v>95</v>
      </c>
      <c r="G29" s="61" t="s">
        <v>96</v>
      </c>
      <c r="H29" s="62" t="s">
        <v>104</v>
      </c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59"/>
    </row>
    <row r="30" spans="2:23" ht="18.75" x14ac:dyDescent="0.35">
      <c r="B30" s="58"/>
      <c r="C30" s="61"/>
      <c r="D30" s="61"/>
      <c r="E30" s="61"/>
      <c r="F30" s="61"/>
      <c r="G30" s="63" t="s">
        <v>103</v>
      </c>
      <c r="H30" s="16"/>
      <c r="I30" s="16"/>
      <c r="J30" s="16"/>
      <c r="K30" s="64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59"/>
    </row>
    <row r="31" spans="2:23" ht="18.75" x14ac:dyDescent="0.35">
      <c r="B31" s="58"/>
      <c r="C31" s="60" t="s">
        <v>710</v>
      </c>
      <c r="D31" s="61"/>
      <c r="E31" s="61"/>
      <c r="F31" s="61"/>
      <c r="G31" s="16"/>
      <c r="H31" s="16"/>
      <c r="I31" s="16"/>
      <c r="J31" s="16"/>
      <c r="K31" s="64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59"/>
    </row>
    <row r="32" spans="2:23" ht="15.75" x14ac:dyDescent="0.25">
      <c r="B32" s="58"/>
      <c r="C32" s="61"/>
      <c r="D32" s="61"/>
      <c r="E32" s="61"/>
      <c r="F32" s="61"/>
      <c r="G32" s="17" t="s">
        <v>553</v>
      </c>
      <c r="H32" s="147" t="s">
        <v>202</v>
      </c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59"/>
    </row>
    <row r="33" spans="2:23" ht="15.75" x14ac:dyDescent="0.25">
      <c r="B33" s="58"/>
      <c r="C33" s="61"/>
      <c r="D33" s="61"/>
      <c r="E33" s="61"/>
      <c r="F33" s="61"/>
      <c r="G33" s="16"/>
      <c r="H33" s="147" t="s">
        <v>201</v>
      </c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59"/>
    </row>
    <row r="34" spans="2:23" ht="15.75" x14ac:dyDescent="0.25">
      <c r="B34" s="58"/>
      <c r="C34" s="61"/>
      <c r="D34" s="61"/>
      <c r="E34" s="61"/>
      <c r="F34" s="61"/>
      <c r="G34" s="60"/>
      <c r="H34" s="16"/>
      <c r="I34" s="16"/>
      <c r="J34" s="16"/>
      <c r="K34" s="64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59"/>
    </row>
    <row r="35" spans="2:23" ht="15.75" x14ac:dyDescent="0.25">
      <c r="B35" s="58"/>
      <c r="C35" s="61"/>
      <c r="D35" s="61"/>
      <c r="E35" s="61"/>
      <c r="F35" s="61"/>
      <c r="G35" s="60"/>
      <c r="H35" s="16"/>
      <c r="I35" s="16"/>
      <c r="J35" s="16"/>
      <c r="K35" s="64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59"/>
    </row>
    <row r="36" spans="2:23" ht="20.25" thickBot="1" x14ac:dyDescent="0.35">
      <c r="B36" s="58"/>
      <c r="C36" s="429" t="s">
        <v>662</v>
      </c>
      <c r="D36" s="429"/>
      <c r="E36" s="429"/>
      <c r="F36" s="429"/>
      <c r="G36" s="429"/>
      <c r="H36" s="16"/>
      <c r="I36" s="16"/>
      <c r="J36" s="16"/>
      <c r="K36" s="64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59"/>
    </row>
    <row r="37" spans="2:23" ht="16.5" thickTop="1" x14ac:dyDescent="0.25">
      <c r="B37" s="58"/>
      <c r="C37" s="61"/>
      <c r="D37" s="61"/>
      <c r="E37" s="61"/>
      <c r="F37" s="61"/>
      <c r="G37" s="60"/>
      <c r="H37" s="16"/>
      <c r="I37" s="16"/>
      <c r="J37" s="16"/>
      <c r="K37" s="64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59"/>
    </row>
    <row r="38" spans="2:23" ht="15.75" x14ac:dyDescent="0.25">
      <c r="B38" s="58"/>
      <c r="C38" s="61"/>
      <c r="D38" s="60"/>
      <c r="E38" s="192" t="s">
        <v>378</v>
      </c>
      <c r="F38" s="16"/>
      <c r="G38" s="16"/>
      <c r="H38" s="64"/>
      <c r="I38" s="16"/>
      <c r="J38" s="16"/>
      <c r="K38" s="192"/>
      <c r="L38" s="192" t="s">
        <v>379</v>
      </c>
      <c r="M38" s="16"/>
      <c r="N38" s="16"/>
      <c r="O38" s="16"/>
      <c r="P38" s="192"/>
      <c r="Q38" s="16"/>
      <c r="R38" s="16"/>
      <c r="S38" s="16"/>
      <c r="T38" s="16"/>
      <c r="U38" s="16"/>
      <c r="V38" s="16"/>
      <c r="W38" s="59"/>
    </row>
    <row r="39" spans="2:23" ht="15.75" x14ac:dyDescent="0.25">
      <c r="B39" s="58"/>
      <c r="C39" s="61"/>
      <c r="D39" s="61"/>
      <c r="E39" s="61"/>
      <c r="F39" s="61"/>
      <c r="G39" s="60"/>
      <c r="H39" s="16"/>
      <c r="I39" s="16"/>
      <c r="J39" s="16"/>
      <c r="K39" s="64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59"/>
    </row>
    <row r="40" spans="2:23" ht="15.75" x14ac:dyDescent="0.25">
      <c r="B40" s="58"/>
      <c r="C40" s="61"/>
      <c r="D40" s="61"/>
      <c r="E40" s="61"/>
      <c r="F40" s="61"/>
      <c r="G40" s="60"/>
      <c r="H40" s="16"/>
      <c r="I40" s="16"/>
      <c r="J40" s="16"/>
      <c r="K40" s="64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59"/>
    </row>
    <row r="41" spans="2:23" ht="15.75" x14ac:dyDescent="0.25">
      <c r="B41" s="58"/>
      <c r="C41" s="61"/>
      <c r="D41" s="61"/>
      <c r="E41" s="61"/>
      <c r="F41" s="61"/>
      <c r="G41" s="60"/>
      <c r="H41" s="16"/>
      <c r="I41" s="16"/>
      <c r="J41" s="16"/>
      <c r="K41" s="64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59"/>
    </row>
    <row r="42" spans="2:23" ht="15.75" x14ac:dyDescent="0.25">
      <c r="B42" s="58"/>
      <c r="C42" s="61"/>
      <c r="D42" s="61"/>
      <c r="E42" s="61"/>
      <c r="F42" s="61"/>
      <c r="G42" s="60"/>
      <c r="H42" s="16"/>
      <c r="I42" s="16"/>
      <c r="J42" s="16"/>
      <c r="K42" s="64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59"/>
    </row>
    <row r="43" spans="2:23" ht="15.75" x14ac:dyDescent="0.25">
      <c r="B43" s="58"/>
      <c r="C43" s="61"/>
      <c r="D43" s="61"/>
      <c r="E43" s="61"/>
      <c r="F43" s="61"/>
      <c r="G43" s="60"/>
      <c r="H43" s="16"/>
      <c r="I43" s="16"/>
      <c r="J43" s="16"/>
      <c r="K43" s="64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59"/>
    </row>
    <row r="44" spans="2:23" ht="15.75" x14ac:dyDescent="0.25">
      <c r="B44" s="58"/>
      <c r="C44" s="61"/>
      <c r="D44" s="61"/>
      <c r="E44" s="61"/>
      <c r="F44" s="61"/>
      <c r="G44" s="60"/>
      <c r="H44" s="16"/>
      <c r="I44" s="16"/>
      <c r="J44" s="16"/>
      <c r="K44" s="64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59"/>
    </row>
    <row r="45" spans="2:23" ht="15.75" x14ac:dyDescent="0.25">
      <c r="B45" s="58"/>
      <c r="C45" s="61"/>
      <c r="D45" s="61"/>
      <c r="E45" s="61"/>
      <c r="F45" s="61"/>
      <c r="G45" s="60"/>
      <c r="H45" s="16"/>
      <c r="I45" s="16"/>
      <c r="J45" s="16"/>
      <c r="K45" s="64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59"/>
    </row>
    <row r="46" spans="2:23" ht="15.75" x14ac:dyDescent="0.25">
      <c r="B46" s="58"/>
      <c r="C46" s="61"/>
      <c r="D46" s="61"/>
      <c r="E46" s="61"/>
      <c r="F46" s="61"/>
      <c r="G46" s="60"/>
      <c r="H46" s="16"/>
      <c r="I46" s="16"/>
      <c r="J46" s="16"/>
      <c r="K46" s="64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59"/>
    </row>
    <row r="47" spans="2:23" ht="15.75" x14ac:dyDescent="0.25">
      <c r="B47" s="58"/>
      <c r="C47" s="61"/>
      <c r="D47" s="61"/>
      <c r="E47" s="61"/>
      <c r="F47" s="61"/>
      <c r="G47" s="60"/>
      <c r="H47" s="16"/>
      <c r="I47" s="16"/>
      <c r="J47" s="16"/>
      <c r="K47" s="64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59"/>
    </row>
    <row r="48" spans="2:23" ht="15.75" x14ac:dyDescent="0.25">
      <c r="B48" s="58"/>
      <c r="C48" s="61"/>
      <c r="D48" s="61"/>
      <c r="E48" s="61"/>
      <c r="F48" s="61"/>
      <c r="G48" s="60"/>
      <c r="H48" s="16"/>
      <c r="I48" s="16"/>
      <c r="J48" s="16"/>
      <c r="K48" s="64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59"/>
    </row>
    <row r="49" spans="2:23" ht="15.75" x14ac:dyDescent="0.25">
      <c r="B49" s="58"/>
      <c r="C49" s="61"/>
      <c r="D49" s="61"/>
      <c r="E49" s="61"/>
      <c r="F49" s="61"/>
      <c r="G49" s="60"/>
      <c r="H49" s="16"/>
      <c r="I49" s="16"/>
      <c r="J49" s="16"/>
      <c r="K49" s="64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59"/>
    </row>
    <row r="50" spans="2:23" ht="15.75" x14ac:dyDescent="0.25">
      <c r="B50" s="58"/>
      <c r="C50" s="61"/>
      <c r="D50" s="61"/>
      <c r="E50" s="61"/>
      <c r="F50" s="61"/>
      <c r="G50" s="60"/>
      <c r="H50" s="16"/>
      <c r="I50" s="16"/>
      <c r="J50" s="16"/>
      <c r="K50" s="64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59"/>
    </row>
    <row r="51" spans="2:23" ht="15.75" x14ac:dyDescent="0.25">
      <c r="B51" s="58"/>
      <c r="C51" s="61"/>
      <c r="D51" s="61"/>
      <c r="E51" s="61"/>
      <c r="F51" s="61"/>
      <c r="G51" s="60"/>
      <c r="H51" s="16"/>
      <c r="I51" s="16"/>
      <c r="J51" s="16"/>
      <c r="K51" s="64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59"/>
    </row>
    <row r="52" spans="2:23" ht="15.75" x14ac:dyDescent="0.25">
      <c r="B52" s="58"/>
      <c r="C52" s="61"/>
      <c r="D52" s="61"/>
      <c r="E52" s="61"/>
      <c r="F52" s="61"/>
      <c r="G52" s="60"/>
      <c r="H52" s="16"/>
      <c r="I52" s="16"/>
      <c r="J52" s="16"/>
      <c r="K52" s="64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59"/>
    </row>
    <row r="53" spans="2:23" ht="15.75" x14ac:dyDescent="0.25">
      <c r="B53" s="58"/>
      <c r="C53" s="61"/>
      <c r="D53" s="61"/>
      <c r="E53" s="61"/>
      <c r="F53" s="61"/>
      <c r="G53" s="60"/>
      <c r="H53" s="16"/>
      <c r="I53" s="16"/>
      <c r="J53" s="16"/>
      <c r="K53" s="64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59"/>
    </row>
    <row r="54" spans="2:23" ht="15.75" x14ac:dyDescent="0.25">
      <c r="B54" s="58"/>
      <c r="C54" s="61"/>
      <c r="D54" s="61"/>
      <c r="E54" s="61"/>
      <c r="F54" s="61"/>
      <c r="G54" s="60"/>
      <c r="H54" s="16"/>
      <c r="I54" s="16"/>
      <c r="J54" s="16"/>
      <c r="K54" s="64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59"/>
    </row>
    <row r="55" spans="2:23" ht="15.75" x14ac:dyDescent="0.25">
      <c r="B55" s="58"/>
      <c r="C55" s="61"/>
      <c r="D55" s="61"/>
      <c r="E55" s="61"/>
      <c r="F55" s="61"/>
      <c r="G55" s="60"/>
      <c r="H55" s="16"/>
      <c r="I55" s="16"/>
      <c r="J55" s="16"/>
      <c r="K55" s="64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59"/>
    </row>
    <row r="56" spans="2:23" ht="15.75" x14ac:dyDescent="0.25">
      <c r="B56" s="58"/>
      <c r="C56" s="61"/>
      <c r="D56" s="61"/>
      <c r="E56" s="61"/>
      <c r="F56" s="61"/>
      <c r="G56" s="60"/>
      <c r="H56" s="16"/>
      <c r="I56" s="16"/>
      <c r="J56" s="16"/>
      <c r="K56" s="64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59"/>
    </row>
    <row r="57" spans="2:23" ht="15.75" x14ac:dyDescent="0.25">
      <c r="B57" s="58"/>
      <c r="C57" s="61"/>
      <c r="D57" s="61"/>
      <c r="E57" s="61"/>
      <c r="F57" s="61"/>
      <c r="G57" s="60"/>
      <c r="H57" s="16"/>
      <c r="I57" s="16"/>
      <c r="J57" s="16"/>
      <c r="K57" s="64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59"/>
    </row>
    <row r="58" spans="2:23" ht="15.75" x14ac:dyDescent="0.25">
      <c r="B58" s="58"/>
      <c r="C58" s="61"/>
      <c r="D58" s="61"/>
      <c r="E58" s="61"/>
      <c r="F58" s="61"/>
      <c r="G58" s="60"/>
      <c r="H58" s="16"/>
      <c r="I58" s="16"/>
      <c r="J58" s="16"/>
      <c r="K58" s="64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59"/>
    </row>
    <row r="59" spans="2:23" ht="15.75" x14ac:dyDescent="0.25">
      <c r="B59" s="58"/>
      <c r="C59" s="61"/>
      <c r="D59" s="61"/>
      <c r="E59" s="61"/>
      <c r="F59" s="61"/>
      <c r="G59" s="60"/>
      <c r="H59" s="16"/>
      <c r="I59" s="16"/>
      <c r="J59" s="16"/>
      <c r="K59" s="64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59"/>
    </row>
    <row r="60" spans="2:23" ht="15.75" x14ac:dyDescent="0.25">
      <c r="B60" s="58"/>
      <c r="C60" s="61"/>
      <c r="D60" s="61"/>
      <c r="E60" s="61"/>
      <c r="F60" s="61"/>
      <c r="G60" s="60"/>
      <c r="H60" s="16"/>
      <c r="I60" s="16"/>
      <c r="J60" s="16"/>
      <c r="K60" s="64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59"/>
    </row>
    <row r="61" spans="2:23" ht="15.75" x14ac:dyDescent="0.25">
      <c r="B61" s="58"/>
      <c r="C61" s="61"/>
      <c r="D61" s="61"/>
      <c r="E61" s="61"/>
      <c r="F61" s="61"/>
      <c r="G61" s="60"/>
      <c r="H61" s="16"/>
      <c r="I61" s="16"/>
      <c r="J61" s="16"/>
      <c r="K61" s="64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59"/>
    </row>
    <row r="62" spans="2:23" ht="15.75" x14ac:dyDescent="0.25">
      <c r="B62" s="58"/>
      <c r="C62" s="61"/>
      <c r="D62" s="61"/>
      <c r="E62" s="61"/>
      <c r="F62" s="61"/>
      <c r="G62" s="60"/>
      <c r="H62" s="16"/>
      <c r="I62" s="16"/>
      <c r="J62" s="16"/>
      <c r="K62" s="64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59"/>
    </row>
    <row r="63" spans="2:23" ht="15.75" x14ac:dyDescent="0.25">
      <c r="B63" s="58"/>
      <c r="C63" s="61"/>
      <c r="D63" s="61"/>
      <c r="E63" s="61"/>
      <c r="F63" s="61"/>
      <c r="G63" s="60"/>
      <c r="H63" s="16"/>
      <c r="I63" s="16"/>
      <c r="J63" s="16"/>
      <c r="K63" s="64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59"/>
    </row>
    <row r="64" spans="2:23" ht="15.75" x14ac:dyDescent="0.25">
      <c r="B64" s="58"/>
      <c r="C64" s="61"/>
      <c r="D64" s="61"/>
      <c r="E64" s="61"/>
      <c r="F64" s="61"/>
      <c r="G64" s="60"/>
      <c r="H64" s="16"/>
      <c r="I64" s="16"/>
      <c r="J64" s="16"/>
      <c r="K64" s="64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59"/>
    </row>
    <row r="65" spans="2:23" ht="15.75" x14ac:dyDescent="0.25">
      <c r="B65" s="58"/>
      <c r="C65" s="61"/>
      <c r="D65" s="61"/>
      <c r="E65" s="61"/>
      <c r="F65" s="61"/>
      <c r="G65" s="60"/>
      <c r="H65" s="16"/>
      <c r="I65" s="16"/>
      <c r="J65" s="16"/>
      <c r="K65" s="64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59"/>
    </row>
    <row r="66" spans="2:23" ht="15.75" x14ac:dyDescent="0.25">
      <c r="B66" s="58"/>
      <c r="C66" s="61"/>
      <c r="D66" s="61"/>
      <c r="E66" s="61"/>
      <c r="F66" s="61"/>
      <c r="G66" s="60"/>
      <c r="H66" s="16"/>
      <c r="I66" s="16"/>
      <c r="J66" s="16"/>
      <c r="K66" s="64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59"/>
    </row>
    <row r="67" spans="2:23" ht="15.75" x14ac:dyDescent="0.25">
      <c r="B67" s="58"/>
      <c r="C67" s="61"/>
      <c r="D67" s="61"/>
      <c r="E67" s="61"/>
      <c r="F67" s="61"/>
      <c r="G67" s="60"/>
      <c r="H67" s="16"/>
      <c r="I67" s="16"/>
      <c r="J67" s="16"/>
      <c r="K67" s="64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59"/>
    </row>
    <row r="68" spans="2:23" ht="19.5" x14ac:dyDescent="0.3">
      <c r="B68" s="58"/>
      <c r="C68" s="286" t="s">
        <v>663</v>
      </c>
      <c r="D68" s="275"/>
      <c r="E68" s="275"/>
      <c r="F68" s="275"/>
      <c r="G68" s="61"/>
      <c r="H68" s="61"/>
      <c r="I68" s="61"/>
      <c r="J68" s="61"/>
      <c r="K68" s="61"/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16"/>
      <c r="W68" s="59"/>
    </row>
    <row r="69" spans="2:23" ht="15.75" x14ac:dyDescent="0.25">
      <c r="B69" s="58"/>
      <c r="C69" s="465" t="s">
        <v>614</v>
      </c>
      <c r="D69" s="465"/>
      <c r="E69" s="465"/>
      <c r="F69" s="465"/>
      <c r="G69" s="465"/>
      <c r="H69" s="465"/>
      <c r="I69" s="465"/>
      <c r="J69" s="465"/>
      <c r="K69" s="465"/>
      <c r="L69" s="465"/>
      <c r="M69" s="465"/>
      <c r="N69" s="465"/>
      <c r="O69" s="465"/>
      <c r="P69" s="465"/>
      <c r="Q69" s="465"/>
      <c r="R69" s="465"/>
      <c r="S69" s="465"/>
      <c r="T69" s="465"/>
      <c r="U69" s="61"/>
      <c r="V69" s="16"/>
      <c r="W69" s="59"/>
    </row>
    <row r="70" spans="2:23" ht="15.75" x14ac:dyDescent="0.25">
      <c r="B70" s="58"/>
      <c r="C70" s="465"/>
      <c r="D70" s="465"/>
      <c r="E70" s="465"/>
      <c r="F70" s="465"/>
      <c r="G70" s="465"/>
      <c r="H70" s="465"/>
      <c r="I70" s="465"/>
      <c r="J70" s="465"/>
      <c r="K70" s="465"/>
      <c r="L70" s="465"/>
      <c r="M70" s="465"/>
      <c r="N70" s="465"/>
      <c r="O70" s="465"/>
      <c r="P70" s="465"/>
      <c r="Q70" s="465"/>
      <c r="R70" s="465"/>
      <c r="S70" s="465"/>
      <c r="T70" s="465"/>
      <c r="U70" s="61"/>
      <c r="V70" s="16"/>
      <c r="W70" s="59"/>
    </row>
    <row r="71" spans="2:23" ht="15.75" x14ac:dyDescent="0.25">
      <c r="B71" s="58"/>
      <c r="C71" s="278" t="s">
        <v>600</v>
      </c>
      <c r="D71" s="465" t="s">
        <v>615</v>
      </c>
      <c r="E71" s="465"/>
      <c r="F71" s="465"/>
      <c r="G71" s="465"/>
      <c r="H71" s="465"/>
      <c r="I71" s="465"/>
      <c r="J71" s="465"/>
      <c r="K71" s="465"/>
      <c r="L71" s="465"/>
      <c r="M71" s="465"/>
      <c r="N71" s="465"/>
      <c r="O71" s="465"/>
      <c r="P71" s="465"/>
      <c r="Q71" s="465"/>
      <c r="R71" s="465"/>
      <c r="S71" s="465"/>
      <c r="T71" s="465"/>
      <c r="U71" s="61"/>
      <c r="V71" s="16"/>
      <c r="W71" s="59"/>
    </row>
    <row r="72" spans="2:23" ht="15.75" x14ac:dyDescent="0.25">
      <c r="B72" s="58"/>
      <c r="C72" s="278" t="s">
        <v>601</v>
      </c>
      <c r="D72" s="465" t="s">
        <v>616</v>
      </c>
      <c r="E72" s="465"/>
      <c r="F72" s="465"/>
      <c r="G72" s="465"/>
      <c r="H72" s="465"/>
      <c r="I72" s="465"/>
      <c r="J72" s="465"/>
      <c r="K72" s="465"/>
      <c r="L72" s="465"/>
      <c r="M72" s="465"/>
      <c r="N72" s="465"/>
      <c r="O72" s="465"/>
      <c r="P72" s="465"/>
      <c r="Q72" s="465"/>
      <c r="R72" s="465"/>
      <c r="S72" s="465"/>
      <c r="T72" s="465"/>
      <c r="U72" s="61"/>
      <c r="V72" s="16"/>
      <c r="W72" s="59"/>
    </row>
    <row r="73" spans="2:23" ht="15.75" x14ac:dyDescent="0.25">
      <c r="B73" s="58"/>
      <c r="C73" s="279"/>
      <c r="D73" s="465"/>
      <c r="E73" s="465"/>
      <c r="F73" s="465"/>
      <c r="G73" s="465"/>
      <c r="H73" s="465"/>
      <c r="I73" s="465"/>
      <c r="J73" s="465"/>
      <c r="K73" s="465"/>
      <c r="L73" s="465"/>
      <c r="M73" s="465"/>
      <c r="N73" s="465"/>
      <c r="O73" s="465"/>
      <c r="P73" s="465"/>
      <c r="Q73" s="465"/>
      <c r="R73" s="465"/>
      <c r="S73" s="465"/>
      <c r="T73" s="465"/>
      <c r="U73" s="61"/>
      <c r="V73" s="16"/>
      <c r="W73" s="59"/>
    </row>
    <row r="74" spans="2:23" ht="15.75" x14ac:dyDescent="0.25">
      <c r="B74" s="58"/>
      <c r="C74" s="279"/>
      <c r="D74" s="465"/>
      <c r="E74" s="465"/>
      <c r="F74" s="465"/>
      <c r="G74" s="465"/>
      <c r="H74" s="465"/>
      <c r="I74" s="465"/>
      <c r="J74" s="465"/>
      <c r="K74" s="465"/>
      <c r="L74" s="465"/>
      <c r="M74" s="465"/>
      <c r="N74" s="465"/>
      <c r="O74" s="465"/>
      <c r="P74" s="465"/>
      <c r="Q74" s="465"/>
      <c r="R74" s="465"/>
      <c r="S74" s="465"/>
      <c r="T74" s="465"/>
      <c r="U74" s="61"/>
      <c r="V74" s="16"/>
      <c r="W74" s="59"/>
    </row>
    <row r="75" spans="2:23" ht="15.75" x14ac:dyDescent="0.25">
      <c r="B75" s="58"/>
      <c r="C75" s="465" t="s">
        <v>620</v>
      </c>
      <c r="D75" s="465"/>
      <c r="E75" s="465"/>
      <c r="F75" s="465"/>
      <c r="G75" s="465"/>
      <c r="H75" s="465"/>
      <c r="I75" s="465"/>
      <c r="J75" s="465"/>
      <c r="K75" s="465"/>
      <c r="L75" s="465"/>
      <c r="M75" s="465"/>
      <c r="N75" s="465"/>
      <c r="O75" s="465"/>
      <c r="P75" s="465"/>
      <c r="Q75" s="465"/>
      <c r="R75" s="465"/>
      <c r="S75" s="465"/>
      <c r="T75" s="465"/>
      <c r="U75" s="61"/>
      <c r="V75" s="16"/>
      <c r="W75" s="59"/>
    </row>
    <row r="76" spans="2:23" ht="15.75" x14ac:dyDescent="0.25">
      <c r="B76" s="58"/>
      <c r="C76" s="280" t="s">
        <v>602</v>
      </c>
      <c r="D76" s="281"/>
      <c r="E76" s="281"/>
      <c r="F76" s="281"/>
      <c r="G76" s="281"/>
      <c r="H76" s="281"/>
      <c r="I76" s="281"/>
      <c r="J76" s="281"/>
      <c r="K76" s="281"/>
      <c r="L76" s="281"/>
      <c r="M76" s="281"/>
      <c r="N76" s="281"/>
      <c r="O76" s="281"/>
      <c r="P76" s="281"/>
      <c r="Q76" s="281"/>
      <c r="R76" s="281"/>
      <c r="S76" s="281"/>
      <c r="T76" s="281"/>
      <c r="U76" s="61"/>
      <c r="V76" s="16"/>
      <c r="W76" s="59"/>
    </row>
    <row r="77" spans="2:23" ht="15.75" x14ac:dyDescent="0.25">
      <c r="B77" s="58"/>
      <c r="C77" s="281" t="s">
        <v>192</v>
      </c>
      <c r="D77" s="281"/>
      <c r="E77" s="61"/>
      <c r="F77" s="281" t="s">
        <v>617</v>
      </c>
      <c r="G77" s="281"/>
      <c r="H77" s="281"/>
      <c r="I77" s="281"/>
      <c r="J77" s="281"/>
      <c r="K77" s="281"/>
      <c r="L77" s="281"/>
      <c r="M77" s="281"/>
      <c r="N77" s="281"/>
      <c r="O77" s="281"/>
      <c r="P77" s="281"/>
      <c r="Q77" s="281"/>
      <c r="R77" s="281"/>
      <c r="S77" s="281"/>
      <c r="T77" s="281"/>
      <c r="U77" s="61"/>
      <c r="V77" s="16"/>
      <c r="W77" s="59"/>
    </row>
    <row r="78" spans="2:23" ht="15.75" x14ac:dyDescent="0.25">
      <c r="B78" s="58"/>
      <c r="C78" s="281" t="s">
        <v>603</v>
      </c>
      <c r="D78" s="281"/>
      <c r="E78" s="61"/>
      <c r="F78" s="281" t="s">
        <v>604</v>
      </c>
      <c r="G78" s="281"/>
      <c r="H78" s="281"/>
      <c r="I78" s="281"/>
      <c r="J78" s="281"/>
      <c r="K78" s="281"/>
      <c r="L78" s="281"/>
      <c r="M78" s="281"/>
      <c r="N78" s="281"/>
      <c r="O78" s="281"/>
      <c r="P78" s="281"/>
      <c r="Q78" s="281"/>
      <c r="R78" s="281"/>
      <c r="S78" s="281"/>
      <c r="T78" s="281"/>
      <c r="U78" s="61"/>
      <c r="V78" s="16"/>
      <c r="W78" s="59"/>
    </row>
    <row r="79" spans="2:23" ht="15.75" x14ac:dyDescent="0.25">
      <c r="B79" s="58"/>
      <c r="C79" s="281" t="s">
        <v>605</v>
      </c>
      <c r="D79" s="281"/>
      <c r="E79" s="281"/>
      <c r="F79" s="281" t="s">
        <v>606</v>
      </c>
      <c r="G79" s="281"/>
      <c r="H79" s="281"/>
      <c r="I79" s="281"/>
      <c r="J79" s="281"/>
      <c r="K79" s="281"/>
      <c r="L79" s="281"/>
      <c r="M79" s="281"/>
      <c r="N79" s="281"/>
      <c r="O79" s="281"/>
      <c r="P79" s="281"/>
      <c r="Q79" s="281"/>
      <c r="R79" s="281"/>
      <c r="S79" s="281"/>
      <c r="T79" s="281"/>
      <c r="U79" s="61"/>
      <c r="V79" s="16"/>
      <c r="W79" s="59"/>
    </row>
    <row r="80" spans="2:23" ht="15.75" x14ac:dyDescent="0.25">
      <c r="B80" s="58"/>
      <c r="C80" s="61" t="s">
        <v>607</v>
      </c>
      <c r="D80" s="281"/>
      <c r="E80" s="281"/>
      <c r="F80" s="281"/>
      <c r="G80" s="281"/>
      <c r="H80" s="281"/>
      <c r="I80" s="281" t="s">
        <v>608</v>
      </c>
      <c r="J80" s="281"/>
      <c r="K80" s="281"/>
      <c r="L80" s="281"/>
      <c r="M80" s="281"/>
      <c r="N80" s="281"/>
      <c r="O80" s="281"/>
      <c r="P80" s="281"/>
      <c r="Q80" s="281"/>
      <c r="R80" s="281"/>
      <c r="S80" s="281"/>
      <c r="T80" s="281"/>
      <c r="U80" s="61"/>
      <c r="V80" s="16"/>
      <c r="W80" s="59"/>
    </row>
    <row r="81" spans="2:23" ht="15.75" x14ac:dyDescent="0.25">
      <c r="B81" s="58"/>
      <c r="C81" s="282" t="s">
        <v>609</v>
      </c>
      <c r="D81" s="466" t="s">
        <v>500</v>
      </c>
      <c r="E81" s="466"/>
      <c r="F81" s="466"/>
      <c r="G81" s="466"/>
      <c r="H81" s="283" t="s">
        <v>618</v>
      </c>
      <c r="I81" s="324" t="s">
        <v>841</v>
      </c>
      <c r="J81" s="281"/>
      <c r="K81" s="281"/>
      <c r="L81" s="281"/>
      <c r="M81" s="281"/>
      <c r="N81" s="281"/>
      <c r="O81" s="281"/>
      <c r="P81" s="281"/>
      <c r="Q81" s="281"/>
      <c r="R81" s="281"/>
      <c r="S81" s="281"/>
      <c r="T81" s="281"/>
      <c r="U81" s="61"/>
      <c r="V81" s="16"/>
      <c r="W81" s="59"/>
    </row>
    <row r="82" spans="2:23" ht="15.75" x14ac:dyDescent="0.25">
      <c r="B82" s="58"/>
      <c r="C82" s="284" t="s">
        <v>610</v>
      </c>
      <c r="D82" s="466" t="s">
        <v>593</v>
      </c>
      <c r="E82" s="466"/>
      <c r="F82" s="466"/>
      <c r="G82" s="466"/>
      <c r="H82" s="283" t="s">
        <v>619</v>
      </c>
      <c r="I82" s="281"/>
      <c r="J82" s="281"/>
      <c r="K82" s="281"/>
      <c r="L82" s="281"/>
      <c r="M82" s="281"/>
      <c r="N82" s="281"/>
      <c r="O82" s="281"/>
      <c r="P82" s="281"/>
      <c r="Q82" s="281"/>
      <c r="R82" s="281"/>
      <c r="S82" s="281"/>
      <c r="T82" s="281"/>
      <c r="U82" s="61"/>
      <c r="V82" s="16"/>
      <c r="W82" s="59"/>
    </row>
    <row r="83" spans="2:23" ht="15.75" x14ac:dyDescent="0.25">
      <c r="B83" s="58"/>
      <c r="C83" s="284" t="s">
        <v>611</v>
      </c>
      <c r="D83" s="466" t="s">
        <v>594</v>
      </c>
      <c r="E83" s="466"/>
      <c r="F83" s="466"/>
      <c r="G83" s="466"/>
      <c r="H83" s="283">
        <v>1.43</v>
      </c>
      <c r="I83" s="324" t="s">
        <v>842</v>
      </c>
      <c r="J83" s="281"/>
      <c r="K83" s="281"/>
      <c r="L83" s="281"/>
      <c r="M83" s="281"/>
      <c r="N83" s="281"/>
      <c r="O83" s="281"/>
      <c r="P83" s="281"/>
      <c r="Q83" s="281"/>
      <c r="R83" s="281"/>
      <c r="S83" s="281"/>
      <c r="T83" s="281"/>
      <c r="U83" s="61"/>
      <c r="V83" s="16"/>
      <c r="W83" s="59"/>
    </row>
    <row r="84" spans="2:23" ht="15.75" x14ac:dyDescent="0.25">
      <c r="B84" s="58"/>
      <c r="C84" s="284" t="s">
        <v>612</v>
      </c>
      <c r="D84" s="466" t="s">
        <v>595</v>
      </c>
      <c r="E84" s="466"/>
      <c r="F84" s="466"/>
      <c r="G84" s="466"/>
      <c r="H84" s="283">
        <v>2.0499999999999998</v>
      </c>
      <c r="I84" s="324" t="s">
        <v>843</v>
      </c>
      <c r="J84" s="281"/>
      <c r="K84" s="281"/>
      <c r="L84" s="281"/>
      <c r="M84" s="281"/>
      <c r="N84" s="281"/>
      <c r="O84" s="281"/>
      <c r="P84" s="281"/>
      <c r="Q84" s="281"/>
      <c r="R84" s="281"/>
      <c r="S84" s="281"/>
      <c r="T84" s="281"/>
      <c r="U84" s="61"/>
      <c r="V84" s="16"/>
      <c r="W84" s="59"/>
    </row>
    <row r="85" spans="2:23" ht="15.75" x14ac:dyDescent="0.25">
      <c r="B85" s="58"/>
      <c r="C85" s="284" t="s">
        <v>613</v>
      </c>
      <c r="D85" s="466" t="s">
        <v>597</v>
      </c>
      <c r="E85" s="466"/>
      <c r="F85" s="466"/>
      <c r="G85" s="466"/>
      <c r="H85" s="285">
        <v>0.7</v>
      </c>
      <c r="I85" s="471" t="s">
        <v>844</v>
      </c>
      <c r="J85" s="465"/>
      <c r="K85" s="465"/>
      <c r="L85" s="465"/>
      <c r="M85" s="465"/>
      <c r="N85" s="465"/>
      <c r="O85" s="465"/>
      <c r="P85" s="465"/>
      <c r="Q85" s="465"/>
      <c r="R85" s="465"/>
      <c r="S85" s="465"/>
      <c r="T85" s="465"/>
      <c r="U85" s="61"/>
      <c r="V85" s="16"/>
      <c r="W85" s="59"/>
    </row>
    <row r="86" spans="2:23" ht="15.75" x14ac:dyDescent="0.25">
      <c r="B86" s="58"/>
      <c r="C86" s="281"/>
      <c r="D86" s="281"/>
      <c r="E86" s="281"/>
      <c r="F86" s="281"/>
      <c r="G86" s="281"/>
      <c r="H86" s="281"/>
      <c r="I86" s="465"/>
      <c r="J86" s="465"/>
      <c r="K86" s="465"/>
      <c r="L86" s="465"/>
      <c r="M86" s="465"/>
      <c r="N86" s="465"/>
      <c r="O86" s="465"/>
      <c r="P86" s="465"/>
      <c r="Q86" s="465"/>
      <c r="R86" s="465"/>
      <c r="S86" s="465"/>
      <c r="T86" s="465"/>
      <c r="U86" s="61"/>
      <c r="V86" s="16"/>
      <c r="W86" s="59"/>
    </row>
    <row r="87" spans="2:23" x14ac:dyDescent="0.25">
      <c r="B87" s="58"/>
      <c r="C87" s="276"/>
      <c r="D87" s="276"/>
      <c r="E87" s="276"/>
      <c r="F87" s="276"/>
      <c r="G87" s="276"/>
      <c r="H87" s="276"/>
      <c r="I87" s="277"/>
      <c r="J87" s="277"/>
      <c r="K87" s="277"/>
      <c r="L87" s="277"/>
      <c r="M87" s="277"/>
      <c r="N87" s="277"/>
      <c r="O87" s="277"/>
      <c r="P87" s="277"/>
      <c r="Q87" s="277"/>
      <c r="R87" s="277"/>
      <c r="S87" s="277"/>
      <c r="T87" s="277"/>
      <c r="U87" s="16"/>
      <c r="V87" s="16"/>
      <c r="W87" s="59"/>
    </row>
    <row r="88" spans="2:23" ht="20.25" thickBot="1" x14ac:dyDescent="0.35">
      <c r="B88" s="58"/>
      <c r="C88" s="429" t="s">
        <v>664</v>
      </c>
      <c r="D88" s="429"/>
      <c r="E88" s="429"/>
      <c r="F88" s="429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59"/>
    </row>
    <row r="89" spans="2:23" ht="15" customHeight="1" thickTop="1" x14ac:dyDescent="0.25">
      <c r="B89" s="58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59"/>
    </row>
    <row r="90" spans="2:23" ht="15" customHeight="1" x14ac:dyDescent="0.25">
      <c r="B90" s="58"/>
      <c r="C90" s="67" t="s">
        <v>98</v>
      </c>
      <c r="D90" s="61" t="s">
        <v>804</v>
      </c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59"/>
    </row>
    <row r="91" spans="2:23" ht="15" customHeight="1" x14ac:dyDescent="0.25">
      <c r="B91" s="58"/>
      <c r="C91" s="67" t="s">
        <v>99</v>
      </c>
      <c r="D91" s="61" t="s">
        <v>805</v>
      </c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59"/>
    </row>
    <row r="92" spans="2:23" ht="15" customHeight="1" x14ac:dyDescent="0.25">
      <c r="B92" s="58"/>
      <c r="C92" s="67" t="s">
        <v>91</v>
      </c>
      <c r="D92" s="393" t="s">
        <v>214</v>
      </c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59"/>
    </row>
    <row r="93" spans="2:23" ht="15" customHeight="1" x14ac:dyDescent="0.25">
      <c r="B93" s="58"/>
      <c r="C93" s="67" t="s">
        <v>211</v>
      </c>
      <c r="D93" s="393" t="s">
        <v>215</v>
      </c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59"/>
    </row>
    <row r="94" spans="2:23" ht="15" customHeight="1" x14ac:dyDescent="0.25">
      <c r="B94" s="58"/>
      <c r="C94" s="67" t="s">
        <v>218</v>
      </c>
      <c r="D94" s="393" t="s">
        <v>380</v>
      </c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59"/>
    </row>
    <row r="95" spans="2:23" ht="15" customHeight="1" x14ac:dyDescent="0.25">
      <c r="B95" s="58"/>
      <c r="C95" s="67"/>
      <c r="D95" s="393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59"/>
    </row>
    <row r="96" spans="2:23" ht="20.25" customHeight="1" thickBot="1" x14ac:dyDescent="0.35">
      <c r="B96" s="58"/>
      <c r="C96" s="429" t="s">
        <v>822</v>
      </c>
      <c r="D96" s="429"/>
      <c r="E96" s="429"/>
      <c r="F96" s="429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59"/>
    </row>
    <row r="97" spans="2:23" ht="21.75" customHeight="1" thickTop="1" x14ac:dyDescent="0.25">
      <c r="B97" s="58"/>
      <c r="C97" s="73" t="s">
        <v>845</v>
      </c>
      <c r="D97" s="393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59"/>
    </row>
    <row r="98" spans="2:23" ht="31.5" customHeight="1" x14ac:dyDescent="0.25">
      <c r="B98" s="58"/>
      <c r="C98" s="404" t="s">
        <v>825</v>
      </c>
      <c r="D98" s="405"/>
      <c r="E98" s="406"/>
      <c r="F98" s="407"/>
      <c r="G98" s="467" t="s">
        <v>884</v>
      </c>
      <c r="H98" s="468"/>
      <c r="I98" s="467" t="s">
        <v>885</v>
      </c>
      <c r="J98" s="468"/>
      <c r="K98" s="467" t="s">
        <v>886</v>
      </c>
      <c r="L98" s="468"/>
      <c r="M98" s="483" t="s">
        <v>826</v>
      </c>
      <c r="N98" s="484"/>
      <c r="O98" s="346" t="s">
        <v>199</v>
      </c>
      <c r="P98" s="16"/>
      <c r="Q98" s="16"/>
      <c r="R98" s="16"/>
      <c r="S98" s="16"/>
      <c r="T98" s="16"/>
      <c r="U98" s="16"/>
      <c r="V98" s="16"/>
      <c r="W98" s="59"/>
    </row>
    <row r="99" spans="2:23" ht="15.75" customHeight="1" thickBot="1" x14ac:dyDescent="0.3">
      <c r="B99" s="58"/>
      <c r="C99" s="396" t="str">
        <f>'LJC-AD'!D9</f>
        <v>Maximum Airflow Rate</v>
      </c>
      <c r="D99" s="393"/>
      <c r="E99" s="16"/>
      <c r="F99" s="397"/>
      <c r="G99" s="469">
        <v>100</v>
      </c>
      <c r="H99" s="470"/>
      <c r="I99" s="469">
        <v>360</v>
      </c>
      <c r="J99" s="470"/>
      <c r="K99" s="469">
        <v>220</v>
      </c>
      <c r="L99" s="470"/>
      <c r="M99" s="485" t="s">
        <v>828</v>
      </c>
      <c r="N99" s="486"/>
      <c r="O99" s="491" t="s">
        <v>746</v>
      </c>
      <c r="P99" s="492"/>
      <c r="Q99" s="487" t="s">
        <v>830</v>
      </c>
      <c r="R99" s="488"/>
      <c r="S99" s="16"/>
      <c r="T99" s="16"/>
      <c r="U99" s="16"/>
      <c r="V99" s="16"/>
      <c r="W99" s="59"/>
    </row>
    <row r="100" spans="2:23" ht="15.75" customHeight="1" thickTop="1" x14ac:dyDescent="0.25">
      <c r="B100" s="58"/>
      <c r="C100" s="398" t="str">
        <f>'LJC-AD'!D11</f>
        <v>VAV (turndown to)</v>
      </c>
      <c r="D100" s="393"/>
      <c r="E100" s="16"/>
      <c r="F100" s="397"/>
      <c r="G100" s="469">
        <v>100</v>
      </c>
      <c r="H100" s="470"/>
      <c r="I100" s="469">
        <v>100</v>
      </c>
      <c r="J100" s="470"/>
      <c r="K100" s="469">
        <v>100</v>
      </c>
      <c r="L100" s="470"/>
      <c r="M100" s="485" t="s">
        <v>829</v>
      </c>
      <c r="N100" s="486"/>
      <c r="O100" s="16"/>
      <c r="P100" s="16"/>
      <c r="Q100" s="16"/>
      <c r="R100" s="16"/>
      <c r="S100" s="16"/>
      <c r="T100" s="16"/>
      <c r="U100" s="16"/>
      <c r="V100" s="16"/>
      <c r="W100" s="59"/>
    </row>
    <row r="101" spans="2:23" ht="15.75" customHeight="1" x14ac:dyDescent="0.25">
      <c r="B101" s="58"/>
      <c r="C101" s="398" t="str">
        <f>'LJC-AD'!D13</f>
        <v>Maximum Permissible Static Pressure</v>
      </c>
      <c r="D101" s="393"/>
      <c r="E101" s="16"/>
      <c r="F101" s="397"/>
      <c r="G101" s="469">
        <v>30</v>
      </c>
      <c r="H101" s="470"/>
      <c r="I101" s="469">
        <v>30</v>
      </c>
      <c r="J101" s="470"/>
      <c r="K101" s="469">
        <v>0.121</v>
      </c>
      <c r="L101" s="470"/>
      <c r="M101" s="485" t="s">
        <v>831</v>
      </c>
      <c r="N101" s="486"/>
      <c r="O101" s="16"/>
      <c r="P101" s="16"/>
      <c r="Q101" s="16"/>
      <c r="R101" s="16"/>
      <c r="S101" s="16"/>
      <c r="T101" s="16"/>
      <c r="U101" s="16"/>
      <c r="V101" s="16"/>
      <c r="W101" s="59"/>
    </row>
    <row r="102" spans="2:23" ht="15.75" customHeight="1" x14ac:dyDescent="0.25">
      <c r="B102" s="58"/>
      <c r="C102" s="398" t="str">
        <f>'LJC-AD'!D15</f>
        <v>ΔT (cooling)</v>
      </c>
      <c r="D102" s="393"/>
      <c r="E102" s="16"/>
      <c r="F102" s="397"/>
      <c r="G102" s="469">
        <v>-12</v>
      </c>
      <c r="H102" s="470"/>
      <c r="I102" s="469">
        <v>-12</v>
      </c>
      <c r="J102" s="470"/>
      <c r="K102" s="469">
        <v>-22</v>
      </c>
      <c r="L102" s="470"/>
      <c r="M102" s="485" t="s">
        <v>832</v>
      </c>
      <c r="N102" s="486"/>
      <c r="O102" s="16"/>
      <c r="P102" s="16"/>
      <c r="Q102" s="16"/>
      <c r="R102" s="16"/>
      <c r="S102" s="16"/>
      <c r="T102" s="16"/>
      <c r="U102" s="16"/>
      <c r="V102" s="16"/>
      <c r="W102" s="59"/>
    </row>
    <row r="103" spans="2:23" ht="15.75" customHeight="1" x14ac:dyDescent="0.25">
      <c r="B103" s="58"/>
      <c r="C103" s="398" t="str">
        <f>'LJC-AD'!D17</f>
        <v>Diffuser Height</v>
      </c>
      <c r="D103" s="393"/>
      <c r="E103" s="16"/>
      <c r="F103" s="397"/>
      <c r="G103" s="469">
        <v>3.2</v>
      </c>
      <c r="H103" s="470"/>
      <c r="I103" s="469">
        <v>3.2</v>
      </c>
      <c r="J103" s="470"/>
      <c r="K103" s="469">
        <v>10</v>
      </c>
      <c r="L103" s="470"/>
      <c r="M103" s="485" t="s">
        <v>833</v>
      </c>
      <c r="N103" s="486"/>
      <c r="O103" s="16"/>
      <c r="P103" s="16"/>
      <c r="Q103" s="16"/>
      <c r="R103" s="16"/>
      <c r="S103" s="16"/>
      <c r="T103" s="16"/>
      <c r="U103" s="16"/>
      <c r="V103" s="16"/>
      <c r="W103" s="59"/>
    </row>
    <row r="104" spans="2:23" ht="15.75" customHeight="1" x14ac:dyDescent="0.25">
      <c r="B104" s="58"/>
      <c r="C104" s="398" t="str">
        <f>'LJC-AD'!D19</f>
        <v>Active Length Ratio (see diagram)</v>
      </c>
      <c r="D104" s="393"/>
      <c r="E104" s="16"/>
      <c r="F104" s="397"/>
      <c r="G104" s="469">
        <v>0.5</v>
      </c>
      <c r="H104" s="470"/>
      <c r="I104" s="469">
        <v>0.5</v>
      </c>
      <c r="J104" s="470"/>
      <c r="K104" s="469">
        <v>0.5</v>
      </c>
      <c r="L104" s="470"/>
      <c r="M104" s="485" t="s">
        <v>834</v>
      </c>
      <c r="N104" s="486"/>
      <c r="O104" s="16"/>
      <c r="P104" s="16"/>
      <c r="Q104" s="16"/>
      <c r="R104" s="16"/>
      <c r="S104" s="16"/>
      <c r="T104" s="16"/>
      <c r="U104" s="16"/>
      <c r="V104" s="16"/>
      <c r="W104" s="59"/>
    </row>
    <row r="105" spans="2:23" ht="15.75" x14ac:dyDescent="0.25">
      <c r="B105" s="58"/>
      <c r="C105" s="398" t="str">
        <f>'LJC-AD'!M9</f>
        <v>Air Pattern</v>
      </c>
      <c r="D105" s="393"/>
      <c r="E105" s="16"/>
      <c r="F105" s="397"/>
      <c r="G105" s="469" t="s">
        <v>60</v>
      </c>
      <c r="H105" s="470"/>
      <c r="I105" s="469" t="s">
        <v>60</v>
      </c>
      <c r="J105" s="470"/>
      <c r="K105" s="469" t="s">
        <v>60</v>
      </c>
      <c r="L105" s="470"/>
      <c r="M105" s="485"/>
      <c r="N105" s="486"/>
      <c r="O105" s="16"/>
      <c r="P105" s="16"/>
      <c r="Q105" s="16"/>
      <c r="R105" s="16"/>
      <c r="S105" s="16"/>
      <c r="T105" s="16"/>
      <c r="U105" s="16"/>
      <c r="V105" s="16"/>
      <c r="W105" s="59"/>
    </row>
    <row r="106" spans="2:23" ht="15.75" x14ac:dyDescent="0.25">
      <c r="B106" s="58"/>
      <c r="C106" s="398" t="s">
        <v>9</v>
      </c>
      <c r="D106" s="393"/>
      <c r="E106" s="16"/>
      <c r="F106" s="397"/>
      <c r="G106" s="479">
        <v>0.9</v>
      </c>
      <c r="H106" s="470"/>
      <c r="I106" s="479">
        <v>0.9</v>
      </c>
      <c r="J106" s="470"/>
      <c r="K106" s="479">
        <v>0.9</v>
      </c>
      <c r="L106" s="470"/>
      <c r="M106" s="485"/>
      <c r="N106" s="486"/>
      <c r="O106" s="16"/>
      <c r="P106" s="16"/>
      <c r="Q106" s="16"/>
      <c r="R106" s="16"/>
      <c r="S106" s="16"/>
      <c r="T106" s="16"/>
      <c r="U106" s="16"/>
      <c r="V106" s="16"/>
      <c r="W106" s="59"/>
    </row>
    <row r="107" spans="2:23" ht="15.75" x14ac:dyDescent="0.25">
      <c r="B107" s="58"/>
      <c r="C107" s="399" t="s">
        <v>62</v>
      </c>
      <c r="D107" s="393"/>
      <c r="E107" s="16"/>
      <c r="F107" s="397"/>
      <c r="G107" s="469" t="s">
        <v>35</v>
      </c>
      <c r="H107" s="470"/>
      <c r="I107" s="469" t="s">
        <v>35</v>
      </c>
      <c r="J107" s="470"/>
      <c r="K107" s="469" t="s">
        <v>35</v>
      </c>
      <c r="L107" s="470"/>
      <c r="M107" s="485"/>
      <c r="N107" s="486"/>
      <c r="O107" s="16"/>
      <c r="P107" s="16"/>
      <c r="Q107" s="16"/>
      <c r="R107" s="16"/>
      <c r="S107" s="16"/>
      <c r="T107" s="16"/>
      <c r="U107" s="16"/>
      <c r="V107" s="16"/>
      <c r="W107" s="59"/>
    </row>
    <row r="108" spans="2:23" ht="15.75" customHeight="1" x14ac:dyDescent="0.25">
      <c r="B108" s="58"/>
      <c r="C108" s="398" t="s">
        <v>823</v>
      </c>
      <c r="D108" s="393"/>
      <c r="E108" s="16"/>
      <c r="F108" s="397"/>
      <c r="G108" s="480" t="s">
        <v>827</v>
      </c>
      <c r="H108" s="470"/>
      <c r="I108" s="480" t="s">
        <v>827</v>
      </c>
      <c r="J108" s="470"/>
      <c r="K108" s="480" t="s">
        <v>827</v>
      </c>
      <c r="L108" s="470"/>
      <c r="M108" s="485"/>
      <c r="N108" s="486"/>
      <c r="O108" s="16"/>
      <c r="P108" s="16"/>
      <c r="Q108" s="16"/>
      <c r="R108" s="16"/>
      <c r="S108" s="16"/>
      <c r="T108" s="16"/>
      <c r="U108" s="16"/>
      <c r="V108" s="16"/>
      <c r="W108" s="59"/>
    </row>
    <row r="109" spans="2:23" ht="15.75" customHeight="1" x14ac:dyDescent="0.25">
      <c r="B109" s="58"/>
      <c r="C109" s="398" t="s">
        <v>421</v>
      </c>
      <c r="D109" s="393"/>
      <c r="E109" s="16"/>
      <c r="F109" s="397"/>
      <c r="G109" s="469">
        <v>7</v>
      </c>
      <c r="H109" s="470"/>
      <c r="I109" s="469">
        <v>7</v>
      </c>
      <c r="J109" s="470"/>
      <c r="K109" s="469">
        <v>23</v>
      </c>
      <c r="L109" s="470"/>
      <c r="M109" s="485" t="s">
        <v>835</v>
      </c>
      <c r="N109" s="486"/>
      <c r="O109" s="16"/>
      <c r="P109" s="16"/>
      <c r="Q109" s="16"/>
      <c r="R109" s="16"/>
      <c r="S109" s="16"/>
      <c r="T109" s="16"/>
      <c r="U109" s="16"/>
      <c r="V109" s="16"/>
      <c r="W109" s="59"/>
    </row>
    <row r="110" spans="2:23" ht="15.75" customHeight="1" x14ac:dyDescent="0.25">
      <c r="B110" s="58"/>
      <c r="C110" s="398" t="s">
        <v>163</v>
      </c>
      <c r="D110" s="393"/>
      <c r="E110" s="16"/>
      <c r="F110" s="397"/>
      <c r="G110" s="469">
        <v>5</v>
      </c>
      <c r="H110" s="470"/>
      <c r="I110" s="469">
        <v>18</v>
      </c>
      <c r="J110" s="470"/>
      <c r="K110" s="469">
        <v>1</v>
      </c>
      <c r="L110" s="470"/>
      <c r="M110" s="485" t="s">
        <v>836</v>
      </c>
      <c r="N110" s="486"/>
      <c r="O110" s="16"/>
      <c r="P110" s="16"/>
      <c r="Q110" s="16"/>
      <c r="R110" s="16"/>
      <c r="S110" s="16"/>
      <c r="T110" s="16"/>
      <c r="U110" s="16"/>
      <c r="V110" s="16"/>
      <c r="W110" s="59"/>
    </row>
    <row r="111" spans="2:23" ht="15.75" customHeight="1" x14ac:dyDescent="0.25">
      <c r="B111" s="58"/>
      <c r="C111" s="398" t="s">
        <v>487</v>
      </c>
      <c r="D111" s="393"/>
      <c r="E111" s="16"/>
      <c r="F111" s="397"/>
      <c r="G111" s="469">
        <v>23</v>
      </c>
      <c r="H111" s="470"/>
      <c r="I111" s="469">
        <v>23</v>
      </c>
      <c r="J111" s="470"/>
      <c r="K111" s="469">
        <v>73</v>
      </c>
      <c r="L111" s="470"/>
      <c r="M111" s="485" t="s">
        <v>837</v>
      </c>
      <c r="N111" s="486"/>
      <c r="O111" s="16"/>
      <c r="P111" s="16"/>
      <c r="Q111" s="16"/>
      <c r="R111" s="16"/>
      <c r="S111" s="16"/>
      <c r="T111" s="16"/>
      <c r="U111" s="16"/>
      <c r="V111" s="16"/>
      <c r="W111" s="59"/>
    </row>
    <row r="112" spans="2:23" ht="15.75" customHeight="1" x14ac:dyDescent="0.25">
      <c r="B112" s="58"/>
      <c r="C112" s="398" t="s">
        <v>824</v>
      </c>
      <c r="D112" s="393"/>
      <c r="E112" s="16"/>
      <c r="F112" s="397"/>
      <c r="G112" s="469">
        <v>21</v>
      </c>
      <c r="H112" s="470"/>
      <c r="I112" s="469">
        <v>21</v>
      </c>
      <c r="J112" s="470"/>
      <c r="K112" s="469">
        <v>70</v>
      </c>
      <c r="L112" s="470"/>
      <c r="M112" s="485" t="s">
        <v>838</v>
      </c>
      <c r="N112" s="486"/>
      <c r="O112" s="16"/>
      <c r="P112" s="16"/>
      <c r="Q112" s="16"/>
      <c r="R112" s="16"/>
      <c r="S112" s="16"/>
      <c r="T112" s="16"/>
      <c r="U112" s="16"/>
      <c r="V112" s="16"/>
      <c r="W112" s="59"/>
    </row>
    <row r="113" spans="2:23" ht="15.75" customHeight="1" x14ac:dyDescent="0.25">
      <c r="B113" s="58"/>
      <c r="C113" s="398" t="s">
        <v>508</v>
      </c>
      <c r="D113" s="393"/>
      <c r="E113" s="16"/>
      <c r="F113" s="397"/>
      <c r="G113" s="469">
        <v>16</v>
      </c>
      <c r="H113" s="470"/>
      <c r="I113" s="469">
        <v>16</v>
      </c>
      <c r="J113" s="470"/>
      <c r="K113" s="469">
        <v>61</v>
      </c>
      <c r="L113" s="470"/>
      <c r="M113" s="485" t="s">
        <v>839</v>
      </c>
      <c r="N113" s="486"/>
      <c r="O113" s="16"/>
      <c r="P113" s="16"/>
      <c r="Q113" s="16"/>
      <c r="R113" s="16"/>
      <c r="S113" s="16"/>
      <c r="T113" s="16"/>
      <c r="U113" s="16"/>
      <c r="V113" s="16"/>
      <c r="W113" s="59"/>
    </row>
    <row r="114" spans="2:23" ht="15.75" customHeight="1" x14ac:dyDescent="0.25">
      <c r="B114" s="58"/>
      <c r="C114" s="400" t="s">
        <v>507</v>
      </c>
      <c r="D114" s="401"/>
      <c r="E114" s="402"/>
      <c r="F114" s="403"/>
      <c r="G114" s="481">
        <v>0</v>
      </c>
      <c r="H114" s="482"/>
      <c r="I114" s="481">
        <v>0</v>
      </c>
      <c r="J114" s="482"/>
      <c r="K114" s="481">
        <v>0</v>
      </c>
      <c r="L114" s="482"/>
      <c r="M114" s="489" t="s">
        <v>840</v>
      </c>
      <c r="N114" s="490"/>
      <c r="O114" s="16"/>
      <c r="P114" s="16"/>
      <c r="Q114" s="16"/>
      <c r="R114" s="16"/>
      <c r="S114" s="16"/>
      <c r="T114" s="16"/>
      <c r="U114" s="16"/>
      <c r="V114" s="16"/>
      <c r="W114" s="59"/>
    </row>
    <row r="115" spans="2:23" ht="15.75" customHeight="1" x14ac:dyDescent="0.25">
      <c r="B115" s="69"/>
      <c r="C115" s="395"/>
      <c r="D115" s="70"/>
      <c r="E115" s="70"/>
      <c r="F115" s="70"/>
      <c r="G115" s="70"/>
      <c r="H115" s="70"/>
      <c r="I115" s="70"/>
      <c r="J115" s="70"/>
      <c r="K115" s="70"/>
      <c r="L115" s="70"/>
      <c r="M115" s="70"/>
      <c r="N115" s="70"/>
      <c r="O115" s="70"/>
      <c r="P115" s="70"/>
      <c r="Q115" s="70"/>
      <c r="R115" s="70"/>
      <c r="S115" s="70"/>
      <c r="T115" s="70"/>
      <c r="U115" s="70"/>
      <c r="V115" s="70"/>
      <c r="W115" s="71"/>
    </row>
    <row r="123" spans="2:23" x14ac:dyDescent="0.25">
      <c r="D123" s="463"/>
      <c r="E123" s="463"/>
      <c r="F123" s="463"/>
      <c r="G123" s="463"/>
    </row>
  </sheetData>
  <sheetProtection algorithmName="SHA-512" hashValue="YQSu/WGVZO3ixizb0T7SqyH8Ahxu3Zj9+qFpzHh/U0R0hpUs6qsU4FelZpVUSdzthRCqpSLr5cl34aX075WQRg==" saltValue="+xHvVy+8KLEPlqYGOJSuOg==" spinCount="100000" sheet="1" selectLockedCells="1" selectUnlockedCells="1"/>
  <mergeCells count="97">
    <mergeCell ref="Q99:R99"/>
    <mergeCell ref="M113:N113"/>
    <mergeCell ref="K114:L114"/>
    <mergeCell ref="M114:N114"/>
    <mergeCell ref="O99:P99"/>
    <mergeCell ref="M110:N110"/>
    <mergeCell ref="K111:L111"/>
    <mergeCell ref="M111:N111"/>
    <mergeCell ref="K112:L112"/>
    <mergeCell ref="M112:N112"/>
    <mergeCell ref="M107:N107"/>
    <mergeCell ref="K108:L108"/>
    <mergeCell ref="M108:N108"/>
    <mergeCell ref="K109:L109"/>
    <mergeCell ref="M109:N109"/>
    <mergeCell ref="M104:N104"/>
    <mergeCell ref="K105:L105"/>
    <mergeCell ref="M105:N105"/>
    <mergeCell ref="K106:L106"/>
    <mergeCell ref="M106:N106"/>
    <mergeCell ref="M101:N101"/>
    <mergeCell ref="K102:L102"/>
    <mergeCell ref="M102:N102"/>
    <mergeCell ref="K103:L103"/>
    <mergeCell ref="M103:N103"/>
    <mergeCell ref="I111:J111"/>
    <mergeCell ref="I112:J112"/>
    <mergeCell ref="I113:J113"/>
    <mergeCell ref="I114:J114"/>
    <mergeCell ref="K99:L99"/>
    <mergeCell ref="K100:L100"/>
    <mergeCell ref="K101:L101"/>
    <mergeCell ref="K104:L104"/>
    <mergeCell ref="K107:L107"/>
    <mergeCell ref="K110:L110"/>
    <mergeCell ref="K113:L113"/>
    <mergeCell ref="I106:J106"/>
    <mergeCell ref="I107:J107"/>
    <mergeCell ref="I108:J108"/>
    <mergeCell ref="I109:J109"/>
    <mergeCell ref="I110:J110"/>
    <mergeCell ref="I101:J101"/>
    <mergeCell ref="I102:J102"/>
    <mergeCell ref="I103:J103"/>
    <mergeCell ref="I104:J104"/>
    <mergeCell ref="I105:J105"/>
    <mergeCell ref="I98:J98"/>
    <mergeCell ref="K98:L98"/>
    <mergeCell ref="M98:N98"/>
    <mergeCell ref="I99:J99"/>
    <mergeCell ref="I100:J100"/>
    <mergeCell ref="M99:N99"/>
    <mergeCell ref="M100:N100"/>
    <mergeCell ref="G110:H110"/>
    <mergeCell ref="G111:H111"/>
    <mergeCell ref="G112:H112"/>
    <mergeCell ref="G113:H113"/>
    <mergeCell ref="G114:H114"/>
    <mergeCell ref="G105:H105"/>
    <mergeCell ref="G106:H106"/>
    <mergeCell ref="G107:H107"/>
    <mergeCell ref="G108:H108"/>
    <mergeCell ref="G109:H109"/>
    <mergeCell ref="G100:H100"/>
    <mergeCell ref="G101:H101"/>
    <mergeCell ref="G102:H102"/>
    <mergeCell ref="G103:H103"/>
    <mergeCell ref="G104:H104"/>
    <mergeCell ref="I85:T86"/>
    <mergeCell ref="C6:F6"/>
    <mergeCell ref="C36:G36"/>
    <mergeCell ref="C17:D17"/>
    <mergeCell ref="C18:D18"/>
    <mergeCell ref="F18:F19"/>
    <mergeCell ref="G18:G19"/>
    <mergeCell ref="H18:H19"/>
    <mergeCell ref="I18:I19"/>
    <mergeCell ref="J18:J19"/>
    <mergeCell ref="K18:K19"/>
    <mergeCell ref="L18:L19"/>
    <mergeCell ref="C13:V15"/>
    <mergeCell ref="D123:G123"/>
    <mergeCell ref="C27:F27"/>
    <mergeCell ref="C29:E29"/>
    <mergeCell ref="C88:F88"/>
    <mergeCell ref="C69:T70"/>
    <mergeCell ref="D71:T71"/>
    <mergeCell ref="D72:T74"/>
    <mergeCell ref="C75:T75"/>
    <mergeCell ref="D81:G81"/>
    <mergeCell ref="D82:G82"/>
    <mergeCell ref="D83:G83"/>
    <mergeCell ref="D84:G84"/>
    <mergeCell ref="D85:G85"/>
    <mergeCell ref="C96:F96"/>
    <mergeCell ref="G98:H98"/>
    <mergeCell ref="G99:H99"/>
  </mergeCells>
  <pageMargins left="0.7" right="0.7" top="0.75" bottom="0.75" header="0.3" footer="0.3"/>
  <pageSetup paperSize="9" orientation="portrait" r:id="rId1"/>
  <drawing r:id="rId2"/>
  <legacyDrawing r:id="rId3"/>
  <oleObjects>
    <mc:AlternateContent xmlns:mc="http://schemas.openxmlformats.org/markup-compatibility/2006">
      <mc:Choice Requires="x14">
        <oleObject progId="Visio.Drawing.15" shapeId="7174" r:id="rId4">
          <objectPr defaultSize="0" autoPict="0" r:id="rId5">
            <anchor moveWithCells="1">
              <from>
                <xdr:col>2</xdr:col>
                <xdr:colOff>161925</xdr:colOff>
                <xdr:row>38</xdr:row>
                <xdr:rowOff>133350</xdr:rowOff>
              </from>
              <to>
                <xdr:col>7</xdr:col>
                <xdr:colOff>304800</xdr:colOff>
                <xdr:row>52</xdr:row>
                <xdr:rowOff>142875</xdr:rowOff>
              </to>
            </anchor>
          </objectPr>
        </oleObject>
      </mc:Choice>
      <mc:Fallback>
        <oleObject progId="Visio.Drawing.15" shapeId="7174" r:id="rId4"/>
      </mc:Fallback>
    </mc:AlternateContent>
    <mc:AlternateContent xmlns:mc="http://schemas.openxmlformats.org/markup-compatibility/2006">
      <mc:Choice Requires="x14">
        <oleObject progId="Visio.Drawing.15" shapeId="7175" r:id="rId6">
          <objectPr defaultSize="0" autoPict="0" r:id="rId7">
            <anchor moveWithCells="1">
              <from>
                <xdr:col>2</xdr:col>
                <xdr:colOff>180975</xdr:colOff>
                <xdr:row>53</xdr:row>
                <xdr:rowOff>123825</xdr:rowOff>
              </from>
              <to>
                <xdr:col>7</xdr:col>
                <xdr:colOff>323850</xdr:colOff>
                <xdr:row>66</xdr:row>
                <xdr:rowOff>161925</xdr:rowOff>
              </to>
            </anchor>
          </objectPr>
        </oleObject>
      </mc:Choice>
      <mc:Fallback>
        <oleObject progId="Visio.Drawing.15" shapeId="7175" r:id="rId6"/>
      </mc:Fallback>
    </mc:AlternateContent>
    <mc:AlternateContent xmlns:mc="http://schemas.openxmlformats.org/markup-compatibility/2006">
      <mc:Choice Requires="x14">
        <oleObject progId="Visio.Drawing.15" shapeId="7176" r:id="rId8">
          <objectPr defaultSize="0" autoPict="0" r:id="rId9">
            <anchor moveWithCells="1">
              <from>
                <xdr:col>9</xdr:col>
                <xdr:colOff>180975</xdr:colOff>
                <xdr:row>53</xdr:row>
                <xdr:rowOff>95250</xdr:rowOff>
              </from>
              <to>
                <xdr:col>14</xdr:col>
                <xdr:colOff>38100</xdr:colOff>
                <xdr:row>66</xdr:row>
                <xdr:rowOff>123825</xdr:rowOff>
              </to>
            </anchor>
          </objectPr>
        </oleObject>
      </mc:Choice>
      <mc:Fallback>
        <oleObject progId="Visio.Drawing.15" shapeId="7176" r:id="rId8"/>
      </mc:Fallback>
    </mc:AlternateContent>
    <mc:AlternateContent xmlns:mc="http://schemas.openxmlformats.org/markup-compatibility/2006">
      <mc:Choice Requires="x14">
        <oleObject progId="Visio.Drawing.15" shapeId="7178" r:id="rId10">
          <objectPr defaultSize="0" autoPict="0" r:id="rId11">
            <anchor moveWithCells="1">
              <from>
                <xdr:col>9</xdr:col>
                <xdr:colOff>180975</xdr:colOff>
                <xdr:row>38</xdr:row>
                <xdr:rowOff>76200</xdr:rowOff>
              </from>
              <to>
                <xdr:col>14</xdr:col>
                <xdr:colOff>104775</xdr:colOff>
                <xdr:row>52</xdr:row>
                <xdr:rowOff>114300</xdr:rowOff>
              </to>
            </anchor>
          </objectPr>
        </oleObject>
      </mc:Choice>
      <mc:Fallback>
        <oleObject progId="Visio.Drawing.15" shapeId="7178" r:id="rId10"/>
      </mc:Fallback>
    </mc:AlternateContent>
    <mc:AlternateContent xmlns:mc="http://schemas.openxmlformats.org/markup-compatibility/2006">
      <mc:Choice Requires="x14">
        <oleObject progId="Visio.Drawing.15" shapeId="7180" r:id="rId12">
          <objectPr defaultSize="0" autoPict="0" r:id="rId13">
            <anchor moveWithCells="1">
              <from>
                <xdr:col>9</xdr:col>
                <xdr:colOff>19050</xdr:colOff>
                <xdr:row>26</xdr:row>
                <xdr:rowOff>57150</xdr:rowOff>
              </from>
              <to>
                <xdr:col>14</xdr:col>
                <xdr:colOff>619125</xdr:colOff>
                <xdr:row>36</xdr:row>
                <xdr:rowOff>104775</xdr:rowOff>
              </to>
            </anchor>
          </objectPr>
        </oleObject>
      </mc:Choice>
      <mc:Fallback>
        <oleObject progId="Visio.Drawing.15" shapeId="7180" r:id="rId12"/>
      </mc:Fallback>
    </mc:AlternateContent>
    <mc:AlternateContent xmlns:mc="http://schemas.openxmlformats.org/markup-compatibility/2006">
      <mc:Choice Requires="x14">
        <oleObject progId="Visio.Drawing.15" shapeId="7181" r:id="rId14">
          <objectPr defaultSize="0" r:id="rId15">
            <anchor moveWithCells="1">
              <from>
                <xdr:col>7</xdr:col>
                <xdr:colOff>28575</xdr:colOff>
                <xdr:row>89</xdr:row>
                <xdr:rowOff>0</xdr:rowOff>
              </from>
              <to>
                <xdr:col>17</xdr:col>
                <xdr:colOff>476250</xdr:colOff>
                <xdr:row>94</xdr:row>
                <xdr:rowOff>19050</xdr:rowOff>
              </to>
            </anchor>
          </objectPr>
        </oleObject>
      </mc:Choice>
      <mc:Fallback>
        <oleObject progId="Visio.Drawing.15" shapeId="7181" r:id="rId1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"/>
  <dimension ref="B1:Z62"/>
  <sheetViews>
    <sheetView workbookViewId="0"/>
  </sheetViews>
  <sheetFormatPr defaultColWidth="9" defaultRowHeight="15" x14ac:dyDescent="0.25"/>
  <cols>
    <col min="2" max="2" width="3.28515625" customWidth="1"/>
    <col min="7" max="8" width="9" customWidth="1"/>
    <col min="14" max="14" width="1.85546875" customWidth="1"/>
    <col min="26" max="26" width="3.28515625" customWidth="1"/>
  </cols>
  <sheetData>
    <row r="1" spans="2:26" ht="13.5" customHeight="1" x14ac:dyDescent="0.25">
      <c r="B1" s="51"/>
      <c r="C1" s="52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4"/>
    </row>
    <row r="2" spans="2:26" ht="21" x14ac:dyDescent="0.35">
      <c r="B2" s="55"/>
      <c r="C2" s="31"/>
      <c r="D2" s="32" t="s">
        <v>83</v>
      </c>
      <c r="E2" s="30"/>
      <c r="F2" s="30"/>
      <c r="G2" s="30"/>
      <c r="H2" s="33"/>
      <c r="I2" s="33"/>
      <c r="J2" s="33"/>
      <c r="K2" s="33"/>
      <c r="L2" s="30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56"/>
    </row>
    <row r="3" spans="2:26" ht="25.5" customHeight="1" x14ac:dyDescent="0.35">
      <c r="B3" s="55"/>
      <c r="C3" s="31"/>
      <c r="D3" s="34" t="s">
        <v>112</v>
      </c>
      <c r="E3" s="30"/>
      <c r="F3" s="30"/>
      <c r="G3" s="30"/>
      <c r="H3" s="33"/>
      <c r="I3" s="33"/>
      <c r="J3" s="33"/>
      <c r="K3" s="33"/>
      <c r="L3" s="30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56"/>
    </row>
    <row r="4" spans="2:26" ht="13.5" customHeight="1" x14ac:dyDescent="0.3">
      <c r="B4" s="55"/>
      <c r="C4" s="31"/>
      <c r="D4" s="35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57"/>
    </row>
    <row r="5" spans="2:26" ht="19.5" x14ac:dyDescent="0.3">
      <c r="B5" s="58"/>
      <c r="C5" s="72"/>
      <c r="D5" s="72"/>
      <c r="E5" s="72"/>
      <c r="F5" s="72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59"/>
    </row>
    <row r="6" spans="2:26" ht="20.25" thickBot="1" x14ac:dyDescent="0.35">
      <c r="B6" s="58"/>
      <c r="C6" s="429" t="s">
        <v>107</v>
      </c>
      <c r="D6" s="429"/>
      <c r="E6" s="429"/>
      <c r="F6" s="429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59"/>
    </row>
    <row r="7" spans="2:26" ht="20.25" thickTop="1" x14ac:dyDescent="0.3">
      <c r="B7" s="58"/>
      <c r="C7" s="72"/>
      <c r="D7" s="72"/>
      <c r="E7" s="72"/>
      <c r="F7" s="72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59"/>
    </row>
    <row r="8" spans="2:26" ht="19.5" x14ac:dyDescent="0.3">
      <c r="B8" s="58"/>
      <c r="C8" s="73" t="s">
        <v>108</v>
      </c>
      <c r="D8" s="72"/>
      <c r="E8" s="72"/>
      <c r="F8" s="72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59"/>
    </row>
    <row r="9" spans="2:26" ht="19.5" x14ac:dyDescent="0.3">
      <c r="B9" s="58"/>
      <c r="C9" s="72"/>
      <c r="D9" s="72"/>
      <c r="E9" s="72"/>
      <c r="F9" s="72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59"/>
    </row>
    <row r="10" spans="2:26" ht="19.5" x14ac:dyDescent="0.3">
      <c r="B10" s="58"/>
      <c r="C10" s="73" t="s">
        <v>109</v>
      </c>
      <c r="D10" s="72"/>
      <c r="E10" s="72"/>
      <c r="F10" s="72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59"/>
    </row>
    <row r="11" spans="2:26" ht="19.5" x14ac:dyDescent="0.3">
      <c r="B11" s="58"/>
      <c r="C11" s="73"/>
      <c r="D11" s="72"/>
      <c r="E11" s="72"/>
      <c r="F11" s="72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59"/>
    </row>
    <row r="12" spans="2:26" ht="19.5" x14ac:dyDescent="0.3">
      <c r="B12" s="58"/>
      <c r="C12" s="73" t="s">
        <v>110</v>
      </c>
      <c r="D12" s="72"/>
      <c r="E12" s="72"/>
      <c r="F12" s="7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59"/>
    </row>
    <row r="13" spans="2:26" ht="19.5" x14ac:dyDescent="0.3">
      <c r="B13" s="58"/>
      <c r="C13" s="72"/>
      <c r="D13" s="72"/>
      <c r="E13" s="72"/>
      <c r="F13" s="72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59"/>
    </row>
    <row r="14" spans="2:26" ht="19.5" x14ac:dyDescent="0.3">
      <c r="B14" s="58"/>
      <c r="C14" s="73" t="s">
        <v>111</v>
      </c>
      <c r="D14" s="72"/>
      <c r="E14" s="72"/>
      <c r="F14" s="72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59"/>
    </row>
    <row r="15" spans="2:26" ht="19.5" x14ac:dyDescent="0.3">
      <c r="B15" s="58"/>
      <c r="C15" s="72"/>
      <c r="D15" s="72"/>
      <c r="E15" s="72"/>
      <c r="F15" s="72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59"/>
    </row>
    <row r="16" spans="2:26" ht="20.25" thickBot="1" x14ac:dyDescent="0.35">
      <c r="B16" s="58"/>
      <c r="C16" s="429" t="s">
        <v>0</v>
      </c>
      <c r="D16" s="429"/>
      <c r="E16" s="429"/>
      <c r="F16" s="429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59"/>
    </row>
    <row r="17" spans="2:26" ht="15.75" thickTop="1" x14ac:dyDescent="0.25">
      <c r="B17" s="58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59"/>
    </row>
    <row r="18" spans="2:26" ht="18.75" x14ac:dyDescent="0.35">
      <c r="B18" s="58"/>
      <c r="C18" s="464" t="s">
        <v>97</v>
      </c>
      <c r="D18" s="464"/>
      <c r="E18" s="464"/>
      <c r="F18" s="60" t="s">
        <v>95</v>
      </c>
      <c r="G18" s="61" t="s">
        <v>96</v>
      </c>
      <c r="H18" s="62" t="s">
        <v>104</v>
      </c>
      <c r="I18" s="16"/>
      <c r="J18" s="16"/>
      <c r="K18" s="16"/>
      <c r="L18" s="16"/>
      <c r="M18" s="16"/>
      <c r="N18" s="16"/>
      <c r="O18" s="16" t="s">
        <v>199</v>
      </c>
      <c r="P18" s="16"/>
      <c r="Q18" s="17" t="s">
        <v>200</v>
      </c>
      <c r="R18" s="147" t="s">
        <v>202</v>
      </c>
      <c r="S18" s="16"/>
      <c r="T18" s="16"/>
      <c r="U18" s="16"/>
      <c r="V18" s="16"/>
      <c r="W18" s="16"/>
      <c r="X18" s="16"/>
      <c r="Y18" s="16"/>
      <c r="Z18" s="59"/>
    </row>
    <row r="19" spans="2:26" ht="18.75" x14ac:dyDescent="0.35">
      <c r="B19" s="58"/>
      <c r="C19" s="61"/>
      <c r="D19" s="61"/>
      <c r="E19" s="61"/>
      <c r="F19" s="61"/>
      <c r="G19" s="63" t="s">
        <v>103</v>
      </c>
      <c r="H19" s="16"/>
      <c r="I19" s="16"/>
      <c r="J19" s="16"/>
      <c r="K19" s="16"/>
      <c r="L19" s="16"/>
      <c r="M19" s="64"/>
      <c r="N19" s="64"/>
      <c r="O19" s="16"/>
      <c r="P19" s="16"/>
      <c r="Q19" s="16"/>
      <c r="R19" s="147" t="s">
        <v>201</v>
      </c>
      <c r="S19" s="16"/>
      <c r="T19" s="16"/>
      <c r="U19" s="16"/>
      <c r="V19" s="16"/>
      <c r="W19" s="16"/>
      <c r="X19" s="16"/>
      <c r="Y19" s="16"/>
      <c r="Z19" s="59"/>
    </row>
    <row r="20" spans="2:26" ht="18.75" x14ac:dyDescent="0.35">
      <c r="B20" s="58"/>
      <c r="C20" s="61"/>
      <c r="D20" s="61"/>
      <c r="E20" s="61"/>
      <c r="F20" s="61"/>
      <c r="G20" s="60" t="s">
        <v>146</v>
      </c>
      <c r="H20" s="16"/>
      <c r="I20" s="16"/>
      <c r="J20" s="16"/>
      <c r="K20" s="16"/>
      <c r="L20" s="16"/>
      <c r="M20" s="64"/>
      <c r="N20" s="64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59"/>
    </row>
    <row r="21" spans="2:26" ht="15.75" x14ac:dyDescent="0.25">
      <c r="B21" s="58"/>
      <c r="C21" s="61"/>
      <c r="D21" s="61"/>
      <c r="E21" s="61"/>
      <c r="F21" s="61"/>
      <c r="G21" s="60"/>
      <c r="H21" s="16"/>
      <c r="I21" s="16"/>
      <c r="J21" s="16"/>
      <c r="K21" s="16"/>
      <c r="L21" s="16"/>
      <c r="M21" s="64"/>
      <c r="N21" s="64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59"/>
    </row>
    <row r="22" spans="2:26" ht="20.25" thickBot="1" x14ac:dyDescent="0.35">
      <c r="B22" s="58"/>
      <c r="C22" s="429" t="s">
        <v>162</v>
      </c>
      <c r="D22" s="429"/>
      <c r="E22" s="429"/>
      <c r="F22" s="429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59"/>
    </row>
    <row r="23" spans="2:26" ht="15.75" thickTop="1" x14ac:dyDescent="0.25">
      <c r="B23" s="58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59"/>
    </row>
    <row r="24" spans="2:26" ht="15.75" x14ac:dyDescent="0.25">
      <c r="B24" s="58"/>
      <c r="C24" s="16"/>
      <c r="D24" s="65" t="str">
        <f>IF(equations!B22=2,"For 2-Way Blow", "For 2-Way Blow (not selected)")</f>
        <v>For 2-Way Blow</v>
      </c>
      <c r="E24" s="16"/>
      <c r="F24" s="65">
        <f ca="1">'LJC-AD'!$E$9</f>
        <v>100</v>
      </c>
      <c r="G24" s="65" t="str">
        <f>equations!$F$9</f>
        <v>L/s/m</v>
      </c>
      <c r="H24" s="16"/>
      <c r="I24" s="16"/>
      <c r="J24" s="16"/>
      <c r="K24" s="16"/>
      <c r="L24" s="16"/>
      <c r="M24" s="16"/>
      <c r="N24" s="16"/>
      <c r="O24" s="16"/>
      <c r="P24" s="65" t="str">
        <f>IF(equations!B22=1,"For 1-Way Blow", "For 1-Way Blow (not selected)")</f>
        <v>For 1-Way Blow (not selected)</v>
      </c>
      <c r="Q24" s="16"/>
      <c r="R24" s="16"/>
      <c r="S24" s="16"/>
      <c r="T24" s="65">
        <f ca="1">'LJC-AD'!$E$9</f>
        <v>100</v>
      </c>
      <c r="U24" s="65" t="str">
        <f>equations!$F$9</f>
        <v>L/s/m</v>
      </c>
      <c r="V24" s="16"/>
      <c r="W24" s="16"/>
      <c r="X24" s="16"/>
      <c r="Y24" s="16"/>
      <c r="Z24" s="59"/>
    </row>
    <row r="25" spans="2:26" x14ac:dyDescent="0.25">
      <c r="B25" s="58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59"/>
    </row>
    <row r="26" spans="2:26" x14ac:dyDescent="0.25">
      <c r="B26" s="58"/>
      <c r="C26" s="50"/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16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9"/>
    </row>
    <row r="27" spans="2:26" x14ac:dyDescent="0.25">
      <c r="B27" s="58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16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9"/>
    </row>
    <row r="28" spans="2:26" x14ac:dyDescent="0.25">
      <c r="B28" s="58"/>
      <c r="C28" s="50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16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9"/>
    </row>
    <row r="29" spans="2:26" x14ac:dyDescent="0.25">
      <c r="B29" s="58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16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9"/>
    </row>
    <row r="30" spans="2:26" x14ac:dyDescent="0.25">
      <c r="B30" s="58"/>
      <c r="C30" s="50"/>
      <c r="D30" s="50" t="s">
        <v>91</v>
      </c>
      <c r="E30" s="50" t="e">
        <f ca="1">ROUND('LJC-AD'!G60,1)&amp;" ≤ C ≤ "&amp;ROUND('LJC-AD'!#REF!,1)</f>
        <v>#REF!</v>
      </c>
      <c r="F30" s="50"/>
      <c r="G30" s="50"/>
      <c r="H30" s="50"/>
      <c r="I30" s="50"/>
      <c r="J30" s="50"/>
      <c r="K30" s="50"/>
      <c r="L30" s="50"/>
      <c r="M30" s="50"/>
      <c r="N30" s="16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9"/>
    </row>
    <row r="31" spans="2:26" x14ac:dyDescent="0.25">
      <c r="B31" s="58"/>
      <c r="C31" s="50"/>
      <c r="D31" s="50" t="s">
        <v>92</v>
      </c>
      <c r="E31" s="50" t="e">
        <f ca="1">ROUND('LJC-AD'!G60/2,1)&amp;" ≤ Cwall ≤ "&amp;ROUND('LJC-AD'!#REF!/2,1)</f>
        <v>#REF!</v>
      </c>
      <c r="F31" s="50"/>
      <c r="G31" s="50"/>
      <c r="H31" s="50"/>
      <c r="I31" s="50"/>
      <c r="J31" s="50"/>
      <c r="K31" s="50"/>
      <c r="L31" s="50"/>
      <c r="M31" s="50"/>
      <c r="N31" s="16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9"/>
    </row>
    <row r="32" spans="2:26" x14ac:dyDescent="0.25">
      <c r="B32" s="58"/>
      <c r="C32" s="50"/>
      <c r="D32" s="50" t="s">
        <v>93</v>
      </c>
      <c r="E32" s="50"/>
      <c r="F32" s="50"/>
      <c r="G32" s="50"/>
      <c r="H32" s="50"/>
      <c r="I32" s="50"/>
      <c r="J32" s="50"/>
      <c r="K32" s="50"/>
      <c r="L32" s="50"/>
      <c r="M32" s="50"/>
      <c r="N32" s="16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9"/>
    </row>
    <row r="33" spans="2:26" x14ac:dyDescent="0.25">
      <c r="B33" s="58"/>
      <c r="C33" s="50"/>
      <c r="D33" s="50" t="s">
        <v>94</v>
      </c>
      <c r="E33" s="50"/>
      <c r="F33" s="50"/>
      <c r="G33" s="50"/>
      <c r="H33" s="50"/>
      <c r="I33" s="50"/>
      <c r="J33" s="50"/>
      <c r="K33" s="50"/>
      <c r="L33" s="50"/>
      <c r="M33" s="50"/>
      <c r="N33" s="16"/>
      <c r="O33" s="50"/>
      <c r="P33" s="50"/>
      <c r="Q33" s="50"/>
      <c r="R33" s="50"/>
      <c r="S33" s="50"/>
      <c r="T33" s="50"/>
      <c r="U33" s="50"/>
      <c r="V33" s="50"/>
      <c r="W33" s="50"/>
      <c r="X33" s="50"/>
      <c r="Y33" s="50"/>
      <c r="Z33" s="59"/>
    </row>
    <row r="34" spans="2:26" x14ac:dyDescent="0.25">
      <c r="B34" s="58"/>
      <c r="C34" s="50"/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16"/>
      <c r="O34" s="50"/>
      <c r="P34" s="50"/>
      <c r="Q34" s="50"/>
      <c r="R34" s="50"/>
      <c r="S34" s="50"/>
      <c r="T34" s="50"/>
      <c r="U34" s="50"/>
      <c r="V34" s="50"/>
      <c r="W34" s="50"/>
      <c r="X34" s="50"/>
      <c r="Y34" s="50"/>
      <c r="Z34" s="59"/>
    </row>
    <row r="35" spans="2:26" x14ac:dyDescent="0.25">
      <c r="B35" s="58"/>
      <c r="C35" s="50"/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16"/>
      <c r="O35" s="50"/>
      <c r="P35" s="50"/>
      <c r="Q35" s="50"/>
      <c r="R35" s="50"/>
      <c r="S35" s="50"/>
      <c r="T35" s="50"/>
      <c r="U35" s="50"/>
      <c r="V35" s="50"/>
      <c r="W35" s="50"/>
      <c r="X35" s="50"/>
      <c r="Y35" s="50"/>
      <c r="Z35" s="59"/>
    </row>
    <row r="36" spans="2:26" x14ac:dyDescent="0.25">
      <c r="B36" s="58"/>
      <c r="C36" s="50"/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16"/>
      <c r="O36" s="50"/>
      <c r="P36" s="50"/>
      <c r="Q36" s="50"/>
      <c r="R36" s="50"/>
      <c r="S36" s="50"/>
      <c r="T36" s="50"/>
      <c r="U36" s="50"/>
      <c r="V36" s="50"/>
      <c r="W36" s="50"/>
      <c r="X36" s="50"/>
      <c r="Y36" s="50"/>
      <c r="Z36" s="59"/>
    </row>
    <row r="37" spans="2:26" x14ac:dyDescent="0.25">
      <c r="B37" s="58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16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9"/>
    </row>
    <row r="38" spans="2:26" x14ac:dyDescent="0.25">
      <c r="B38" s="58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16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9"/>
    </row>
    <row r="39" spans="2:26" x14ac:dyDescent="0.25">
      <c r="B39" s="58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16"/>
      <c r="O39" s="50"/>
      <c r="P39" s="50"/>
      <c r="Q39" s="50"/>
      <c r="R39" s="50"/>
      <c r="S39" s="50"/>
      <c r="T39" s="50"/>
      <c r="U39" s="50"/>
      <c r="V39" s="50"/>
      <c r="W39" s="50"/>
      <c r="X39" s="50"/>
      <c r="Y39" s="50"/>
      <c r="Z39" s="59"/>
    </row>
    <row r="40" spans="2:26" x14ac:dyDescent="0.25">
      <c r="B40" s="58"/>
      <c r="C40" s="50"/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16"/>
      <c r="O40" s="50"/>
      <c r="P40" s="50"/>
      <c r="Q40" s="50"/>
      <c r="R40" s="50"/>
      <c r="S40" s="50"/>
      <c r="T40" s="50"/>
      <c r="U40" s="50"/>
      <c r="V40" s="50"/>
      <c r="W40" s="50"/>
      <c r="X40" s="50"/>
      <c r="Y40" s="50"/>
      <c r="Z40" s="59"/>
    </row>
    <row r="41" spans="2:26" x14ac:dyDescent="0.25">
      <c r="B41" s="58"/>
      <c r="C41" s="50"/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16"/>
      <c r="O41" s="50"/>
      <c r="P41" s="50"/>
      <c r="Q41" s="50"/>
      <c r="R41" s="50"/>
      <c r="S41" s="50"/>
      <c r="T41" s="50"/>
      <c r="U41" s="50"/>
      <c r="V41" s="50"/>
      <c r="W41" s="50"/>
      <c r="X41" s="50"/>
      <c r="Y41" s="50"/>
      <c r="Z41" s="59"/>
    </row>
    <row r="42" spans="2:26" x14ac:dyDescent="0.25">
      <c r="B42" s="58"/>
      <c r="C42" s="50"/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16"/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9"/>
    </row>
    <row r="43" spans="2:26" x14ac:dyDescent="0.25">
      <c r="B43" s="58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66" t="s">
        <v>106</v>
      </c>
      <c r="W43" s="16"/>
      <c r="X43" s="16"/>
      <c r="Y43" s="16"/>
      <c r="Z43" s="59"/>
    </row>
    <row r="44" spans="2:26" ht="20.25" thickBot="1" x14ac:dyDescent="0.35">
      <c r="B44" s="58"/>
      <c r="C44" s="429" t="s">
        <v>191</v>
      </c>
      <c r="D44" s="429"/>
      <c r="E44" s="429"/>
      <c r="F44" s="429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59"/>
    </row>
    <row r="45" spans="2:26" ht="15" customHeight="1" thickTop="1" x14ac:dyDescent="0.25">
      <c r="B45" s="58"/>
      <c r="C45" s="16"/>
      <c r="D45" s="16"/>
      <c r="E45" s="16"/>
      <c r="F45" s="16"/>
      <c r="G45" s="16"/>
      <c r="H45" s="50"/>
      <c r="I45" s="50"/>
      <c r="J45" s="50"/>
      <c r="K45" s="50"/>
      <c r="L45" s="50"/>
      <c r="M45" s="50"/>
      <c r="N45" s="50"/>
      <c r="O45" s="50"/>
      <c r="P45" s="50"/>
      <c r="Q45" s="50"/>
      <c r="R45" s="16"/>
      <c r="S45" s="16"/>
      <c r="T45" s="16"/>
      <c r="U45" s="16"/>
      <c r="V45" s="16"/>
      <c r="W45" s="16"/>
      <c r="X45" s="16"/>
      <c r="Y45" s="16"/>
      <c r="Z45" s="59"/>
    </row>
    <row r="46" spans="2:26" ht="15" customHeight="1" x14ac:dyDescent="0.25">
      <c r="B46" s="58"/>
      <c r="C46" s="67" t="s">
        <v>98</v>
      </c>
      <c r="D46" s="16" t="s">
        <v>212</v>
      </c>
      <c r="E46" s="16"/>
      <c r="F46" s="16"/>
      <c r="G46" s="16"/>
      <c r="H46" s="50"/>
      <c r="I46" s="50"/>
      <c r="J46" s="50"/>
      <c r="K46" s="50"/>
      <c r="L46" s="50"/>
      <c r="M46" s="50"/>
      <c r="N46" s="50"/>
      <c r="O46" s="50"/>
      <c r="P46" s="50"/>
      <c r="Q46" s="50"/>
      <c r="R46" s="16"/>
      <c r="S46" s="16"/>
      <c r="T46" s="16"/>
      <c r="U46" s="16"/>
      <c r="V46" s="16"/>
      <c r="W46" s="16"/>
      <c r="X46" s="16"/>
      <c r="Y46" s="16"/>
      <c r="Z46" s="59"/>
    </row>
    <row r="47" spans="2:26" ht="15" customHeight="1" x14ac:dyDescent="0.25">
      <c r="B47" s="58"/>
      <c r="C47" s="67" t="s">
        <v>99</v>
      </c>
      <c r="D47" s="16" t="s">
        <v>213</v>
      </c>
      <c r="E47" s="16"/>
      <c r="F47" s="16"/>
      <c r="G47" s="16"/>
      <c r="H47" s="50"/>
      <c r="I47" s="50"/>
      <c r="J47" s="50"/>
      <c r="K47" s="50"/>
      <c r="L47" s="50"/>
      <c r="M47" s="50"/>
      <c r="N47" s="50"/>
      <c r="O47" s="50"/>
      <c r="P47" s="50"/>
      <c r="Q47" s="50"/>
      <c r="R47" s="16"/>
      <c r="S47" s="16"/>
      <c r="T47" s="16"/>
      <c r="U47" s="16"/>
      <c r="V47" s="16"/>
      <c r="W47" s="16"/>
      <c r="X47" s="16"/>
      <c r="Y47" s="16"/>
      <c r="Z47" s="59"/>
    </row>
    <row r="48" spans="2:26" ht="15" customHeight="1" x14ac:dyDescent="0.25">
      <c r="B48" s="58"/>
      <c r="C48" s="67" t="s">
        <v>91</v>
      </c>
      <c r="D48" s="64" t="s">
        <v>214</v>
      </c>
      <c r="E48" s="16"/>
      <c r="F48" s="16"/>
      <c r="G48" s="16"/>
      <c r="H48" s="50"/>
      <c r="I48" s="50"/>
      <c r="J48" s="50"/>
      <c r="K48" s="50"/>
      <c r="L48" s="50"/>
      <c r="M48" s="50"/>
      <c r="N48" s="50"/>
      <c r="O48" s="50"/>
      <c r="P48" s="50"/>
      <c r="Q48" s="50"/>
      <c r="R48" s="16"/>
      <c r="S48" s="16"/>
      <c r="T48" s="16"/>
      <c r="U48" s="16"/>
      <c r="V48" s="16"/>
      <c r="W48" s="16"/>
      <c r="X48" s="16"/>
      <c r="Y48" s="16"/>
      <c r="Z48" s="59"/>
    </row>
    <row r="49" spans="2:26" ht="15" customHeight="1" x14ac:dyDescent="0.25">
      <c r="B49" s="58"/>
      <c r="C49" s="67" t="s">
        <v>211</v>
      </c>
      <c r="D49" s="64" t="s">
        <v>215</v>
      </c>
      <c r="E49" s="16"/>
      <c r="F49" s="16"/>
      <c r="G49" s="16"/>
      <c r="H49" s="50"/>
      <c r="I49" s="50"/>
      <c r="J49" s="50"/>
      <c r="K49" s="50"/>
      <c r="L49" s="50"/>
      <c r="M49" s="50"/>
      <c r="N49" s="50"/>
      <c r="O49" s="50"/>
      <c r="P49" s="50"/>
      <c r="Q49" s="50"/>
      <c r="R49" s="16"/>
      <c r="S49" s="16"/>
      <c r="T49" s="16"/>
      <c r="U49" s="16"/>
      <c r="V49" s="16"/>
      <c r="W49" s="16"/>
      <c r="X49" s="16"/>
      <c r="Y49" s="16"/>
      <c r="Z49" s="59"/>
    </row>
    <row r="50" spans="2:26" ht="15" customHeight="1" x14ac:dyDescent="0.25">
      <c r="B50" s="58"/>
      <c r="C50" s="67" t="s">
        <v>218</v>
      </c>
      <c r="D50" s="64" t="s">
        <v>380</v>
      </c>
      <c r="E50" s="16"/>
      <c r="F50" s="16"/>
      <c r="G50" s="16"/>
      <c r="H50" s="50"/>
      <c r="I50" s="50"/>
      <c r="J50" s="50"/>
      <c r="K50" s="50"/>
      <c r="L50" s="50"/>
      <c r="M50" s="50"/>
      <c r="N50" s="50"/>
      <c r="O50" s="50"/>
      <c r="P50" s="50"/>
      <c r="Q50" s="50"/>
      <c r="R50" s="16"/>
      <c r="S50" s="16"/>
      <c r="T50" s="16"/>
      <c r="U50" s="16"/>
      <c r="V50" s="16"/>
      <c r="W50" s="16"/>
      <c r="X50" s="16"/>
      <c r="Y50" s="16"/>
      <c r="Z50" s="59"/>
    </row>
    <row r="51" spans="2:26" x14ac:dyDescent="0.25">
      <c r="B51" s="58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68"/>
      <c r="R51" s="16"/>
      <c r="S51" s="16"/>
      <c r="T51" s="16"/>
      <c r="U51" s="16"/>
      <c r="V51" s="16"/>
      <c r="W51" s="16"/>
      <c r="X51" s="16"/>
      <c r="Y51" s="16"/>
      <c r="Z51" s="59"/>
    </row>
    <row r="52" spans="2:26" ht="20.25" thickBot="1" x14ac:dyDescent="0.35">
      <c r="B52" s="58"/>
      <c r="C52" s="429" t="s">
        <v>101</v>
      </c>
      <c r="D52" s="429"/>
      <c r="E52" s="429"/>
      <c r="F52" s="429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68"/>
      <c r="R52" s="16"/>
      <c r="S52" s="16"/>
      <c r="T52" s="16"/>
      <c r="U52" s="16"/>
      <c r="V52" s="16"/>
      <c r="W52" s="16"/>
      <c r="X52" s="16"/>
      <c r="Y52" s="16"/>
      <c r="Z52" s="59"/>
    </row>
    <row r="53" spans="2:26" ht="16.5" thickTop="1" x14ac:dyDescent="0.25">
      <c r="B53" s="58"/>
      <c r="C53" s="61" t="s">
        <v>105</v>
      </c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59"/>
    </row>
    <row r="54" spans="2:26" x14ac:dyDescent="0.25">
      <c r="B54" s="69"/>
      <c r="C54" s="70"/>
      <c r="D54" s="70"/>
      <c r="E54" s="70"/>
      <c r="F54" s="70"/>
      <c r="G54" s="70"/>
      <c r="H54" s="70"/>
      <c r="I54" s="70"/>
      <c r="J54" s="70"/>
      <c r="K54" s="70"/>
      <c r="L54" s="70"/>
      <c r="M54" s="70"/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1"/>
    </row>
    <row r="62" spans="2:26" x14ac:dyDescent="0.25">
      <c r="D62" s="463"/>
      <c r="E62" s="463"/>
      <c r="F62" s="463"/>
      <c r="G62" s="463"/>
    </row>
  </sheetData>
  <sheetProtection selectLockedCells="1" selectUnlockedCells="1"/>
  <mergeCells count="7">
    <mergeCell ref="D62:G62"/>
    <mergeCell ref="C6:F6"/>
    <mergeCell ref="C16:F16"/>
    <mergeCell ref="C18:E18"/>
    <mergeCell ref="C22:F22"/>
    <mergeCell ref="C44:F44"/>
    <mergeCell ref="C52:F52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2" id="{19A74BE2-6FB8-4842-8C91-AC144344AB11}">
            <xm:f>equations!$B$22=1</xm:f>
            <x14:dxf>
              <font>
                <color theme="1" tint="0.499984740745262"/>
              </font>
            </x14:dxf>
          </x14:cfRule>
          <xm:sqref>D24</xm:sqref>
        </x14:conditionalFormatting>
        <x14:conditionalFormatting xmlns:xm="http://schemas.microsoft.com/office/excel/2006/main">
          <x14:cfRule type="expression" priority="1" id="{D7528AAD-2B56-446C-BF83-173D8350D683}">
            <xm:f>equations!$B$22=2</xm:f>
            <x14:dxf>
              <font>
                <color theme="1" tint="0.499984740745262"/>
              </font>
            </x14:dxf>
          </x14:cfRule>
          <xm:sqref>P24 T24:U24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6"/>
  <dimension ref="B1:Y34"/>
  <sheetViews>
    <sheetView workbookViewId="0"/>
  </sheetViews>
  <sheetFormatPr defaultRowHeight="15" x14ac:dyDescent="0.25"/>
  <cols>
    <col min="1" max="1" width="4" customWidth="1"/>
    <col min="9" max="9" width="9" customWidth="1"/>
    <col min="10" max="10" width="23.28515625" customWidth="1"/>
  </cols>
  <sheetData>
    <row r="1" spans="2:25" x14ac:dyDescent="0.25">
      <c r="B1" s="51"/>
      <c r="C1" s="52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4"/>
    </row>
    <row r="2" spans="2:25" ht="21" x14ac:dyDescent="0.35">
      <c r="B2" s="55"/>
      <c r="C2" s="31"/>
      <c r="D2" s="32" t="s">
        <v>83</v>
      </c>
      <c r="E2" s="30"/>
      <c r="F2" s="30"/>
      <c r="G2" s="30"/>
      <c r="H2" s="33"/>
      <c r="I2" s="33"/>
      <c r="J2" s="33"/>
      <c r="K2" s="33"/>
      <c r="L2" s="30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56"/>
    </row>
    <row r="3" spans="2:25" ht="21" x14ac:dyDescent="0.35">
      <c r="B3" s="55"/>
      <c r="C3" s="31"/>
      <c r="D3" s="34" t="s">
        <v>493</v>
      </c>
      <c r="E3" s="30"/>
      <c r="F3" s="30"/>
      <c r="G3" s="30"/>
      <c r="H3" s="33"/>
      <c r="I3" s="33"/>
      <c r="J3" s="33"/>
      <c r="K3" s="33"/>
      <c r="L3" s="30"/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56"/>
    </row>
    <row r="4" spans="2:25" ht="22.5" x14ac:dyDescent="0.3">
      <c r="B4" s="55"/>
      <c r="C4" s="31"/>
      <c r="D4" s="35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57"/>
    </row>
    <row r="5" spans="2:25" ht="19.5" x14ac:dyDescent="0.3">
      <c r="B5" s="58"/>
      <c r="C5" s="72"/>
      <c r="D5" s="72"/>
      <c r="E5" s="72"/>
      <c r="F5" s="72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59"/>
    </row>
    <row r="6" spans="2:25" ht="20.25" thickBot="1" x14ac:dyDescent="0.35">
      <c r="B6" s="58"/>
      <c r="C6" s="429" t="s">
        <v>145</v>
      </c>
      <c r="D6" s="429"/>
      <c r="E6" s="429"/>
      <c r="F6" s="429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59"/>
    </row>
    <row r="7" spans="2:25" ht="20.25" thickTop="1" x14ac:dyDescent="0.3">
      <c r="B7" s="58"/>
      <c r="C7" s="72"/>
      <c r="D7" s="72"/>
      <c r="E7" s="72"/>
      <c r="F7" s="72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59"/>
    </row>
    <row r="8" spans="2:25" ht="19.5" x14ac:dyDescent="0.3">
      <c r="B8" s="58"/>
      <c r="C8" s="73"/>
      <c r="D8" s="72"/>
      <c r="E8" s="72"/>
      <c r="F8" s="72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59"/>
    </row>
    <row r="9" spans="2:25" ht="19.5" x14ac:dyDescent="0.3">
      <c r="B9" s="58"/>
      <c r="C9" s="72"/>
      <c r="D9" s="72"/>
      <c r="E9" s="72"/>
      <c r="F9" s="72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59"/>
    </row>
    <row r="10" spans="2:25" ht="19.5" x14ac:dyDescent="0.3">
      <c r="B10" s="58"/>
      <c r="C10" s="73"/>
      <c r="D10" s="72"/>
      <c r="E10" s="72"/>
      <c r="F10" s="72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59"/>
    </row>
    <row r="11" spans="2:25" ht="19.5" x14ac:dyDescent="0.3">
      <c r="B11" s="58"/>
      <c r="C11" s="73"/>
      <c r="D11" s="72"/>
      <c r="E11" s="72"/>
      <c r="F11" s="72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59"/>
    </row>
    <row r="12" spans="2:25" ht="19.5" x14ac:dyDescent="0.3">
      <c r="B12" s="58"/>
      <c r="C12" s="73"/>
      <c r="D12" s="72"/>
      <c r="E12" s="72"/>
      <c r="F12" s="7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59"/>
    </row>
    <row r="13" spans="2:25" ht="19.5" x14ac:dyDescent="0.3">
      <c r="B13" s="58"/>
      <c r="C13" s="72"/>
      <c r="D13" s="72"/>
      <c r="E13" s="72"/>
      <c r="F13" s="72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59"/>
    </row>
    <row r="14" spans="2:25" ht="19.5" x14ac:dyDescent="0.3">
      <c r="B14" s="58"/>
      <c r="C14" s="73"/>
      <c r="D14" s="72"/>
      <c r="E14" s="72"/>
      <c r="F14" s="72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59"/>
    </row>
    <row r="15" spans="2:25" ht="19.5" x14ac:dyDescent="0.3">
      <c r="B15" s="58"/>
      <c r="C15" s="72"/>
      <c r="D15" s="72"/>
      <c r="E15" s="72"/>
      <c r="F15" s="72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59"/>
    </row>
    <row r="16" spans="2:25" ht="19.5" x14ac:dyDescent="0.3">
      <c r="B16" s="58"/>
      <c r="C16" s="73"/>
      <c r="D16" s="72"/>
      <c r="E16" s="72"/>
      <c r="F16" s="72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59"/>
    </row>
    <row r="17" spans="2:25" ht="19.5" x14ac:dyDescent="0.3">
      <c r="B17" s="58"/>
      <c r="C17" s="72"/>
      <c r="D17" s="72"/>
      <c r="E17" s="72"/>
      <c r="F17" s="72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59"/>
    </row>
    <row r="18" spans="2:25" ht="19.5" x14ac:dyDescent="0.3">
      <c r="B18" s="58"/>
      <c r="C18" s="73"/>
      <c r="D18" s="72"/>
      <c r="E18" s="72"/>
      <c r="F18" s="72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59"/>
    </row>
    <row r="19" spans="2:25" ht="19.5" x14ac:dyDescent="0.3">
      <c r="B19" s="58"/>
      <c r="C19" s="73"/>
      <c r="D19" s="72"/>
      <c r="E19" s="72"/>
      <c r="F19" s="72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59"/>
    </row>
    <row r="20" spans="2:25" ht="19.5" x14ac:dyDescent="0.3">
      <c r="B20" s="58"/>
      <c r="C20" s="73"/>
      <c r="D20" s="72"/>
      <c r="E20" s="72"/>
      <c r="F20" s="72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59"/>
    </row>
    <row r="21" spans="2:25" ht="19.5" x14ac:dyDescent="0.3">
      <c r="B21" s="58"/>
      <c r="C21" s="72"/>
      <c r="D21" s="72"/>
      <c r="E21" s="72"/>
      <c r="F21" s="72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59"/>
    </row>
    <row r="22" spans="2:25" ht="19.5" x14ac:dyDescent="0.3">
      <c r="B22" s="58"/>
      <c r="C22" s="73"/>
      <c r="D22" s="72"/>
      <c r="E22" s="72"/>
      <c r="F22" s="72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59"/>
    </row>
    <row r="23" spans="2:25" ht="19.5" x14ac:dyDescent="0.3">
      <c r="B23" s="58"/>
      <c r="C23" s="72"/>
      <c r="D23" s="72"/>
      <c r="E23" s="72"/>
      <c r="F23" s="72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379" t="str">
        <f>"DIMENSIONS IN "&amp;equations!R9</f>
        <v>DIMENSIONS IN mm</v>
      </c>
      <c r="X23" s="16"/>
      <c r="Y23" s="59"/>
    </row>
    <row r="24" spans="2:25" ht="19.5" x14ac:dyDescent="0.3">
      <c r="B24" s="58"/>
      <c r="C24" s="73"/>
      <c r="D24" s="72"/>
      <c r="E24" s="72"/>
      <c r="F24" s="72"/>
      <c r="G24" s="16"/>
      <c r="H24" s="16"/>
      <c r="I24" s="87"/>
      <c r="J24" s="88"/>
      <c r="K24" s="88"/>
      <c r="L24" s="89"/>
      <c r="M24" s="90" t="s">
        <v>15</v>
      </c>
      <c r="N24" s="90" t="s">
        <v>54</v>
      </c>
      <c r="O24" s="90" t="s">
        <v>55</v>
      </c>
      <c r="P24" s="90" t="s">
        <v>56</v>
      </c>
      <c r="Q24" s="90" t="s">
        <v>57</v>
      </c>
      <c r="R24" s="90" t="s">
        <v>58</v>
      </c>
      <c r="S24" s="227"/>
      <c r="T24" s="233"/>
      <c r="U24" s="16"/>
      <c r="V24" s="16"/>
      <c r="W24" s="16"/>
      <c r="X24" s="16"/>
      <c r="Y24" s="59"/>
    </row>
    <row r="25" spans="2:25" ht="20.25" customHeight="1" x14ac:dyDescent="0.3">
      <c r="B25" s="58"/>
      <c r="C25" s="72"/>
      <c r="D25" s="72"/>
      <c r="E25" s="72"/>
      <c r="F25" s="72"/>
      <c r="G25" s="16"/>
      <c r="H25" s="97" t="s">
        <v>206</v>
      </c>
      <c r="I25" s="95"/>
      <c r="J25" s="95"/>
      <c r="K25" s="95"/>
      <c r="L25" s="95"/>
      <c r="M25" s="91">
        <f>equations!F530</f>
        <v>43.5</v>
      </c>
      <c r="N25" s="91">
        <f>equations!G530</f>
        <v>85.5</v>
      </c>
      <c r="O25" s="91">
        <f>equations!H530</f>
        <v>127.5</v>
      </c>
      <c r="P25" s="91">
        <f>equations!I530</f>
        <v>169.5</v>
      </c>
      <c r="Q25" s="91">
        <f>equations!J530</f>
        <v>211.5</v>
      </c>
      <c r="R25" s="91">
        <f>equations!K530</f>
        <v>253.5</v>
      </c>
      <c r="S25" s="192" t="str">
        <f>equations!$R$9</f>
        <v>mm</v>
      </c>
      <c r="T25" s="233"/>
      <c r="U25" s="192"/>
      <c r="V25" s="16"/>
      <c r="W25" s="16"/>
      <c r="X25" s="16"/>
      <c r="Y25" s="59"/>
    </row>
    <row r="26" spans="2:25" ht="20.25" customHeight="1" x14ac:dyDescent="0.3">
      <c r="B26" s="58"/>
      <c r="C26" s="73"/>
      <c r="D26" s="72"/>
      <c r="E26" s="86"/>
      <c r="F26" s="72"/>
      <c r="G26" s="72"/>
      <c r="H26" s="95" t="s">
        <v>207</v>
      </c>
      <c r="I26" s="16"/>
      <c r="J26" s="95"/>
      <c r="K26" s="95"/>
      <c r="L26" s="96"/>
      <c r="M26" s="92">
        <f>equations!F531</f>
        <v>72</v>
      </c>
      <c r="N26" s="92">
        <f>equations!G531</f>
        <v>114</v>
      </c>
      <c r="O26" s="92">
        <f>equations!H531</f>
        <v>156</v>
      </c>
      <c r="P26" s="92">
        <f>equations!I531</f>
        <v>198</v>
      </c>
      <c r="Q26" s="92">
        <f>equations!J531</f>
        <v>240</v>
      </c>
      <c r="R26" s="92">
        <f>equations!K531</f>
        <v>282</v>
      </c>
      <c r="S26" s="192" t="str">
        <f>equations!$R$9</f>
        <v>mm</v>
      </c>
      <c r="T26" s="233"/>
      <c r="U26" s="192"/>
      <c r="V26" s="16"/>
      <c r="W26" s="16"/>
      <c r="X26" s="16"/>
      <c r="Y26" s="59"/>
    </row>
    <row r="27" spans="2:25" ht="20.25" customHeight="1" x14ac:dyDescent="0.3">
      <c r="B27" s="58"/>
      <c r="C27" s="73"/>
      <c r="D27" s="72"/>
      <c r="E27" s="23"/>
      <c r="F27" s="23"/>
      <c r="G27" s="23"/>
      <c r="H27" s="95" t="s">
        <v>208</v>
      </c>
      <c r="I27" s="16"/>
      <c r="J27" s="95"/>
      <c r="K27" s="95"/>
      <c r="L27" s="96"/>
      <c r="M27" s="236">
        <f>equations!F532</f>
        <v>38</v>
      </c>
      <c r="N27" s="236">
        <f>equations!G532</f>
        <v>80</v>
      </c>
      <c r="O27" s="236">
        <f>equations!H532</f>
        <v>122</v>
      </c>
      <c r="P27" s="236">
        <f>equations!I532</f>
        <v>164</v>
      </c>
      <c r="Q27" s="236">
        <f>equations!J532</f>
        <v>206</v>
      </c>
      <c r="R27" s="236">
        <f>equations!K532</f>
        <v>248</v>
      </c>
      <c r="S27" s="192" t="str">
        <f>equations!$R$9</f>
        <v>mm</v>
      </c>
      <c r="T27" s="233"/>
      <c r="U27" s="192"/>
      <c r="V27" s="16"/>
      <c r="W27" s="16"/>
      <c r="X27" s="16"/>
      <c r="Y27" s="59"/>
    </row>
    <row r="28" spans="2:25" ht="20.25" customHeight="1" x14ac:dyDescent="0.3">
      <c r="B28" s="58"/>
      <c r="C28" s="73"/>
      <c r="D28" s="72"/>
      <c r="E28" s="23"/>
      <c r="F28" s="23"/>
      <c r="G28" s="23"/>
      <c r="H28" s="95" t="s">
        <v>491</v>
      </c>
      <c r="I28" s="16"/>
      <c r="J28" s="95"/>
      <c r="K28" s="95"/>
      <c r="L28" s="96"/>
      <c r="M28" s="456" t="str">
        <f>equations!F533</f>
        <v>D + 76</v>
      </c>
      <c r="N28" s="457"/>
      <c r="O28" s="457"/>
      <c r="P28" s="457"/>
      <c r="Q28" s="457"/>
      <c r="R28" s="457"/>
      <c r="S28" s="240" t="str">
        <f>equations!$R$9</f>
        <v>mm</v>
      </c>
      <c r="T28" s="95"/>
      <c r="U28" s="192"/>
      <c r="V28" s="16"/>
      <c r="W28" s="16"/>
      <c r="X28" s="16"/>
      <c r="Y28" s="59"/>
    </row>
    <row r="29" spans="2:25" ht="20.25" customHeight="1" x14ac:dyDescent="0.3">
      <c r="B29" s="58"/>
      <c r="C29" s="73"/>
      <c r="D29" s="72"/>
      <c r="E29" s="23"/>
      <c r="F29" s="23"/>
      <c r="G29" s="23"/>
      <c r="H29" s="95" t="s">
        <v>492</v>
      </c>
      <c r="I29" s="16"/>
      <c r="J29" s="95"/>
      <c r="K29" s="95"/>
      <c r="L29" s="95"/>
      <c r="M29" s="237">
        <f>equations!C537</f>
        <v>63</v>
      </c>
      <c r="N29" s="238">
        <f>equations!G534</f>
        <v>135.5</v>
      </c>
      <c r="O29" s="238">
        <f>equations!H534</f>
        <v>177.5</v>
      </c>
      <c r="P29" s="238">
        <f>equations!I534</f>
        <v>219.5</v>
      </c>
      <c r="Q29" s="238">
        <f>equations!J534</f>
        <v>261.5</v>
      </c>
      <c r="R29" s="239">
        <f>equations!K534</f>
        <v>303.5</v>
      </c>
      <c r="S29" s="192" t="str">
        <f>equations!$R$9</f>
        <v>mm</v>
      </c>
      <c r="T29" s="233"/>
      <c r="U29" s="192"/>
      <c r="V29" s="16"/>
      <c r="W29" s="16"/>
      <c r="X29" s="16"/>
      <c r="Y29" s="59"/>
    </row>
    <row r="30" spans="2:25" ht="20.25" hidden="1" customHeight="1" x14ac:dyDescent="0.3">
      <c r="B30" s="58"/>
      <c r="C30" s="73"/>
      <c r="D30" s="72"/>
      <c r="E30" s="23"/>
      <c r="F30" s="23"/>
      <c r="G30" s="23"/>
      <c r="H30" s="95" t="s">
        <v>209</v>
      </c>
      <c r="I30" s="16"/>
      <c r="J30" s="95"/>
      <c r="K30" s="95"/>
      <c r="L30" s="96"/>
      <c r="M30" s="92"/>
      <c r="N30" s="92"/>
      <c r="O30" s="92"/>
      <c r="P30" s="92"/>
      <c r="Q30" s="92"/>
      <c r="R30" s="92"/>
      <c r="S30" s="92"/>
      <c r="T30" s="92"/>
      <c r="U30" s="192" t="s">
        <v>205</v>
      </c>
      <c r="V30" s="16"/>
      <c r="W30" s="16"/>
      <c r="X30" s="16"/>
      <c r="Y30" s="59"/>
    </row>
    <row r="31" spans="2:25" ht="20.25" hidden="1" customHeight="1" x14ac:dyDescent="0.3">
      <c r="B31" s="58"/>
      <c r="C31" s="73"/>
      <c r="D31" s="72"/>
      <c r="E31" s="23"/>
      <c r="F31" s="23"/>
      <c r="G31" s="23"/>
      <c r="H31" s="95" t="s">
        <v>468</v>
      </c>
      <c r="I31" s="16"/>
      <c r="J31" s="95"/>
      <c r="K31" s="95"/>
      <c r="L31" s="96"/>
      <c r="M31" s="92"/>
      <c r="N31" s="92"/>
      <c r="O31" s="92"/>
      <c r="P31" s="92"/>
      <c r="Q31" s="92"/>
      <c r="R31" s="92"/>
      <c r="S31" s="92"/>
      <c r="T31" s="92"/>
      <c r="U31" s="192" t="s">
        <v>205</v>
      </c>
      <c r="V31" s="16"/>
      <c r="W31" s="16"/>
      <c r="X31" s="16"/>
      <c r="Y31" s="59"/>
    </row>
    <row r="32" spans="2:25" ht="20.25" hidden="1" customHeight="1" x14ac:dyDescent="0.3">
      <c r="B32" s="58"/>
      <c r="C32" s="73"/>
      <c r="D32" s="72"/>
      <c r="E32" s="23"/>
      <c r="F32" s="23"/>
      <c r="G32" s="23"/>
      <c r="H32" s="98" t="s">
        <v>210</v>
      </c>
      <c r="I32" s="87"/>
      <c r="J32" s="98"/>
      <c r="K32" s="98"/>
      <c r="L32" s="99"/>
      <c r="M32" s="92"/>
      <c r="N32" s="92"/>
      <c r="O32" s="92"/>
      <c r="P32" s="92"/>
      <c r="Q32" s="92"/>
      <c r="R32" s="92"/>
      <c r="S32" s="92"/>
      <c r="T32" s="93"/>
      <c r="U32" s="192" t="s">
        <v>205</v>
      </c>
      <c r="V32" s="16"/>
      <c r="W32" s="16"/>
      <c r="X32" s="16"/>
      <c r="Y32" s="59"/>
    </row>
    <row r="33" spans="2:25" ht="19.5" x14ac:dyDescent="0.3">
      <c r="B33" s="58"/>
      <c r="C33" s="73"/>
      <c r="D33" s="72"/>
      <c r="E33" s="23"/>
      <c r="F33" s="23"/>
      <c r="G33" s="23"/>
      <c r="H33" s="23"/>
      <c r="I33" s="16"/>
      <c r="J33" s="23"/>
      <c r="K33" s="23"/>
      <c r="L33" s="129" t="s">
        <v>100</v>
      </c>
      <c r="M33" s="234" t="s">
        <v>435</v>
      </c>
      <c r="N33" s="235"/>
      <c r="O33" s="235"/>
      <c r="P33" s="235"/>
      <c r="Q33" s="235"/>
      <c r="R33" s="235"/>
      <c r="S33" s="233"/>
      <c r="T33" s="17"/>
      <c r="U33" s="16"/>
      <c r="V33" s="16"/>
      <c r="W33" s="16"/>
      <c r="X33" s="16"/>
      <c r="Y33" s="59"/>
    </row>
    <row r="34" spans="2:25" ht="19.5" x14ac:dyDescent="0.3">
      <c r="B34" s="69"/>
      <c r="C34" s="94"/>
      <c r="D34" s="94"/>
      <c r="E34" s="493"/>
      <c r="F34" s="493"/>
      <c r="G34" s="493"/>
      <c r="H34" s="493"/>
      <c r="I34" s="70"/>
      <c r="J34" s="70"/>
      <c r="K34" s="70"/>
      <c r="L34" s="221" t="s">
        <v>100</v>
      </c>
      <c r="M34" s="220" t="s">
        <v>436</v>
      </c>
      <c r="N34" s="70"/>
      <c r="O34" s="70"/>
      <c r="P34" s="70"/>
      <c r="Q34" s="70"/>
      <c r="R34" s="70"/>
      <c r="S34" s="70"/>
      <c r="T34" s="70"/>
      <c r="U34" s="70"/>
      <c r="V34" s="70"/>
      <c r="W34" s="70"/>
      <c r="X34" s="70"/>
      <c r="Y34" s="71"/>
    </row>
  </sheetData>
  <sheetProtection algorithmName="SHA-512" hashValue="UqplgJalyGGoaqYs4q4l95bx0fAqqRjI6XBc/ztXhWk6dM4aUNx+E5C38Pw/VzPtQ8We0RRhnkVyeEcMJn5EPg==" saltValue="manvvPiOFjjlBSYq1T8Pew==" spinCount="100000" sheet="1" selectLockedCells="1"/>
  <mergeCells count="3">
    <mergeCell ref="E34:H34"/>
    <mergeCell ref="C6:F6"/>
    <mergeCell ref="M28:R28"/>
  </mergeCells>
  <phoneticPr fontId="62" type="noConversion"/>
  <conditionalFormatting sqref="M24:M27 N26:R27 T26:T27 N29:R29 M29:M32 N33">
    <cfRule type="expression" dxfId="5" priority="48">
      <formula>OR(#REF!&gt;#REF!,#REF!&lt;#REF!)</formula>
    </cfRule>
  </conditionalFormatting>
  <conditionalFormatting sqref="N24:N25 T29 N30:N32 O33:O34">
    <cfRule type="expression" dxfId="4" priority="49">
      <formula>OR(#REF!&gt;#REF!,#REF!&lt;#REF!)</formula>
    </cfRule>
  </conditionalFormatting>
  <conditionalFormatting sqref="O24:O25 H26:H32 O30:O32 J33:J34 P33:P34">
    <cfRule type="expression" dxfId="3" priority="47">
      <formula>OR(#REF!&gt;#REF!,#REF!&lt;#REF!)</formula>
    </cfRule>
  </conditionalFormatting>
  <conditionalFormatting sqref="P24:P25 M28 P30:P32 Q33:Q34">
    <cfRule type="expression" dxfId="2" priority="51">
      <formula>OR(#REF!&gt;#REF!,#REF!&lt;#REF!)</formula>
    </cfRule>
  </conditionalFormatting>
  <conditionalFormatting sqref="Q24:Q25 Q30:Q32 R33:R34">
    <cfRule type="expression" dxfId="1" priority="52">
      <formula>OR(#REF!&gt;#REF!,#REF!&lt;#REF!)</formula>
    </cfRule>
  </conditionalFormatting>
  <conditionalFormatting sqref="R24:T24 R25 T25 R30:T32 S33:S34">
    <cfRule type="expression" dxfId="0" priority="53">
      <formula>OR(#REF!&gt;#REF!,#REF!&lt;#REF!)</formula>
    </cfRule>
  </conditionalFormatting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D14"/>
  <sheetViews>
    <sheetView workbookViewId="0"/>
  </sheetViews>
  <sheetFormatPr defaultRowHeight="15" x14ac:dyDescent="0.25"/>
  <cols>
    <col min="1" max="1" width="46.28515625" style="156" customWidth="1"/>
    <col min="2" max="2" width="51.28515625" customWidth="1"/>
    <col min="4" max="4" width="22.140625" customWidth="1"/>
  </cols>
  <sheetData>
    <row r="1" spans="1:4" ht="166.15" customHeight="1" x14ac:dyDescent="0.25">
      <c r="A1" s="18"/>
    </row>
    <row r="2" spans="1:4" ht="166.15" customHeight="1" x14ac:dyDescent="0.25">
      <c r="A2" s="18"/>
    </row>
    <row r="3" spans="1:4" ht="166.15" customHeight="1" x14ac:dyDescent="0.25">
      <c r="A3" s="18"/>
    </row>
    <row r="4" spans="1:4" ht="166.15" customHeight="1" x14ac:dyDescent="0.25">
      <c r="A4" s="18"/>
    </row>
    <row r="5" spans="1:4" x14ac:dyDescent="0.25">
      <c r="A5" s="18"/>
    </row>
    <row r="6" spans="1:4" ht="144" customHeight="1" x14ac:dyDescent="0.25">
      <c r="A6" s="163"/>
    </row>
    <row r="7" spans="1:4" ht="144" customHeight="1" x14ac:dyDescent="0.25">
      <c r="A7" s="163"/>
    </row>
    <row r="8" spans="1:4" x14ac:dyDescent="0.25">
      <c r="A8" s="18"/>
    </row>
    <row r="9" spans="1:4" x14ac:dyDescent="0.25">
      <c r="A9" s="18"/>
    </row>
    <row r="10" spans="1:4" ht="220.15" customHeight="1" x14ac:dyDescent="0.25"/>
    <row r="11" spans="1:4" ht="220.15" customHeight="1" x14ac:dyDescent="0.25"/>
    <row r="12" spans="1:4" ht="74.25" customHeight="1" x14ac:dyDescent="0.25">
      <c r="D12" s="260"/>
    </row>
    <row r="13" spans="1:4" ht="74.25" customHeight="1" x14ac:dyDescent="0.25">
      <c r="D13" s="260"/>
    </row>
    <row r="14" spans="1:4" ht="74.25" customHeight="1" x14ac:dyDescent="0.25">
      <c r="D14" s="260"/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Visio.Drawing.15" shapeId="9226" r:id="rId3">
          <objectPr defaultSize="0" r:id="rId4">
            <anchor moveWithCells="1">
              <from>
                <xdr:col>0</xdr:col>
                <xdr:colOff>0</xdr:colOff>
                <xdr:row>2</xdr:row>
                <xdr:rowOff>0</xdr:rowOff>
              </from>
              <to>
                <xdr:col>0</xdr:col>
                <xdr:colOff>3267075</xdr:colOff>
                <xdr:row>2</xdr:row>
                <xdr:rowOff>2085975</xdr:rowOff>
              </to>
            </anchor>
          </objectPr>
        </oleObject>
      </mc:Choice>
      <mc:Fallback>
        <oleObject progId="Visio.Drawing.15" shapeId="9226" r:id="rId3"/>
      </mc:Fallback>
    </mc:AlternateContent>
    <mc:AlternateContent xmlns:mc="http://schemas.openxmlformats.org/markup-compatibility/2006">
      <mc:Choice Requires="x14">
        <oleObject progId="Visio.Drawing.15" shapeId="9228" r:id="rId5">
          <objectPr defaultSize="0" r:id="rId6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0</xdr:col>
                <xdr:colOff>3267075</xdr:colOff>
                <xdr:row>3</xdr:row>
                <xdr:rowOff>2085975</xdr:rowOff>
              </to>
            </anchor>
          </objectPr>
        </oleObject>
      </mc:Choice>
      <mc:Fallback>
        <oleObject progId="Visio.Drawing.15" shapeId="9228" r:id="rId5"/>
      </mc:Fallback>
    </mc:AlternateContent>
    <mc:AlternateContent xmlns:mc="http://schemas.openxmlformats.org/markup-compatibility/2006">
      <mc:Choice Requires="x14">
        <oleObject progId="Visio.Drawing.15" shapeId="9230" r:id="rId7">
          <objectPr defaultSize="0" r:id="rId8">
            <anchor moveWithCells="1">
              <from>
                <xdr:col>0</xdr:col>
                <xdr:colOff>0</xdr:colOff>
                <xdr:row>1</xdr:row>
                <xdr:rowOff>0</xdr:rowOff>
              </from>
              <to>
                <xdr:col>0</xdr:col>
                <xdr:colOff>3267075</xdr:colOff>
                <xdr:row>1</xdr:row>
                <xdr:rowOff>2085975</xdr:rowOff>
              </to>
            </anchor>
          </objectPr>
        </oleObject>
      </mc:Choice>
      <mc:Fallback>
        <oleObject progId="Visio.Drawing.15" shapeId="9230" r:id="rId7"/>
      </mc:Fallback>
    </mc:AlternateContent>
    <mc:AlternateContent xmlns:mc="http://schemas.openxmlformats.org/markup-compatibility/2006">
      <mc:Choice Requires="x14">
        <oleObject progId="Visio.Drawing.15" shapeId="9231" r:id="rId9">
          <objectPr defaultSize="0" r:id="rId10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3267075</xdr:colOff>
                <xdr:row>0</xdr:row>
                <xdr:rowOff>2085975</xdr:rowOff>
              </to>
            </anchor>
          </objectPr>
        </oleObject>
      </mc:Choice>
      <mc:Fallback>
        <oleObject progId="Visio.Drawing.15" shapeId="9231" r:id="rId9"/>
      </mc:Fallback>
    </mc:AlternateContent>
    <mc:AlternateContent xmlns:mc="http://schemas.openxmlformats.org/markup-compatibility/2006">
      <mc:Choice Requires="x14">
        <oleObject progId="Visio.Drawing.15" shapeId="9238" r:id="rId11">
          <objectPr defaultSize="0" r:id="rId12">
            <anchor moveWithCells="1">
              <from>
                <xdr:col>0</xdr:col>
                <xdr:colOff>0</xdr:colOff>
                <xdr:row>5</xdr:row>
                <xdr:rowOff>0</xdr:rowOff>
              </from>
              <to>
                <xdr:col>0</xdr:col>
                <xdr:colOff>3209925</xdr:colOff>
                <xdr:row>5</xdr:row>
                <xdr:rowOff>1800225</xdr:rowOff>
              </to>
            </anchor>
          </objectPr>
        </oleObject>
      </mc:Choice>
      <mc:Fallback>
        <oleObject progId="Visio.Drawing.15" shapeId="9238" r:id="rId11"/>
      </mc:Fallback>
    </mc:AlternateContent>
    <mc:AlternateContent xmlns:mc="http://schemas.openxmlformats.org/markup-compatibility/2006">
      <mc:Choice Requires="x14">
        <oleObject progId="Visio.Drawing.15" shapeId="9239" r:id="rId13">
          <objectPr defaultSize="0" r:id="rId14">
            <anchor moveWithCells="1">
              <from>
                <xdr:col>0</xdr:col>
                <xdr:colOff>0</xdr:colOff>
                <xdr:row>6</xdr:row>
                <xdr:rowOff>0</xdr:rowOff>
              </from>
              <to>
                <xdr:col>0</xdr:col>
                <xdr:colOff>3209925</xdr:colOff>
                <xdr:row>6</xdr:row>
                <xdr:rowOff>1800225</xdr:rowOff>
              </to>
            </anchor>
          </objectPr>
        </oleObject>
      </mc:Choice>
      <mc:Fallback>
        <oleObject progId="Visio.Drawing.15" shapeId="9239" r:id="rId13"/>
      </mc:Fallback>
    </mc:AlternateContent>
    <mc:AlternateContent xmlns:mc="http://schemas.openxmlformats.org/markup-compatibility/2006">
      <mc:Choice Requires="x14">
        <oleObject progId="Visio.Drawing.15" shapeId="9246" r:id="rId15">
          <objectPr defaultSize="0" r:id="rId16">
            <anchor moveWithCells="1">
              <from>
                <xdr:col>1</xdr:col>
                <xdr:colOff>0</xdr:colOff>
                <xdr:row>9</xdr:row>
                <xdr:rowOff>0</xdr:rowOff>
              </from>
              <to>
                <xdr:col>2</xdr:col>
                <xdr:colOff>0</xdr:colOff>
                <xdr:row>10</xdr:row>
                <xdr:rowOff>19050</xdr:rowOff>
              </to>
            </anchor>
          </objectPr>
        </oleObject>
      </mc:Choice>
      <mc:Fallback>
        <oleObject progId="Visio.Drawing.15" shapeId="9246" r:id="rId15"/>
      </mc:Fallback>
    </mc:AlternateContent>
    <mc:AlternateContent xmlns:mc="http://schemas.openxmlformats.org/markup-compatibility/2006">
      <mc:Choice Requires="x14">
        <oleObject progId="Visio.Drawing.15" shapeId="9247" r:id="rId17">
          <objectPr defaultSize="0" r:id="rId18">
            <anchor moveWithCells="1">
              <from>
                <xdr:col>1</xdr:col>
                <xdr:colOff>0</xdr:colOff>
                <xdr:row>10</xdr:row>
                <xdr:rowOff>0</xdr:rowOff>
              </from>
              <to>
                <xdr:col>2</xdr:col>
                <xdr:colOff>9525</xdr:colOff>
                <xdr:row>11</xdr:row>
                <xdr:rowOff>19050</xdr:rowOff>
              </to>
            </anchor>
          </objectPr>
        </oleObject>
      </mc:Choice>
      <mc:Fallback>
        <oleObject progId="Visio.Drawing.15" shapeId="9247" r:id="rId17"/>
      </mc:Fallback>
    </mc:AlternateContent>
    <mc:AlternateContent xmlns:mc="http://schemas.openxmlformats.org/markup-compatibility/2006">
      <mc:Choice Requires="x14">
        <oleObject progId="Visio.Drawing.15" shapeId="9248" r:id="rId19">
          <objectPr defaultSize="0" r:id="rId20">
            <anchor moveWithCells="1">
              <from>
                <xdr:col>3</xdr:col>
                <xdr:colOff>0</xdr:colOff>
                <xdr:row>11</xdr:row>
                <xdr:rowOff>0</xdr:rowOff>
              </from>
              <to>
                <xdr:col>3</xdr:col>
                <xdr:colOff>1457325</xdr:colOff>
                <xdr:row>11</xdr:row>
                <xdr:rowOff>933450</xdr:rowOff>
              </to>
            </anchor>
          </objectPr>
        </oleObject>
      </mc:Choice>
      <mc:Fallback>
        <oleObject progId="Visio.Drawing.15" shapeId="9248" r:id="rId19"/>
      </mc:Fallback>
    </mc:AlternateContent>
    <mc:AlternateContent xmlns:mc="http://schemas.openxmlformats.org/markup-compatibility/2006">
      <mc:Choice Requires="x14">
        <oleObject progId="Visio.Drawing.15" shapeId="9249" r:id="rId21">
          <objectPr defaultSize="0" r:id="rId22">
            <anchor moveWithCells="1">
              <from>
                <xdr:col>3</xdr:col>
                <xdr:colOff>0</xdr:colOff>
                <xdr:row>12</xdr:row>
                <xdr:rowOff>0</xdr:rowOff>
              </from>
              <to>
                <xdr:col>3</xdr:col>
                <xdr:colOff>1447800</xdr:colOff>
                <xdr:row>13</xdr:row>
                <xdr:rowOff>28575</xdr:rowOff>
              </to>
            </anchor>
          </objectPr>
        </oleObject>
      </mc:Choice>
      <mc:Fallback>
        <oleObject progId="Visio.Drawing.15" shapeId="9249" r:id="rId21"/>
      </mc:Fallback>
    </mc:AlternateContent>
    <mc:AlternateContent xmlns:mc="http://schemas.openxmlformats.org/markup-compatibility/2006">
      <mc:Choice Requires="x14">
        <oleObject progId="Visio.Drawing.15" shapeId="9250" r:id="rId23">
          <objectPr defaultSize="0" r:id="rId24">
            <anchor moveWithCells="1">
              <from>
                <xdr:col>3</xdr:col>
                <xdr:colOff>0</xdr:colOff>
                <xdr:row>13</xdr:row>
                <xdr:rowOff>0</xdr:rowOff>
              </from>
              <to>
                <xdr:col>3</xdr:col>
                <xdr:colOff>1447800</xdr:colOff>
                <xdr:row>13</xdr:row>
                <xdr:rowOff>933450</xdr:rowOff>
              </to>
            </anchor>
          </objectPr>
        </oleObject>
      </mc:Choice>
      <mc:Fallback>
        <oleObject progId="Visio.Drawing.15" shapeId="9250" r:id="rId23"/>
      </mc:Fallback>
    </mc:AlternateContent>
  </oleObject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74C00-129D-4987-BB84-0DEDC9360D06}">
  <dimension ref="A1:B4"/>
  <sheetViews>
    <sheetView workbookViewId="0">
      <selection activeCell="D9" sqref="D9"/>
    </sheetView>
  </sheetViews>
  <sheetFormatPr defaultColWidth="8.85546875" defaultRowHeight="13.5" x14ac:dyDescent="0.25"/>
  <cols>
    <col min="1" max="1" width="77.28515625" style="314" customWidth="1"/>
    <col min="2" max="16384" width="8.85546875" style="314"/>
  </cols>
  <sheetData>
    <row r="1" spans="1:2" ht="272.25" customHeight="1" x14ac:dyDescent="0.25"/>
    <row r="2" spans="1:2" ht="272.25" customHeight="1" x14ac:dyDescent="0.25">
      <c r="A2" s="417" t="s">
        <v>624</v>
      </c>
    </row>
    <row r="3" spans="1:2" ht="272.25" customHeight="1" x14ac:dyDescent="0.25">
      <c r="A3" s="417" t="s">
        <v>866</v>
      </c>
    </row>
    <row r="4" spans="1:2" x14ac:dyDescent="0.25">
      <c r="A4" s="314" t="str">
        <f ca="1">"Recommended Actuator Control for " &amp; data!C7&amp;" slot at Max Airflow at " &amp; B4</f>
        <v>Recommended Actuator Control for 0 slot at Max Airflow at 2.7 m</v>
      </c>
      <c r="B4" s="314" t="str">
        <f ca="1">equations!B20&amp;" "&amp;equations!C20</f>
        <v>2.7 m</v>
      </c>
    </row>
  </sheetData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Visio.Drawing.15" shapeId="26625" r:id="rId3">
          <objectPr defaultSize="0" autoPict="0" r:id="rId4">
            <anchor moveWithCells="1">
              <from>
                <xdr:col>0</xdr:col>
                <xdr:colOff>76200</xdr:colOff>
                <xdr:row>0</xdr:row>
                <xdr:rowOff>523875</xdr:rowOff>
              </from>
              <to>
                <xdr:col>0</xdr:col>
                <xdr:colOff>1343025</xdr:colOff>
                <xdr:row>0</xdr:row>
                <xdr:rowOff>1028700</xdr:rowOff>
              </to>
            </anchor>
          </objectPr>
        </oleObject>
      </mc:Choice>
      <mc:Fallback>
        <oleObject progId="Visio.Drawing.15" shapeId="26625" r:id="rId3"/>
      </mc:Fallback>
    </mc:AlternateContent>
    <mc:AlternateContent xmlns:mc="http://schemas.openxmlformats.org/markup-compatibility/2006">
      <mc:Choice Requires="x14">
        <oleObject progId="Visio.Drawing.15" shapeId="26626" r:id="rId5">
          <objectPr defaultSize="0" autoPict="0" r:id="rId6">
            <anchor moveWithCells="1">
              <from>
                <xdr:col>0</xdr:col>
                <xdr:colOff>4514850</xdr:colOff>
                <xdr:row>0</xdr:row>
                <xdr:rowOff>2209800</xdr:rowOff>
              </from>
              <to>
                <xdr:col>0</xdr:col>
                <xdr:colOff>5191125</xdr:colOff>
                <xdr:row>0</xdr:row>
                <xdr:rowOff>2705100</xdr:rowOff>
              </to>
            </anchor>
          </objectPr>
        </oleObject>
      </mc:Choice>
      <mc:Fallback>
        <oleObject progId="Visio.Drawing.15" shapeId="26626" r:id="rId5"/>
      </mc:Fallback>
    </mc:AlternateContent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bbb3e3-3c65-4cbd-bb41-bc965094d10a">
      <Terms xmlns="http://schemas.microsoft.com/office/infopath/2007/PartnerControls"/>
    </lcf76f155ced4ddcb4097134ff3c332f>
    <TaxCatchAll xmlns="376dd4ba-df4a-4846-a89c-1b53ce3cc70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34504A946ECCA4C952722432686889E" ma:contentTypeVersion="16" ma:contentTypeDescription="Create a new document." ma:contentTypeScope="" ma:versionID="500d7c744ff6b37d1f06374982362126">
  <xsd:schema xmlns:xsd="http://www.w3.org/2001/XMLSchema" xmlns:xs="http://www.w3.org/2001/XMLSchema" xmlns:p="http://schemas.microsoft.com/office/2006/metadata/properties" xmlns:ns2="14bbb3e3-3c65-4cbd-bb41-bc965094d10a" xmlns:ns3="376dd4ba-df4a-4846-a89c-1b53ce3cc703" targetNamespace="http://schemas.microsoft.com/office/2006/metadata/properties" ma:root="true" ma:fieldsID="7467a0775a9a388eaff1adb49d006af6" ns2:_="" ns3:_="">
    <xsd:import namespace="14bbb3e3-3c65-4cbd-bb41-bc965094d10a"/>
    <xsd:import namespace="376dd4ba-df4a-4846-a89c-1b53ce3cc7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bb3e3-3c65-4cbd-bb41-bc965094d1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5099de3-f43e-464c-81e1-892210f71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6dd4ba-df4a-4846-a89c-1b53ce3cc70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a1b3306-80d9-4625-86be-7037c69e3b39}" ma:internalName="TaxCatchAll" ma:showField="CatchAllData" ma:web="376dd4ba-df4a-4846-a89c-1b53ce3cc7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49E2FF-16FD-4D2B-8295-C446092386EC}">
  <ds:schemaRefs>
    <ds:schemaRef ds:uri="http://schemas.microsoft.com/office/2006/metadata/properties"/>
    <ds:schemaRef ds:uri="http://www.w3.org/2000/xmlns/"/>
    <ds:schemaRef ds:uri="14bbb3e3-3c65-4cbd-bb41-bc965094d10a"/>
    <ds:schemaRef ds:uri="http://schemas.microsoft.com/office/infopath/2007/PartnerControls"/>
    <ds:schemaRef ds:uri="376dd4ba-df4a-4846-a89c-1b53ce3cc703"/>
    <ds:schemaRef ds:uri="http://www.w3.org/2001/XMLSchema-instance"/>
  </ds:schemaRefs>
</ds:datastoreItem>
</file>

<file path=customXml/itemProps2.xml><?xml version="1.0" encoding="utf-8"?>
<ds:datastoreItem xmlns:ds="http://schemas.openxmlformats.org/officeDocument/2006/customXml" ds:itemID="{D3D0F088-88C0-4290-9542-775674C18CB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834413-FE9D-4959-BFB6-379039192F0F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14bbb3e3-3c65-4cbd-bb41-bc965094d10a"/>
    <ds:schemaRef ds:uri="376dd4ba-df4a-4846-a89c-1b53ce3cc703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16</vt:i4>
      </vt:variant>
    </vt:vector>
  </HeadingPairs>
  <TitlesOfParts>
    <vt:vector size="25" baseType="lpstr">
      <vt:lpstr>LJC-AD</vt:lpstr>
      <vt:lpstr>equations</vt:lpstr>
      <vt:lpstr>data</vt:lpstr>
      <vt:lpstr>Selection Summary &amp; Print</vt:lpstr>
      <vt:lpstr>Notes</vt:lpstr>
      <vt:lpstr>Diffuser Layout (not used)</vt:lpstr>
      <vt:lpstr>Dimensions &amp; Connection Box</vt:lpstr>
      <vt:lpstr>diagrams</vt:lpstr>
      <vt:lpstr>charts</vt:lpstr>
      <vt:lpstr>_defaultADPI</vt:lpstr>
      <vt:lpstr>_defaultAirflow</vt:lpstr>
      <vt:lpstr>_defaultCoverage</vt:lpstr>
      <vt:lpstr>_defaultDT</vt:lpstr>
      <vt:lpstr>_defaultHeight</vt:lpstr>
      <vt:lpstr>_defaultInput</vt:lpstr>
      <vt:lpstr>_defaultLowLevel</vt:lpstr>
      <vt:lpstr>_defaultPressure</vt:lpstr>
      <vt:lpstr>_defaultRatio</vt:lpstr>
      <vt:lpstr>_defaultSetback</vt:lpstr>
      <vt:lpstr>_defaultSpecFlow</vt:lpstr>
      <vt:lpstr>_defaultTempCool</vt:lpstr>
      <vt:lpstr>_defaultTempHeat</vt:lpstr>
      <vt:lpstr>_defaultVAV</vt:lpstr>
      <vt:lpstr>_product_code</vt:lpstr>
      <vt:lpstr>adpi.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Smartair Diffusion</dc:creator>
  <cp:lastModifiedBy>Peter Tran</cp:lastModifiedBy>
  <cp:lastPrinted>2017-06-26T04:13:07Z</cp:lastPrinted>
  <dcterms:created xsi:type="dcterms:W3CDTF">2016-09-15T03:33:21Z</dcterms:created>
  <dcterms:modified xsi:type="dcterms:W3CDTF">2025-02-12T09:53:30Z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0x010100E34504A946ECCA4C952722432686889E</vt:lpwstr>
  </property>
  <property fmtid="{D5CDD505-2E9C-101B-9397-08002B2CF9AE}" pid="3" name="Order">
    <vt:r8>4889600</vt:r8>
  </property>
</Properties>
</file>