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vsdx" ContentType="application/vnd.ms-visio.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trlProps/ctrlProp38.xml" ContentType="application/vnd.ms-excel.controlproperties+xml"/>
  <Override PartName="/xl/drawings/drawing5.xml" ContentType="application/vnd.openxmlformats-officedocument.drawing+xml"/>
  <Override PartName="/xl/ctrlProps/ctrlProp39.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https://d.docs.live.net/e88369f42e4cf940/Documents/Work/Smartair/HSC-FD/"/>
    </mc:Choice>
  </mc:AlternateContent>
  <xr:revisionPtr revIDLastSave="64" documentId="13_ncr:1_{FF02DB96-69B0-4798-923D-2A63B4E0A320}" xr6:coauthVersionLast="47" xr6:coauthVersionMax="47" xr10:uidLastSave="{EA4A0B6E-818A-4510-8C71-1BEE8E22195F}"/>
  <workbookProtection workbookAlgorithmName="SHA-512" workbookHashValue="XbGd7hOti2MAFfJMs4/m0g0qRkV2mc9D6B4D2/DFKtoCVs2X4lh753qkIn4eC2vogylvLtcTkzVcBkVthjlBdA==" workbookSaltValue="43pXRvjaPV6zp5bzsejTpQ==" workbookSpinCount="100000" lockStructure="1"/>
  <bookViews>
    <workbookView xWindow="27180" yWindow="675" windowWidth="26490" windowHeight="22965" xr2:uid="{EE2B6FF3-276E-4582-935F-753FAB889494}"/>
  </bookViews>
  <sheets>
    <sheet name="HSC-FD" sheetId="1" r:id="rId1"/>
    <sheet name="HSC-FD Equations" sheetId="3" state="hidden" r:id="rId2"/>
    <sheet name="Data" sheetId="2" state="hidden" r:id="rId3"/>
    <sheet name="Reducer Selector" sheetId="13" r:id="rId4"/>
    <sheet name="Notes" sheetId="4" r:id="rId5"/>
    <sheet name="Plenum Box Details" sheetId="10" r:id="rId6"/>
    <sheet name="Box Diagrams" sheetId="11" state="hidden" r:id="rId7"/>
    <sheet name="layout diagrams" sheetId="12" state="hidden" r:id="rId8"/>
    <sheet name="Selection Summary" sheetId="7" r:id="rId9"/>
  </sheets>
  <externalReferences>
    <externalReference r:id="rId10"/>
  </externalReferences>
  <definedNames>
    <definedName name="_order_code" localSheetId="3">[1]Data!$B$71</definedName>
    <definedName name="_order_code">Data!$B$71</definedName>
    <definedName name="adpi." localSheetId="3">[1]Data!$A$23:$A$26</definedName>
    <definedName name="adpi.">Data!$A$23:$A$26</definedName>
    <definedName name="dischargediagram" localSheetId="3">INDEX('[1]layout diagrams'!$A$4:$A$7,MATCH('[1]layout diagrams'!$B$2,'[1]layout diagrams'!$B$4:$B$7,0),0)</definedName>
    <definedName name="dischargediagram">INDEX('layout diagrams'!$A$3:$A$6,MATCH('layout diagrams'!$B$1,'layout diagrams'!$B$3:$B$6,0),0)</definedName>
    <definedName name="dischargedirection." localSheetId="3">[1]Data!$A$16:$A$19</definedName>
    <definedName name="dischargedirection.">Data!$A$16:$A$19</definedName>
    <definedName name="layout." localSheetId="3">INDEX('[1]layout diagrams'!$C$8:$C$11,MATCH('[1]layout diagrams'!$B$2,'[1]layout diagrams'!$B$4:$B$7,0),0)</definedName>
    <definedName name="layout.">INDEX('layout diagrams'!$C$7:$C$10,MATCH('layout diagrams'!$B$1,'layout diagrams'!$B$3:$B$6,0),0)</definedName>
    <definedName name="necksize." localSheetId="3">[1]Data!$A$2:$A$4</definedName>
    <definedName name="necksize.">Data!$A$2:$A$4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38" i="13" l="1"/>
  <c r="W38" i="13"/>
  <c r="V38" i="13"/>
  <c r="U38" i="13"/>
  <c r="T38" i="13"/>
  <c r="S38" i="13"/>
  <c r="R38" i="13"/>
  <c r="Q38" i="13"/>
  <c r="N38" i="13"/>
  <c r="M38" i="13"/>
  <c r="L38" i="13"/>
  <c r="K38" i="13"/>
  <c r="J38" i="13"/>
  <c r="I38" i="13"/>
  <c r="H38" i="13"/>
  <c r="G38" i="13"/>
  <c r="F38" i="13"/>
  <c r="B38" i="13"/>
  <c r="B2" i="7"/>
  <c r="H13" i="13"/>
  <c r="E17" i="13"/>
  <c r="Q17" i="13"/>
  <c r="Y17" i="13"/>
  <c r="Z17" i="13"/>
  <c r="X17" i="13"/>
  <c r="E18" i="13"/>
  <c r="Q18" i="13"/>
  <c r="Y18" i="13"/>
  <c r="Z18" i="13"/>
  <c r="X18" i="13"/>
  <c r="E19" i="13"/>
  <c r="Q19" i="13"/>
  <c r="Y19" i="13"/>
  <c r="Z19" i="13"/>
  <c r="X19" i="13"/>
  <c r="E20" i="13"/>
  <c r="Q20" i="13"/>
  <c r="Y20" i="13"/>
  <c r="Z20" i="13"/>
  <c r="X20" i="13"/>
  <c r="E21" i="13"/>
  <c r="Q21" i="13"/>
  <c r="Y21" i="13"/>
  <c r="Z21" i="13"/>
  <c r="X21" i="13"/>
  <c r="E22" i="13"/>
  <c r="Q22" i="13"/>
  <c r="Y22" i="13"/>
  <c r="Z22" i="13"/>
  <c r="X22" i="13"/>
  <c r="E23" i="13"/>
  <c r="Q23" i="13"/>
  <c r="Y23" i="13"/>
  <c r="Z23" i="13"/>
  <c r="X23" i="13"/>
  <c r="E24" i="13"/>
  <c r="Q24" i="13"/>
  <c r="Y24" i="13"/>
  <c r="Z24" i="13"/>
  <c r="X24" i="13"/>
  <c r="E25" i="13"/>
  <c r="Q25" i="13"/>
  <c r="Y25" i="13"/>
  <c r="Z25" i="13"/>
  <c r="X25" i="13"/>
  <c r="E26" i="13"/>
  <c r="Q26" i="13"/>
  <c r="Y26" i="13"/>
  <c r="Z26" i="13"/>
  <c r="X26" i="13"/>
  <c r="E27" i="13"/>
  <c r="Q27" i="13"/>
  <c r="Y27" i="13"/>
  <c r="Z27" i="13"/>
  <c r="X27" i="13"/>
  <c r="E28" i="13"/>
  <c r="Q28" i="13"/>
  <c r="Y28" i="13"/>
  <c r="Z28" i="13"/>
  <c r="X28" i="13"/>
  <c r="E29" i="13"/>
  <c r="Q29" i="13"/>
  <c r="Y29" i="13"/>
  <c r="Z29" i="13"/>
  <c r="X29" i="13"/>
  <c r="E30" i="13"/>
  <c r="Q30" i="13"/>
  <c r="Y30" i="13"/>
  <c r="Z30" i="13"/>
  <c r="X30" i="13"/>
  <c r="E31" i="13"/>
  <c r="Q31" i="13"/>
  <c r="Y31" i="13"/>
  <c r="Z31" i="13"/>
  <c r="X31" i="13"/>
  <c r="E32" i="13"/>
  <c r="Q32" i="13"/>
  <c r="Y32" i="13"/>
  <c r="Z32" i="13"/>
  <c r="X32" i="13"/>
  <c r="E33" i="13"/>
  <c r="Q33" i="13"/>
  <c r="Y33" i="13"/>
  <c r="Z33" i="13"/>
  <c r="X33" i="13"/>
  <c r="E34" i="13"/>
  <c r="Q34" i="13"/>
  <c r="Y34" i="13"/>
  <c r="Z34" i="13"/>
  <c r="X34" i="13"/>
  <c r="E35" i="13"/>
  <c r="Q35" i="13"/>
  <c r="Y35" i="13"/>
  <c r="Z35" i="13"/>
  <c r="X35" i="13"/>
  <c r="E36" i="13"/>
  <c r="Q36" i="13"/>
  <c r="Y36" i="13"/>
  <c r="Z36" i="13"/>
  <c r="X36" i="13"/>
  <c r="W17" i="13"/>
  <c r="W18" i="13"/>
  <c r="W19" i="13"/>
  <c r="W20" i="13"/>
  <c r="W21" i="13"/>
  <c r="W22" i="13"/>
  <c r="W23" i="13"/>
  <c r="W24" i="13"/>
  <c r="W25" i="13"/>
  <c r="W26" i="13"/>
  <c r="W27" i="13"/>
  <c r="W28" i="13"/>
  <c r="W29" i="13"/>
  <c r="W30" i="13"/>
  <c r="W31" i="13"/>
  <c r="W32" i="13"/>
  <c r="W33" i="13"/>
  <c r="W34" i="13"/>
  <c r="W35" i="13"/>
  <c r="W36" i="13"/>
  <c r="V17" i="13"/>
  <c r="V18" i="13"/>
  <c r="V19" i="13"/>
  <c r="V20" i="13"/>
  <c r="V21" i="13"/>
  <c r="V22" i="13"/>
  <c r="V23" i="13"/>
  <c r="V24" i="13"/>
  <c r="V25" i="13"/>
  <c r="V26" i="13"/>
  <c r="V27" i="13"/>
  <c r="V28" i="13"/>
  <c r="V29" i="13"/>
  <c r="V30" i="13"/>
  <c r="V31" i="13"/>
  <c r="V32" i="13"/>
  <c r="V33" i="13"/>
  <c r="V34" i="13"/>
  <c r="V35" i="13"/>
  <c r="V36" i="13"/>
  <c r="U17" i="13"/>
  <c r="U18" i="13"/>
  <c r="U19" i="13"/>
  <c r="U20" i="13"/>
  <c r="U21" i="13"/>
  <c r="U22" i="13"/>
  <c r="U23" i="13"/>
  <c r="U24" i="13"/>
  <c r="U25" i="13"/>
  <c r="U26" i="13"/>
  <c r="U27" i="13"/>
  <c r="U28" i="13"/>
  <c r="U29" i="13"/>
  <c r="U30" i="13"/>
  <c r="U31" i="13"/>
  <c r="U32" i="13"/>
  <c r="U33" i="13"/>
  <c r="U34" i="13"/>
  <c r="U35" i="13"/>
  <c r="U36" i="13"/>
  <c r="T17" i="13"/>
  <c r="T18" i="13"/>
  <c r="T19" i="13"/>
  <c r="T20" i="13"/>
  <c r="T21" i="13"/>
  <c r="T22" i="13"/>
  <c r="T23" i="13"/>
  <c r="T24" i="13"/>
  <c r="T25" i="13"/>
  <c r="T26" i="13"/>
  <c r="T27" i="13"/>
  <c r="T28" i="13"/>
  <c r="T29" i="13"/>
  <c r="T30" i="13"/>
  <c r="T31" i="13"/>
  <c r="T32" i="13"/>
  <c r="T33" i="13"/>
  <c r="T34" i="13"/>
  <c r="T35" i="13"/>
  <c r="T36" i="13"/>
  <c r="S17" i="13"/>
  <c r="S18" i="13"/>
  <c r="S19" i="13"/>
  <c r="S20" i="13"/>
  <c r="S21" i="13"/>
  <c r="S22" i="13"/>
  <c r="S23" i="13"/>
  <c r="S24" i="13"/>
  <c r="S25" i="13"/>
  <c r="S26" i="13"/>
  <c r="S27" i="13"/>
  <c r="S28" i="13"/>
  <c r="S29" i="13"/>
  <c r="S30" i="13"/>
  <c r="S31" i="13"/>
  <c r="S32" i="13"/>
  <c r="S33" i="13"/>
  <c r="S34" i="13"/>
  <c r="S35" i="13"/>
  <c r="S36" i="13"/>
  <c r="R17" i="13"/>
  <c r="R18" i="13"/>
  <c r="R19" i="13"/>
  <c r="R20" i="13"/>
  <c r="R21" i="13"/>
  <c r="R22" i="13"/>
  <c r="R23" i="13"/>
  <c r="R24" i="13"/>
  <c r="R25" i="13"/>
  <c r="R26" i="13"/>
  <c r="R27" i="13"/>
  <c r="R28" i="13"/>
  <c r="R29" i="13"/>
  <c r="R30" i="13"/>
  <c r="R31" i="13"/>
  <c r="R32" i="13"/>
  <c r="R33" i="13"/>
  <c r="R34" i="13"/>
  <c r="R35" i="13"/>
  <c r="R36" i="13"/>
  <c r="F17" i="13"/>
  <c r="D17" i="13"/>
  <c r="H14" i="13"/>
  <c r="I14" i="13"/>
  <c r="J14" i="13"/>
  <c r="O17" i="13"/>
  <c r="N13" i="13"/>
  <c r="M13" i="13"/>
  <c r="L13" i="13"/>
  <c r="K13" i="13"/>
  <c r="P17" i="13"/>
  <c r="N17" i="13"/>
  <c r="F18" i="13"/>
  <c r="O18" i="13"/>
  <c r="P18" i="13"/>
  <c r="N18" i="13"/>
  <c r="F19" i="13"/>
  <c r="O19" i="13"/>
  <c r="P19" i="13"/>
  <c r="N19" i="13"/>
  <c r="F20" i="13"/>
  <c r="O20" i="13"/>
  <c r="P20" i="13"/>
  <c r="N20" i="13"/>
  <c r="F21" i="13"/>
  <c r="O21" i="13"/>
  <c r="P21" i="13"/>
  <c r="N21" i="13"/>
  <c r="F22" i="13"/>
  <c r="O22" i="13"/>
  <c r="P22" i="13"/>
  <c r="N22" i="13"/>
  <c r="F23" i="13"/>
  <c r="O23" i="13"/>
  <c r="P23" i="13"/>
  <c r="N23" i="13"/>
  <c r="F24" i="13"/>
  <c r="O24" i="13"/>
  <c r="P24" i="13"/>
  <c r="N24" i="13"/>
  <c r="F25" i="13"/>
  <c r="O25" i="13"/>
  <c r="P25" i="13"/>
  <c r="N25" i="13"/>
  <c r="F26" i="13"/>
  <c r="O26" i="13"/>
  <c r="P26" i="13"/>
  <c r="N26" i="13"/>
  <c r="F27" i="13"/>
  <c r="O27" i="13"/>
  <c r="P27" i="13"/>
  <c r="N27" i="13"/>
  <c r="F28" i="13"/>
  <c r="O28" i="13"/>
  <c r="P28" i="13"/>
  <c r="N28" i="13"/>
  <c r="F29" i="13"/>
  <c r="O29" i="13"/>
  <c r="P29" i="13"/>
  <c r="N29" i="13"/>
  <c r="F30" i="13"/>
  <c r="O30" i="13"/>
  <c r="P30" i="13"/>
  <c r="N30" i="13"/>
  <c r="F31" i="13"/>
  <c r="O31" i="13"/>
  <c r="P31" i="13"/>
  <c r="N31" i="13"/>
  <c r="F32" i="13"/>
  <c r="O32" i="13"/>
  <c r="P32" i="13"/>
  <c r="N32" i="13"/>
  <c r="F33" i="13"/>
  <c r="O33" i="13"/>
  <c r="P33" i="13"/>
  <c r="N33" i="13"/>
  <c r="F34" i="13"/>
  <c r="O34" i="13"/>
  <c r="P34" i="13"/>
  <c r="N34" i="13"/>
  <c r="F35" i="13"/>
  <c r="O35" i="13"/>
  <c r="P35" i="13"/>
  <c r="N35" i="13"/>
  <c r="F36" i="13"/>
  <c r="O36" i="13"/>
  <c r="P36" i="13"/>
  <c r="N36" i="13"/>
  <c r="M17" i="13"/>
  <c r="M18" i="13"/>
  <c r="M19" i="13"/>
  <c r="M20" i="13"/>
  <c r="M21" i="13"/>
  <c r="M22" i="13"/>
  <c r="M23" i="13"/>
  <c r="M24" i="13"/>
  <c r="M25" i="13"/>
  <c r="M26" i="13"/>
  <c r="M27" i="13"/>
  <c r="M28" i="13"/>
  <c r="M29" i="13"/>
  <c r="M30" i="13"/>
  <c r="M31" i="13"/>
  <c r="M32" i="13"/>
  <c r="M33" i="13"/>
  <c r="M34" i="13"/>
  <c r="M35" i="13"/>
  <c r="M36" i="13"/>
  <c r="L17" i="13"/>
  <c r="L18" i="13"/>
  <c r="L19" i="13"/>
  <c r="L20" i="13"/>
  <c r="L21" i="13"/>
  <c r="L22" i="13"/>
  <c r="L23" i="13"/>
  <c r="L24" i="13"/>
  <c r="L25" i="13"/>
  <c r="L26" i="13"/>
  <c r="L27" i="13"/>
  <c r="L28" i="13"/>
  <c r="L29" i="13"/>
  <c r="L30" i="13"/>
  <c r="L31" i="13"/>
  <c r="L32" i="13"/>
  <c r="L33" i="13"/>
  <c r="L34" i="13"/>
  <c r="L35" i="13"/>
  <c r="L36" i="13"/>
  <c r="K17" i="13"/>
  <c r="K18" i="13"/>
  <c r="K19" i="13"/>
  <c r="K20" i="13"/>
  <c r="K21" i="13"/>
  <c r="K22" i="13"/>
  <c r="K23" i="13"/>
  <c r="K24" i="13"/>
  <c r="K25" i="13"/>
  <c r="K26" i="13"/>
  <c r="K27" i="13"/>
  <c r="K28" i="13"/>
  <c r="K29" i="13"/>
  <c r="K30" i="13"/>
  <c r="K31" i="13"/>
  <c r="K32" i="13"/>
  <c r="K33" i="13"/>
  <c r="K34" i="13"/>
  <c r="K35" i="13"/>
  <c r="K36" i="13"/>
  <c r="J17" i="13"/>
  <c r="J18" i="13"/>
  <c r="J19" i="13"/>
  <c r="J20" i="13"/>
  <c r="J21" i="13"/>
  <c r="J22" i="13"/>
  <c r="J23" i="13"/>
  <c r="J24" i="13"/>
  <c r="J25" i="13"/>
  <c r="J26" i="13"/>
  <c r="J27" i="13"/>
  <c r="J28" i="13"/>
  <c r="J29" i="13"/>
  <c r="J30" i="13"/>
  <c r="J31" i="13"/>
  <c r="J32" i="13"/>
  <c r="J33" i="13"/>
  <c r="J34" i="13"/>
  <c r="J35" i="13"/>
  <c r="J36" i="13"/>
  <c r="I17" i="13"/>
  <c r="I18" i="13"/>
  <c r="I19" i="13"/>
  <c r="I20" i="13"/>
  <c r="I21" i="13"/>
  <c r="I22" i="13"/>
  <c r="I23" i="13"/>
  <c r="I24" i="13"/>
  <c r="I25" i="13"/>
  <c r="I26" i="13"/>
  <c r="I27" i="13"/>
  <c r="I28" i="13"/>
  <c r="I29" i="13"/>
  <c r="I30" i="13"/>
  <c r="I31" i="13"/>
  <c r="I32" i="13"/>
  <c r="I33" i="13"/>
  <c r="I34" i="13"/>
  <c r="I35" i="13"/>
  <c r="I36" i="13"/>
  <c r="H17" i="13"/>
  <c r="H18" i="13"/>
  <c r="H19" i="13"/>
  <c r="H20" i="13"/>
  <c r="H21" i="13"/>
  <c r="H22" i="13"/>
  <c r="H23" i="13"/>
  <c r="H24" i="13"/>
  <c r="H25" i="13"/>
  <c r="H26" i="13"/>
  <c r="H27" i="13"/>
  <c r="H28" i="13"/>
  <c r="H29" i="13"/>
  <c r="H30" i="13"/>
  <c r="H31" i="13"/>
  <c r="H32" i="13"/>
  <c r="H33" i="13"/>
  <c r="H34" i="13"/>
  <c r="H35" i="13"/>
  <c r="H36" i="13"/>
  <c r="G17" i="13"/>
  <c r="G18" i="13"/>
  <c r="G19" i="13"/>
  <c r="G20" i="13"/>
  <c r="G21" i="13"/>
  <c r="G22" i="13"/>
  <c r="G23" i="13"/>
  <c r="G24" i="13"/>
  <c r="G25" i="13"/>
  <c r="G26" i="13"/>
  <c r="G27" i="13"/>
  <c r="G28" i="13"/>
  <c r="G29" i="13"/>
  <c r="G30" i="13"/>
  <c r="G31" i="13"/>
  <c r="G32" i="13"/>
  <c r="G33" i="13"/>
  <c r="G34" i="13"/>
  <c r="G35" i="13"/>
  <c r="G36" i="13"/>
  <c r="E37" i="13"/>
  <c r="Z37" i="13"/>
  <c r="Q37" i="13"/>
  <c r="Y37" i="13"/>
  <c r="X37" i="13"/>
  <c r="W37" i="13"/>
  <c r="V37" i="13"/>
  <c r="U37" i="13"/>
  <c r="T37" i="13"/>
  <c r="S37" i="13"/>
  <c r="R37" i="13"/>
  <c r="P37" i="13"/>
  <c r="F37" i="13"/>
  <c r="O37" i="13"/>
  <c r="N37" i="13"/>
  <c r="M37" i="13"/>
  <c r="L37" i="13"/>
  <c r="K37" i="13"/>
  <c r="J37" i="13"/>
  <c r="I37" i="13"/>
  <c r="H37" i="13"/>
  <c r="G37" i="13"/>
  <c r="D37" i="13"/>
  <c r="D36" i="13"/>
  <c r="D35" i="13"/>
  <c r="D34" i="13"/>
  <c r="D33" i="13"/>
  <c r="D32" i="13"/>
  <c r="D31" i="13"/>
  <c r="D30" i="13"/>
  <c r="D29" i="13"/>
  <c r="D28" i="13"/>
  <c r="D27" i="13"/>
  <c r="D26" i="13"/>
  <c r="D25" i="13"/>
  <c r="D24" i="13"/>
  <c r="D23" i="13"/>
  <c r="D22" i="13"/>
  <c r="D21" i="13"/>
  <c r="D20" i="13"/>
  <c r="D19" i="13"/>
  <c r="D18" i="13"/>
  <c r="X14" i="13"/>
  <c r="W14" i="13"/>
  <c r="V14" i="13"/>
  <c r="U14" i="13"/>
  <c r="T14" i="13"/>
  <c r="S14" i="13"/>
  <c r="N14" i="13"/>
  <c r="M14" i="13"/>
  <c r="L14" i="13"/>
  <c r="K14" i="13"/>
  <c r="X13" i="13"/>
  <c r="W13" i="13"/>
  <c r="V13" i="13"/>
  <c r="U13" i="13"/>
  <c r="T13" i="13"/>
  <c r="S13" i="13"/>
  <c r="J13" i="13"/>
  <c r="I13" i="13"/>
  <c r="C6" i="3"/>
  <c r="C13" i="3"/>
  <c r="C18" i="3"/>
  <c r="C36" i="3"/>
  <c r="C31" i="3"/>
  <c r="C40" i="3"/>
  <c r="BJ97" i="3"/>
  <c r="BG98" i="3"/>
  <c r="BG104" i="3"/>
  <c r="K223" i="3"/>
  <c r="K252" i="3"/>
  <c r="C12" i="3"/>
  <c r="C30" i="3"/>
  <c r="DG97" i="3"/>
  <c r="DD98" i="3"/>
  <c r="DD104" i="3"/>
  <c r="R223" i="3"/>
  <c r="R252" i="3"/>
  <c r="D280" i="3"/>
  <c r="D300" i="3"/>
  <c r="C42" i="3"/>
  <c r="BN104" i="3"/>
  <c r="L223" i="3"/>
  <c r="L252" i="3"/>
  <c r="DK104" i="3"/>
  <c r="S223" i="3"/>
  <c r="S252" i="3"/>
  <c r="E280" i="3"/>
  <c r="E300" i="3"/>
  <c r="BU104" i="3"/>
  <c r="M223" i="3"/>
  <c r="M252" i="3"/>
  <c r="DR104" i="3"/>
  <c r="T223" i="3"/>
  <c r="T252" i="3"/>
  <c r="F280" i="3"/>
  <c r="F300" i="3"/>
  <c r="CB104" i="3"/>
  <c r="N223" i="3"/>
  <c r="N252" i="3"/>
  <c r="DY104" i="3"/>
  <c r="U223" i="3"/>
  <c r="U252" i="3"/>
  <c r="G280" i="3"/>
  <c r="G300" i="3"/>
  <c r="CI104" i="3"/>
  <c r="O223" i="3"/>
  <c r="O252" i="3"/>
  <c r="EF104" i="3"/>
  <c r="V223" i="3"/>
  <c r="V252" i="3"/>
  <c r="H280" i="3"/>
  <c r="H300" i="3"/>
  <c r="CP104" i="3"/>
  <c r="P223" i="3"/>
  <c r="P252" i="3"/>
  <c r="I280" i="3"/>
  <c r="I300" i="3"/>
  <c r="BC97" i="3"/>
  <c r="AZ98" i="3"/>
  <c r="AZ104" i="3"/>
  <c r="J223" i="3"/>
  <c r="J252" i="3"/>
  <c r="CZ97" i="3"/>
  <c r="CW98" i="3"/>
  <c r="CW104" i="3"/>
  <c r="Q223" i="3"/>
  <c r="Q252" i="3"/>
  <c r="C280" i="3"/>
  <c r="C300" i="3"/>
  <c r="BG167" i="3"/>
  <c r="CB167" i="3"/>
  <c r="B40" i="2"/>
  <c r="C26" i="3"/>
  <c r="C14" i="3"/>
  <c r="C32" i="3"/>
  <c r="C4" i="3"/>
  <c r="C44" i="3"/>
  <c r="J216" i="3"/>
  <c r="J245" i="3"/>
  <c r="Q216" i="3"/>
  <c r="Q245" i="3"/>
  <c r="C273" i="3"/>
  <c r="C16" i="3"/>
  <c r="C34" i="3"/>
  <c r="AZ97" i="3"/>
  <c r="C41" i="3"/>
  <c r="AZ101" i="3"/>
  <c r="J217" i="3"/>
  <c r="J246" i="3"/>
  <c r="CW101" i="3"/>
  <c r="Q217" i="3"/>
  <c r="Q246" i="3"/>
  <c r="C274" i="3"/>
  <c r="C298" i="3"/>
  <c r="J214" i="3"/>
  <c r="J243" i="3"/>
  <c r="Q214" i="3"/>
  <c r="Q243" i="3"/>
  <c r="C271" i="3"/>
  <c r="C15" i="3"/>
  <c r="C33" i="3"/>
  <c r="BC96" i="3"/>
  <c r="AZ100" i="3"/>
  <c r="J215" i="3"/>
  <c r="J244" i="3"/>
  <c r="CW100" i="3"/>
  <c r="Q215" i="3"/>
  <c r="Q244" i="3"/>
  <c r="C272" i="3"/>
  <c r="C297" i="3"/>
  <c r="C299" i="3"/>
  <c r="C198" i="3"/>
  <c r="C45" i="3"/>
  <c r="AZ119" i="3"/>
  <c r="AZ120" i="3"/>
  <c r="C20" i="3"/>
  <c r="C74" i="3"/>
  <c r="C75" i="3"/>
  <c r="AZ141" i="3"/>
  <c r="C88" i="3"/>
  <c r="C17" i="3"/>
  <c r="C35" i="3"/>
  <c r="AZ144" i="3"/>
  <c r="F74" i="3"/>
  <c r="F75" i="3"/>
  <c r="AZ142" i="3"/>
  <c r="AZ145" i="3"/>
  <c r="C47" i="3"/>
  <c r="C51" i="3"/>
  <c r="AZ146" i="3"/>
  <c r="F15" i="2"/>
  <c r="B54" i="2"/>
  <c r="D18" i="3"/>
  <c r="C90" i="3"/>
  <c r="AZ147" i="3"/>
  <c r="J228" i="3"/>
  <c r="K216" i="3"/>
  <c r="K245" i="3"/>
  <c r="R216" i="3"/>
  <c r="R245" i="3"/>
  <c r="D273" i="3"/>
  <c r="BG97" i="3"/>
  <c r="BG101" i="3"/>
  <c r="K217" i="3"/>
  <c r="K246" i="3"/>
  <c r="DD101" i="3"/>
  <c r="R217" i="3"/>
  <c r="R246" i="3"/>
  <c r="D274" i="3"/>
  <c r="D298" i="3"/>
  <c r="K214" i="3"/>
  <c r="K243" i="3"/>
  <c r="R214" i="3"/>
  <c r="R243" i="3"/>
  <c r="D271" i="3"/>
  <c r="BJ96" i="3"/>
  <c r="BG100" i="3"/>
  <c r="K215" i="3"/>
  <c r="K244" i="3"/>
  <c r="DD100" i="3"/>
  <c r="R215" i="3"/>
  <c r="R244" i="3"/>
  <c r="D272" i="3"/>
  <c r="D297" i="3"/>
  <c r="D299" i="3"/>
  <c r="D198" i="3"/>
  <c r="BG119" i="3"/>
  <c r="BG120" i="3"/>
  <c r="BG141" i="3"/>
  <c r="BG144" i="3"/>
  <c r="BG142" i="3"/>
  <c r="BG145" i="3"/>
  <c r="BG146" i="3"/>
  <c r="BG147" i="3"/>
  <c r="K228" i="3"/>
  <c r="L216" i="3"/>
  <c r="L245" i="3"/>
  <c r="S216" i="3"/>
  <c r="S245" i="3"/>
  <c r="E273" i="3"/>
  <c r="BN97" i="3"/>
  <c r="BN101" i="3"/>
  <c r="L217" i="3"/>
  <c r="L246" i="3"/>
  <c r="DK101" i="3"/>
  <c r="S217" i="3"/>
  <c r="S246" i="3"/>
  <c r="E274" i="3"/>
  <c r="E298" i="3"/>
  <c r="L214" i="3"/>
  <c r="L243" i="3"/>
  <c r="S214" i="3"/>
  <c r="S243" i="3"/>
  <c r="E271" i="3"/>
  <c r="BQ96" i="3"/>
  <c r="BQ97" i="3"/>
  <c r="BN100" i="3"/>
  <c r="L215" i="3"/>
  <c r="L244" i="3"/>
  <c r="DN97" i="3"/>
  <c r="DK100" i="3"/>
  <c r="S215" i="3"/>
  <c r="S244" i="3"/>
  <c r="E272" i="3"/>
  <c r="E297" i="3"/>
  <c r="E299" i="3"/>
  <c r="E198" i="3"/>
  <c r="BN119" i="3"/>
  <c r="BN120" i="3"/>
  <c r="BN141" i="3"/>
  <c r="BN144" i="3"/>
  <c r="BN142" i="3"/>
  <c r="BN145" i="3"/>
  <c r="BN146" i="3"/>
  <c r="BN147" i="3"/>
  <c r="L228" i="3"/>
  <c r="M216" i="3"/>
  <c r="M245" i="3"/>
  <c r="T216" i="3"/>
  <c r="T245" i="3"/>
  <c r="F273" i="3"/>
  <c r="BU97" i="3"/>
  <c r="BU101" i="3"/>
  <c r="M217" i="3"/>
  <c r="M246" i="3"/>
  <c r="DR101" i="3"/>
  <c r="T217" i="3"/>
  <c r="T246" i="3"/>
  <c r="F274" i="3"/>
  <c r="F298" i="3"/>
  <c r="M214" i="3"/>
  <c r="M243" i="3"/>
  <c r="T214" i="3"/>
  <c r="T243" i="3"/>
  <c r="F271" i="3"/>
  <c r="BX96" i="3"/>
  <c r="BX97" i="3"/>
  <c r="BU100" i="3"/>
  <c r="M215" i="3"/>
  <c r="M244" i="3"/>
  <c r="DU97" i="3"/>
  <c r="DR100" i="3"/>
  <c r="T215" i="3"/>
  <c r="T244" i="3"/>
  <c r="F272" i="3"/>
  <c r="F297" i="3"/>
  <c r="F299" i="3"/>
  <c r="F198" i="3"/>
  <c r="BU141" i="3"/>
  <c r="BU144" i="3"/>
  <c r="BU142" i="3"/>
  <c r="BU145" i="3"/>
  <c r="BU146" i="3"/>
  <c r="BU147" i="3"/>
  <c r="M228" i="3"/>
  <c r="C50" i="3"/>
  <c r="DR141" i="3"/>
  <c r="DR144" i="3"/>
  <c r="DR142" i="3"/>
  <c r="DR145" i="3"/>
  <c r="DR146" i="3"/>
  <c r="DR147" i="3"/>
  <c r="T228" i="3"/>
  <c r="N216" i="3"/>
  <c r="N245" i="3"/>
  <c r="U216" i="3"/>
  <c r="U245" i="3"/>
  <c r="G273" i="3"/>
  <c r="CB97" i="3"/>
  <c r="CB101" i="3"/>
  <c r="N217" i="3"/>
  <c r="N246" i="3"/>
  <c r="DY101" i="3"/>
  <c r="U217" i="3"/>
  <c r="U246" i="3"/>
  <c r="G274" i="3"/>
  <c r="G298" i="3"/>
  <c r="N214" i="3"/>
  <c r="N243" i="3"/>
  <c r="U214" i="3"/>
  <c r="U243" i="3"/>
  <c r="G271" i="3"/>
  <c r="CE96" i="3"/>
  <c r="CE97" i="3"/>
  <c r="CB100" i="3"/>
  <c r="N215" i="3"/>
  <c r="N244" i="3"/>
  <c r="EB97" i="3"/>
  <c r="DY100" i="3"/>
  <c r="U215" i="3"/>
  <c r="U244" i="3"/>
  <c r="G272" i="3"/>
  <c r="G297" i="3"/>
  <c r="G299" i="3"/>
  <c r="G198" i="3"/>
  <c r="DY141" i="3"/>
  <c r="DY144" i="3"/>
  <c r="DY142" i="3"/>
  <c r="DY145" i="3"/>
  <c r="DY146" i="3"/>
  <c r="DY147" i="3"/>
  <c r="U228" i="3"/>
  <c r="O216" i="3"/>
  <c r="O245" i="3"/>
  <c r="V216" i="3"/>
  <c r="V245" i="3"/>
  <c r="H273" i="3"/>
  <c r="CI97" i="3"/>
  <c r="CI101" i="3"/>
  <c r="O217" i="3"/>
  <c r="O246" i="3"/>
  <c r="EF101" i="3"/>
  <c r="V217" i="3"/>
  <c r="V246" i="3"/>
  <c r="H274" i="3"/>
  <c r="H298" i="3"/>
  <c r="O214" i="3"/>
  <c r="O243" i="3"/>
  <c r="V214" i="3"/>
  <c r="V243" i="3"/>
  <c r="H271" i="3"/>
  <c r="CL96" i="3"/>
  <c r="CL97" i="3"/>
  <c r="CI100" i="3"/>
  <c r="O215" i="3"/>
  <c r="O244" i="3"/>
  <c r="EI97" i="3"/>
  <c r="EF100" i="3"/>
  <c r="V215" i="3"/>
  <c r="V244" i="3"/>
  <c r="H272" i="3"/>
  <c r="H297" i="3"/>
  <c r="H299" i="3"/>
  <c r="H198" i="3"/>
  <c r="EF141" i="3"/>
  <c r="EF144" i="3"/>
  <c r="EF142" i="3"/>
  <c r="EF145" i="3"/>
  <c r="EF146" i="3"/>
  <c r="EF147" i="3"/>
  <c r="V228" i="3"/>
  <c r="P216" i="3"/>
  <c r="P245" i="3"/>
  <c r="I273" i="3"/>
  <c r="CP97" i="3"/>
  <c r="CP101" i="3"/>
  <c r="P217" i="3"/>
  <c r="P246" i="3"/>
  <c r="I274" i="3"/>
  <c r="I298" i="3"/>
  <c r="P214" i="3"/>
  <c r="P243" i="3"/>
  <c r="I271" i="3"/>
  <c r="CS96" i="3"/>
  <c r="CS97" i="3"/>
  <c r="CP100" i="3"/>
  <c r="P215" i="3"/>
  <c r="P244" i="3"/>
  <c r="I272" i="3"/>
  <c r="I297" i="3"/>
  <c r="I299" i="3"/>
  <c r="I198" i="3"/>
  <c r="I199" i="3"/>
  <c r="I200" i="3"/>
  <c r="BU119" i="3"/>
  <c r="BU120" i="3"/>
  <c r="CB119" i="3"/>
  <c r="CB120" i="3"/>
  <c r="CB141" i="3"/>
  <c r="CB144" i="3"/>
  <c r="CB142" i="3"/>
  <c r="CB145" i="3"/>
  <c r="CB146" i="3"/>
  <c r="CB147" i="3"/>
  <c r="N228" i="3"/>
  <c r="CI119" i="3"/>
  <c r="CI120" i="3"/>
  <c r="CI141" i="3"/>
  <c r="CI144" i="3"/>
  <c r="CI142" i="3"/>
  <c r="CI145" i="3"/>
  <c r="CI146" i="3"/>
  <c r="CI147" i="3"/>
  <c r="O228" i="3"/>
  <c r="CP119" i="3"/>
  <c r="CP120" i="3"/>
  <c r="CP141" i="3"/>
  <c r="CP144" i="3"/>
  <c r="CP142" i="3"/>
  <c r="CP145" i="3"/>
  <c r="CP146" i="3"/>
  <c r="CP147" i="3"/>
  <c r="P228" i="3"/>
  <c r="C80" i="3"/>
  <c r="C84" i="3"/>
  <c r="D80" i="3"/>
  <c r="C85" i="3"/>
  <c r="AZ158" i="3"/>
  <c r="AZ161" i="3"/>
  <c r="F84" i="3"/>
  <c r="F85" i="3"/>
  <c r="AZ159" i="3"/>
  <c r="AZ162" i="3"/>
  <c r="AZ163" i="3"/>
  <c r="AZ164" i="3"/>
  <c r="J227" i="3"/>
  <c r="J256" i="3"/>
  <c r="CW158" i="3"/>
  <c r="CW161" i="3"/>
  <c r="CW159" i="3"/>
  <c r="CW162" i="3"/>
  <c r="CW163" i="3"/>
  <c r="CW164" i="3"/>
  <c r="Q227" i="3"/>
  <c r="CW141" i="3"/>
  <c r="CW144" i="3"/>
  <c r="CW142" i="3"/>
  <c r="CW145" i="3"/>
  <c r="CW146" i="3"/>
  <c r="CW147" i="3"/>
  <c r="Q228" i="3"/>
  <c r="Q256" i="3"/>
  <c r="C284" i="3"/>
  <c r="BG158" i="3"/>
  <c r="BG161" i="3"/>
  <c r="BG159" i="3"/>
  <c r="BG162" i="3"/>
  <c r="BG163" i="3"/>
  <c r="BG164" i="3"/>
  <c r="K227" i="3"/>
  <c r="K256" i="3"/>
  <c r="DD158" i="3"/>
  <c r="DD161" i="3"/>
  <c r="DD159" i="3"/>
  <c r="DD162" i="3"/>
  <c r="DD163" i="3"/>
  <c r="DD164" i="3"/>
  <c r="R227" i="3"/>
  <c r="DD141" i="3"/>
  <c r="DD144" i="3"/>
  <c r="DD142" i="3"/>
  <c r="DD145" i="3"/>
  <c r="DD146" i="3"/>
  <c r="DD147" i="3"/>
  <c r="R228" i="3"/>
  <c r="R256" i="3"/>
  <c r="D284" i="3"/>
  <c r="BN158" i="3"/>
  <c r="BN161" i="3"/>
  <c r="BN159" i="3"/>
  <c r="BN162" i="3"/>
  <c r="BN163" i="3"/>
  <c r="BN164" i="3"/>
  <c r="L227" i="3"/>
  <c r="L256" i="3"/>
  <c r="DK158" i="3"/>
  <c r="DK161" i="3"/>
  <c r="DK159" i="3"/>
  <c r="DK162" i="3"/>
  <c r="DK163" i="3"/>
  <c r="DK164" i="3"/>
  <c r="S227" i="3"/>
  <c r="DK141" i="3"/>
  <c r="DK144" i="3"/>
  <c r="DK142" i="3"/>
  <c r="DK145" i="3"/>
  <c r="DK146" i="3"/>
  <c r="DK147" i="3"/>
  <c r="S228" i="3"/>
  <c r="S256" i="3"/>
  <c r="E284" i="3"/>
  <c r="BU158" i="3"/>
  <c r="BU161" i="3"/>
  <c r="BU159" i="3"/>
  <c r="BU162" i="3"/>
  <c r="BU163" i="3"/>
  <c r="BU164" i="3"/>
  <c r="M227" i="3"/>
  <c r="M256" i="3"/>
  <c r="DR158" i="3"/>
  <c r="DR161" i="3"/>
  <c r="DR159" i="3"/>
  <c r="DR162" i="3"/>
  <c r="DR163" i="3"/>
  <c r="DR164" i="3"/>
  <c r="T227" i="3"/>
  <c r="T256" i="3"/>
  <c r="F284" i="3"/>
  <c r="CB158" i="3"/>
  <c r="CB161" i="3"/>
  <c r="CB159" i="3"/>
  <c r="CB162" i="3"/>
  <c r="CB163" i="3"/>
  <c r="CB164" i="3"/>
  <c r="N227" i="3"/>
  <c r="N256" i="3"/>
  <c r="DY158" i="3"/>
  <c r="DY161" i="3"/>
  <c r="DY159" i="3"/>
  <c r="DY162" i="3"/>
  <c r="DY163" i="3"/>
  <c r="DY164" i="3"/>
  <c r="U227" i="3"/>
  <c r="U256" i="3"/>
  <c r="G284" i="3"/>
  <c r="CI158" i="3"/>
  <c r="CI161" i="3"/>
  <c r="CI159" i="3"/>
  <c r="CI162" i="3"/>
  <c r="CI163" i="3"/>
  <c r="CI164" i="3"/>
  <c r="O227" i="3"/>
  <c r="O256" i="3"/>
  <c r="EF158" i="3"/>
  <c r="EF161" i="3"/>
  <c r="EF159" i="3"/>
  <c r="EF162" i="3"/>
  <c r="EF163" i="3"/>
  <c r="EF164" i="3"/>
  <c r="V227" i="3"/>
  <c r="V256" i="3"/>
  <c r="H284" i="3"/>
  <c r="CP158" i="3"/>
  <c r="CP161" i="3"/>
  <c r="CP159" i="3"/>
  <c r="CP162" i="3"/>
  <c r="CP163" i="3"/>
  <c r="CP164" i="3"/>
  <c r="P227" i="3"/>
  <c r="P256" i="3"/>
  <c r="I284" i="3"/>
  <c r="B117" i="2"/>
  <c r="B118" i="2" s="1"/>
  <c r="C117" i="2"/>
  <c r="D320" i="3"/>
  <c r="C320" i="3"/>
  <c r="C91" i="3"/>
  <c r="C203" i="3"/>
  <c r="D4" i="3"/>
  <c r="C75" i="2"/>
  <c r="C91" i="2" s="1" a="1"/>
  <c r="C91" i="2" s="1"/>
  <c r="C114" i="2" s="1"/>
  <c r="B133" i="2"/>
  <c r="D133" i="2"/>
  <c r="B110" i="2"/>
  <c r="A23" i="7" s="1"/>
  <c r="C81" i="2" a="1"/>
  <c r="C81" i="2" s="1"/>
  <c r="AZ102" i="3"/>
  <c r="J219" i="3"/>
  <c r="J248" i="3"/>
  <c r="CW102" i="3"/>
  <c r="Q219" i="3"/>
  <c r="Q248" i="3"/>
  <c r="C276" i="3"/>
  <c r="C83" i="2" a="1"/>
  <c r="C83" i="2" s="1"/>
  <c r="E3" i="3"/>
  <c r="D81" i="2"/>
  <c r="B107" i="2"/>
  <c r="C48" i="3"/>
  <c r="B39" i="2"/>
  <c r="C147" i="2"/>
  <c r="C330" i="3"/>
  <c r="J333" i="3"/>
  <c r="J334" i="3"/>
  <c r="J335" i="3"/>
  <c r="J336" i="3"/>
  <c r="J337" i="3"/>
  <c r="J338" i="3"/>
  <c r="J341" i="3"/>
  <c r="J342" i="3"/>
  <c r="C346" i="3"/>
  <c r="J237" i="3"/>
  <c r="J266" i="3"/>
  <c r="Q237" i="3"/>
  <c r="Q266" i="3"/>
  <c r="C294" i="3"/>
  <c r="C101" i="2" a="1"/>
  <c r="C101" i="2" s="1"/>
  <c r="E101" i="2" s="1"/>
  <c r="B22" i="7" s="1"/>
  <c r="AZ105" i="3"/>
  <c r="J224" i="3"/>
  <c r="J253" i="3"/>
  <c r="CW105" i="3"/>
  <c r="Q224" i="3"/>
  <c r="Q253" i="3"/>
  <c r="C281" i="3"/>
  <c r="C88" i="2" a="1"/>
  <c r="C88" i="2" s="1"/>
  <c r="E88" i="2" s="1"/>
  <c r="B20" i="7" s="1"/>
  <c r="C87" i="2" a="1"/>
  <c r="C87" i="2" s="1"/>
  <c r="E87" i="2" s="1"/>
  <c r="B19" i="7" s="1"/>
  <c r="E333" i="3"/>
  <c r="E334" i="3"/>
  <c r="E335" i="3"/>
  <c r="E336" i="3"/>
  <c r="E337" i="3"/>
  <c r="E338" i="3"/>
  <c r="E339" i="3"/>
  <c r="E341" i="3"/>
  <c r="E342" i="3"/>
  <c r="C345" i="3"/>
  <c r="J236" i="3"/>
  <c r="J265" i="3"/>
  <c r="Q236" i="3"/>
  <c r="Q265" i="3"/>
  <c r="C293" i="3"/>
  <c r="C100" i="2" a="1"/>
  <c r="C100" i="2" s="1"/>
  <c r="B21" i="7" s="1"/>
  <c r="C80" i="2" a="1"/>
  <c r="C80" i="2" s="1"/>
  <c r="J218" i="3"/>
  <c r="J247" i="3"/>
  <c r="Q218" i="3"/>
  <c r="Q247" i="3"/>
  <c r="C275" i="3"/>
  <c r="C82" i="2" a="1"/>
  <c r="C82" i="2" s="1"/>
  <c r="D80" i="2"/>
  <c r="C78" i="2" a="1"/>
  <c r="C78" i="2" s="1"/>
  <c r="J220" i="3"/>
  <c r="J249" i="3"/>
  <c r="Q220" i="3"/>
  <c r="Q249" i="3"/>
  <c r="C277" i="3"/>
  <c r="C84" i="2" a="1"/>
  <c r="C84" i="2" s="1"/>
  <c r="D78" i="2"/>
  <c r="B10" i="7"/>
  <c r="B38" i="2"/>
  <c r="B41" i="2"/>
  <c r="B8" i="7"/>
  <c r="E67" i="2"/>
  <c r="B69" i="2" s="1"/>
  <c r="C67" i="2"/>
  <c r="B56" i="2"/>
  <c r="B20" i="2"/>
  <c r="K50" i="2"/>
  <c r="B46" i="2"/>
  <c r="B49" i="2"/>
  <c r="D67" i="2"/>
  <c r="F67" i="2"/>
  <c r="G67" i="2"/>
  <c r="B58" i="2"/>
  <c r="H67" i="2"/>
  <c r="B64" i="2"/>
  <c r="I67" i="2"/>
  <c r="C315" i="3"/>
  <c r="D79" i="2"/>
  <c r="C270" i="3"/>
  <c r="C77" i="2" a="1"/>
  <c r="C77" i="2" s="1"/>
  <c r="J96" i="3"/>
  <c r="J119" i="3"/>
  <c r="J120" i="3"/>
  <c r="J141" i="3"/>
  <c r="J144" i="3"/>
  <c r="J142" i="3"/>
  <c r="J145" i="3"/>
  <c r="J146" i="3"/>
  <c r="J147" i="3"/>
  <c r="D228" i="3"/>
  <c r="Q96" i="3"/>
  <c r="Q119" i="3"/>
  <c r="Q120" i="3"/>
  <c r="Q141" i="3"/>
  <c r="Q144" i="3"/>
  <c r="Q142" i="3"/>
  <c r="Q145" i="3"/>
  <c r="Q146" i="3"/>
  <c r="Q147" i="3"/>
  <c r="E228" i="3"/>
  <c r="X96" i="3"/>
  <c r="X119" i="3"/>
  <c r="X120" i="3"/>
  <c r="X141" i="3"/>
  <c r="X144" i="3"/>
  <c r="X142" i="3"/>
  <c r="X145" i="3"/>
  <c r="X146" i="3"/>
  <c r="X147" i="3"/>
  <c r="F228" i="3"/>
  <c r="AE96" i="3"/>
  <c r="AE119" i="3"/>
  <c r="AE120" i="3"/>
  <c r="AE141" i="3"/>
  <c r="AE144" i="3"/>
  <c r="AE142" i="3"/>
  <c r="AE145" i="3"/>
  <c r="AE146" i="3"/>
  <c r="AE147" i="3"/>
  <c r="G228" i="3"/>
  <c r="AL96" i="3"/>
  <c r="AL119" i="3"/>
  <c r="AL120" i="3"/>
  <c r="AL141" i="3"/>
  <c r="AL144" i="3"/>
  <c r="AL142" i="3"/>
  <c r="AL145" i="3"/>
  <c r="AL146" i="3"/>
  <c r="AL147" i="3"/>
  <c r="H228" i="3"/>
  <c r="AS96" i="3"/>
  <c r="AS119" i="3"/>
  <c r="AS120" i="3"/>
  <c r="AS141" i="3"/>
  <c r="AS144" i="3"/>
  <c r="AS142" i="3"/>
  <c r="AS145" i="3"/>
  <c r="AS146" i="3"/>
  <c r="AS147" i="3"/>
  <c r="I228" i="3"/>
  <c r="CW119" i="3"/>
  <c r="CW120" i="3"/>
  <c r="DD119" i="3"/>
  <c r="DD120" i="3"/>
  <c r="DK119" i="3"/>
  <c r="DK120" i="3"/>
  <c r="DR119" i="3"/>
  <c r="DR120" i="3"/>
  <c r="DY119" i="3"/>
  <c r="DY120" i="3"/>
  <c r="EF119" i="3"/>
  <c r="EF120" i="3"/>
  <c r="C119" i="3"/>
  <c r="C120" i="3"/>
  <c r="C141" i="3"/>
  <c r="C144" i="3"/>
  <c r="C142" i="3"/>
  <c r="C145" i="3"/>
  <c r="C146" i="3"/>
  <c r="C147" i="3"/>
  <c r="C228" i="3"/>
  <c r="C76" i="2" a="1"/>
  <c r="C76" i="2" s="1"/>
  <c r="C79" i="2" a="1"/>
  <c r="C79" i="2" s="1"/>
  <c r="E343" i="3"/>
  <c r="C347" i="3"/>
  <c r="C348" i="3"/>
  <c r="AZ99" i="3"/>
  <c r="J221" i="3"/>
  <c r="J250" i="3"/>
  <c r="CW99" i="3"/>
  <c r="Q221" i="3"/>
  <c r="Q250" i="3"/>
  <c r="C278" i="3"/>
  <c r="C85" i="2" a="1"/>
  <c r="C85" i="2" s="1"/>
  <c r="J222" i="3"/>
  <c r="J251" i="3"/>
  <c r="Q222" i="3"/>
  <c r="Q251" i="3"/>
  <c r="C279" i="3"/>
  <c r="C86" i="2" a="1"/>
  <c r="C86" i="2" s="1"/>
  <c r="C49" i="3"/>
  <c r="AZ108" i="3"/>
  <c r="AZ109" i="3"/>
  <c r="BA112" i="3"/>
  <c r="BA116" i="3"/>
  <c r="AZ116" i="3"/>
  <c r="J230" i="3"/>
  <c r="J259" i="3"/>
  <c r="CW108" i="3"/>
  <c r="CW109" i="3"/>
  <c r="CX112" i="3"/>
  <c r="CX116" i="3"/>
  <c r="CW116" i="3"/>
  <c r="Q230" i="3"/>
  <c r="Q259" i="3"/>
  <c r="C287" i="3"/>
  <c r="C94" i="2" a="1"/>
  <c r="C94" i="2" s="1"/>
  <c r="C102" i="2" a="1"/>
  <c r="C102" i="2" s="1"/>
  <c r="C103" i="2" a="1"/>
  <c r="C103" i="2" s="1"/>
  <c r="C104" i="2" a="1"/>
  <c r="C104" i="2" s="1"/>
  <c r="B77" i="2" a="1"/>
  <c r="B77" i="2" s="1"/>
  <c r="B78" i="2" a="1"/>
  <c r="B78" i="2" s="1"/>
  <c r="B79" i="2" a="1"/>
  <c r="B79" i="2" s="1"/>
  <c r="B80" i="2" a="1"/>
  <c r="B80" i="2" s="1"/>
  <c r="B81" i="2" a="1"/>
  <c r="B81" i="2" s="1"/>
  <c r="B82" i="2" a="1"/>
  <c r="B82" i="2" s="1"/>
  <c r="B83" i="2" a="1"/>
  <c r="B83" i="2" s="1"/>
  <c r="B84" i="2" a="1"/>
  <c r="B84" i="2" s="1"/>
  <c r="B85" i="2" a="1"/>
  <c r="B85" i="2" s="1"/>
  <c r="B86" i="2" a="1"/>
  <c r="B86" i="2" s="1"/>
  <c r="B87" i="2" a="1"/>
  <c r="B87" i="2" s="1"/>
  <c r="B88" i="2" a="1"/>
  <c r="B88" i="2" s="1"/>
  <c r="B89" i="2" a="1"/>
  <c r="B89" i="2" s="1"/>
  <c r="B90" i="2" a="1"/>
  <c r="B90" i="2" s="1"/>
  <c r="B91" i="2" a="1"/>
  <c r="B91" i="2" s="1"/>
  <c r="B92" i="2" a="1"/>
  <c r="B92" i="2" s="1"/>
  <c r="B93" i="2" a="1"/>
  <c r="B93" i="2" s="1"/>
  <c r="B94" i="2" a="1"/>
  <c r="B94" i="2" s="1"/>
  <c r="B95" i="2" a="1"/>
  <c r="B95" i="2" s="1"/>
  <c r="B96" i="2" a="1"/>
  <c r="B96" i="2" s="1"/>
  <c r="B97" i="2" a="1"/>
  <c r="B97" i="2" s="1"/>
  <c r="B98" i="2" a="1"/>
  <c r="B98" i="2" s="1"/>
  <c r="B99" i="2" a="1"/>
  <c r="B99" i="2" s="1"/>
  <c r="B100" i="2" a="1"/>
  <c r="B100" i="2" s="1"/>
  <c r="B101" i="2" a="1"/>
  <c r="B101" i="2" s="1"/>
  <c r="B102" i="2" a="1"/>
  <c r="B102" i="2" s="1"/>
  <c r="B103" i="2" a="1"/>
  <c r="B103" i="2" s="1"/>
  <c r="B104" i="2" a="1"/>
  <c r="B104" i="2" s="1"/>
  <c r="B76" i="2" a="1"/>
  <c r="B76" i="2" s="1"/>
  <c r="CP102" i="3"/>
  <c r="P219" i="3"/>
  <c r="P248" i="3"/>
  <c r="I276" i="3"/>
  <c r="CP98" i="3"/>
  <c r="CP99" i="3"/>
  <c r="P221" i="3"/>
  <c r="P250" i="3"/>
  <c r="I278" i="3"/>
  <c r="P237" i="3"/>
  <c r="P266" i="3"/>
  <c r="I294" i="3"/>
  <c r="I311" i="3"/>
  <c r="I312" i="3"/>
  <c r="D8" i="3"/>
  <c r="F12" i="1"/>
  <c r="F10" i="1"/>
  <c r="E12" i="1"/>
  <c r="J158" i="3"/>
  <c r="J161" i="3"/>
  <c r="J159" i="3"/>
  <c r="J162" i="3"/>
  <c r="J163" i="3"/>
  <c r="J164" i="3"/>
  <c r="D227" i="3"/>
  <c r="D256" i="3"/>
  <c r="Q158" i="3"/>
  <c r="Q161" i="3"/>
  <c r="Q159" i="3"/>
  <c r="Q162" i="3"/>
  <c r="Q163" i="3"/>
  <c r="Q164" i="3"/>
  <c r="E227" i="3"/>
  <c r="E256" i="3"/>
  <c r="X158" i="3"/>
  <c r="X161" i="3"/>
  <c r="X159" i="3"/>
  <c r="X162" i="3"/>
  <c r="X163" i="3"/>
  <c r="X164" i="3"/>
  <c r="F227" i="3"/>
  <c r="F256" i="3"/>
  <c r="AE158" i="3"/>
  <c r="AE161" i="3"/>
  <c r="AE159" i="3"/>
  <c r="AE162" i="3"/>
  <c r="AE163" i="3"/>
  <c r="AE164" i="3"/>
  <c r="G227" i="3"/>
  <c r="G256" i="3"/>
  <c r="AL158" i="3"/>
  <c r="AL161" i="3"/>
  <c r="AL159" i="3"/>
  <c r="AL162" i="3"/>
  <c r="AL163" i="3"/>
  <c r="AL164" i="3"/>
  <c r="H227" i="3"/>
  <c r="H256" i="3"/>
  <c r="AS158" i="3"/>
  <c r="AS161" i="3"/>
  <c r="AS159" i="3"/>
  <c r="AS162" i="3"/>
  <c r="AS163" i="3"/>
  <c r="AS164" i="3"/>
  <c r="I227" i="3"/>
  <c r="I256" i="3"/>
  <c r="J108" i="3"/>
  <c r="J109" i="3"/>
  <c r="K112" i="3"/>
  <c r="K116" i="3"/>
  <c r="J116" i="3"/>
  <c r="D230" i="3"/>
  <c r="D259" i="3"/>
  <c r="Q108" i="3"/>
  <c r="Q109" i="3"/>
  <c r="R112" i="3"/>
  <c r="R116" i="3"/>
  <c r="Q116" i="3"/>
  <c r="E230" i="3"/>
  <c r="E259" i="3"/>
  <c r="X108" i="3"/>
  <c r="X109" i="3"/>
  <c r="Y112" i="3"/>
  <c r="Y116" i="3"/>
  <c r="X116" i="3"/>
  <c r="F230" i="3"/>
  <c r="F259" i="3"/>
  <c r="AE108" i="3"/>
  <c r="AE109" i="3"/>
  <c r="AF112" i="3"/>
  <c r="AF116" i="3"/>
  <c r="AE116" i="3"/>
  <c r="G230" i="3"/>
  <c r="G259" i="3"/>
  <c r="AL108" i="3"/>
  <c r="AL109" i="3"/>
  <c r="AM112" i="3"/>
  <c r="AM116" i="3"/>
  <c r="AL116" i="3"/>
  <c r="H230" i="3"/>
  <c r="H259" i="3"/>
  <c r="AS108" i="3"/>
  <c r="AS109" i="3"/>
  <c r="AT112" i="3"/>
  <c r="AT116" i="3"/>
  <c r="AS116" i="3"/>
  <c r="I230" i="3"/>
  <c r="I259" i="3"/>
  <c r="BG108" i="3"/>
  <c r="BG109" i="3"/>
  <c r="BH112" i="3"/>
  <c r="BH116" i="3"/>
  <c r="BG116" i="3"/>
  <c r="K230" i="3"/>
  <c r="K259" i="3"/>
  <c r="BN108" i="3"/>
  <c r="BN109" i="3"/>
  <c r="BO112" i="3"/>
  <c r="BO116" i="3"/>
  <c r="BN116" i="3"/>
  <c r="L230" i="3"/>
  <c r="L259" i="3"/>
  <c r="BU108" i="3"/>
  <c r="BU109" i="3"/>
  <c r="BV112" i="3"/>
  <c r="BV116" i="3"/>
  <c r="BU116" i="3"/>
  <c r="M230" i="3"/>
  <c r="M259" i="3"/>
  <c r="CB108" i="3"/>
  <c r="CB109" i="3"/>
  <c r="CC112" i="3"/>
  <c r="CC116" i="3"/>
  <c r="CB116" i="3"/>
  <c r="N230" i="3"/>
  <c r="N259" i="3"/>
  <c r="CI108" i="3"/>
  <c r="CI109" i="3"/>
  <c r="CJ112" i="3"/>
  <c r="CJ116" i="3"/>
  <c r="CI116" i="3"/>
  <c r="O230" i="3"/>
  <c r="O259" i="3"/>
  <c r="CP108" i="3"/>
  <c r="CP109" i="3"/>
  <c r="CQ112" i="3"/>
  <c r="CQ116" i="3"/>
  <c r="CP116" i="3"/>
  <c r="P230" i="3"/>
  <c r="P259" i="3"/>
  <c r="DD108" i="3"/>
  <c r="DD109" i="3"/>
  <c r="DE112" i="3"/>
  <c r="DE116" i="3"/>
  <c r="DD116" i="3"/>
  <c r="R230" i="3"/>
  <c r="R259" i="3"/>
  <c r="DK108" i="3"/>
  <c r="DK109" i="3"/>
  <c r="DL112" i="3"/>
  <c r="DL116" i="3"/>
  <c r="DK116" i="3"/>
  <c r="S230" i="3"/>
  <c r="S259" i="3"/>
  <c r="DR108" i="3"/>
  <c r="DR109" i="3"/>
  <c r="DS112" i="3"/>
  <c r="DS116" i="3"/>
  <c r="DR116" i="3"/>
  <c r="T230" i="3"/>
  <c r="T259" i="3"/>
  <c r="DY108" i="3"/>
  <c r="DY109" i="3"/>
  <c r="DZ112" i="3"/>
  <c r="DZ116" i="3"/>
  <c r="DY116" i="3"/>
  <c r="U230" i="3"/>
  <c r="U259" i="3"/>
  <c r="EF108" i="3"/>
  <c r="EF109" i="3"/>
  <c r="EG112" i="3"/>
  <c r="EG116" i="3"/>
  <c r="EF116" i="3"/>
  <c r="V230" i="3"/>
  <c r="V259" i="3"/>
  <c r="C158" i="3"/>
  <c r="C161" i="3"/>
  <c r="C159" i="3"/>
  <c r="C162" i="3"/>
  <c r="C163" i="3"/>
  <c r="C164" i="3"/>
  <c r="C227" i="3"/>
  <c r="C256" i="3"/>
  <c r="DD97" i="3"/>
  <c r="DG96" i="3"/>
  <c r="W252" i="3"/>
  <c r="CW97" i="3"/>
  <c r="CZ96" i="3"/>
  <c r="N50" i="2"/>
  <c r="D36" i="1"/>
  <c r="M96" i="3"/>
  <c r="M97" i="3"/>
  <c r="J97" i="3"/>
  <c r="J100" i="3"/>
  <c r="D215" i="3"/>
  <c r="D244" i="3"/>
  <c r="D311" i="3"/>
  <c r="T96" i="3"/>
  <c r="T97" i="3"/>
  <c r="Q97" i="3"/>
  <c r="Q100" i="3"/>
  <c r="E215" i="3"/>
  <c r="E244" i="3"/>
  <c r="DN96" i="3"/>
  <c r="DK97" i="3"/>
  <c r="E311" i="3"/>
  <c r="AA96" i="3"/>
  <c r="AA97" i="3"/>
  <c r="X97" i="3"/>
  <c r="X100" i="3"/>
  <c r="F215" i="3"/>
  <c r="F244" i="3"/>
  <c r="DU96" i="3"/>
  <c r="DR97" i="3"/>
  <c r="F311" i="3"/>
  <c r="AH96" i="3"/>
  <c r="AH97" i="3"/>
  <c r="AE97" i="3"/>
  <c r="AE100" i="3"/>
  <c r="G215" i="3"/>
  <c r="G244" i="3"/>
  <c r="EB96" i="3"/>
  <c r="DY97" i="3"/>
  <c r="G311" i="3"/>
  <c r="AO96" i="3"/>
  <c r="AO97" i="3"/>
  <c r="AL97" i="3"/>
  <c r="AL100" i="3"/>
  <c r="H215" i="3"/>
  <c r="H244" i="3"/>
  <c r="EI96" i="3"/>
  <c r="EF97" i="3"/>
  <c r="H311" i="3"/>
  <c r="AV96" i="3"/>
  <c r="AV97" i="3"/>
  <c r="AS97" i="3"/>
  <c r="AS100" i="3"/>
  <c r="I215" i="3"/>
  <c r="I244" i="3"/>
  <c r="W244" i="3"/>
  <c r="F96" i="3"/>
  <c r="F97" i="3"/>
  <c r="C97" i="3"/>
  <c r="C100" i="3"/>
  <c r="C215" i="3"/>
  <c r="C244" i="3"/>
  <c r="C311" i="3"/>
  <c r="I50" i="2"/>
  <c r="L50" i="2"/>
  <c r="O50" i="2"/>
  <c r="C46" i="2"/>
  <c r="C49" i="2"/>
  <c r="L52" i="2"/>
  <c r="I52" i="2"/>
  <c r="O52" i="2"/>
  <c r="C48" i="2"/>
  <c r="L64" i="1"/>
  <c r="K52" i="2"/>
  <c r="H52" i="2"/>
  <c r="N52" i="2"/>
  <c r="B48" i="2"/>
  <c r="L51" i="2"/>
  <c r="I51" i="2"/>
  <c r="O51" i="2"/>
  <c r="C47" i="2"/>
  <c r="J64" i="1"/>
  <c r="M50" i="2"/>
  <c r="J50" i="2"/>
  <c r="P50" i="2"/>
  <c r="D46" i="2"/>
  <c r="J51" i="2"/>
  <c r="M51" i="2"/>
  <c r="P51" i="2"/>
  <c r="D47" i="2"/>
  <c r="D49" i="2"/>
  <c r="O64" i="1"/>
  <c r="M52" i="2"/>
  <c r="J52" i="2"/>
  <c r="P52" i="2"/>
  <c r="D48" i="2"/>
  <c r="K51" i="2"/>
  <c r="N51" i="2"/>
  <c r="H51" i="2"/>
  <c r="B47" i="2"/>
  <c r="H50" i="2"/>
  <c r="M57" i="10"/>
  <c r="M58" i="10"/>
  <c r="M56" i="10"/>
  <c r="F54" i="10"/>
  <c r="F55" i="10"/>
  <c r="F56" i="10"/>
  <c r="F57" i="10"/>
  <c r="F58" i="10"/>
  <c r="F53" i="10"/>
  <c r="P13" i="10"/>
  <c r="P14" i="10"/>
  <c r="P15" i="10"/>
  <c r="P18" i="10"/>
  <c r="P17" i="10"/>
  <c r="P16" i="10"/>
  <c r="I17" i="10"/>
  <c r="I18" i="10"/>
  <c r="I16" i="10"/>
  <c r="I14" i="10"/>
  <c r="I15" i="10"/>
  <c r="I13" i="10"/>
  <c r="G48" i="7"/>
  <c r="W242" i="3"/>
  <c r="W243" i="3"/>
  <c r="W245" i="3"/>
  <c r="W246" i="3"/>
  <c r="W247" i="3"/>
  <c r="W248" i="3"/>
  <c r="W249" i="3"/>
  <c r="W250" i="3"/>
  <c r="W251" i="3"/>
  <c r="W253" i="3"/>
  <c r="W254" i="3"/>
  <c r="W255" i="3"/>
  <c r="W256" i="3"/>
  <c r="W257" i="3"/>
  <c r="W258" i="3"/>
  <c r="W259" i="3"/>
  <c r="W260" i="3"/>
  <c r="W261" i="3"/>
  <c r="W262" i="3"/>
  <c r="W263" i="3"/>
  <c r="W264" i="3"/>
  <c r="W265" i="3"/>
  <c r="W266" i="3"/>
  <c r="W241" i="3"/>
  <c r="C16" i="2"/>
  <c r="W226" i="3"/>
  <c r="W227" i="3"/>
  <c r="W228" i="3"/>
  <c r="W229" i="3"/>
  <c r="W230" i="3"/>
  <c r="W231" i="3"/>
  <c r="W232" i="3"/>
  <c r="W233" i="3"/>
  <c r="W234" i="3"/>
  <c r="W235" i="3"/>
  <c r="W236" i="3"/>
  <c r="W237" i="3"/>
  <c r="D81" i="3"/>
  <c r="D82" i="3"/>
  <c r="D83" i="3"/>
  <c r="D79" i="3"/>
  <c r="C81" i="3"/>
  <c r="C82" i="3"/>
  <c r="C83" i="3"/>
  <c r="C79" i="3"/>
  <c r="G81" i="3"/>
  <c r="F81" i="3"/>
  <c r="F339" i="3"/>
  <c r="C8" i="3"/>
  <c r="E10" i="1"/>
  <c r="D3" i="3"/>
  <c r="F38" i="1"/>
  <c r="G71" i="3"/>
  <c r="F71" i="3"/>
  <c r="D71" i="3"/>
  <c r="C71" i="3"/>
  <c r="W214" i="3"/>
  <c r="W215" i="3"/>
  <c r="W216" i="3"/>
  <c r="W217" i="3"/>
  <c r="W218" i="3"/>
  <c r="W219" i="3"/>
  <c r="W220" i="3"/>
  <c r="W221" i="3"/>
  <c r="W222" i="3"/>
  <c r="W223" i="3"/>
  <c r="W224" i="3"/>
  <c r="W225" i="3"/>
  <c r="W238" i="3"/>
  <c r="W239" i="3"/>
  <c r="W240" i="3"/>
  <c r="W213" i="3"/>
  <c r="B149" i="2"/>
  <c r="B45" i="7"/>
  <c r="D58" i="10"/>
  <c r="D57" i="10"/>
  <c r="D56" i="10"/>
  <c r="B26" i="7"/>
  <c r="C209" i="3"/>
  <c r="C64" i="2"/>
  <c r="O68" i="1"/>
  <c r="I65" i="1"/>
  <c r="J66" i="1"/>
  <c r="B134" i="2"/>
  <c r="C24" i="3"/>
  <c r="B123" i="2"/>
  <c r="A40" i="7"/>
  <c r="B148" i="2"/>
  <c r="B44" i="7"/>
  <c r="B9" i="7"/>
  <c r="K15" i="2"/>
  <c r="C22" i="3"/>
  <c r="C46" i="3"/>
  <c r="C52" i="3"/>
  <c r="C54" i="2"/>
  <c r="P9" i="1"/>
  <c r="C150" i="2"/>
  <c r="B150" i="2"/>
  <c r="B46" i="7"/>
  <c r="O21" i="1"/>
  <c r="B47" i="7"/>
  <c r="N21" i="1"/>
  <c r="C38" i="3"/>
  <c r="C19" i="3"/>
  <c r="C204" i="3"/>
  <c r="F37" i="1"/>
  <c r="F40" i="1"/>
  <c r="F39" i="1"/>
  <c r="F222" i="3"/>
  <c r="F251" i="3"/>
  <c r="T222" i="3"/>
  <c r="T251" i="3"/>
  <c r="C39" i="3"/>
  <c r="E57" i="3"/>
  <c r="R222" i="3"/>
  <c r="R251" i="3"/>
  <c r="N222" i="3"/>
  <c r="N251" i="3"/>
  <c r="V222" i="3"/>
  <c r="V251" i="3"/>
  <c r="M222" i="3"/>
  <c r="M251" i="3"/>
  <c r="L222" i="3"/>
  <c r="L251" i="3"/>
  <c r="K222" i="3"/>
  <c r="K251" i="3"/>
  <c r="S222" i="3"/>
  <c r="S251" i="3"/>
  <c r="P222" i="3"/>
  <c r="P251" i="3"/>
  <c r="D222" i="3"/>
  <c r="D251" i="3"/>
  <c r="O222" i="3"/>
  <c r="O251" i="3"/>
  <c r="H222" i="3"/>
  <c r="H251" i="3"/>
  <c r="AD186" i="3"/>
  <c r="B61" i="3"/>
  <c r="AK186" i="3"/>
  <c r="Q168" i="3"/>
  <c r="AY186" i="3"/>
  <c r="DJ186" i="3"/>
  <c r="BF186" i="3"/>
  <c r="EE186" i="3"/>
  <c r="AE168" i="3"/>
  <c r="BN168" i="3"/>
  <c r="DC186" i="3"/>
  <c r="DK168" i="3"/>
  <c r="W186" i="3"/>
  <c r="AL168" i="3"/>
  <c r="BG168" i="3"/>
  <c r="CB168" i="3"/>
  <c r="BT186" i="3"/>
  <c r="CI168" i="3"/>
  <c r="AS168" i="3"/>
  <c r="CP168" i="3"/>
  <c r="P186" i="3"/>
  <c r="BU168" i="3"/>
  <c r="DR168" i="3"/>
  <c r="CO186" i="3"/>
  <c r="DY168" i="3"/>
  <c r="AZ168" i="3"/>
  <c r="DD168" i="3"/>
  <c r="AR186" i="3"/>
  <c r="EF168" i="3"/>
  <c r="BM186" i="3"/>
  <c r="CW168" i="3"/>
  <c r="I186" i="3"/>
  <c r="J168" i="3"/>
  <c r="CA186" i="3"/>
  <c r="CV186" i="3"/>
  <c r="CH186" i="3"/>
  <c r="C168" i="3"/>
  <c r="X168" i="3"/>
  <c r="B186" i="3"/>
  <c r="DQ186" i="3"/>
  <c r="DX186" i="3"/>
  <c r="C57" i="2"/>
  <c r="B11" i="7"/>
  <c r="B57" i="2"/>
  <c r="A11" i="7"/>
  <c r="I222" i="3"/>
  <c r="I251" i="3"/>
  <c r="G222" i="3"/>
  <c r="G251" i="3"/>
  <c r="E222" i="3"/>
  <c r="E251" i="3"/>
  <c r="C222" i="3"/>
  <c r="C251" i="3"/>
  <c r="U222" i="3"/>
  <c r="U251" i="3"/>
  <c r="I270" i="3"/>
  <c r="M36" i="1"/>
  <c r="G36" i="1"/>
  <c r="D270" i="3"/>
  <c r="H36" i="1"/>
  <c r="F270" i="3"/>
  <c r="J36" i="1"/>
  <c r="G270" i="3"/>
  <c r="K36" i="1"/>
  <c r="H270" i="3"/>
  <c r="L36" i="1"/>
  <c r="E270" i="3"/>
  <c r="I36" i="1"/>
  <c r="B147" i="2"/>
  <c r="B42" i="7"/>
  <c r="B1" i="12"/>
  <c r="H279" i="3"/>
  <c r="L45" i="1"/>
  <c r="F279" i="3"/>
  <c r="J45" i="1"/>
  <c r="G279" i="3"/>
  <c r="K45" i="1"/>
  <c r="I279" i="3"/>
  <c r="M45" i="1"/>
  <c r="G45" i="1"/>
  <c r="D279" i="3"/>
  <c r="H45" i="1"/>
  <c r="E279" i="3"/>
  <c r="I45" i="1"/>
  <c r="E58" i="3"/>
  <c r="E59" i="3"/>
  <c r="H64" i="1"/>
  <c r="B43" i="7"/>
  <c r="M38" i="1"/>
  <c r="C89" i="3"/>
  <c r="G38" i="1"/>
  <c r="J38" i="1"/>
  <c r="H38" i="1"/>
  <c r="I38" i="1"/>
  <c r="K38" i="1"/>
  <c r="L38" i="1"/>
  <c r="D61" i="3"/>
  <c r="S218" i="3"/>
  <c r="S247" i="3"/>
  <c r="G41" i="1"/>
  <c r="R218" i="3"/>
  <c r="R247" i="3"/>
  <c r="H218" i="3"/>
  <c r="H247" i="3"/>
  <c r="I218" i="3"/>
  <c r="I247" i="3"/>
  <c r="F218" i="3"/>
  <c r="F247" i="3"/>
  <c r="V218" i="3"/>
  <c r="V247" i="3"/>
  <c r="M218" i="3"/>
  <c r="M247" i="3"/>
  <c r="T218" i="3"/>
  <c r="T247" i="3"/>
  <c r="F275" i="3"/>
  <c r="J41" i="1"/>
  <c r="K218" i="3"/>
  <c r="K247" i="3"/>
  <c r="D275" i="3"/>
  <c r="H41" i="1"/>
  <c r="C218" i="3"/>
  <c r="C247" i="3"/>
  <c r="N218" i="3"/>
  <c r="N247" i="3"/>
  <c r="U218" i="3"/>
  <c r="U247" i="3"/>
  <c r="G275" i="3"/>
  <c r="K41" i="1"/>
  <c r="L218" i="3"/>
  <c r="L247" i="3"/>
  <c r="E275" i="3"/>
  <c r="I41" i="1"/>
  <c r="E218" i="3"/>
  <c r="E247" i="3"/>
  <c r="P218" i="3"/>
  <c r="P247" i="3"/>
  <c r="I275" i="3"/>
  <c r="M41" i="1"/>
  <c r="D218" i="3"/>
  <c r="D247" i="3"/>
  <c r="G218" i="3"/>
  <c r="G247" i="3"/>
  <c r="O218" i="3"/>
  <c r="O247" i="3"/>
  <c r="H275" i="3"/>
  <c r="L41" i="1"/>
  <c r="I37" i="1"/>
  <c r="H214" i="3"/>
  <c r="H243" i="3"/>
  <c r="DR167" i="3"/>
  <c r="DR169" i="3"/>
  <c r="DR170" i="3"/>
  <c r="J37" i="1"/>
  <c r="I214" i="3"/>
  <c r="I243" i="3"/>
  <c r="K37" i="1"/>
  <c r="AE101" i="3"/>
  <c r="AS101" i="3"/>
  <c r="AL101" i="3"/>
  <c r="H40" i="1"/>
  <c r="J101" i="3"/>
  <c r="C101" i="3"/>
  <c r="C217" i="3"/>
  <c r="C246" i="3"/>
  <c r="Q101" i="3"/>
  <c r="X101" i="3"/>
  <c r="G214" i="3"/>
  <c r="G243" i="3"/>
  <c r="C214" i="3"/>
  <c r="C243" i="3"/>
  <c r="BG102" i="3"/>
  <c r="K219" i="3"/>
  <c r="K248" i="3"/>
  <c r="DD102" i="3"/>
  <c r="R219" i="3"/>
  <c r="R248" i="3"/>
  <c r="D276" i="3"/>
  <c r="H42" i="1"/>
  <c r="E214" i="3"/>
  <c r="E243" i="3"/>
  <c r="F214" i="3"/>
  <c r="F243" i="3"/>
  <c r="D214" i="3"/>
  <c r="D243" i="3"/>
  <c r="L37" i="1"/>
  <c r="BH113" i="3"/>
  <c r="DR105" i="3"/>
  <c r="T224" i="3"/>
  <c r="T253" i="3"/>
  <c r="Q151" i="3"/>
  <c r="Q154" i="3"/>
  <c r="DD167" i="3"/>
  <c r="DD169" i="3"/>
  <c r="DD170" i="3"/>
  <c r="EF105" i="3"/>
  <c r="V224" i="3"/>
  <c r="V253" i="3"/>
  <c r="Q98" i="3"/>
  <c r="E220" i="3"/>
  <c r="E249" i="3"/>
  <c r="G37" i="1"/>
  <c r="DE115" i="3"/>
  <c r="CI105" i="3"/>
  <c r="O224" i="3"/>
  <c r="O253" i="3"/>
  <c r="H281" i="3"/>
  <c r="L47" i="1"/>
  <c r="EF98" i="3"/>
  <c r="V220" i="3"/>
  <c r="V249" i="3"/>
  <c r="CX111" i="3"/>
  <c r="C108" i="3"/>
  <c r="C109" i="3"/>
  <c r="D112" i="3"/>
  <c r="D114" i="3"/>
  <c r="AS167" i="3"/>
  <c r="AS169" i="3"/>
  <c r="AS170" i="3"/>
  <c r="X167" i="3"/>
  <c r="X169" i="3"/>
  <c r="X170" i="3"/>
  <c r="CB169" i="3"/>
  <c r="CB170" i="3"/>
  <c r="BO111" i="3"/>
  <c r="CW167" i="3"/>
  <c r="CW169" i="3"/>
  <c r="CW170" i="3"/>
  <c r="CB98" i="3"/>
  <c r="DY167" i="3"/>
  <c r="DY169" i="3"/>
  <c r="DY170" i="3"/>
  <c r="BN167" i="3"/>
  <c r="BN169" i="3"/>
  <c r="BN170" i="3"/>
  <c r="AE98" i="3"/>
  <c r="AE104" i="3"/>
  <c r="DR98" i="3"/>
  <c r="T220" i="3"/>
  <c r="T249" i="3"/>
  <c r="AL167" i="3"/>
  <c r="AL169" i="3"/>
  <c r="AL170" i="3"/>
  <c r="DK98" i="3"/>
  <c r="C98" i="3"/>
  <c r="C104" i="3"/>
  <c r="CQ113" i="3"/>
  <c r="E216" i="3"/>
  <c r="E245" i="3"/>
  <c r="D216" i="3"/>
  <c r="D245" i="3"/>
  <c r="P336" i="3"/>
  <c r="P338" i="3"/>
  <c r="P334" i="3"/>
  <c r="P335" i="3"/>
  <c r="P337" i="3"/>
  <c r="C167" i="3"/>
  <c r="C169" i="3"/>
  <c r="C170" i="3"/>
  <c r="Q167" i="3"/>
  <c r="Q169" i="3"/>
  <c r="Q170" i="3"/>
  <c r="J98" i="3"/>
  <c r="EF167" i="3"/>
  <c r="EF169" i="3"/>
  <c r="EF170" i="3"/>
  <c r="DY98" i="3"/>
  <c r="U220" i="3"/>
  <c r="U249" i="3"/>
  <c r="DK167" i="3"/>
  <c r="DK169" i="3"/>
  <c r="DK170" i="3"/>
  <c r="BG169" i="3"/>
  <c r="BG170" i="3"/>
  <c r="BU167" i="3"/>
  <c r="BU169" i="3"/>
  <c r="BU170" i="3"/>
  <c r="AS98" i="3"/>
  <c r="AZ167" i="3"/>
  <c r="AZ169" i="3"/>
  <c r="AZ170" i="3"/>
  <c r="DZ111" i="3"/>
  <c r="CP167" i="3"/>
  <c r="CP169" i="3"/>
  <c r="CP170" i="3"/>
  <c r="DL115" i="3"/>
  <c r="P220" i="3"/>
  <c r="P249" i="3"/>
  <c r="I277" i="3"/>
  <c r="M43" i="1"/>
  <c r="BN98" i="3"/>
  <c r="X98" i="3"/>
  <c r="EG114" i="3"/>
  <c r="AL98" i="3"/>
  <c r="AL104" i="3"/>
  <c r="K115" i="3"/>
  <c r="CI167" i="3"/>
  <c r="CI169" i="3"/>
  <c r="CI170" i="3"/>
  <c r="BU98" i="3"/>
  <c r="M220" i="3"/>
  <c r="M249" i="3"/>
  <c r="F277" i="3"/>
  <c r="J43" i="1"/>
  <c r="CJ113" i="3"/>
  <c r="AE167" i="3"/>
  <c r="AE169" i="3"/>
  <c r="AE170" i="3"/>
  <c r="CI98" i="3"/>
  <c r="O220" i="3"/>
  <c r="O249" i="3"/>
  <c r="H277" i="3"/>
  <c r="L43" i="1"/>
  <c r="I216" i="3"/>
  <c r="I245" i="3"/>
  <c r="G216" i="3"/>
  <c r="G245" i="3"/>
  <c r="K39" i="1"/>
  <c r="H216" i="3"/>
  <c r="H245" i="3"/>
  <c r="L39" i="1"/>
  <c r="C216" i="3"/>
  <c r="C245" i="3"/>
  <c r="I39" i="1"/>
  <c r="F216" i="3"/>
  <c r="F245" i="3"/>
  <c r="BA111" i="3"/>
  <c r="P333" i="3"/>
  <c r="BV113" i="3"/>
  <c r="J167" i="3"/>
  <c r="J169" i="3"/>
  <c r="J170" i="3"/>
  <c r="AF114" i="3"/>
  <c r="DY102" i="3"/>
  <c r="U219" i="3"/>
  <c r="U248" i="3"/>
  <c r="CI102" i="3"/>
  <c r="O219" i="3"/>
  <c r="O248" i="3"/>
  <c r="EF102" i="3"/>
  <c r="V219" i="3"/>
  <c r="V248" i="3"/>
  <c r="H276" i="3"/>
  <c r="L42" i="1"/>
  <c r="G217" i="3"/>
  <c r="G246" i="3"/>
  <c r="AE102" i="3"/>
  <c r="G219" i="3"/>
  <c r="G248" i="3"/>
  <c r="BN102" i="3"/>
  <c r="L219" i="3"/>
  <c r="L248" i="3"/>
  <c r="DK102" i="3"/>
  <c r="S219" i="3"/>
  <c r="S248" i="3"/>
  <c r="E276" i="3"/>
  <c r="I42" i="1"/>
  <c r="C102" i="3"/>
  <c r="C219" i="3"/>
  <c r="C248" i="3"/>
  <c r="J102" i="3"/>
  <c r="D219" i="3"/>
  <c r="D248" i="3"/>
  <c r="D217" i="3"/>
  <c r="D246" i="3"/>
  <c r="F217" i="3"/>
  <c r="F246" i="3"/>
  <c r="X102" i="3"/>
  <c r="F219" i="3"/>
  <c r="F248" i="3"/>
  <c r="DR102" i="3"/>
  <c r="T219" i="3"/>
  <c r="T248" i="3"/>
  <c r="E217" i="3"/>
  <c r="E246" i="3"/>
  <c r="Q102" i="3"/>
  <c r="E219" i="3"/>
  <c r="E248" i="3"/>
  <c r="H217" i="3"/>
  <c r="H246" i="3"/>
  <c r="AL102" i="3"/>
  <c r="H219" i="3"/>
  <c r="H248" i="3"/>
  <c r="M42" i="1"/>
  <c r="M40" i="1"/>
  <c r="CB102" i="3"/>
  <c r="N219" i="3"/>
  <c r="N248" i="3"/>
  <c r="G276" i="3"/>
  <c r="K42" i="1"/>
  <c r="BU102" i="3"/>
  <c r="M219" i="3"/>
  <c r="M248" i="3"/>
  <c r="F276" i="3"/>
  <c r="J42" i="1"/>
  <c r="J40" i="1"/>
  <c r="AS102" i="3"/>
  <c r="I219" i="3"/>
  <c r="I248" i="3"/>
  <c r="I217" i="3"/>
  <c r="I246" i="3"/>
  <c r="N220" i="3"/>
  <c r="N249" i="3"/>
  <c r="G277" i="3"/>
  <c r="K43" i="1"/>
  <c r="L220" i="3"/>
  <c r="L249" i="3"/>
  <c r="S220" i="3"/>
  <c r="S249" i="3"/>
  <c r="E277" i="3"/>
  <c r="I43" i="1"/>
  <c r="K114" i="3"/>
  <c r="K111" i="3"/>
  <c r="J39" i="1"/>
  <c r="M37" i="1"/>
  <c r="D115" i="3"/>
  <c r="D116" i="3"/>
  <c r="C116" i="3"/>
  <c r="C230" i="3"/>
  <c r="C259" i="3"/>
  <c r="BA114" i="3"/>
  <c r="BA113" i="3"/>
  <c r="BA115" i="3"/>
  <c r="C133" i="3"/>
  <c r="C136" i="3"/>
  <c r="DR134" i="3"/>
  <c r="DR137" i="3"/>
  <c r="BG133" i="3"/>
  <c r="BG136" i="3"/>
  <c r="DK151" i="3"/>
  <c r="DK154" i="3"/>
  <c r="CB134" i="3"/>
  <c r="CB137" i="3"/>
  <c r="DD150" i="3"/>
  <c r="DD153" i="3"/>
  <c r="DK133" i="3"/>
  <c r="DK136" i="3"/>
  <c r="DY133" i="3"/>
  <c r="DY136" i="3"/>
  <c r="CW133" i="3"/>
  <c r="CW136" i="3"/>
  <c r="C134" i="3"/>
  <c r="C137" i="3"/>
  <c r="BG150" i="3"/>
  <c r="BG153" i="3"/>
  <c r="X151" i="3"/>
  <c r="X154" i="3"/>
  <c r="AL134" i="3"/>
  <c r="AL137" i="3"/>
  <c r="BU150" i="3"/>
  <c r="BU153" i="3"/>
  <c r="CP150" i="3"/>
  <c r="CP153" i="3"/>
  <c r="DD134" i="3"/>
  <c r="DD137" i="3"/>
  <c r="CI151" i="3"/>
  <c r="CI154" i="3"/>
  <c r="CB150" i="3"/>
  <c r="CB153" i="3"/>
  <c r="J133" i="3"/>
  <c r="J136" i="3"/>
  <c r="CW151" i="3"/>
  <c r="CW154" i="3"/>
  <c r="C151" i="3"/>
  <c r="C154" i="3"/>
  <c r="EF133" i="3"/>
  <c r="EF136" i="3"/>
  <c r="CP151" i="3"/>
  <c r="CP154" i="3"/>
  <c r="DY134" i="3"/>
  <c r="DY137" i="3"/>
  <c r="AL133" i="3"/>
  <c r="AL136" i="3"/>
  <c r="AS134" i="3"/>
  <c r="AS137" i="3"/>
  <c r="AZ134" i="3"/>
  <c r="AZ137" i="3"/>
  <c r="AE133" i="3"/>
  <c r="AE136" i="3"/>
  <c r="DR151" i="3"/>
  <c r="DR154" i="3"/>
  <c r="X133" i="3"/>
  <c r="X136" i="3"/>
  <c r="Q150" i="3"/>
  <c r="Q153" i="3"/>
  <c r="J151" i="3"/>
  <c r="J154" i="3"/>
  <c r="CP134" i="3"/>
  <c r="CP137" i="3"/>
  <c r="AE150" i="3"/>
  <c r="AE153" i="3"/>
  <c r="EF151" i="3"/>
  <c r="EF154" i="3"/>
  <c r="AE134" i="3"/>
  <c r="AE137" i="3"/>
  <c r="DY150" i="3"/>
  <c r="DY153" i="3"/>
  <c r="CI133" i="3"/>
  <c r="CI136" i="3"/>
  <c r="BU134" i="3"/>
  <c r="BU137" i="3"/>
  <c r="AZ133" i="3"/>
  <c r="AZ136" i="3"/>
  <c r="BU151" i="3"/>
  <c r="BU154" i="3"/>
  <c r="AS133" i="3"/>
  <c r="AS136" i="3"/>
  <c r="BN151" i="3"/>
  <c r="BN154" i="3"/>
  <c r="BU133" i="3"/>
  <c r="BU136" i="3"/>
  <c r="DY151" i="3"/>
  <c r="DY154" i="3"/>
  <c r="BG134" i="3"/>
  <c r="BG137" i="3"/>
  <c r="AL151" i="3"/>
  <c r="AL154" i="3"/>
  <c r="X150" i="3"/>
  <c r="X153" i="3"/>
  <c r="DK150" i="3"/>
  <c r="DK153" i="3"/>
  <c r="DD133" i="3"/>
  <c r="DD136" i="3"/>
  <c r="D162" i="3"/>
  <c r="AS151" i="3"/>
  <c r="AS154" i="3"/>
  <c r="CI150" i="3"/>
  <c r="CI153" i="3"/>
  <c r="BN134" i="3"/>
  <c r="BN137" i="3"/>
  <c r="CB151" i="3"/>
  <c r="CB154" i="3"/>
  <c r="J134" i="3"/>
  <c r="J137" i="3"/>
  <c r="AZ151" i="3"/>
  <c r="AZ154" i="3"/>
  <c r="AS150" i="3"/>
  <c r="AS153" i="3"/>
  <c r="AS155" i="3"/>
  <c r="CB133" i="3"/>
  <c r="CB136" i="3"/>
  <c r="BN150" i="3"/>
  <c r="BN153" i="3"/>
  <c r="X134" i="3"/>
  <c r="X137" i="3"/>
  <c r="C150" i="3"/>
  <c r="C153" i="3"/>
  <c r="Q133" i="3"/>
  <c r="Q136" i="3"/>
  <c r="EF150" i="3"/>
  <c r="EF153" i="3"/>
  <c r="EF134" i="3"/>
  <c r="EF137" i="3"/>
  <c r="AZ150" i="3"/>
  <c r="AZ153" i="3"/>
  <c r="CP133" i="3"/>
  <c r="CP136" i="3"/>
  <c r="J150" i="3"/>
  <c r="J153" i="3"/>
  <c r="DR150" i="3"/>
  <c r="DR153" i="3"/>
  <c r="AE151" i="3"/>
  <c r="AE154" i="3"/>
  <c r="Q134" i="3"/>
  <c r="Q137" i="3"/>
  <c r="BN133" i="3"/>
  <c r="BN136" i="3"/>
  <c r="BG151" i="3"/>
  <c r="BG154" i="3"/>
  <c r="AL150" i="3"/>
  <c r="AL153" i="3"/>
  <c r="CI134" i="3"/>
  <c r="CI137" i="3"/>
  <c r="D145" i="3"/>
  <c r="DD151" i="3"/>
  <c r="DD154" i="3"/>
  <c r="DK134" i="3"/>
  <c r="DK137" i="3"/>
  <c r="CW150" i="3"/>
  <c r="CW153" i="3"/>
  <c r="CW134" i="3"/>
  <c r="CW137" i="3"/>
  <c r="DR133" i="3"/>
  <c r="DR136" i="3"/>
  <c r="C220" i="3"/>
  <c r="C249" i="3"/>
  <c r="R220" i="3"/>
  <c r="R249" i="3"/>
  <c r="CX115" i="3"/>
  <c r="J46" i="1"/>
  <c r="BU105" i="3"/>
  <c r="M224" i="3"/>
  <c r="M253" i="3"/>
  <c r="F281" i="3"/>
  <c r="J47" i="1"/>
  <c r="CC111" i="3"/>
  <c r="CC114" i="3"/>
  <c r="CC115" i="3"/>
  <c r="CC113" i="3"/>
  <c r="G287" i="3"/>
  <c r="K53" i="1"/>
  <c r="I46" i="1"/>
  <c r="BN105" i="3"/>
  <c r="L224" i="3"/>
  <c r="L253" i="3"/>
  <c r="DK105" i="3"/>
  <c r="S224" i="3"/>
  <c r="S253" i="3"/>
  <c r="E281" i="3"/>
  <c r="I47" i="1"/>
  <c r="H37" i="1"/>
  <c r="F220" i="3"/>
  <c r="F249" i="3"/>
  <c r="X104" i="3"/>
  <c r="DL114" i="3"/>
  <c r="D113" i="3"/>
  <c r="D111" i="3"/>
  <c r="DL113" i="3"/>
  <c r="DL111" i="3"/>
  <c r="CX114" i="3"/>
  <c r="CX113" i="3"/>
  <c r="DY105" i="3"/>
  <c r="U224" i="3"/>
  <c r="U253" i="3"/>
  <c r="CW155" i="3"/>
  <c r="DE113" i="3"/>
  <c r="DE114" i="3"/>
  <c r="DE111" i="3"/>
  <c r="F287" i="3"/>
  <c r="J53" i="1"/>
  <c r="BH114" i="3"/>
  <c r="G220" i="3"/>
  <c r="G249" i="3"/>
  <c r="AS138" i="3"/>
  <c r="D287" i="3"/>
  <c r="H53" i="1"/>
  <c r="BH111" i="3"/>
  <c r="BH115" i="3"/>
  <c r="AF115" i="3"/>
  <c r="Q155" i="3"/>
  <c r="C155" i="3"/>
  <c r="L46" i="1"/>
  <c r="CQ111" i="3"/>
  <c r="Q104" i="3"/>
  <c r="E223" i="3"/>
  <c r="E252" i="3"/>
  <c r="DY138" i="3"/>
  <c r="EG115" i="3"/>
  <c r="CQ115" i="3"/>
  <c r="I287" i="3"/>
  <c r="M53" i="1"/>
  <c r="AL155" i="3"/>
  <c r="CQ114" i="3"/>
  <c r="E287" i="3"/>
  <c r="I53" i="1"/>
  <c r="H220" i="3"/>
  <c r="H249" i="3"/>
  <c r="BO114" i="3"/>
  <c r="BO113" i="3"/>
  <c r="BO115" i="3"/>
  <c r="H287" i="3"/>
  <c r="L53" i="1"/>
  <c r="DZ115" i="3"/>
  <c r="H39" i="1"/>
  <c r="AL138" i="3"/>
  <c r="M39" i="1"/>
  <c r="K113" i="3"/>
  <c r="DR138" i="3"/>
  <c r="BN155" i="3"/>
  <c r="BN138" i="3"/>
  <c r="AF111" i="3"/>
  <c r="EF138" i="3"/>
  <c r="CI155" i="3"/>
  <c r="BV111" i="3"/>
  <c r="DZ113" i="3"/>
  <c r="BV115" i="3"/>
  <c r="BV114" i="3"/>
  <c r="CP138" i="3"/>
  <c r="CJ114" i="3"/>
  <c r="CP155" i="3"/>
  <c r="DZ114" i="3"/>
  <c r="DK155" i="3"/>
  <c r="X155" i="3"/>
  <c r="DY155" i="3"/>
  <c r="AF113" i="3"/>
  <c r="CJ115" i="3"/>
  <c r="CJ111" i="3"/>
  <c r="DD155" i="3"/>
  <c r="EG113" i="3"/>
  <c r="EG111" i="3"/>
  <c r="O341" i="3"/>
  <c r="CB105" i="3"/>
  <c r="N224" i="3"/>
  <c r="N253" i="3"/>
  <c r="G281" i="3"/>
  <c r="K47" i="1"/>
  <c r="K46" i="1"/>
  <c r="DR155" i="3"/>
  <c r="AZ155" i="3"/>
  <c r="G39" i="1"/>
  <c r="Y114" i="3"/>
  <c r="Y111" i="3"/>
  <c r="Y113" i="3"/>
  <c r="Y115" i="3"/>
  <c r="J155" i="3"/>
  <c r="CW138" i="3"/>
  <c r="AE155" i="3"/>
  <c r="D220" i="3"/>
  <c r="D249" i="3"/>
  <c r="J104" i="3"/>
  <c r="BG155" i="3"/>
  <c r="EF155" i="3"/>
  <c r="X138" i="3"/>
  <c r="AS104" i="3"/>
  <c r="I220" i="3"/>
  <c r="I249" i="3"/>
  <c r="AT113" i="3"/>
  <c r="AT111" i="3"/>
  <c r="AT114" i="3"/>
  <c r="AT115" i="3"/>
  <c r="C138" i="3"/>
  <c r="AM111" i="3"/>
  <c r="AM114" i="3"/>
  <c r="AM113" i="3"/>
  <c r="AM115" i="3"/>
  <c r="K220" i="3"/>
  <c r="K249" i="3"/>
  <c r="D277" i="3"/>
  <c r="H43" i="1"/>
  <c r="DS114" i="3"/>
  <c r="DS113" i="3"/>
  <c r="DS111" i="3"/>
  <c r="DS115" i="3"/>
  <c r="M46" i="1"/>
  <c r="CP105" i="3"/>
  <c r="P224" i="3"/>
  <c r="P253" i="3"/>
  <c r="I281" i="3"/>
  <c r="M47" i="1"/>
  <c r="R115" i="3"/>
  <c r="R114" i="3"/>
  <c r="R111" i="3"/>
  <c r="R113" i="3"/>
  <c r="CI138" i="3"/>
  <c r="AE138" i="3"/>
  <c r="K40" i="1"/>
  <c r="G40" i="1"/>
  <c r="G42" i="1"/>
  <c r="I40" i="1"/>
  <c r="L40" i="1"/>
  <c r="DD138" i="3"/>
  <c r="BU138" i="3"/>
  <c r="D144" i="3"/>
  <c r="AZ138" i="3"/>
  <c r="D312" i="3"/>
  <c r="C223" i="3"/>
  <c r="C252" i="3"/>
  <c r="C105" i="3"/>
  <c r="C224" i="3"/>
  <c r="C253" i="3"/>
  <c r="CB138" i="3"/>
  <c r="D161" i="3"/>
  <c r="CB155" i="3"/>
  <c r="BU155" i="3"/>
  <c r="Q138" i="3"/>
  <c r="BG138" i="3"/>
  <c r="G223" i="3"/>
  <c r="G252" i="3"/>
  <c r="AE105" i="3"/>
  <c r="G224" i="3"/>
  <c r="G253" i="3"/>
  <c r="DD105" i="3"/>
  <c r="R224" i="3"/>
  <c r="R253" i="3"/>
  <c r="J138" i="3"/>
  <c r="X105" i="3"/>
  <c r="F224" i="3"/>
  <c r="F253" i="3"/>
  <c r="F223" i="3"/>
  <c r="F252" i="3"/>
  <c r="DK138" i="3"/>
  <c r="B122" i="2"/>
  <c r="A39" i="7"/>
  <c r="G53" i="1"/>
  <c r="H223" i="3"/>
  <c r="H252" i="3"/>
  <c r="AL105" i="3"/>
  <c r="H224" i="3"/>
  <c r="H253" i="3"/>
  <c r="Q105" i="3"/>
  <c r="E224" i="3"/>
  <c r="E253" i="3"/>
  <c r="L50" i="1"/>
  <c r="M50" i="1"/>
  <c r="O343" i="3"/>
  <c r="O342" i="3"/>
  <c r="I50" i="1"/>
  <c r="J343" i="3"/>
  <c r="D223" i="3"/>
  <c r="D252" i="3"/>
  <c r="J105" i="3"/>
  <c r="D224" i="3"/>
  <c r="D253" i="3"/>
  <c r="BG105" i="3"/>
  <c r="K224" i="3"/>
  <c r="K253" i="3"/>
  <c r="D281" i="3"/>
  <c r="H47" i="1"/>
  <c r="H46" i="1"/>
  <c r="G43" i="1"/>
  <c r="AS105" i="3"/>
  <c r="I224" i="3"/>
  <c r="I253" i="3"/>
  <c r="I223" i="3"/>
  <c r="I252" i="3"/>
  <c r="C312" i="3"/>
  <c r="H312" i="3"/>
  <c r="F312" i="3"/>
  <c r="E312" i="3"/>
  <c r="G312" i="3"/>
  <c r="D146" i="3"/>
  <c r="K50" i="1"/>
  <c r="J50" i="1"/>
  <c r="D163" i="3"/>
  <c r="H50" i="1"/>
  <c r="BN99" i="3"/>
  <c r="L221" i="3"/>
  <c r="L250" i="3"/>
  <c r="Q99" i="3"/>
  <c r="E221" i="3"/>
  <c r="E250" i="3"/>
  <c r="DK99" i="3"/>
  <c r="S221" i="3"/>
  <c r="S250" i="3"/>
  <c r="DD99" i="3"/>
  <c r="R221" i="3"/>
  <c r="R250" i="3"/>
  <c r="M44" i="1"/>
  <c r="EF99" i="3"/>
  <c r="V221" i="3"/>
  <c r="V250" i="3"/>
  <c r="C99" i="3"/>
  <c r="C221" i="3"/>
  <c r="C250" i="3"/>
  <c r="BU99" i="3"/>
  <c r="M221" i="3"/>
  <c r="M250" i="3"/>
  <c r="X99" i="3"/>
  <c r="F221" i="3"/>
  <c r="F250" i="3"/>
  <c r="DR99" i="3"/>
  <c r="T221" i="3"/>
  <c r="T250" i="3"/>
  <c r="AE99" i="3"/>
  <c r="G221" i="3"/>
  <c r="G250" i="3"/>
  <c r="CB99" i="3"/>
  <c r="N221" i="3"/>
  <c r="N250" i="3"/>
  <c r="CI99" i="3"/>
  <c r="O221" i="3"/>
  <c r="O250" i="3"/>
  <c r="AL99" i="3"/>
  <c r="H221" i="3"/>
  <c r="H250" i="3"/>
  <c r="AS99" i="3"/>
  <c r="I221" i="3"/>
  <c r="I250" i="3"/>
  <c r="DY99" i="3"/>
  <c r="U221" i="3"/>
  <c r="U250" i="3"/>
  <c r="BG99" i="3"/>
  <c r="K221" i="3"/>
  <c r="K250" i="3"/>
  <c r="J99" i="3"/>
  <c r="D221" i="3"/>
  <c r="D250" i="3"/>
  <c r="S236" i="3"/>
  <c r="D236" i="3"/>
  <c r="M236" i="3"/>
  <c r="U236" i="3"/>
  <c r="F236" i="3"/>
  <c r="N236" i="3"/>
  <c r="H236" i="3"/>
  <c r="K236" i="3"/>
  <c r="V236" i="3"/>
  <c r="E236" i="3"/>
  <c r="G236" i="3"/>
  <c r="O236" i="3"/>
  <c r="R236" i="3"/>
  <c r="L236" i="3"/>
  <c r="P236" i="3"/>
  <c r="T236" i="3"/>
  <c r="C236" i="3"/>
  <c r="I236" i="3"/>
  <c r="C314" i="3"/>
  <c r="G47" i="1"/>
  <c r="D237" i="3"/>
  <c r="D266" i="3"/>
  <c r="M237" i="3"/>
  <c r="M266" i="3"/>
  <c r="T237" i="3"/>
  <c r="T266" i="3"/>
  <c r="F294" i="3"/>
  <c r="J60" i="1"/>
  <c r="C237" i="3"/>
  <c r="C266" i="3"/>
  <c r="N237" i="3"/>
  <c r="N266" i="3"/>
  <c r="U237" i="3"/>
  <c r="U266" i="3"/>
  <c r="G294" i="3"/>
  <c r="K60" i="1"/>
  <c r="O237" i="3"/>
  <c r="O266" i="3"/>
  <c r="V237" i="3"/>
  <c r="V266" i="3"/>
  <c r="H294" i="3"/>
  <c r="L60" i="1"/>
  <c r="F237" i="3"/>
  <c r="F266" i="3"/>
  <c r="L237" i="3"/>
  <c r="L266" i="3"/>
  <c r="S237" i="3"/>
  <c r="S266" i="3"/>
  <c r="E294" i="3"/>
  <c r="I60" i="1"/>
  <c r="I237" i="3"/>
  <c r="I266" i="3"/>
  <c r="G60" i="1"/>
  <c r="E237" i="3"/>
  <c r="E266" i="3"/>
  <c r="G237" i="3"/>
  <c r="G266" i="3"/>
  <c r="M60" i="1"/>
  <c r="H237" i="3"/>
  <c r="H266" i="3"/>
  <c r="K237" i="3"/>
  <c r="K266" i="3"/>
  <c r="R237" i="3"/>
  <c r="R266" i="3"/>
  <c r="D294" i="3"/>
  <c r="H60" i="1"/>
  <c r="G46" i="1"/>
  <c r="G50" i="1"/>
  <c r="P265" i="3"/>
  <c r="I293" i="3"/>
  <c r="M59" i="1"/>
  <c r="P242" i="3"/>
  <c r="Q242" i="3"/>
  <c r="L265" i="3"/>
  <c r="S265" i="3"/>
  <c r="E293" i="3"/>
  <c r="I59" i="1"/>
  <c r="L242" i="3"/>
  <c r="M265" i="3"/>
  <c r="T265" i="3"/>
  <c r="F293" i="3"/>
  <c r="J59" i="1"/>
  <c r="M242" i="3"/>
  <c r="C265" i="3"/>
  <c r="C242" i="3"/>
  <c r="R242" i="3"/>
  <c r="R265" i="3"/>
  <c r="D265" i="3"/>
  <c r="D242" i="3"/>
  <c r="O242" i="3"/>
  <c r="O265" i="3"/>
  <c r="V265" i="3"/>
  <c r="H293" i="3"/>
  <c r="L59" i="1"/>
  <c r="S242" i="3"/>
  <c r="F278" i="3"/>
  <c r="J44" i="1"/>
  <c r="G265" i="3"/>
  <c r="G242" i="3"/>
  <c r="D278" i="3"/>
  <c r="H44" i="1"/>
  <c r="K265" i="3"/>
  <c r="D293" i="3"/>
  <c r="H59" i="1"/>
  <c r="K242" i="3"/>
  <c r="V242" i="3"/>
  <c r="G59" i="1"/>
  <c r="J242" i="3"/>
  <c r="H265" i="3"/>
  <c r="H242" i="3"/>
  <c r="G44" i="1"/>
  <c r="E242" i="3"/>
  <c r="E265" i="3"/>
  <c r="I265" i="3"/>
  <c r="I242" i="3"/>
  <c r="N242" i="3"/>
  <c r="N265" i="3"/>
  <c r="U265" i="3"/>
  <c r="G293" i="3"/>
  <c r="K59" i="1"/>
  <c r="F265" i="3"/>
  <c r="F242" i="3"/>
  <c r="H278" i="3"/>
  <c r="L44" i="1"/>
  <c r="T242" i="3"/>
  <c r="U242" i="3"/>
  <c r="G278" i="3"/>
  <c r="K44" i="1"/>
  <c r="E278" i="3"/>
  <c r="I44" i="1"/>
  <c r="C61" i="3"/>
  <c r="E61" i="3"/>
  <c r="C63" i="3"/>
  <c r="C64" i="3"/>
  <c r="CP127" i="3"/>
  <c r="CP128" i="3"/>
  <c r="CP129" i="3"/>
  <c r="P229" i="3"/>
  <c r="P258" i="3"/>
  <c r="I286" i="3"/>
  <c r="M52" i="1"/>
  <c r="P257" i="3"/>
  <c r="I285" i="3"/>
  <c r="M51" i="1"/>
  <c r="AZ127" i="3"/>
  <c r="AZ128" i="3"/>
  <c r="AZ129" i="3"/>
  <c r="J229" i="3"/>
  <c r="J257" i="3"/>
  <c r="C285" i="3"/>
  <c r="C196" i="3"/>
  <c r="C199" i="3"/>
  <c r="BG127" i="3"/>
  <c r="BG128" i="3"/>
  <c r="BG129" i="3"/>
  <c r="K229" i="3"/>
  <c r="K257" i="3"/>
  <c r="D285" i="3"/>
  <c r="D196" i="3"/>
  <c r="D199" i="3"/>
  <c r="BN127" i="3"/>
  <c r="BN128" i="3"/>
  <c r="BN129" i="3"/>
  <c r="L229" i="3"/>
  <c r="L257" i="3"/>
  <c r="E285" i="3"/>
  <c r="E196" i="3"/>
  <c r="E199" i="3"/>
  <c r="BU127" i="3"/>
  <c r="BU128" i="3"/>
  <c r="BU129" i="3"/>
  <c r="M229" i="3"/>
  <c r="M257" i="3"/>
  <c r="F285" i="3"/>
  <c r="F196" i="3"/>
  <c r="F199" i="3"/>
  <c r="G199" i="3"/>
  <c r="H199" i="3"/>
  <c r="J258" i="3"/>
  <c r="C286" i="3"/>
  <c r="C197" i="3"/>
  <c r="C200" i="3"/>
  <c r="K258" i="3"/>
  <c r="D286" i="3"/>
  <c r="D197" i="3"/>
  <c r="D200" i="3"/>
  <c r="L258" i="3"/>
  <c r="E286" i="3"/>
  <c r="E197" i="3"/>
  <c r="E200" i="3"/>
  <c r="M258" i="3"/>
  <c r="F286" i="3"/>
  <c r="F197" i="3"/>
  <c r="F200" i="3"/>
  <c r="G200" i="3"/>
  <c r="H200" i="3"/>
  <c r="CB127" i="3"/>
  <c r="CB128" i="3"/>
  <c r="CB129" i="3"/>
  <c r="N229" i="3"/>
  <c r="N257" i="3"/>
  <c r="G285" i="3"/>
  <c r="G196" i="3"/>
  <c r="CI127" i="3"/>
  <c r="CI128" i="3"/>
  <c r="CI129" i="3"/>
  <c r="O229" i="3"/>
  <c r="O257" i="3"/>
  <c r="H285" i="3"/>
  <c r="H196" i="3"/>
  <c r="I196" i="3"/>
  <c r="N258" i="3"/>
  <c r="G286" i="3"/>
  <c r="G197" i="3"/>
  <c r="O258" i="3"/>
  <c r="H286" i="3"/>
  <c r="H197" i="3"/>
  <c r="I197" i="3"/>
  <c r="C201" i="3"/>
  <c r="C202" i="3"/>
  <c r="C205" i="3"/>
  <c r="C207" i="3" s="1"/>
  <c r="C37" i="3" s="1"/>
  <c r="I305" i="3"/>
  <c r="I302" i="3" a="1"/>
  <c r="I302" i="3"/>
  <c r="I303" i="3"/>
  <c r="I304" i="3"/>
  <c r="CW127" i="3"/>
  <c r="CW128" i="3"/>
  <c r="CW129" i="3"/>
  <c r="Q229" i="3"/>
  <c r="Q257" i="3"/>
  <c r="Q258" i="3"/>
  <c r="AE127" i="3"/>
  <c r="AE128" i="3"/>
  <c r="AE129" i="3"/>
  <c r="G229" i="3"/>
  <c r="G257" i="3"/>
  <c r="G258" i="3"/>
  <c r="AS127" i="3"/>
  <c r="AS128" i="3"/>
  <c r="AS129" i="3"/>
  <c r="I229" i="3"/>
  <c r="I257" i="3"/>
  <c r="I258" i="3"/>
  <c r="C127" i="3"/>
  <c r="C128" i="3"/>
  <c r="C129" i="3"/>
  <c r="C229" i="3"/>
  <c r="C257" i="3"/>
  <c r="C258" i="3"/>
  <c r="EF127" i="3"/>
  <c r="EF128" i="3"/>
  <c r="EF129" i="3"/>
  <c r="V229" i="3"/>
  <c r="V257" i="3"/>
  <c r="V258" i="3"/>
  <c r="AL127" i="3"/>
  <c r="AL128" i="3"/>
  <c r="AL129" i="3"/>
  <c r="H229" i="3"/>
  <c r="H257" i="3"/>
  <c r="H258" i="3"/>
  <c r="DD127" i="3"/>
  <c r="DD128" i="3"/>
  <c r="DD129" i="3"/>
  <c r="R229" i="3"/>
  <c r="R257" i="3"/>
  <c r="R258" i="3"/>
  <c r="J127" i="3"/>
  <c r="J128" i="3"/>
  <c r="J129" i="3"/>
  <c r="D229" i="3"/>
  <c r="D257" i="3"/>
  <c r="D258" i="3"/>
  <c r="DY127" i="3"/>
  <c r="DY128" i="3"/>
  <c r="DY129" i="3"/>
  <c r="U229" i="3"/>
  <c r="U257" i="3"/>
  <c r="U258" i="3"/>
  <c r="DR127" i="3"/>
  <c r="DR128" i="3"/>
  <c r="DR129" i="3"/>
  <c r="T229" i="3"/>
  <c r="T257" i="3"/>
  <c r="T258" i="3"/>
  <c r="X127" i="3"/>
  <c r="X128" i="3"/>
  <c r="X129" i="3"/>
  <c r="F229" i="3"/>
  <c r="F257" i="3"/>
  <c r="F258" i="3"/>
  <c r="DK127" i="3"/>
  <c r="DK128" i="3"/>
  <c r="DK129" i="3"/>
  <c r="S229" i="3"/>
  <c r="S257" i="3"/>
  <c r="S258" i="3"/>
  <c r="Q127" i="3"/>
  <c r="Q128" i="3"/>
  <c r="Q129" i="3"/>
  <c r="E229" i="3"/>
  <c r="E257" i="3"/>
  <c r="E258" i="3"/>
  <c r="C303" i="3"/>
  <c r="D303" i="3"/>
  <c r="E303" i="3"/>
  <c r="F303" i="3"/>
  <c r="G303" i="3"/>
  <c r="H303" i="3"/>
  <c r="C304" i="3"/>
  <c r="D304" i="3"/>
  <c r="E304" i="3"/>
  <c r="F304" i="3"/>
  <c r="G304" i="3"/>
  <c r="H304" i="3"/>
  <c r="J304" i="3"/>
  <c r="C208" i="3"/>
  <c r="F307" i="3" s="1"/>
  <c r="D302" i="3" a="1"/>
  <c r="D302" i="3"/>
  <c r="E302" i="3" a="1"/>
  <c r="E302" i="3"/>
  <c r="F302" i="3" a="1"/>
  <c r="F302" i="3"/>
  <c r="G302" i="3" a="1"/>
  <c r="G302" i="3"/>
  <c r="H302" i="3" a="1"/>
  <c r="H302" i="3"/>
  <c r="C302" i="3" a="1"/>
  <c r="C302" i="3"/>
  <c r="C305" i="3"/>
  <c r="D305" i="3"/>
  <c r="E305" i="3"/>
  <c r="F305" i="3"/>
  <c r="G305" i="3"/>
  <c r="H305" i="3"/>
  <c r="J305" i="3"/>
  <c r="C323" i="3"/>
  <c r="N53" i="1"/>
  <c r="AS179" i="3"/>
  <c r="BU179" i="3"/>
  <c r="BU180" i="3" s="1"/>
  <c r="BU181" i="3" s="1"/>
  <c r="DY179" i="3"/>
  <c r="DY180" i="3" s="1"/>
  <c r="DY181" i="3" s="1"/>
  <c r="EA183" i="3" s="1"/>
  <c r="DR179" i="3"/>
  <c r="B125" i="2"/>
  <c r="D130" i="2" s="1"/>
  <c r="BG179" i="3"/>
  <c r="BG180" i="3"/>
  <c r="BG181" i="3" s="1"/>
  <c r="BI183" i="3" s="1"/>
  <c r="AZ179" i="3"/>
  <c r="AZ180" i="3"/>
  <c r="AZ181" i="3" s="1"/>
  <c r="BB182" i="3" s="1"/>
  <c r="CB179" i="3"/>
  <c r="CB180" i="3" s="1"/>
  <c r="CB181" i="3" s="1"/>
  <c r="CI179" i="3"/>
  <c r="CI180" i="3" s="1"/>
  <c r="CI181" i="3" s="1"/>
  <c r="CK184" i="3" s="1"/>
  <c r="AL179" i="3"/>
  <c r="AL180" i="3" s="1"/>
  <c r="AL181" i="3" s="1"/>
  <c r="AN183" i="3" s="1"/>
  <c r="DD179" i="3"/>
  <c r="DD180" i="3" s="1"/>
  <c r="DD181" i="3" s="1"/>
  <c r="CP179" i="3"/>
  <c r="CP180" i="3"/>
  <c r="CP181" i="3" s="1"/>
  <c r="CW179" i="3"/>
  <c r="CW180" i="3" s="1"/>
  <c r="CW181" i="3" s="1"/>
  <c r="J179" i="3"/>
  <c r="J180" i="3"/>
  <c r="J181" i="3" s="1"/>
  <c r="C179" i="3"/>
  <c r="C180" i="3"/>
  <c r="C181" i="3" s="1"/>
  <c r="DK179" i="3"/>
  <c r="DK180" i="3"/>
  <c r="DK181" i="3" s="1"/>
  <c r="DM182" i="3" s="1"/>
  <c r="X179" i="3"/>
  <c r="X180" i="3" s="1"/>
  <c r="X181" i="3" s="1"/>
  <c r="Z182" i="3" s="1"/>
  <c r="C93" i="2" a="1"/>
  <c r="C93" i="2" s="1"/>
  <c r="B114" i="2" s="1"/>
  <c r="B116" i="2" s="1"/>
  <c r="M18" i="1"/>
  <c r="M22" i="1"/>
  <c r="C206" i="3"/>
  <c r="M20" i="1" s="1"/>
  <c r="G51" i="1"/>
  <c r="K51" i="1"/>
  <c r="H51" i="1"/>
  <c r="J51" i="1"/>
  <c r="K52" i="1"/>
  <c r="H52" i="1"/>
  <c r="L51" i="1"/>
  <c r="G52" i="1"/>
  <c r="I51" i="1"/>
  <c r="J52" i="1"/>
  <c r="I52" i="1"/>
  <c r="L52" i="1"/>
  <c r="D128" i="3"/>
  <c r="Q123" i="3"/>
  <c r="Q124" i="3"/>
  <c r="DR123" i="3"/>
  <c r="DR124" i="3"/>
  <c r="AE123" i="3"/>
  <c r="AE124" i="3"/>
  <c r="CP123" i="3"/>
  <c r="CP124" i="3"/>
  <c r="BN123" i="3"/>
  <c r="BN124" i="3"/>
  <c r="AS123" i="3"/>
  <c r="AS124" i="3"/>
  <c r="DD123" i="3"/>
  <c r="DD124" i="3"/>
  <c r="CW123" i="3"/>
  <c r="CW124" i="3"/>
  <c r="X123" i="3"/>
  <c r="X124" i="3"/>
  <c r="AZ123" i="3"/>
  <c r="AZ124" i="3"/>
  <c r="BG123" i="3"/>
  <c r="BG124" i="3"/>
  <c r="BU123" i="3"/>
  <c r="BU124" i="3"/>
  <c r="C123" i="3"/>
  <c r="C124" i="3"/>
  <c r="CI123" i="3"/>
  <c r="CI124" i="3"/>
  <c r="AL123" i="3"/>
  <c r="AL124" i="3"/>
  <c r="DY123" i="3"/>
  <c r="DY124" i="3"/>
  <c r="DK123" i="3"/>
  <c r="DK124" i="3"/>
  <c r="J123" i="3"/>
  <c r="J124" i="3"/>
  <c r="CB123" i="3"/>
  <c r="CB124" i="3"/>
  <c r="EF123" i="3"/>
  <c r="EF124" i="3"/>
  <c r="C318" i="3"/>
  <c r="N48" i="1" s="1"/>
  <c r="C319" i="3"/>
  <c r="N56" i="1" s="1"/>
  <c r="B109" i="2"/>
  <c r="A16" i="7" s="1"/>
  <c r="H261" i="3"/>
  <c r="I261" i="3"/>
  <c r="H262" i="3"/>
  <c r="I262" i="3"/>
  <c r="I263" i="3"/>
  <c r="H263" i="3"/>
  <c r="I260" i="3"/>
  <c r="H260" i="3"/>
  <c r="B119" i="2"/>
  <c r="C92" i="2" a="1"/>
  <c r="C92" i="2" s="1"/>
  <c r="D114" i="2" s="1"/>
  <c r="BN179" i="3" l="1"/>
  <c r="BN180" i="3" s="1"/>
  <c r="BN181" i="3" s="1"/>
  <c r="BP184" i="3" s="1"/>
  <c r="DR180" i="3"/>
  <c r="DR181" i="3" s="1"/>
  <c r="DT183" i="3" s="1"/>
  <c r="Q179" i="3"/>
  <c r="Q180" i="3" s="1"/>
  <c r="Q181" i="3" s="1"/>
  <c r="F309" i="3"/>
  <c r="EF179" i="3"/>
  <c r="EF180" i="3" s="1"/>
  <c r="EF181" i="3" s="1"/>
  <c r="EH182" i="3" s="1"/>
  <c r="AS180" i="3"/>
  <c r="AS181" i="3" s="1"/>
  <c r="AU183" i="3" s="1"/>
  <c r="C309" i="3"/>
  <c r="E308" i="3"/>
  <c r="AE179" i="3"/>
  <c r="AE180" i="3" s="1"/>
  <c r="AE181" i="3" s="1"/>
  <c r="I307" i="3"/>
  <c r="CY183" i="3"/>
  <c r="CY184" i="3"/>
  <c r="CY182" i="3"/>
  <c r="Q171" i="3"/>
  <c r="Q172" i="3" s="1"/>
  <c r="AZ171" i="3"/>
  <c r="AZ172" i="3" s="1"/>
  <c r="CB171" i="3"/>
  <c r="CB172" i="3" s="1"/>
  <c r="DR171" i="3"/>
  <c r="DR172" i="3" s="1"/>
  <c r="T226" i="3" s="1"/>
  <c r="T255" i="3" s="1"/>
  <c r="CI171" i="3"/>
  <c r="CI172" i="3" s="1"/>
  <c r="O226" i="3" s="1"/>
  <c r="O255" i="3" s="1"/>
  <c r="H283" i="3" s="1"/>
  <c r="L49" i="1" s="1"/>
  <c r="DF183" i="3"/>
  <c r="DF184" i="3"/>
  <c r="DF182" i="3"/>
  <c r="DE186" i="3" s="1"/>
  <c r="L183" i="3"/>
  <c r="L184" i="3"/>
  <c r="L182" i="3"/>
  <c r="AG182" i="3"/>
  <c r="D309" i="3"/>
  <c r="C308" i="3"/>
  <c r="I308" i="3"/>
  <c r="H307" i="3"/>
  <c r="D129" i="2"/>
  <c r="I309" i="3"/>
  <c r="H308" i="3"/>
  <c r="E307" i="3"/>
  <c r="B120" i="2"/>
  <c r="B129" i="2" s="1"/>
  <c r="A36" i="7" s="1"/>
  <c r="BB184" i="3"/>
  <c r="AU184" i="3"/>
  <c r="H309" i="3"/>
  <c r="G308" i="3"/>
  <c r="D307" i="3"/>
  <c r="BB183" i="3"/>
  <c r="AU182" i="3"/>
  <c r="G309" i="3"/>
  <c r="F308" i="3"/>
  <c r="C307" i="3"/>
  <c r="E309" i="3"/>
  <c r="D308" i="3"/>
  <c r="E226" i="3"/>
  <c r="E255" i="3" s="1"/>
  <c r="Q173" i="3"/>
  <c r="E225" i="3" s="1"/>
  <c r="E254" i="3" s="1"/>
  <c r="AN184" i="3"/>
  <c r="DT184" i="3"/>
  <c r="DT182" i="3"/>
  <c r="C171" i="3"/>
  <c r="C172" i="3" s="1"/>
  <c r="DM183" i="3"/>
  <c r="DM184" i="3"/>
  <c r="CR183" i="3"/>
  <c r="CR184" i="3"/>
  <c r="CR182" i="3"/>
  <c r="AN182" i="3"/>
  <c r="BW182" i="3"/>
  <c r="BW184" i="3"/>
  <c r="BW183" i="3"/>
  <c r="CD182" i="3"/>
  <c r="CD184" i="3"/>
  <c r="CD183" i="3"/>
  <c r="N226" i="3"/>
  <c r="N255" i="3" s="1"/>
  <c r="G283" i="3" s="1"/>
  <c r="K49" i="1" s="1"/>
  <c r="CB173" i="3"/>
  <c r="N225" i="3" s="1"/>
  <c r="N254" i="3" s="1"/>
  <c r="G282" i="3" s="1"/>
  <c r="K48" i="1" s="1"/>
  <c r="EA184" i="3"/>
  <c r="EA182" i="3"/>
  <c r="E182" i="3"/>
  <c r="E183" i="3"/>
  <c r="E184" i="3"/>
  <c r="BI182" i="3"/>
  <c r="BI184" i="3"/>
  <c r="Z184" i="3"/>
  <c r="CI173" i="3"/>
  <c r="O225" i="3" s="1"/>
  <c r="O254" i="3" s="1"/>
  <c r="H282" i="3" s="1"/>
  <c r="L48" i="1" s="1"/>
  <c r="AE171" i="3"/>
  <c r="AE172" i="3" s="1"/>
  <c r="BP183" i="3"/>
  <c r="BP182" i="3"/>
  <c r="AT186" i="3"/>
  <c r="Z183" i="3"/>
  <c r="CK183" i="3"/>
  <c r="CK182" i="3"/>
  <c r="J171" i="3"/>
  <c r="J172" i="3" s="1"/>
  <c r="BG171" i="3"/>
  <c r="BG172" i="3" s="1"/>
  <c r="X171" i="3"/>
  <c r="X172" i="3" s="1"/>
  <c r="AL171" i="3"/>
  <c r="AL172" i="3" s="1"/>
  <c r="EF171" i="3"/>
  <c r="EF172" i="3" s="1"/>
  <c r="CP171" i="3"/>
  <c r="CP172" i="3" s="1"/>
  <c r="CW171" i="3"/>
  <c r="CW172" i="3" s="1"/>
  <c r="BN171" i="3"/>
  <c r="BN172" i="3" s="1"/>
  <c r="AS171" i="3"/>
  <c r="AS172" i="3" s="1"/>
  <c r="BU171" i="3"/>
  <c r="BU172" i="3" s="1"/>
  <c r="DD171" i="3"/>
  <c r="DD172" i="3" s="1"/>
  <c r="DY171" i="3"/>
  <c r="DY172" i="3" s="1"/>
  <c r="DK171" i="3"/>
  <c r="DK172" i="3" s="1"/>
  <c r="D128" i="2"/>
  <c r="G307" i="3"/>
  <c r="E78" i="2"/>
  <c r="B13" i="7" s="1"/>
  <c r="E81" i="2"/>
  <c r="B15" i="7" s="1"/>
  <c r="B70" i="2"/>
  <c r="B71" i="2" s="1"/>
  <c r="E80" i="2"/>
  <c r="B14" i="7" s="1"/>
  <c r="B115" i="2"/>
  <c r="B127" i="2" s="1"/>
  <c r="A34" i="7" s="1"/>
  <c r="S183" i="3" l="1"/>
  <c r="S182" i="3"/>
  <c r="S184" i="3"/>
  <c r="B130" i="2"/>
  <c r="A37" i="7" s="1"/>
  <c r="EH183" i="3"/>
  <c r="J309" i="3"/>
  <c r="C322" i="3" s="1"/>
  <c r="N52" i="1" s="1"/>
  <c r="EH184" i="3"/>
  <c r="AG184" i="3"/>
  <c r="AG183" i="3"/>
  <c r="J308" i="3"/>
  <c r="C321" i="3" s="1"/>
  <c r="N51" i="1" s="1"/>
  <c r="B128" i="2"/>
  <c r="A35" i="7" s="1"/>
  <c r="AZ173" i="3"/>
  <c r="J225" i="3" s="1"/>
  <c r="J254" i="3" s="1"/>
  <c r="C282" i="3" s="1"/>
  <c r="J226" i="3"/>
  <c r="J255" i="3" s="1"/>
  <c r="C283" i="3" s="1"/>
  <c r="DR173" i="3"/>
  <c r="T225" i="3" s="1"/>
  <c r="T254" i="3" s="1"/>
  <c r="C226" i="3"/>
  <c r="C255" i="3" s="1"/>
  <c r="C173" i="3"/>
  <c r="C225" i="3" s="1"/>
  <c r="C254" i="3" s="1"/>
  <c r="EF173" i="3"/>
  <c r="V225" i="3" s="1"/>
  <c r="V254" i="3" s="1"/>
  <c r="V226" i="3"/>
  <c r="V255" i="3" s="1"/>
  <c r="DY173" i="3"/>
  <c r="U225" i="3" s="1"/>
  <c r="U254" i="3" s="1"/>
  <c r="U226" i="3"/>
  <c r="U255" i="3" s="1"/>
  <c r="H226" i="3"/>
  <c r="H255" i="3" s="1"/>
  <c r="AL173" i="3"/>
  <c r="H225" i="3" s="1"/>
  <c r="H254" i="3" s="1"/>
  <c r="G226" i="3"/>
  <c r="G255" i="3" s="1"/>
  <c r="AE173" i="3"/>
  <c r="G225" i="3" s="1"/>
  <c r="G254" i="3" s="1"/>
  <c r="CP173" i="3"/>
  <c r="P225" i="3" s="1"/>
  <c r="P254" i="3" s="1"/>
  <c r="I282" i="3" s="1"/>
  <c r="M48" i="1" s="1"/>
  <c r="P226" i="3"/>
  <c r="P255" i="3" s="1"/>
  <c r="I283" i="3" s="1"/>
  <c r="M49" i="1" s="1"/>
  <c r="DK173" i="3"/>
  <c r="S225" i="3" s="1"/>
  <c r="S254" i="3" s="1"/>
  <c r="S226" i="3"/>
  <c r="S255" i="3" s="1"/>
  <c r="BU173" i="3"/>
  <c r="M225" i="3" s="1"/>
  <c r="M254" i="3" s="1"/>
  <c r="F282" i="3" s="1"/>
  <c r="J48" i="1" s="1"/>
  <c r="M226" i="3"/>
  <c r="M255" i="3" s="1"/>
  <c r="F283" i="3" s="1"/>
  <c r="J49" i="1" s="1"/>
  <c r="BG173" i="3"/>
  <c r="K225" i="3" s="1"/>
  <c r="K254" i="3" s="1"/>
  <c r="D282" i="3" s="1"/>
  <c r="H48" i="1" s="1"/>
  <c r="K226" i="3"/>
  <c r="K255" i="3" s="1"/>
  <c r="D283" i="3" s="1"/>
  <c r="H49" i="1" s="1"/>
  <c r="Q186" i="3"/>
  <c r="R186" i="3"/>
  <c r="C186" i="3"/>
  <c r="E186" i="3" s="1"/>
  <c r="D186" i="3"/>
  <c r="CQ186" i="3"/>
  <c r="CP186" i="3"/>
  <c r="CR186" i="3" s="1"/>
  <c r="I226" i="3"/>
  <c r="I255" i="3" s="1"/>
  <c r="AS173" i="3"/>
  <c r="I225" i="3" s="1"/>
  <c r="I254" i="3" s="1"/>
  <c r="J173" i="3"/>
  <c r="D225" i="3" s="1"/>
  <c r="D254" i="3" s="1"/>
  <c r="D226" i="3"/>
  <c r="D255" i="3" s="1"/>
  <c r="BO186" i="3"/>
  <c r="BN186" i="3"/>
  <c r="DZ186" i="3"/>
  <c r="DY186" i="3"/>
  <c r="EA186" i="3" s="1"/>
  <c r="BH186" i="3"/>
  <c r="BG186" i="3"/>
  <c r="DR186" i="3"/>
  <c r="DS186" i="3"/>
  <c r="BN173" i="3"/>
  <c r="L225" i="3" s="1"/>
  <c r="L254" i="3" s="1"/>
  <c r="E282" i="3" s="1"/>
  <c r="I48" i="1" s="1"/>
  <c r="L226" i="3"/>
  <c r="L255" i="3" s="1"/>
  <c r="E283" i="3" s="1"/>
  <c r="I49" i="1" s="1"/>
  <c r="CI186" i="3"/>
  <c r="CJ186" i="3"/>
  <c r="CB186" i="3"/>
  <c r="CD186" i="3" s="1"/>
  <c r="CC186" i="3"/>
  <c r="BV186" i="3"/>
  <c r="BU186" i="3"/>
  <c r="BW186" i="3" s="1"/>
  <c r="R226" i="3"/>
  <c r="R255" i="3" s="1"/>
  <c r="DD173" i="3"/>
  <c r="R225" i="3" s="1"/>
  <c r="R254" i="3" s="1"/>
  <c r="F226" i="3"/>
  <c r="F255" i="3" s="1"/>
  <c r="X173" i="3"/>
  <c r="F225" i="3" s="1"/>
  <c r="F254" i="3" s="1"/>
  <c r="CW173" i="3"/>
  <c r="Q225" i="3" s="1"/>
  <c r="Q254" i="3" s="1"/>
  <c r="Q226" i="3"/>
  <c r="Q255" i="3" s="1"/>
  <c r="G69" i="1"/>
  <c r="B48" i="7"/>
  <c r="G49" i="1" l="1"/>
  <c r="C90" i="2" a="1"/>
  <c r="C90" i="2" s="1"/>
  <c r="E90" i="2" s="1"/>
  <c r="C89" i="2" a="1"/>
  <c r="C89" i="2" s="1"/>
  <c r="E89" i="2" s="1"/>
  <c r="G48" i="1"/>
  <c r="CP188" i="3"/>
  <c r="CP187" i="3"/>
  <c r="P231" i="3" s="1"/>
  <c r="P260" i="3" s="1"/>
  <c r="I288" i="3" s="1"/>
  <c r="M54" i="1" s="1"/>
  <c r="CK186" i="3"/>
  <c r="CB188" i="3"/>
  <c r="CB187" i="3"/>
  <c r="N231" i="3" s="1"/>
  <c r="N260" i="3" s="1"/>
  <c r="G288" i="3" s="1"/>
  <c r="K54" i="1" s="1"/>
  <c r="BP186" i="3"/>
  <c r="C187" i="3"/>
  <c r="C231" i="3" s="1"/>
  <c r="C260" i="3" s="1"/>
  <c r="C188" i="3"/>
  <c r="DY188" i="3"/>
  <c r="DY187" i="3"/>
  <c r="U231" i="3" s="1"/>
  <c r="U260" i="3" s="1"/>
  <c r="BU187" i="3"/>
  <c r="M231" i="3" s="1"/>
  <c r="M260" i="3" s="1"/>
  <c r="F288" i="3" s="1"/>
  <c r="J54" i="1" s="1"/>
  <c r="BU188" i="3"/>
  <c r="DT186" i="3"/>
  <c r="S186" i="3"/>
  <c r="BI186" i="3"/>
  <c r="B108" i="2" l="1"/>
  <c r="B16" i="7" s="1"/>
  <c r="DY191" i="3"/>
  <c r="DY192" i="3" s="1"/>
  <c r="U235" i="3" s="1"/>
  <c r="U264" i="3" s="1"/>
  <c r="U232" i="3"/>
  <c r="U261" i="3" s="1"/>
  <c r="DY190" i="3"/>
  <c r="U234" i="3" s="1"/>
  <c r="U263" i="3" s="1"/>
  <c r="DY189" i="3"/>
  <c r="U233" i="3" s="1"/>
  <c r="U262" i="3" s="1"/>
  <c r="BG187" i="3"/>
  <c r="K231" i="3" s="1"/>
  <c r="K260" i="3" s="1"/>
  <c r="D288" i="3" s="1"/>
  <c r="H54" i="1" s="1"/>
  <c r="BG188" i="3"/>
  <c r="BN188" i="3"/>
  <c r="BN187" i="3"/>
  <c r="L231" i="3" s="1"/>
  <c r="L260" i="3" s="1"/>
  <c r="E288" i="3" s="1"/>
  <c r="I54" i="1" s="1"/>
  <c r="CB190" i="3"/>
  <c r="N234" i="3" s="1"/>
  <c r="N263" i="3" s="1"/>
  <c r="G291" i="3" s="1"/>
  <c r="K57" i="1" s="1"/>
  <c r="N232" i="3"/>
  <c r="N261" i="3" s="1"/>
  <c r="G289" i="3" s="1"/>
  <c r="K55" i="1" s="1"/>
  <c r="CB191" i="3"/>
  <c r="CB192" i="3" s="1"/>
  <c r="N235" i="3" s="1"/>
  <c r="N264" i="3" s="1"/>
  <c r="G292" i="3" s="1"/>
  <c r="K58" i="1" s="1"/>
  <c r="CB189" i="3"/>
  <c r="N233" i="3" s="1"/>
  <c r="N262" i="3" s="1"/>
  <c r="G290" i="3" s="1"/>
  <c r="K56" i="1" s="1"/>
  <c r="BU190" i="3"/>
  <c r="M234" i="3" s="1"/>
  <c r="M263" i="3" s="1"/>
  <c r="F291" i="3" s="1"/>
  <c r="J57" i="1" s="1"/>
  <c r="BU191" i="3"/>
  <c r="BU192" i="3" s="1"/>
  <c r="M235" i="3" s="1"/>
  <c r="M264" i="3" s="1"/>
  <c r="F292" i="3" s="1"/>
  <c r="J58" i="1" s="1"/>
  <c r="BU189" i="3"/>
  <c r="M233" i="3" s="1"/>
  <c r="M262" i="3" s="1"/>
  <c r="F290" i="3" s="1"/>
  <c r="J56" i="1" s="1"/>
  <c r="M232" i="3"/>
  <c r="M261" i="3" s="1"/>
  <c r="F289" i="3" s="1"/>
  <c r="J55" i="1" s="1"/>
  <c r="C189" i="3"/>
  <c r="C233" i="3" s="1"/>
  <c r="C262" i="3" s="1"/>
  <c r="C232" i="3"/>
  <c r="C261" i="3" s="1"/>
  <c r="C190" i="3"/>
  <c r="C234" i="3" s="1"/>
  <c r="C263" i="3" s="1"/>
  <c r="C191" i="3"/>
  <c r="C192" i="3" s="1"/>
  <c r="C235" i="3" s="1"/>
  <c r="C264" i="3" s="1"/>
  <c r="Q187" i="3"/>
  <c r="E231" i="3" s="1"/>
  <c r="E260" i="3" s="1"/>
  <c r="Q188" i="3"/>
  <c r="DR187" i="3"/>
  <c r="T231" i="3" s="1"/>
  <c r="T260" i="3" s="1"/>
  <c r="DR188" i="3"/>
  <c r="CI188" i="3"/>
  <c r="CI187" i="3"/>
  <c r="O231" i="3" s="1"/>
  <c r="O260" i="3" s="1"/>
  <c r="H288" i="3" s="1"/>
  <c r="L54" i="1" s="1"/>
  <c r="CP190" i="3"/>
  <c r="P234" i="3" s="1"/>
  <c r="P263" i="3" s="1"/>
  <c r="I291" i="3" s="1"/>
  <c r="M57" i="1" s="1"/>
  <c r="CP189" i="3"/>
  <c r="P233" i="3" s="1"/>
  <c r="P262" i="3" s="1"/>
  <c r="I290" i="3" s="1"/>
  <c r="M56" i="1" s="1"/>
  <c r="CP191" i="3"/>
  <c r="CP192" i="3" s="1"/>
  <c r="P235" i="3" s="1"/>
  <c r="P264" i="3" s="1"/>
  <c r="I292" i="3" s="1"/>
  <c r="M58" i="1" s="1"/>
  <c r="P232" i="3"/>
  <c r="P261" i="3" s="1"/>
  <c r="I289" i="3" s="1"/>
  <c r="M55" i="1" s="1"/>
  <c r="BN189" i="3" l="1"/>
  <c r="L233" i="3" s="1"/>
  <c r="L262" i="3" s="1"/>
  <c r="E290" i="3" s="1"/>
  <c r="I56" i="1" s="1"/>
  <c r="L232" i="3"/>
  <c r="L261" i="3" s="1"/>
  <c r="E289" i="3" s="1"/>
  <c r="I55" i="1" s="1"/>
  <c r="BN191" i="3"/>
  <c r="BN192" i="3" s="1"/>
  <c r="L235" i="3" s="1"/>
  <c r="L264" i="3" s="1"/>
  <c r="E292" i="3" s="1"/>
  <c r="I58" i="1" s="1"/>
  <c r="BN190" i="3"/>
  <c r="L234" i="3" s="1"/>
  <c r="L263" i="3" s="1"/>
  <c r="E291" i="3" s="1"/>
  <c r="I57" i="1" s="1"/>
  <c r="K232" i="3"/>
  <c r="K261" i="3" s="1"/>
  <c r="D289" i="3" s="1"/>
  <c r="H55" i="1" s="1"/>
  <c r="BG189" i="3"/>
  <c r="K233" i="3" s="1"/>
  <c r="K262" i="3" s="1"/>
  <c r="D290" i="3" s="1"/>
  <c r="H56" i="1" s="1"/>
  <c r="BG190" i="3"/>
  <c r="K234" i="3" s="1"/>
  <c r="K263" i="3" s="1"/>
  <c r="D291" i="3" s="1"/>
  <c r="H57" i="1" s="1"/>
  <c r="BG191" i="3"/>
  <c r="BG192" i="3" s="1"/>
  <c r="K235" i="3" s="1"/>
  <c r="K264" i="3" s="1"/>
  <c r="D292" i="3" s="1"/>
  <c r="H58" i="1" s="1"/>
  <c r="Q191" i="3"/>
  <c r="Q192" i="3" s="1"/>
  <c r="E235" i="3" s="1"/>
  <c r="E264" i="3" s="1"/>
  <c r="E232" i="3"/>
  <c r="E261" i="3" s="1"/>
  <c r="Q190" i="3"/>
  <c r="E234" i="3" s="1"/>
  <c r="E263" i="3" s="1"/>
  <c r="Q189" i="3"/>
  <c r="E233" i="3" s="1"/>
  <c r="E262" i="3" s="1"/>
  <c r="O232" i="3"/>
  <c r="O261" i="3" s="1"/>
  <c r="H289" i="3" s="1"/>
  <c r="L55" i="1" s="1"/>
  <c r="CI191" i="3"/>
  <c r="CI192" i="3" s="1"/>
  <c r="O235" i="3" s="1"/>
  <c r="O264" i="3" s="1"/>
  <c r="H292" i="3" s="1"/>
  <c r="L58" i="1" s="1"/>
  <c r="CI189" i="3"/>
  <c r="O233" i="3" s="1"/>
  <c r="O262" i="3" s="1"/>
  <c r="H290" i="3" s="1"/>
  <c r="L56" i="1" s="1"/>
  <c r="CI190" i="3"/>
  <c r="O234" i="3" s="1"/>
  <c r="O263" i="3" s="1"/>
  <c r="H291" i="3" s="1"/>
  <c r="L57" i="1" s="1"/>
  <c r="DR189" i="3"/>
  <c r="T233" i="3" s="1"/>
  <c r="T262" i="3" s="1"/>
  <c r="T232" i="3"/>
  <c r="T261" i="3" s="1"/>
  <c r="DR191" i="3"/>
  <c r="DR192" i="3" s="1"/>
  <c r="T235" i="3" s="1"/>
  <c r="T264" i="3" s="1"/>
  <c r="DR190" i="3"/>
  <c r="T234" i="3" s="1"/>
  <c r="T263" i="3" s="1"/>
  <c r="EF186" i="3" l="1"/>
  <c r="J186" i="3"/>
  <c r="L186" i="3" s="1"/>
  <c r="K186" i="3"/>
  <c r="DD186" i="3"/>
  <c r="DF186" i="3" s="1"/>
  <c r="AZ186" i="3"/>
  <c r="BA186" i="3"/>
  <c r="AM186" i="3"/>
  <c r="DL186" i="3"/>
  <c r="X186" i="3"/>
  <c r="DK186" i="3"/>
  <c r="DM186" i="3" s="1"/>
  <c r="AL186" i="3"/>
  <c r="BB186" i="3" l="1"/>
  <c r="AZ187" i="3" s="1"/>
  <c r="J231" i="3" s="1"/>
  <c r="J260" i="3" s="1"/>
  <c r="C288" i="3" s="1"/>
  <c r="AN186" i="3"/>
  <c r="DD187" i="3"/>
  <c r="R231" i="3" s="1"/>
  <c r="R260" i="3" s="1"/>
  <c r="DD188" i="3"/>
  <c r="AL188" i="3"/>
  <c r="AL187" i="3"/>
  <c r="H231" i="3" s="1"/>
  <c r="DK187" i="3"/>
  <c r="S231" i="3" s="1"/>
  <c r="S260" i="3" s="1"/>
  <c r="DK188" i="3"/>
  <c r="J187" i="3"/>
  <c r="D231" i="3" s="1"/>
  <c r="D260" i="3" s="1"/>
  <c r="J188" i="3"/>
  <c r="AZ188" i="3" l="1"/>
  <c r="S232" i="3"/>
  <c r="S261" i="3" s="1"/>
  <c r="DK189" i="3"/>
  <c r="S233" i="3" s="1"/>
  <c r="S262" i="3" s="1"/>
  <c r="DK191" i="3"/>
  <c r="DK192" i="3" s="1"/>
  <c r="S235" i="3" s="1"/>
  <c r="S264" i="3" s="1"/>
  <c r="DK190" i="3"/>
  <c r="S234" i="3" s="1"/>
  <c r="S263" i="3" s="1"/>
  <c r="C95" i="2" a="1"/>
  <c r="C95" i="2" s="1"/>
  <c r="C135" i="2" s="1"/>
  <c r="B135" i="2" s="1"/>
  <c r="D135" i="2" s="1"/>
  <c r="B27" i="7" s="1"/>
  <c r="G54" i="1"/>
  <c r="AL189" i="3"/>
  <c r="H233" i="3" s="1"/>
  <c r="H232" i="3"/>
  <c r="AL190" i="3"/>
  <c r="H234" i="3" s="1"/>
  <c r="AL191" i="3"/>
  <c r="AL192" i="3" s="1"/>
  <c r="H235" i="3" s="1"/>
  <c r="H264" i="3" s="1"/>
  <c r="D232" i="3"/>
  <c r="D261" i="3" s="1"/>
  <c r="J189" i="3"/>
  <c r="D233" i="3" s="1"/>
  <c r="D262" i="3" s="1"/>
  <c r="J191" i="3"/>
  <c r="J192" i="3" s="1"/>
  <c r="D235" i="3" s="1"/>
  <c r="D264" i="3" s="1"/>
  <c r="J190" i="3"/>
  <c r="D234" i="3" s="1"/>
  <c r="D263" i="3" s="1"/>
  <c r="DD189" i="3"/>
  <c r="R233" i="3" s="1"/>
  <c r="R262" i="3" s="1"/>
  <c r="DD191" i="3"/>
  <c r="DD192" i="3" s="1"/>
  <c r="R235" i="3" s="1"/>
  <c r="R264" i="3" s="1"/>
  <c r="DD190" i="3"/>
  <c r="R234" i="3" s="1"/>
  <c r="R263" i="3" s="1"/>
  <c r="R232" i="3"/>
  <c r="R261" i="3" s="1"/>
  <c r="AZ189" i="3"/>
  <c r="J233" i="3" s="1"/>
  <c r="J262" i="3" s="1"/>
  <c r="C290" i="3" s="1"/>
  <c r="J232" i="3"/>
  <c r="J261" i="3" s="1"/>
  <c r="C289" i="3" s="1"/>
  <c r="AZ191" i="3"/>
  <c r="AZ192" i="3" s="1"/>
  <c r="J235" i="3" s="1"/>
  <c r="J264" i="3" s="1"/>
  <c r="C292" i="3" s="1"/>
  <c r="AZ190" i="3"/>
  <c r="J234" i="3" s="1"/>
  <c r="J263" i="3" s="1"/>
  <c r="C291" i="3" s="1"/>
  <c r="G58" i="1" l="1"/>
  <c r="C99" i="2" a="1"/>
  <c r="C99" i="2" s="1"/>
  <c r="C139" i="2" s="1"/>
  <c r="B139" i="2" s="1"/>
  <c r="D139" i="2" s="1"/>
  <c r="B31" i="7" s="1"/>
  <c r="G56" i="1"/>
  <c r="C97" i="2" a="1"/>
  <c r="C97" i="2" s="1"/>
  <c r="C137" i="2" s="1"/>
  <c r="B137" i="2" s="1"/>
  <c r="D137" i="2" s="1"/>
  <c r="B29" i="7" s="1"/>
  <c r="G55" i="1"/>
  <c r="C96" i="2" a="1"/>
  <c r="C96" i="2" s="1"/>
  <c r="C136" i="2" s="1"/>
  <c r="B136" i="2" s="1"/>
  <c r="D136" i="2" s="1"/>
  <c r="B28" i="7" s="1"/>
  <c r="G57" i="1"/>
  <c r="C98" i="2" a="1"/>
  <c r="C98" i="2" s="1"/>
  <c r="C138" i="2" s="1"/>
  <c r="B138" i="2" s="1"/>
  <c r="B30" i="7" l="1"/>
  <c r="D138" i="2"/>
  <c r="AE186" i="3"/>
  <c r="AG186" i="3" s="1"/>
  <c r="AF186" i="3"/>
  <c r="EG186" i="3"/>
  <c r="AS186" i="3"/>
  <c r="AU186" i="3"/>
  <c r="AS188" i="3" s="1"/>
  <c r="Y186" i="3"/>
  <c r="Z186" i="3"/>
  <c r="X188" i="3"/>
  <c r="X190" i="3" s="1"/>
  <c r="F234" i="3" s="1"/>
  <c r="F263" i="3" s="1"/>
  <c r="X187" i="3"/>
  <c r="F231" i="3" s="1"/>
  <c r="F260" i="3" s="1"/>
  <c r="EH186" i="3"/>
  <c r="EF188" i="3" s="1"/>
  <c r="I232" i="3" l="1"/>
  <c r="AS191" i="3"/>
  <c r="AS192" i="3" s="1"/>
  <c r="I235" i="3" s="1"/>
  <c r="I264" i="3" s="1"/>
  <c r="AS189" i="3"/>
  <c r="I233" i="3" s="1"/>
  <c r="AS190" i="3"/>
  <c r="I234" i="3" s="1"/>
  <c r="V232" i="3"/>
  <c r="V261" i="3" s="1"/>
  <c r="EF189" i="3"/>
  <c r="V233" i="3" s="1"/>
  <c r="V262" i="3" s="1"/>
  <c r="EF190" i="3"/>
  <c r="V234" i="3" s="1"/>
  <c r="V263" i="3" s="1"/>
  <c r="EF191" i="3"/>
  <c r="EF192" i="3" s="1"/>
  <c r="V235" i="3" s="1"/>
  <c r="V264" i="3" s="1"/>
  <c r="AE188" i="3"/>
  <c r="AE187" i="3"/>
  <c r="G231" i="3" s="1"/>
  <c r="G260" i="3" s="1"/>
  <c r="EF187" i="3"/>
  <c r="V231" i="3" s="1"/>
  <c r="V260" i="3" s="1"/>
  <c r="X189" i="3"/>
  <c r="F233" i="3" s="1"/>
  <c r="F262" i="3" s="1"/>
  <c r="AS187" i="3"/>
  <c r="I231" i="3" s="1"/>
  <c r="F232" i="3"/>
  <c r="F261" i="3" s="1"/>
  <c r="X191" i="3"/>
  <c r="X192" i="3" s="1"/>
  <c r="F235" i="3" s="1"/>
  <c r="F264" i="3" s="1"/>
  <c r="AE190" i="3" l="1"/>
  <c r="G234" i="3" s="1"/>
  <c r="G263" i="3" s="1"/>
  <c r="AE191" i="3"/>
  <c r="AE192" i="3" s="1"/>
  <c r="G235" i="3" s="1"/>
  <c r="G264" i="3" s="1"/>
  <c r="AE189" i="3"/>
  <c r="G233" i="3" s="1"/>
  <c r="G262" i="3" s="1"/>
  <c r="G232" i="3"/>
  <c r="G261" i="3" s="1"/>
  <c r="CX186" i="3"/>
  <c r="CW186" i="3"/>
  <c r="CY186" i="3"/>
  <c r="CW187" i="3"/>
  <c r="Q231" i="3"/>
  <c r="Q260" i="3"/>
  <c r="CW188" i="3"/>
  <c r="CW189" i="3"/>
  <c r="Q233" i="3"/>
  <c r="Q262" i="3"/>
  <c r="CW190" i="3"/>
  <c r="Q234" i="3"/>
  <c r="Q263" i="3"/>
  <c r="Q232" i="3"/>
  <c r="Q261" i="3"/>
  <c r="CW191" i="3"/>
  <c r="CW192" i="3"/>
  <c r="Q235" i="3"/>
  <c r="Q264"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<sst xmlns="http://schemas.openxmlformats.org/spreadsheetml/2006/main" count="2431" uniqueCount="692">
  <si>
    <r>
      <t xml:space="preserve">SMARTEMP </t>
    </r>
    <r>
      <rPr>
        <sz val="14"/>
        <color rgb="FFFF9900"/>
        <rFont val="Calibri"/>
        <family val="2"/>
        <scheme val="minor"/>
      </rPr>
      <t>PRODUCT SELECTION CALCULATOR</t>
    </r>
  </si>
  <si>
    <t>Fixed Helical Swirl Diffuser  [HSC-FD DN250/DN355/DN500]</t>
  </si>
  <si>
    <t>Project:</t>
  </si>
  <si>
    <t>&lt;Project Name&gt;</t>
  </si>
  <si>
    <t>Inputs</t>
  </si>
  <si>
    <t>Detailed Selection</t>
  </si>
  <si>
    <t>Maximum Airflow Rate</t>
  </si>
  <si>
    <t>Discharge Direction</t>
  </si>
  <si>
    <t>4 Way (360°)</t>
  </si>
  <si>
    <t>Specific Airflow Rate (heating)</t>
  </si>
  <si>
    <t>L/s/m2</t>
  </si>
  <si>
    <r>
      <t>2 to 10 L/s/m</t>
    </r>
    <r>
      <rPr>
        <vertAlign val="superscript"/>
        <sz val="11"/>
        <color theme="0"/>
        <rFont val="Calibri"/>
        <family val="2"/>
        <scheme val="minor"/>
      </rPr>
      <t xml:space="preserve">2 </t>
    </r>
    <r>
      <rPr>
        <sz val="11"/>
        <color theme="0"/>
        <rFont val="Calibri"/>
        <family val="2"/>
        <scheme val="minor"/>
      </rPr>
      <t>(default 5 L/s/m</t>
    </r>
    <r>
      <rPr>
        <vertAlign val="superscript"/>
        <sz val="11"/>
        <color theme="0"/>
        <rFont val="Calibri"/>
        <family val="2"/>
        <scheme val="minor"/>
      </rPr>
      <t>2</t>
    </r>
    <r>
      <rPr>
        <sz val="11"/>
        <color theme="0"/>
        <rFont val="Calibri"/>
        <family val="2"/>
        <scheme val="minor"/>
      </rPr>
      <t>)</t>
    </r>
  </si>
  <si>
    <t>VAV (turndown to)</t>
  </si>
  <si>
    <r>
      <t xml:space="preserve">%     </t>
    </r>
    <r>
      <rPr>
        <sz val="11"/>
        <color theme="0" tint="-0.34998626667073579"/>
        <rFont val="Calibri"/>
        <family val="2"/>
        <scheme val="minor"/>
      </rPr>
      <t>use 100% for CAV</t>
    </r>
  </si>
  <si>
    <r>
      <t xml:space="preserve">ADPI </t>
    </r>
    <r>
      <rPr>
        <b/>
        <sz val="11"/>
        <color theme="1" tint="0.499984740745262"/>
        <rFont val="Calibri"/>
        <family val="2"/>
      </rPr>
      <t>≥</t>
    </r>
  </si>
  <si>
    <r>
      <t xml:space="preserve">default </t>
    </r>
    <r>
      <rPr>
        <sz val="11"/>
        <color theme="0" tint="-0.499984740745262"/>
        <rFont val="Calibri"/>
        <family val="2"/>
      </rPr>
      <t xml:space="preserve">≥ </t>
    </r>
    <r>
      <rPr>
        <sz val="11"/>
        <color theme="0" tint="-0.499984740745262"/>
        <rFont val="Calibri"/>
        <family val="2"/>
        <scheme val="minor"/>
      </rPr>
      <t>90%</t>
    </r>
  </si>
  <si>
    <t>Maximum Permissible Static Pressure</t>
  </si>
  <si>
    <r>
      <t xml:space="preserve">Pa    </t>
    </r>
    <r>
      <rPr>
        <sz val="11"/>
        <color theme="0" tint="-0.34998626667073579"/>
        <rFont val="Calibri"/>
        <family val="2"/>
        <scheme val="minor"/>
      </rPr>
      <t>default 35 Pa</t>
    </r>
  </si>
  <si>
    <t>Include perforated face</t>
  </si>
  <si>
    <t>Please contact Smartair Diffusion for custom perforations</t>
  </si>
  <si>
    <t>ΔT (cooling)</t>
  </si>
  <si>
    <r>
      <t xml:space="preserve">K      </t>
    </r>
    <r>
      <rPr>
        <sz val="11"/>
        <color theme="0" tint="-0.34998626667073579"/>
        <rFont val="Calibri"/>
        <family val="2"/>
        <scheme val="minor"/>
      </rPr>
      <t>-8 to -16 K (default -12 K)</t>
    </r>
  </si>
  <si>
    <t>Draught Rating &amp; Heating</t>
  </si>
  <si>
    <t>use -8 K for 0 K to -8 K</t>
  </si>
  <si>
    <t>Diffuser Height</t>
  </si>
  <si>
    <r>
      <t xml:space="preserve">m     </t>
    </r>
    <r>
      <rPr>
        <sz val="11"/>
        <color theme="0" tint="-0.34998626667073579"/>
        <rFont val="Calibri"/>
        <family val="2"/>
        <scheme val="minor"/>
      </rPr>
      <t>2 to 5 m</t>
    </r>
  </si>
  <si>
    <t xml:space="preserve"> Average Diffuser Coverage (Rows 50-52)</t>
  </si>
  <si>
    <t>(see 'C' Layout Diagram below)</t>
  </si>
  <si>
    <t>OR</t>
  </si>
  <si>
    <t>Diffuser Neck Size</t>
  </si>
  <si>
    <t>DN355</t>
  </si>
  <si>
    <t>DN250</t>
  </si>
  <si>
    <t>Manual Coverage Distance</t>
  </si>
  <si>
    <t>m</t>
  </si>
  <si>
    <t>(see 'C' in Layout Diagram below)</t>
  </si>
  <si>
    <t>DN500</t>
  </si>
  <si>
    <t>Spigot Sizing</t>
  </si>
  <si>
    <t>Room Temperature (draught rating)</t>
  </si>
  <si>
    <r>
      <t>°</t>
    </r>
    <r>
      <rPr>
        <sz val="8.8000000000000007"/>
        <color theme="1" tint="0.34998626667073579"/>
        <rFont val="Calibri"/>
        <family val="2"/>
      </rPr>
      <t>C</t>
    </r>
  </si>
  <si>
    <t>20 °C to 26 °C (default 23 °C)</t>
  </si>
  <si>
    <t>ASNZ Sizes (DN150; DN200; DN250; DN300; DN350; DN400)</t>
  </si>
  <si>
    <t>Diffuser Location</t>
  </si>
  <si>
    <t>Closed Ceiling</t>
  </si>
  <si>
    <r>
      <t>Freely Suspended (</t>
    </r>
    <r>
      <rPr>
        <b/>
        <sz val="11"/>
        <color theme="1" tint="0.499984740745262"/>
        <rFont val="Calibri"/>
        <family val="2"/>
      </rPr>
      <t>≥ 600 mm below ceiling)</t>
    </r>
  </si>
  <si>
    <t>DIN Sizes (DN160; DN200; DN250; DN315; DN355; DN400)</t>
  </si>
  <si>
    <t>% Low Level Return (heating)</t>
  </si>
  <si>
    <t>0% to 100% (default 0%)</t>
  </si>
  <si>
    <t>Thermal Comfort Guide</t>
  </si>
  <si>
    <r>
      <t xml:space="preserve">ADPI </t>
    </r>
    <r>
      <rPr>
        <sz val="9"/>
        <color theme="1" tint="0.499984740745262"/>
        <rFont val="Calibri"/>
        <family val="2"/>
      </rPr>
      <t xml:space="preserve">≥ </t>
    </r>
    <r>
      <rPr>
        <b/>
        <sz val="9"/>
        <color theme="1" tint="0.499984740745262"/>
        <rFont val="Calibri"/>
        <family val="2"/>
      </rPr>
      <t>95%</t>
    </r>
    <r>
      <rPr>
        <sz val="9"/>
        <color theme="1" tint="0.499984740745262"/>
        <rFont val="Calibri"/>
        <family val="2"/>
      </rPr>
      <t xml:space="preserve">; ṽ ≤ </t>
    </r>
    <r>
      <rPr>
        <b/>
        <sz val="9"/>
        <color theme="1" tint="0.499984740745262"/>
        <rFont val="Calibri"/>
        <family val="2"/>
      </rPr>
      <t>0.20</t>
    </r>
    <r>
      <rPr>
        <sz val="9"/>
        <color theme="1" tint="0.499984740745262"/>
        <rFont val="Calibri"/>
        <family val="2"/>
      </rPr>
      <t xml:space="preserve"> m/s:</t>
    </r>
  </si>
  <si>
    <t>Premium comfort, sedentary activity, such as in auditoria.</t>
  </si>
  <si>
    <r>
      <t xml:space="preserve">ADPI </t>
    </r>
    <r>
      <rPr>
        <sz val="9"/>
        <color theme="1" tint="0.499984740745262"/>
        <rFont val="Calibri"/>
        <family val="2"/>
      </rPr>
      <t xml:space="preserve">≥ </t>
    </r>
    <r>
      <rPr>
        <b/>
        <sz val="9"/>
        <color theme="1" tint="0.499984740745262"/>
        <rFont val="Calibri"/>
        <family val="2"/>
      </rPr>
      <t>90%</t>
    </r>
    <r>
      <rPr>
        <sz val="9"/>
        <color theme="1" tint="0.499984740745262"/>
        <rFont val="Calibri"/>
        <family val="2"/>
      </rPr>
      <t xml:space="preserve">; ṽ ≤ </t>
    </r>
    <r>
      <rPr>
        <b/>
        <sz val="9"/>
        <color theme="1" tint="0.499984740745262"/>
        <rFont val="Calibri"/>
        <family val="2"/>
      </rPr>
      <t>0.25</t>
    </r>
    <r>
      <rPr>
        <sz val="9"/>
        <color theme="1" tint="0.499984740745262"/>
        <rFont val="Calibri"/>
        <family val="2"/>
      </rPr>
      <t xml:space="preserve"> m/s:</t>
    </r>
  </si>
  <si>
    <t>High comfort near-sedentary activity, such as in board rooms, high end offices and libraries.</t>
  </si>
  <si>
    <r>
      <t xml:space="preserve">ADPI </t>
    </r>
    <r>
      <rPr>
        <sz val="9"/>
        <color theme="1" tint="0.499984740745262"/>
        <rFont val="Calibri"/>
        <family val="2"/>
      </rPr>
      <t xml:space="preserve">≥ </t>
    </r>
    <r>
      <rPr>
        <b/>
        <sz val="9"/>
        <color theme="1" tint="0.499984740745262"/>
        <rFont val="Calibri"/>
        <family val="2"/>
      </rPr>
      <t>80%</t>
    </r>
    <r>
      <rPr>
        <sz val="9"/>
        <color theme="1" tint="0.499984740745262"/>
        <rFont val="Calibri"/>
        <family val="2"/>
      </rPr>
      <t xml:space="preserve">; ṽ ≤ </t>
    </r>
    <r>
      <rPr>
        <b/>
        <sz val="9"/>
        <color theme="1" tint="0.499984740745262"/>
        <rFont val="Calibri"/>
        <family val="2"/>
      </rPr>
      <t>0.29</t>
    </r>
    <r>
      <rPr>
        <sz val="9"/>
        <color theme="1" tint="0.499984740745262"/>
        <rFont val="Calibri"/>
        <family val="2"/>
      </rPr>
      <t xml:space="preserve"> m/s:</t>
    </r>
  </si>
  <si>
    <t>Good comfort near sedentary activity, such as open-plan offices and meeting rooms.</t>
  </si>
  <si>
    <r>
      <t xml:space="preserve">ADPI </t>
    </r>
    <r>
      <rPr>
        <sz val="9"/>
        <color theme="1" tint="0.499984740745262"/>
        <rFont val="Calibri"/>
        <family val="2"/>
      </rPr>
      <t xml:space="preserve">≥ </t>
    </r>
    <r>
      <rPr>
        <b/>
        <sz val="9"/>
        <color theme="1" tint="0.499984740745262"/>
        <rFont val="Calibri"/>
        <family val="2"/>
      </rPr>
      <t>70%</t>
    </r>
    <r>
      <rPr>
        <sz val="9"/>
        <color theme="1" tint="0.499984740745262"/>
        <rFont val="Calibri"/>
        <family val="2"/>
      </rPr>
      <t xml:space="preserve">; ṽ ≤ </t>
    </r>
    <r>
      <rPr>
        <b/>
        <sz val="9"/>
        <color theme="1" tint="0.499984740745262"/>
        <rFont val="Calibri"/>
        <family val="2"/>
      </rPr>
      <t>0.33</t>
    </r>
    <r>
      <rPr>
        <sz val="9"/>
        <color theme="1" tint="0.499984740745262"/>
        <rFont val="Calibri"/>
        <family val="2"/>
      </rPr>
      <t xml:space="preserve"> m/s:</t>
    </r>
  </si>
  <si>
    <t>Standard comfort medium activity, such as in transient spaces, retail and lobbies.</t>
  </si>
  <si>
    <t xml:space="preserve">Key: </t>
  </si>
  <si>
    <t>Suitable</t>
  </si>
  <si>
    <t>Not Suitable</t>
  </si>
  <si>
    <t>Warning</t>
  </si>
  <si>
    <t>Airflow</t>
  </si>
  <si>
    <t>Selected Airflow</t>
  </si>
  <si>
    <t>Airflow @ Selected Pressure</t>
  </si>
  <si>
    <t>Selected Min Airflow (Turndown To)</t>
  </si>
  <si>
    <t>Min Permissible Airflow</t>
  </si>
  <si>
    <t>Selected Turndown to %</t>
  </si>
  <si>
    <t>Min Permissible % Turndown to</t>
  </si>
  <si>
    <t>`</t>
  </si>
  <si>
    <t>Pressure*</t>
  </si>
  <si>
    <t>Static Pressure @ 100% Airflow</t>
  </si>
  <si>
    <t>[Pa]</t>
  </si>
  <si>
    <t>Total Pressure @ 100% Airflow</t>
  </si>
  <si>
    <t>Max Selected Static Pressure</t>
  </si>
  <si>
    <t>Sound Power Level</t>
  </si>
  <si>
    <t>[dB(A)]</t>
  </si>
  <si>
    <t>Sound Pressure Level</t>
  </si>
  <si>
    <t>[NC]</t>
  </si>
  <si>
    <t>Heating</t>
  </si>
  <si>
    <t>Max Recommended Heating ΔT (Centre Zone)</t>
  </si>
  <si>
    <t>[K]</t>
  </si>
  <si>
    <t>Max Recommended Heating ΔT (Perimeter)</t>
  </si>
  <si>
    <t>Distances 
&amp; 
Layout</t>
  </si>
  <si>
    <t>Max Coverage 'Cmax' (for Centre Zones)</t>
  </si>
  <si>
    <t>[m]</t>
  </si>
  <si>
    <t>Max Coverage 'Cmax' (for Perimeter Zones)</t>
  </si>
  <si>
    <t>Min Coverage 'Cmin'</t>
  </si>
  <si>
    <t>Min Recommended Diffuser Height</t>
  </si>
  <si>
    <t>Comfort</t>
  </si>
  <si>
    <t>Mean Room Air Velocity</t>
  </si>
  <si>
    <t>[m/s]</t>
  </si>
  <si>
    <t>Mean Draught Rating</t>
  </si>
  <si>
    <t>DR</t>
  </si>
  <si>
    <t>Mean PPD</t>
  </si>
  <si>
    <t>Satisfies PPD Category</t>
  </si>
  <si>
    <t>ISO7733</t>
  </si>
  <si>
    <t>"</t>
  </si>
  <si>
    <t>|PMV|</t>
  </si>
  <si>
    <t>ISO7730; ASHRAE Std 55</t>
  </si>
  <si>
    <t>Plenum Box</t>
  </si>
  <si>
    <t>Standard Plenum Box Spigot Dia.</t>
  </si>
  <si>
    <t>[mm]</t>
  </si>
  <si>
    <t>See 'Plenum Box Details' worksheet for spigot and plenum box details and other sizes</t>
  </si>
  <si>
    <t>Product Selection &amp; Code Generator</t>
  </si>
  <si>
    <t>Select reducer to create order code</t>
  </si>
  <si>
    <t>* indicates standard/default option</t>
  </si>
  <si>
    <t>Face Shape</t>
  </si>
  <si>
    <t>selected in cell M9</t>
  </si>
  <si>
    <t>- see cell M9</t>
  </si>
  <si>
    <t>Perforated face</t>
  </si>
  <si>
    <t xml:space="preserve"> Perforated plate (cell L13)</t>
  </si>
  <si>
    <t>- see cell L13</t>
  </si>
  <si>
    <t>Colour</t>
  </si>
  <si>
    <t>RAL9003* (signal white)</t>
  </si>
  <si>
    <t>RAL9005 (jet black)</t>
  </si>
  <si>
    <t>other</t>
  </si>
  <si>
    <t>powder coated</t>
  </si>
  <si>
    <t>Connection Box</t>
  </si>
  <si>
    <t>No Connection Box *</t>
  </si>
  <si>
    <t>Insulated box with magnetic fastener &amp; cap</t>
  </si>
  <si>
    <t>Insulated box with threaded rod fastener and cap</t>
  </si>
  <si>
    <t>Order Code</t>
  </si>
  <si>
    <t>- more detailed options available in the HSC-FD product brochure</t>
  </si>
  <si>
    <t>click to see product on smartair.asia</t>
  </si>
  <si>
    <t>Copyright © 2020 SMARTAIR DIFFUSION</t>
  </si>
  <si>
    <t>Units</t>
  </si>
  <si>
    <t>Unit Type</t>
  </si>
  <si>
    <t>Unit Multiplier</t>
  </si>
  <si>
    <t>Airflow Rate</t>
  </si>
  <si>
    <t>Converted Flowrate</t>
  </si>
  <si>
    <t>Input Values</t>
  </si>
  <si>
    <t>Neck Size</t>
  </si>
  <si>
    <t>mm</t>
  </si>
  <si>
    <t>Max Airflow</t>
  </si>
  <si>
    <t xml:space="preserve">Airflow Rate - Converted </t>
  </si>
  <si>
    <t>L/s</t>
  </si>
  <si>
    <t>Max Recommended Airflow (L/s)</t>
  </si>
  <si>
    <t>VAV</t>
  </si>
  <si>
    <t>%</t>
  </si>
  <si>
    <t>Min Airflow (L/s)</t>
  </si>
  <si>
    <t>Max Static Pressure</t>
  </si>
  <si>
    <t>Pa</t>
  </si>
  <si>
    <t>Min P Airflow</t>
  </si>
  <si>
    <t>dT (cooling)</t>
  </si>
  <si>
    <t>K</t>
  </si>
  <si>
    <t>Min % Airflow</t>
  </si>
  <si>
    <t>Room Height</t>
  </si>
  <si>
    <t>Min Permissible % TD to</t>
  </si>
  <si>
    <t>Max Total Pressure (Pa)</t>
  </si>
  <si>
    <t>Spec Airflow Rate</t>
  </si>
  <si>
    <t>ADPI</t>
  </si>
  <si>
    <t>Sound Power Level (dBA)</t>
  </si>
  <si>
    <t>perforated plate</t>
  </si>
  <si>
    <t>Sound Pressure Level (NC)</t>
  </si>
  <si>
    <t>Low level return</t>
  </si>
  <si>
    <t>Max Permissible ΔT (heating) (K)</t>
  </si>
  <si>
    <t>freely suspended</t>
  </si>
  <si>
    <t>Room Temp</t>
  </si>
  <si>
    <t>C</t>
  </si>
  <si>
    <t>Diffuser dist setting</t>
  </si>
  <si>
    <t>manual diffuser dist</t>
  </si>
  <si>
    <t>H_min (m)</t>
  </si>
  <si>
    <t>C_min (m)</t>
  </si>
  <si>
    <t>Input Pre Calcs</t>
  </si>
  <si>
    <t>C_max (m)</t>
  </si>
  <si>
    <t>Airflow Rate -4w equ</t>
  </si>
  <si>
    <t>afr = afr *(4/discharge direction)</t>
  </si>
  <si>
    <t xml:space="preserve">dT (cooling) </t>
  </si>
  <si>
    <t>for @ velocity use '-8' for values 0  and -8 K</t>
  </si>
  <si>
    <t>Spec Airflow Rate for heating</t>
  </si>
  <si>
    <t>Local Velocity</t>
  </si>
  <si>
    <t>Perf-plate pressure</t>
  </si>
  <si>
    <t>Perf Plate Vmin</t>
  </si>
  <si>
    <t>Perf-plate noise</t>
  </si>
  <si>
    <t>V_turndown</t>
  </si>
  <si>
    <t>v_td=afr*vav</t>
  </si>
  <si>
    <t>V_turndown - 4 way equiv</t>
  </si>
  <si>
    <t>Low Level Return</t>
  </si>
  <si>
    <t>free susp</t>
  </si>
  <si>
    <t>Free Susp (heat)</t>
  </si>
  <si>
    <t>Free Susp (Hmin)</t>
  </si>
  <si>
    <t>Free susp (Cmin)</t>
  </si>
  <si>
    <t>Free Susp (Cmax)</t>
  </si>
  <si>
    <t>2-Way 180 deg</t>
  </si>
  <si>
    <t>Cmin Table</t>
  </si>
  <si>
    <t>Target Q''</t>
  </si>
  <si>
    <t>H</t>
  </si>
  <si>
    <t>ax</t>
  </si>
  <si>
    <t>^b</t>
  </si>
  <si>
    <t>Q''</t>
  </si>
  <si>
    <t>Ax</t>
  </si>
  <si>
    <t>W/m2</t>
  </si>
  <si>
    <t>v'</t>
  </si>
  <si>
    <t>v' &amp; Vmax</t>
  </si>
  <si>
    <t>v' &amp; Vmin</t>
  </si>
  <si>
    <t>v'' +correction factor</t>
  </si>
  <si>
    <t>Cmax Table</t>
  </si>
  <si>
    <t>adpi</t>
  </si>
  <si>
    <t>v' @Vmax</t>
  </si>
  <si>
    <t>v' @ Vmin</t>
  </si>
  <si>
    <t>Hfactor @ Vmax</t>
  </si>
  <si>
    <t>Hfactor @ Vmin</t>
  </si>
  <si>
    <t>at ADPI</t>
  </si>
  <si>
    <t>factor * room height</t>
  </si>
  <si>
    <t>Cmax-Centre Zone Table</t>
  </si>
  <si>
    <t>COVERAGE AND RADIUS - multipliers (discharge patttern)</t>
  </si>
  <si>
    <t>R multiplier</t>
  </si>
  <si>
    <t>Area multiplier</t>
  </si>
  <si>
    <t>A= M*R^2</t>
  </si>
  <si>
    <t>R to Coverage Conversion</t>
  </si>
  <si>
    <t>Area multiplier from C</t>
  </si>
  <si>
    <t>A= M * C^2</t>
  </si>
  <si>
    <t>250 Reducer 0</t>
  </si>
  <si>
    <t>250 Reducer 1</t>
  </si>
  <si>
    <t>250 Reducer 2</t>
  </si>
  <si>
    <t>250 Reducer 3</t>
  </si>
  <si>
    <t>250 Reducer 4</t>
  </si>
  <si>
    <t>250 Reducer 5</t>
  </si>
  <si>
    <t>250 Reducer 6</t>
  </si>
  <si>
    <t>Reducer 0</t>
  </si>
  <si>
    <t>Reducer 1</t>
  </si>
  <si>
    <t>Reducer 2</t>
  </si>
  <si>
    <t>Reducer 3</t>
  </si>
  <si>
    <t>Reducer 4</t>
  </si>
  <si>
    <t>Reducer 5</t>
  </si>
  <si>
    <t>Reducer 6</t>
  </si>
  <si>
    <t xml:space="preserve">data.Flowrate </t>
  </si>
  <si>
    <t>P Static</t>
  </si>
  <si>
    <t>Vmin</t>
  </si>
  <si>
    <t>P static</t>
  </si>
  <si>
    <t>data.If.Perforated</t>
  </si>
  <si>
    <t>data.Perforated</t>
  </si>
  <si>
    <t>Static Pressure</t>
  </si>
  <si>
    <t>Total Pressure @ Flowrate</t>
  </si>
  <si>
    <t>Flowrate @ MaxP</t>
  </si>
  <si>
    <t>V_min</t>
  </si>
  <si>
    <t>Min % turndown to</t>
  </si>
  <si>
    <t>SWL</t>
  </si>
  <si>
    <t>SPL</t>
  </si>
  <si>
    <t>Hmin</t>
  </si>
  <si>
    <t>Factor</t>
  </si>
  <si>
    <t>H_min_90</t>
  </si>
  <si>
    <t>H_min</t>
  </si>
  <si>
    <t>Distance Selection</t>
  </si>
  <si>
    <t>Vmax</t>
  </si>
  <si>
    <t>Cmin</t>
  </si>
  <si>
    <t>v' @ V</t>
  </si>
  <si>
    <t>C_min</t>
  </si>
  <si>
    <t>Min Coverage</t>
  </si>
  <si>
    <t>R min</t>
  </si>
  <si>
    <t>v'@ V</t>
  </si>
  <si>
    <t>Coverage Min</t>
  </si>
  <si>
    <t>Cmax</t>
  </si>
  <si>
    <t>Perimeter Zone</t>
  </si>
  <si>
    <t>H Factor</t>
  </si>
  <si>
    <t>C_max!=2.7</t>
  </si>
  <si>
    <t>C_max!=2.8</t>
  </si>
  <si>
    <t>C_max!=2.9</t>
  </si>
  <si>
    <t>C_max!=2.10</t>
  </si>
  <si>
    <t>C_max!=2.11</t>
  </si>
  <si>
    <t>C_max!=2.12</t>
  </si>
  <si>
    <t>C_max!=2.13</t>
  </si>
  <si>
    <t>C_max&lt;=2.8</t>
  </si>
  <si>
    <t>C_max&lt;=2.9</t>
  </si>
  <si>
    <t>C_max&lt;=2.10</t>
  </si>
  <si>
    <t>C_max&lt;=2.11</t>
  </si>
  <si>
    <t>C_max&lt;=2.12</t>
  </si>
  <si>
    <t>C_max&lt;=2.13</t>
  </si>
  <si>
    <t>C_max&lt;=2.14</t>
  </si>
  <si>
    <t>C_max&lt;=2.15</t>
  </si>
  <si>
    <t>C_max&lt;=2.16</t>
  </si>
  <si>
    <t>C_max&lt;=2.17</t>
  </si>
  <si>
    <t>C_max&lt;=2.18</t>
  </si>
  <si>
    <t>C_max&lt;=2.19</t>
  </si>
  <si>
    <t>C_max&lt;=2.20</t>
  </si>
  <si>
    <t>C_max_roomheight</t>
  </si>
  <si>
    <t>C_max</t>
  </si>
  <si>
    <t>final selection</t>
  </si>
  <si>
    <t>Coverage max - Perimeter Zone</t>
  </si>
  <si>
    <t>R max - Perimeter Zone</t>
  </si>
  <si>
    <t>v' based on ratios therefore based on 4-way equivalent</t>
  </si>
  <si>
    <t>R max != 2.7</t>
  </si>
  <si>
    <t>R max != 2.8</t>
  </si>
  <si>
    <t>R max != 2.9</t>
  </si>
  <si>
    <t>R max != 2.10</t>
  </si>
  <si>
    <t>R max != 2.11</t>
  </si>
  <si>
    <t>R max != 2.12</t>
  </si>
  <si>
    <t>R max != 2.13</t>
  </si>
  <si>
    <t>R max != 2.14</t>
  </si>
  <si>
    <t>R max != 2.15</t>
  </si>
  <si>
    <t>R max != 2.16</t>
  </si>
  <si>
    <t>R max != 2.17</t>
  </si>
  <si>
    <t>R max != 2.18</t>
  </si>
  <si>
    <t>R max != 2.19</t>
  </si>
  <si>
    <t>R max != 2.20</t>
  </si>
  <si>
    <t>R max != 2.21</t>
  </si>
  <si>
    <t>R max != 2.22</t>
  </si>
  <si>
    <t>R max != 2.23</t>
  </si>
  <si>
    <t>R max != 2.24</t>
  </si>
  <si>
    <t>R max != 2.25</t>
  </si>
  <si>
    <t>R max != 2.26</t>
  </si>
  <si>
    <t>R_max_roomheight</t>
  </si>
  <si>
    <t>R_max</t>
  </si>
  <si>
    <t>Coverage max</t>
  </si>
  <si>
    <t>Centre Zone</t>
  </si>
  <si>
    <t>C_max!=2.14</t>
  </si>
  <si>
    <t>C_max!=2.15</t>
  </si>
  <si>
    <t>C_max!=2.16</t>
  </si>
  <si>
    <t>C_max!=2.17</t>
  </si>
  <si>
    <t>C_max!=2.18</t>
  </si>
  <si>
    <t>C_max!=2.19</t>
  </si>
  <si>
    <t>C_max!=2.20</t>
  </si>
  <si>
    <t>C_max!=2.21</t>
  </si>
  <si>
    <t>C_max!=2.22</t>
  </si>
  <si>
    <t>C_max!=2.23</t>
  </si>
  <si>
    <t>C_max!=2.24</t>
  </si>
  <si>
    <t>C_max!=2.25</t>
  </si>
  <si>
    <t>C_max!=2.26</t>
  </si>
  <si>
    <t>Coverage max - Centre Zone</t>
  </si>
  <si>
    <t>R max - Centre Zone</t>
  </si>
  <si>
    <t>H factor</t>
  </si>
  <si>
    <t>R_max!=2.7</t>
  </si>
  <si>
    <t>R_max!=2.8</t>
  </si>
  <si>
    <t>R_max!=2.9</t>
  </si>
  <si>
    <t>R_max!=2.10</t>
  </si>
  <si>
    <t>R_max!=2.11</t>
  </si>
  <si>
    <t>R_max!=2.12</t>
  </si>
  <si>
    <t>R_max!=2.13</t>
  </si>
  <si>
    <t>R_max!=2.14</t>
  </si>
  <si>
    <t>R_max!=2.15</t>
  </si>
  <si>
    <t>R_max!=2.16</t>
  </si>
  <si>
    <t>R_max!=2.17</t>
  </si>
  <si>
    <t>R_max!=2.18</t>
  </si>
  <si>
    <t>R_max!=2.19</t>
  </si>
  <si>
    <t>R_max!=2.20</t>
  </si>
  <si>
    <t>R_max!=2.21</t>
  </si>
  <si>
    <t>R_max!=2.22</t>
  </si>
  <si>
    <t>R_max!=2.23</t>
  </si>
  <si>
    <t>R_max!=2.24</t>
  </si>
  <si>
    <t>R_max!=2.25</t>
  </si>
  <si>
    <t>R_max!=2.26</t>
  </si>
  <si>
    <t>heatingX</t>
  </si>
  <si>
    <t>heatingSlope</t>
  </si>
  <si>
    <t>heatingY</t>
  </si>
  <si>
    <t>dT_10L/s</t>
  </si>
  <si>
    <t>specVfactor</t>
  </si>
  <si>
    <t>dT_heating</t>
  </si>
  <si>
    <t>dT_heating Centre</t>
  </si>
  <si>
    <t>velocity adjustment</t>
  </si>
  <si>
    <t>v'' correction factor</t>
  </si>
  <si>
    <t>Note: density of air ignored to compensate for mean velocity from max velocity</t>
  </si>
  <si>
    <t>v'' (adjusted)</t>
  </si>
  <si>
    <t>Q'' (adjusted)</t>
  </si>
  <si>
    <t>Room height</t>
  </si>
  <si>
    <t>m/s</t>
  </si>
  <si>
    <t>Velocity</t>
  </si>
  <si>
    <t>Draught Rating</t>
  </si>
  <si>
    <t>PPD</t>
  </si>
  <si>
    <t>PPD class</t>
  </si>
  <si>
    <t>PMV</t>
  </si>
  <si>
    <t xml:space="preserve">PMV </t>
  </si>
  <si>
    <t>Global Distances</t>
  </si>
  <si>
    <t>Gray Column</t>
  </si>
  <si>
    <t>Total Avg</t>
  </si>
  <si>
    <t>Case 1 Avg v''</t>
  </si>
  <si>
    <t>Case 2 v''</t>
  </si>
  <si>
    <t>Specified Specific Flowrate</t>
  </si>
  <si>
    <t>V''</t>
  </si>
  <si>
    <t>v" unit converted for display</t>
  </si>
  <si>
    <t>V'' for heating</t>
  </si>
  <si>
    <t>C Selected</t>
  </si>
  <si>
    <t>max spec fr</t>
  </si>
  <si>
    <t>Collated Results</t>
  </si>
  <si>
    <t>DN500 Empty</t>
  </si>
  <si>
    <t xml:space="preserve">Max Recommended Airflow </t>
  </si>
  <si>
    <t>Min Airflow</t>
  </si>
  <si>
    <t>Min % TD to</t>
  </si>
  <si>
    <t>Total Pressure</t>
  </si>
  <si>
    <t>Max Permissible P</t>
  </si>
  <si>
    <t>ΔT_max centre</t>
  </si>
  <si>
    <t>ΔT_max (heating)</t>
  </si>
  <si>
    <t>Cmax (centre)</t>
  </si>
  <si>
    <t>Cmax (perimeter)</t>
  </si>
  <si>
    <t>air velocity</t>
  </si>
  <si>
    <t>Draft Rating</t>
  </si>
  <si>
    <t>Spigot D</t>
  </si>
  <si>
    <t>Syntax Format</t>
  </si>
  <si>
    <t>DN250-R0</t>
  </si>
  <si>
    <t>DN250-R1</t>
  </si>
  <si>
    <t>DN250-R2</t>
  </si>
  <si>
    <t>DN250-R3</t>
  </si>
  <si>
    <t>DN250-R4</t>
  </si>
  <si>
    <t>DN250-R5</t>
  </si>
  <si>
    <t>DN250-R6</t>
  </si>
  <si>
    <t>DN355-R0</t>
  </si>
  <si>
    <t>DN355-R1</t>
  </si>
  <si>
    <t>DN355-R2</t>
  </si>
  <si>
    <t>DN355-R3</t>
  </si>
  <si>
    <t>DN355-R4</t>
  </si>
  <si>
    <t>DN355-R5</t>
  </si>
  <si>
    <t>DN355-R6</t>
  </si>
  <si>
    <t>DN500-R0</t>
  </si>
  <si>
    <t>DN500-R1</t>
  </si>
  <si>
    <t>DN500-R2</t>
  </si>
  <si>
    <t>DN500-R3</t>
  </si>
  <si>
    <t>DN500-R4</t>
  </si>
  <si>
    <t>DN500-R5</t>
  </si>
  <si>
    <t>ΔT_max (heating) perimeter</t>
  </si>
  <si>
    <t>Final Result Size Selection</t>
  </si>
  <si>
    <t xml:space="preserve">Max Permissible Airflow </t>
  </si>
  <si>
    <t xml:space="preserve">Min Permissible Airflow </t>
  </si>
  <si>
    <t>Min % Turndown to</t>
  </si>
  <si>
    <t>Static Pressure @ 100% Airflow [Pa]</t>
  </si>
  <si>
    <t>Total Pressure @ 100% Airflow [Pa]</t>
  </si>
  <si>
    <t>Max Permissible Total Pressure [Pa]</t>
  </si>
  <si>
    <t>Sound Power Level [dB(A)]</t>
  </si>
  <si>
    <t>Sound Pressure Level [NC]</t>
  </si>
  <si>
    <t xml:space="preserve">Max ΔT (heating) - Centre Zone [K] </t>
  </si>
  <si>
    <t xml:space="preserve">Max ΔT (heating) - Perimeter [K] </t>
  </si>
  <si>
    <t>Max Centreline Distance [m] (centre)</t>
  </si>
  <si>
    <t>Max Centreline Distance Perimeter [m]</t>
  </si>
  <si>
    <t>Min Centreline Distance [m]</t>
  </si>
  <si>
    <t>Min Permissible Diffuser Height [m]</t>
  </si>
  <si>
    <t>Mean Room Air Velocity [m/s]</t>
  </si>
  <si>
    <t>Mean Draught Rating (DR)</t>
  </si>
  <si>
    <t>Satisfies PPD Category (ISO7730)</t>
  </si>
  <si>
    <t>Low profile spigot</t>
  </si>
  <si>
    <t>Shading Rules</t>
  </si>
  <si>
    <t>High Pressure/Flow</t>
  </si>
  <si>
    <t>true=red</t>
  </si>
  <si>
    <t>Min Flow</t>
  </si>
  <si>
    <t>true = red</t>
  </si>
  <si>
    <t>max pressure/ min flow rejection</t>
  </si>
  <si>
    <t>true = gray</t>
  </si>
  <si>
    <t>Shading</t>
  </si>
  <si>
    <t>ALL SHADED</t>
  </si>
  <si>
    <t>Spigot</t>
  </si>
  <si>
    <t>Selection</t>
  </si>
  <si>
    <t>DIN</t>
  </si>
  <si>
    <t>Max</t>
  </si>
  <si>
    <t>selection</t>
  </si>
  <si>
    <t>Area</t>
  </si>
  <si>
    <t>Spigot V</t>
  </si>
  <si>
    <t>Pd</t>
  </si>
  <si>
    <t>R₁</t>
  </si>
  <si>
    <t>F</t>
  </si>
  <si>
    <t>DN150</t>
  </si>
  <si>
    <t>DN200</t>
  </si>
  <si>
    <t>DN300</t>
  </si>
  <si>
    <t>DN350</t>
  </si>
  <si>
    <t>DN400</t>
  </si>
  <si>
    <t>DN400 ovalised</t>
  </si>
  <si>
    <t>DN160</t>
  </si>
  <si>
    <t>DN315</t>
  </si>
  <si>
    <t>DN315 ovalised</t>
  </si>
  <si>
    <t>DN355 ovalised</t>
  </si>
  <si>
    <t>AUNZ/DIN</t>
  </si>
  <si>
    <t>Standard</t>
  </si>
  <si>
    <t>Low Profile</t>
  </si>
  <si>
    <t>DN450</t>
  </si>
  <si>
    <t>N/A</t>
  </si>
  <si>
    <t>Spigot Chosen Std</t>
  </si>
  <si>
    <t>Spigot Chosen Low</t>
  </si>
  <si>
    <t>Fixed Helical Swirl Diffuser  [HSC-FD DN250/DN355/DN500] Notes</t>
  </si>
  <si>
    <t>Recommended Plenum Box Details</t>
  </si>
  <si>
    <t>ASNZ nominal sizes</t>
  </si>
  <si>
    <r>
      <t xml:space="preserve">Standard Plenum Box - </t>
    </r>
    <r>
      <rPr>
        <sz val="11"/>
        <color theme="1"/>
        <rFont val="Calibri"/>
        <family val="2"/>
        <scheme val="minor"/>
      </rPr>
      <t>Round &amp; Ovalised Spigot</t>
    </r>
  </si>
  <si>
    <r>
      <t xml:space="preserve">250 mm Low Profile Plenum Box - </t>
    </r>
    <r>
      <rPr>
        <sz val="11"/>
        <color theme="1"/>
        <rFont val="Calibri"/>
        <family val="2"/>
        <scheme val="minor"/>
      </rPr>
      <t>Ultra Ovalised Spigot</t>
    </r>
  </si>
  <si>
    <t>Spigot Diameter</t>
  </si>
  <si>
    <t>Spigot Height</t>
  </si>
  <si>
    <t>Spigot End Radius</t>
  </si>
  <si>
    <t>Spigot Width</t>
  </si>
  <si>
    <r>
      <t>Spigot Area (m</t>
    </r>
    <r>
      <rPr>
        <vertAlign val="superscript"/>
        <sz val="12"/>
        <color theme="1"/>
        <rFont val="Calibri"/>
        <family val="2"/>
        <scheme val="minor"/>
      </rPr>
      <t>2</t>
    </r>
    <r>
      <rPr>
        <sz val="12"/>
        <color theme="1"/>
        <rFont val="Calibri"/>
        <family val="2"/>
        <scheme val="minor"/>
      </rPr>
      <t>)</t>
    </r>
  </si>
  <si>
    <r>
      <t>H</t>
    </r>
    <r>
      <rPr>
        <b/>
        <vertAlign val="subscript"/>
        <sz val="12"/>
        <color theme="1"/>
        <rFont val="Calibri"/>
        <family val="2"/>
        <scheme val="minor"/>
      </rPr>
      <t>1</t>
    </r>
  </si>
  <si>
    <r>
      <t>Ø</t>
    </r>
    <r>
      <rPr>
        <b/>
        <vertAlign val="subscript"/>
        <sz val="12"/>
        <color theme="1"/>
        <rFont val="Calibri"/>
        <family val="2"/>
        <scheme val="minor"/>
      </rPr>
      <t>5</t>
    </r>
  </si>
  <si>
    <r>
      <t>H</t>
    </r>
    <r>
      <rPr>
        <b/>
        <vertAlign val="subscript"/>
        <sz val="12"/>
        <color theme="1"/>
        <rFont val="Calibri"/>
        <family val="2"/>
        <scheme val="minor"/>
      </rPr>
      <t>5</t>
    </r>
  </si>
  <si>
    <t>Round Spigot</t>
  </si>
  <si>
    <t>Low Profile Box</t>
  </si>
  <si>
    <t>Ovalised Spigot</t>
  </si>
  <si>
    <t>ALL DIMENSIONS IN mm</t>
  </si>
  <si>
    <t>DIN nominal sizes</t>
  </si>
  <si>
    <t>Selection Notes</t>
  </si>
  <si>
    <t>Total Pressure is inclusive of side-entry connection box pressure loss.</t>
  </si>
  <si>
    <t>ΔT -ve denotes cooling</t>
  </si>
  <si>
    <t>ΔT +ve denotes heating</t>
  </si>
  <si>
    <t>Max and Min Centreline Distance is to be halved for spacing to walls or glazing.</t>
  </si>
  <si>
    <t>Perforated Face</t>
  </si>
  <si>
    <t>4w</t>
  </si>
  <si>
    <t>3w</t>
  </si>
  <si>
    <t>2s</t>
  </si>
  <si>
    <t>2a</t>
  </si>
  <si>
    <t>Fixed Helical Swirl Diffuser  [HSC-FD DN355 &amp; DN500]</t>
  </si>
  <si>
    <t>REDUCER Selector</t>
  </si>
  <si>
    <t>LEGEND:</t>
  </si>
  <si>
    <t>INSTRUCTIONS:</t>
  </si>
  <si>
    <r>
      <t xml:space="preserve">To add more rows, </t>
    </r>
    <r>
      <rPr>
        <u/>
        <sz val="10"/>
        <color indexed="8"/>
        <rFont val="Arial"/>
        <family val="2"/>
      </rPr>
      <t>copy and insert rows</t>
    </r>
    <r>
      <rPr>
        <sz val="10"/>
        <color indexed="8"/>
        <rFont val="Arial"/>
        <family val="2"/>
      </rPr>
      <t xml:space="preserve"> as required from row 17 to row 37 (</t>
    </r>
    <r>
      <rPr>
        <u/>
        <sz val="10"/>
        <color indexed="8"/>
        <rFont val="Arial"/>
        <family val="2"/>
      </rPr>
      <t>do not insert above row 17</t>
    </r>
    <r>
      <rPr>
        <sz val="10"/>
        <color indexed="8"/>
        <rFont val="Arial"/>
        <family val="2"/>
      </rPr>
      <t>).</t>
    </r>
  </si>
  <si>
    <r>
      <rPr>
        <b/>
        <sz val="10"/>
        <color indexed="8"/>
        <rFont val="Arial"/>
        <family val="2"/>
      </rPr>
      <t>Required</t>
    </r>
    <r>
      <rPr>
        <sz val="10"/>
        <color indexed="8"/>
        <rFont val="Arial"/>
        <family val="2"/>
      </rPr>
      <t xml:space="preserve"> Manual Input</t>
    </r>
  </si>
  <si>
    <r>
      <rPr>
        <u/>
        <sz val="10"/>
        <color indexed="8"/>
        <rFont val="Arial"/>
        <family val="2"/>
      </rPr>
      <t>Do not change formulae/values in columns F to Z</t>
    </r>
    <r>
      <rPr>
        <sz val="10"/>
        <color indexed="8"/>
        <rFont val="Arial"/>
        <family val="2"/>
      </rPr>
      <t xml:space="preserve">, which in rows 17 to 37 are not protected (to allow copy and paste) but contain formulae that MUST NOT BE OVERWRITTEN.  </t>
    </r>
  </si>
  <si>
    <r>
      <rPr>
        <b/>
        <sz val="10"/>
        <rFont val="Arial"/>
        <family val="2"/>
      </rPr>
      <t>Optional</t>
    </r>
    <r>
      <rPr>
        <sz val="10"/>
        <rFont val="Arial"/>
        <family val="2"/>
      </rPr>
      <t xml:space="preserve"> Manual Input</t>
    </r>
  </si>
  <si>
    <r>
      <rPr>
        <b/>
        <sz val="10"/>
        <color indexed="8"/>
        <rFont val="Arial"/>
        <family val="2"/>
      </rPr>
      <t>Manual</t>
    </r>
    <r>
      <rPr>
        <sz val="10"/>
        <color indexed="8"/>
        <rFont val="Arial"/>
        <family val="2"/>
      </rPr>
      <t xml:space="preserve"> Input</t>
    </r>
    <r>
      <rPr>
        <b/>
        <sz val="10"/>
        <color indexed="8"/>
        <rFont val="Arial"/>
        <family val="2"/>
      </rPr>
      <t xml:space="preserve"> overwriting formula</t>
    </r>
  </si>
  <si>
    <r>
      <t xml:space="preserve">Cells </t>
    </r>
    <r>
      <rPr>
        <b/>
        <sz val="10"/>
        <rFont val="Arial"/>
        <family val="2"/>
      </rPr>
      <t>E17 to E37</t>
    </r>
    <r>
      <rPr>
        <sz val="10"/>
        <rFont val="Arial"/>
        <family val="2"/>
      </rPr>
      <t xml:space="preserve"> may be overwritten with </t>
    </r>
    <r>
      <rPr>
        <b/>
        <sz val="10"/>
        <rFont val="Arial"/>
        <family val="2"/>
      </rPr>
      <t>355</t>
    </r>
    <r>
      <rPr>
        <sz val="10"/>
        <rFont val="Arial"/>
        <family val="2"/>
      </rPr>
      <t xml:space="preserve"> or </t>
    </r>
    <r>
      <rPr>
        <b/>
        <sz val="10"/>
        <rFont val="Arial"/>
        <family val="2"/>
      </rPr>
      <t xml:space="preserve">500 </t>
    </r>
    <r>
      <rPr>
        <sz val="10"/>
        <rFont val="Arial"/>
        <family val="2"/>
      </rPr>
      <t>to prevent automatic neck sizing</t>
    </r>
    <r>
      <rPr>
        <b/>
        <sz val="10"/>
        <rFont val="Arial"/>
        <family val="2"/>
      </rPr>
      <t>.</t>
    </r>
  </si>
  <si>
    <t>Tolerance:</t>
  </si>
  <si>
    <t>Cooling:</t>
  </si>
  <si>
    <t>dT.supply-room =</t>
  </si>
  <si>
    <t>Turndown to</t>
  </si>
  <si>
    <t>P.total Max =</t>
  </si>
  <si>
    <t>Vmin *</t>
  </si>
  <si>
    <t>(-8 to -16)</t>
  </si>
  <si>
    <t>Min</t>
  </si>
  <si>
    <t>HSC-FD-</t>
  </si>
  <si>
    <t>Reducer:</t>
  </si>
  <si>
    <t>Item</t>
  </si>
  <si>
    <t>Qty</t>
  </si>
  <si>
    <t>DN</t>
  </si>
  <si>
    <t>Rmin</t>
  </si>
  <si>
    <t>Rmax</t>
  </si>
  <si>
    <t>Remarks</t>
  </si>
  <si>
    <t>eg. West Lobby</t>
  </si>
  <si>
    <t>Neck Sizes</t>
  </si>
  <si>
    <t>Reducer</t>
  </si>
  <si>
    <t>4 Way</t>
  </si>
  <si>
    <t>3 Way (270°)</t>
  </si>
  <si>
    <t>for installations adjacent to wall</t>
  </si>
  <si>
    <t>3 Way</t>
  </si>
  <si>
    <r>
      <t>2 Way (2</t>
    </r>
    <r>
      <rPr>
        <sz val="11"/>
        <color theme="1"/>
        <rFont val="Calibri"/>
        <family val="2"/>
      </rPr>
      <t>×90°)</t>
    </r>
  </si>
  <si>
    <t>for installation in hallways and corridors</t>
  </si>
  <si>
    <t>2 Way (1×180°)</t>
  </si>
  <si>
    <t>for installation in corners</t>
  </si>
  <si>
    <t>Ceiling or Free</t>
  </si>
  <si>
    <t>(1 = ceiling; 2 = free)</t>
  </si>
  <si>
    <t>ADPI display</t>
  </si>
  <si>
    <t>V</t>
  </si>
  <si>
    <t>Code Generator</t>
  </si>
  <si>
    <t>Nominal Diameter</t>
  </si>
  <si>
    <t>Reducer Validation</t>
  </si>
  <si>
    <t>&lt;face&gt;</t>
  </si>
  <si>
    <t>please select a valid face shape</t>
  </si>
  <si>
    <t>C355</t>
  </si>
  <si>
    <t>ø 355 mm circular face</t>
  </si>
  <si>
    <t>□○</t>
  </si>
  <si>
    <t>ø</t>
  </si>
  <si>
    <t>C500</t>
  </si>
  <si>
    <t>ø 500 mm circular face</t>
  </si>
  <si>
    <t>C710</t>
  </si>
  <si>
    <t>ø 710 mm circular face</t>
  </si>
  <si>
    <t>custom face size (contact Smartair)</t>
  </si>
  <si>
    <t>S295</t>
  </si>
  <si>
    <t>□ 295 mm square face</t>
  </si>
  <si>
    <t>S595</t>
  </si>
  <si>
    <t>□ 595 mm square face</t>
  </si>
  <si>
    <t>Discharge</t>
  </si>
  <si>
    <t>Face finish</t>
  </si>
  <si>
    <t>Connection Type</t>
  </si>
  <si>
    <t>No connection box</t>
  </si>
  <si>
    <t>KF</t>
  </si>
  <si>
    <t>Thermally insulated foam connection box with magnetic fastener &amp; blanking cap</t>
  </si>
  <si>
    <t>KFR</t>
  </si>
  <si>
    <t>Thermally insulated foam connection box with threaded rod fastener &amp; cap</t>
  </si>
  <si>
    <t>Model</t>
  </si>
  <si>
    <t>Size</t>
  </si>
  <si>
    <t>Shape</t>
  </si>
  <si>
    <t>Face Finish</t>
  </si>
  <si>
    <t>Box</t>
  </si>
  <si>
    <t>SMARTEMP HSC-FD-</t>
  </si>
  <si>
    <t>Order</t>
  </si>
  <si>
    <t>Summary</t>
  </si>
  <si>
    <t>TEXT</t>
  </si>
  <si>
    <t xml:space="preserve"> ΔT</t>
  </si>
  <si>
    <t>Sound Power Level ¹</t>
  </si>
  <si>
    <t>Sound Pressure Level ^¹</t>
  </si>
  <si>
    <t>Recommended Plenum Box Spigot Diameter</t>
  </si>
  <si>
    <t>Diagram</t>
  </si>
  <si>
    <t>Cmax (Centre)</t>
  </si>
  <si>
    <t>Cmax (Perimeter)</t>
  </si>
  <si>
    <t>C select</t>
  </si>
  <si>
    <t>Top Box 1</t>
  </si>
  <si>
    <t>box 2</t>
  </si>
  <si>
    <t>box 3</t>
  </si>
  <si>
    <t>room box</t>
  </si>
  <si>
    <t>Description</t>
  </si>
  <si>
    <t>HSC-FD Performance Calculator Summary</t>
  </si>
  <si>
    <t>Project</t>
  </si>
  <si>
    <t>Company</t>
  </si>
  <si>
    <t>&lt;Name&gt;</t>
  </si>
  <si>
    <t>Client</t>
  </si>
  <si>
    <t>Product</t>
  </si>
  <si>
    <t xml:space="preserve">SMARTEMP HSC-FD </t>
  </si>
  <si>
    <t>Fixed Helical Swirl Diffuser</t>
  </si>
  <si>
    <t>Size &amp; Reducer</t>
  </si>
  <si>
    <r>
      <t>Selected Airflow</t>
    </r>
    <r>
      <rPr>
        <sz val="10"/>
        <color theme="1"/>
        <rFont val="Calibri"/>
        <family val="2"/>
      </rPr>
      <t xml:space="preserve"> ¹</t>
    </r>
  </si>
  <si>
    <t>Min Selected Airflow</t>
  </si>
  <si>
    <t>Acoustic Performance</t>
  </si>
  <si>
    <t>¹ Values valid for diffuser including 'Standard Side Entry Plenum Box' with round spigot (refer to worksheet 'Notes and Drawings HSC-FD')</t>
  </si>
  <si>
    <t>Comfort Performance</t>
  </si>
  <si>
    <t>Selected ADPI Target</t>
  </si>
  <si>
    <t xml:space="preserve">Mean Room Air Velocity </t>
  </si>
  <si>
    <t>Draught Rating (DR)</t>
  </si>
  <si>
    <t>Satisfies PPD (ISO7730)</t>
  </si>
  <si>
    <r>
      <t xml:space="preserve">Satisfies PMV </t>
    </r>
    <r>
      <rPr>
        <sz val="9"/>
        <color theme="1"/>
        <rFont val="Times New Roman"/>
        <family val="1"/>
      </rPr>
      <t>*</t>
    </r>
  </si>
  <si>
    <t>* ISO7730; ASHRAE Std 55</t>
  </si>
  <si>
    <t>Configuration</t>
  </si>
  <si>
    <t>option not available</t>
  </si>
  <si>
    <t>Code</t>
  </si>
  <si>
    <t>option</t>
  </si>
  <si>
    <t>comment</t>
  </si>
  <si>
    <t>custom face size</t>
  </si>
  <si>
    <t>Perf Face</t>
  </si>
  <si>
    <t>only avalable for DN355; 595x595 Face (Rv5/6; 63% open area)</t>
  </si>
  <si>
    <t>n</t>
  </si>
  <si>
    <t>code</t>
  </si>
  <si>
    <t>&lt;face-n/a&gt;</t>
  </si>
  <si>
    <t>250mm Low Profile Plenum Box Spigot Dia.</t>
  </si>
  <si>
    <t>Perf Face Illegal</t>
  </si>
  <si>
    <t>Vmax/Vmin</t>
  </si>
  <si>
    <t>WARNING</t>
  </si>
  <si>
    <t>1 = orange, 2 = red</t>
  </si>
  <si>
    <t>return air</t>
  </si>
  <si>
    <t>Diffuser as Return Air (R/A) Inlet:</t>
  </si>
  <si>
    <t>2. R/A diffuser sound power level is up to 2 dB(A) greater than the supply air sound power level.</t>
  </si>
  <si>
    <t>1. R/A diffuser pressure loss to be taken as equal to supply air static pressure.</t>
  </si>
  <si>
    <t>Notes</t>
  </si>
  <si>
    <t>heating</t>
  </si>
  <si>
    <t>* Values valid for diffuser including side-entry plenum box with round spigot (refer to woksheet 'Notes &amp; Drawings HSC-FD')</t>
  </si>
  <si>
    <t>Related Products</t>
  </si>
  <si>
    <t xml:space="preserve">Smartemp HSC-AD: </t>
  </si>
  <si>
    <t>for increased flow rates; optionally with thermal/electric adjustment</t>
  </si>
  <si>
    <t>Smartemp LMC-AD:</t>
  </si>
  <si>
    <t>Smartemp PMW-AD:</t>
  </si>
  <si>
    <t>for a high-induction, wall-mounted solution</t>
  </si>
  <si>
    <t>DN250 / DN355 / DN500</t>
  </si>
  <si>
    <t xml:space="preserve"> m³/h</t>
  </si>
  <si>
    <t>for a high-induction, linear-type solution</t>
  </si>
  <si>
    <t>RA</t>
  </si>
  <si>
    <t>R1</t>
  </si>
  <si>
    <t>R2</t>
  </si>
  <si>
    <t>R3</t>
  </si>
  <si>
    <t>R4</t>
  </si>
  <si>
    <t>R5</t>
  </si>
  <si>
    <t>R6</t>
  </si>
  <si>
    <t>R0</t>
  </si>
  <si>
    <t>comfort</t>
  </si>
  <si>
    <t>Reducer Selected</t>
  </si>
  <si>
    <t>Non-Return Air</t>
  </si>
  <si>
    <t>Return Air</t>
  </si>
  <si>
    <t>Other Selections and Notes</t>
  </si>
  <si>
    <t>location note</t>
  </si>
  <si>
    <t>heating note</t>
  </si>
  <si>
    <t>Spcific Flow Rate</t>
  </si>
  <si>
    <t>heating heading</t>
  </si>
  <si>
    <t>Cmin&gt;Cmax</t>
  </si>
  <si>
    <t>min flowrate (converted)</t>
  </si>
  <si>
    <t>Cmax Perimeter &lt; Cmin</t>
  </si>
  <si>
    <t>Cmax Centre &lt; Cmin</t>
  </si>
  <si>
    <t>Nomenclature</t>
  </si>
  <si>
    <t>Cmax Centre vs C select</t>
  </si>
  <si>
    <t>Cmax Perim vs C Select</t>
  </si>
  <si>
    <t>Cmin vs C Select</t>
  </si>
  <si>
    <t>shade for any time Cmax &lt; C min</t>
  </si>
  <si>
    <t>shade for any time C select &gt; Cmax</t>
  </si>
  <si>
    <t>shade for any time C select &lt; C min</t>
  </si>
  <si>
    <t>C min &gt; Cmax</t>
  </si>
  <si>
    <t>shade for any time Cmin &gt; Cmax</t>
  </si>
  <si>
    <t>ISNUMBER Cmin/Cmax</t>
  </si>
  <si>
    <t>Cmax &gt; C Selected</t>
  </si>
  <si>
    <t>Cmin &lt; C Selected</t>
  </si>
  <si>
    <t>Diffuser as Return Air (R/A) Inlet</t>
  </si>
  <si>
    <t>Refer to 'Notes' worksheet for selection tool notes</t>
  </si>
  <si>
    <t>Acoustics</t>
  </si>
  <si>
    <t xml:space="preserve">Sound Pressure Level* </t>
  </si>
  <si>
    <t>Select desired comfort level (ADPI setting) to determine minimum and maximum centreline distance and minimum diffuser height.</t>
  </si>
  <si>
    <t>* Based on 10 dB(A) room absorption</t>
  </si>
  <si>
    <t>go to 'Selection Summary' for a printable summary of the selection</t>
  </si>
  <si>
    <t>Layout &amp; Discharge Pattern</t>
  </si>
  <si>
    <t>2 Way (2×90°)</t>
  </si>
  <si>
    <t>•</t>
  </si>
  <si>
    <t xml:space="preserve">default </t>
  </si>
  <si>
    <t>for installations adjacent to walls</t>
  </si>
  <si>
    <t>for installations in corridors</t>
  </si>
  <si>
    <t>for installations in corners</t>
  </si>
  <si>
    <r>
      <t>use when</t>
    </r>
    <r>
      <rPr>
        <b/>
        <sz val="12"/>
        <color theme="1"/>
        <rFont val="Calibri"/>
        <family val="2"/>
        <scheme val="minor"/>
      </rPr>
      <t xml:space="preserve"> D &gt; C</t>
    </r>
    <r>
      <rPr>
        <b/>
        <vertAlign val="subscript"/>
        <sz val="12"/>
        <color theme="1"/>
        <rFont val="Calibri"/>
        <family val="2"/>
        <scheme val="minor"/>
      </rPr>
      <t>min</t>
    </r>
    <r>
      <rPr>
        <b/>
        <sz val="12"/>
        <color theme="1"/>
        <rFont val="Calibri"/>
        <family val="2"/>
        <scheme val="minor"/>
      </rPr>
      <t>/2</t>
    </r>
  </si>
  <si>
    <r>
      <t>use when</t>
    </r>
    <r>
      <rPr>
        <b/>
        <sz val="12"/>
        <color theme="1"/>
        <rFont val="Calibri"/>
        <family val="2"/>
        <scheme val="minor"/>
      </rPr>
      <t xml:space="preserve"> D &lt; C</t>
    </r>
    <r>
      <rPr>
        <b/>
        <vertAlign val="subscript"/>
        <sz val="12"/>
        <color theme="1"/>
        <rFont val="Calibri"/>
        <family val="2"/>
        <scheme val="minor"/>
      </rPr>
      <t>min</t>
    </r>
    <r>
      <rPr>
        <b/>
        <sz val="12"/>
        <color theme="1"/>
        <rFont val="Calibri"/>
        <family val="2"/>
        <scheme val="minor"/>
      </rPr>
      <t>/2</t>
    </r>
  </si>
  <si>
    <r>
      <t xml:space="preserve">use when </t>
    </r>
    <r>
      <rPr>
        <b/>
        <sz val="12"/>
        <color theme="1"/>
        <rFont val="Calibri"/>
        <family val="2"/>
        <scheme val="minor"/>
      </rPr>
      <t>D &lt; C</t>
    </r>
    <r>
      <rPr>
        <b/>
        <vertAlign val="subscript"/>
        <sz val="12"/>
        <color theme="1"/>
        <rFont val="Calibri"/>
        <family val="2"/>
        <scheme val="minor"/>
      </rPr>
      <t>min</t>
    </r>
    <r>
      <rPr>
        <b/>
        <sz val="12"/>
        <color theme="1"/>
        <rFont val="Calibri"/>
        <family val="2"/>
        <scheme val="minor"/>
      </rPr>
      <t>/2</t>
    </r>
  </si>
  <si>
    <t>Noise &amp; Acoustic</t>
  </si>
  <si>
    <r>
      <rPr>
        <u/>
        <sz val="12"/>
        <rFont val="Calibri"/>
        <family val="2"/>
        <scheme val="minor"/>
      </rPr>
      <t>Sound Pressure Level</t>
    </r>
    <r>
      <rPr>
        <sz val="12"/>
        <rFont val="Calibri"/>
        <family val="2"/>
        <scheme val="minor"/>
      </rPr>
      <t xml:space="preserve"> [NC] is an estimate for a single diffuser only located at 2.7 to 3.0 m height in a 70 m^3 space (typical office) with 10 dB(A) room absorption that is uniformly distributed, measured 2.1 m from the diffuser.</t>
    </r>
  </si>
  <si>
    <t>Perforated face (63% open area) only available for size DN355. Contact Smartair for custom perforations.</t>
  </si>
  <si>
    <t>^ based on 10 dB(A) room absorption</t>
  </si>
  <si>
    <r>
      <t>Warning</t>
    </r>
    <r>
      <rPr>
        <b/>
        <sz val="10"/>
        <color theme="9"/>
        <rFont val="Calibri"/>
        <family val="2"/>
        <scheme val="minor"/>
      </rPr>
      <t xml:space="preserve"> </t>
    </r>
    <r>
      <rPr>
        <b/>
        <sz val="10"/>
        <color theme="1"/>
        <rFont val="Calibri"/>
        <family val="2"/>
        <scheme val="minor"/>
      </rPr>
      <t>/</t>
    </r>
    <r>
      <rPr>
        <b/>
        <sz val="10"/>
        <color theme="9" tint="-0.249977111117893"/>
        <rFont val="Calibri"/>
        <family val="2"/>
        <scheme val="minor"/>
      </rPr>
      <t xml:space="preserve"> Warning</t>
    </r>
  </si>
  <si>
    <t>Sound Pressure Level is provided as a guide only for a standard, carpeted single office with acoustic ceiling. An acoustical engineer should be consulted for detailed calculations, especially for applications with more than one diffuser or where hard surfaces are involved.</t>
  </si>
  <si>
    <t>Fixed Helical Swirl Diffuser [HSC-FD DN250/DN355/DN500] Notes</t>
  </si>
  <si>
    <t>Tender Text</t>
  </si>
  <si>
    <t xml:space="preserve">Furnish and install SMARTEMP® Fixed Helical Swirl Diffusers, type HSC-FD, to provide diffuse airflow with fixed stable horizontal swirl discharge pattern for the provision of high thermal comfort. Each diffuser is to be made of powder coated steel and shall include 20 off-set radial vanes flush with the flat diffuser face. The diffuser shall be installed complete with a flush colour matching central cap and shall be suitable for ce ntral threaded rod connection. The diffuser face is to be square or round, as specified, and is to be fitted with the optional perforated screen where indicated. The diffuser is to be installed substantially flush with the suspended false ceiling or freely suspended, as specified. Swirl vanes are to include cambered leading edges for reduced noise and pressure drop, and helical swirl vane tips are each to have geometric twist to increase the airflow rate range of operation. Diffuser neck size is to be DN250, DN355 or DN500, as appropriate. Fit optional reducers where low airflow rates are required (DN355 and DN500 only). Install the diffusers at a discharge height of 2.4 to 4.5 m. For VAV applications, operate each diffuser within an airflow rate band turning down to no less than 25% at a ΔTsupply-room ≥ -16 K. For heating applications, observe ΔTsupply-room recommendations. Install segments covers (1/4; 2/4 opposed; 1/2) for diffuser placement near walls, in corridors or in corners. Connect each diffuser to SMARTEMP foam connections boxes, suitable for perimeter magnetic and/or central threaded rod connections, as specified. </t>
  </si>
  <si>
    <t>Max Specific Airflow Rate</t>
  </si>
  <si>
    <t>v 10.14 [09/2025]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</si>
</sst>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
    <numFmt numFmtId="165" formatCode="0.0"/>
    <numFmt numFmtId="166" formatCode="0.0%"/>
    <numFmt numFmtId="167" formatCode="\+\ 0.0;\-\ 0.0;\ 0.0"/>
    <numFmt numFmtId="168" formatCode="0.000"/>
    <numFmt numFmtId="169" formatCode="0.00000"/>
  </numFmts>
  <fonts count="110">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sz val="11"/>
      <color theme="1" tint="0.34998626667073579"/>
      <name val="Calibri"/>
      <family val="2"/>
      <scheme val="minor"/>
    </font>
    <font>
      <b/>
      <sz val="12"/>
      <color theme="3"/>
      <name val="Calibri"/>
      <family val="2"/>
      <scheme val="minor"/>
    </font>
    <font>
      <sz val="11"/>
      <color theme="1" tint="0.499984740745262"/>
      <name val="Calibri"/>
      <family val="2"/>
      <scheme val="minor"/>
    </font>
    <font>
      <sz val="11"/>
      <color theme="0" tint="-0.34998626667073579"/>
      <name val="Calibri"/>
      <family val="2"/>
      <scheme val="minor"/>
    </font>
    <font>
      <b/>
      <sz val="12"/>
      <color theme="3" tint="-0.499984740745262"/>
      <name val="Calibri"/>
      <family val="2"/>
      <scheme val="minor"/>
    </font>
    <font>
      <b/>
      <sz val="12"/>
      <color theme="0" tint="-0.499984740745262"/>
      <name val="Calibri"/>
      <family val="2"/>
      <scheme val="minor"/>
    </font>
    <font>
      <sz val="14"/>
      <color rgb="FFFF9900"/>
      <name val="Calibri"/>
      <family val="2"/>
      <scheme val="minor"/>
    </font>
    <font>
      <b/>
      <sz val="16"/>
      <color rgb="FFFF9900"/>
      <name val="Calibri"/>
      <family val="2"/>
      <scheme val="minor"/>
    </font>
    <font>
      <b/>
      <sz val="15"/>
      <color theme="1" tint="0.499984740745262"/>
      <name val="Calibri"/>
      <family val="2"/>
      <scheme val="minor"/>
    </font>
    <font>
      <b/>
      <sz val="11"/>
      <color theme="1" tint="0.499984740745262"/>
      <name val="Calibri"/>
      <family val="2"/>
      <scheme val="minor"/>
    </font>
    <font>
      <b/>
      <sz val="12"/>
      <color theme="1"/>
      <name val="Calibri"/>
      <family val="2"/>
      <scheme val="minor"/>
    </font>
    <font>
      <b/>
      <sz val="16"/>
      <color theme="0"/>
      <name val="Calibri"/>
      <family val="2"/>
      <scheme val="minor"/>
    </font>
    <font>
      <sz val="10"/>
      <color theme="1"/>
      <name val="Calibri"/>
      <family val="2"/>
      <scheme val="minor"/>
    </font>
    <font>
      <u/>
      <sz val="11"/>
      <color theme="10"/>
      <name val="Calibri"/>
      <family val="2"/>
      <scheme val="minor"/>
    </font>
    <font>
      <b/>
      <sz val="15"/>
      <color theme="1"/>
      <name val="Calibri"/>
      <family val="2"/>
      <scheme val="minor"/>
    </font>
    <font>
      <b/>
      <sz val="11"/>
      <color theme="1" tint="0.499984740745262"/>
      <name val="Calibri"/>
      <family val="2"/>
    </font>
    <font>
      <sz val="9"/>
      <color theme="1" tint="0.499984740745262"/>
      <name val="Calibri"/>
      <family val="2"/>
      <scheme val="minor"/>
    </font>
    <font>
      <sz val="9"/>
      <color theme="1" tint="0.499984740745262"/>
      <name val="Calibri"/>
      <family val="2"/>
    </font>
    <font>
      <b/>
      <sz val="9"/>
      <color theme="1" tint="0.499984740745262"/>
      <name val="Calibri"/>
      <family val="2"/>
    </font>
    <font>
      <b/>
      <sz val="11"/>
      <color theme="0" tint="-0.34998626667073579"/>
      <name val="Calibri"/>
      <family val="2"/>
      <scheme val="minor"/>
    </font>
    <font>
      <sz val="12"/>
      <color rgb="FFFF9900"/>
      <name val="Calibri"/>
      <family val="2"/>
      <scheme val="minor"/>
    </font>
    <font>
      <b/>
      <sz val="10"/>
      <color theme="1"/>
      <name val="Arial"/>
      <family val="2"/>
    </font>
    <font>
      <u/>
      <sz val="10"/>
      <color indexed="8"/>
      <name val="Arial"/>
      <family val="2"/>
    </font>
    <font>
      <sz val="10"/>
      <color indexed="8"/>
      <name val="Arial"/>
      <family val="2"/>
    </font>
    <font>
      <sz val="10"/>
      <color theme="1"/>
      <name val="Arial"/>
      <family val="2"/>
    </font>
    <font>
      <b/>
      <sz val="10"/>
      <color indexed="8"/>
      <name val="Arial"/>
      <family val="2"/>
    </font>
    <font>
      <sz val="10"/>
      <name val="Arial"/>
      <family val="2"/>
    </font>
    <font>
      <b/>
      <sz val="10"/>
      <name val="Arial"/>
      <family val="2"/>
    </font>
    <font>
      <b/>
      <sz val="10"/>
      <color rgb="FFFF0000"/>
      <name val="Arial"/>
      <family val="2"/>
    </font>
    <font>
      <b/>
      <sz val="12"/>
      <name val="Arial"/>
      <family val="2"/>
    </font>
    <font>
      <b/>
      <sz val="12"/>
      <color theme="1"/>
      <name val="Arial"/>
      <family val="2"/>
    </font>
    <font>
      <sz val="8"/>
      <name val="Arial"/>
      <family val="2"/>
    </font>
    <font>
      <sz val="10"/>
      <color rgb="FF00823B"/>
      <name val="Arial"/>
      <family val="2"/>
    </font>
    <font>
      <sz val="10"/>
      <color theme="0" tint="-0.34998626667073579"/>
      <name val="Arial"/>
      <family val="2"/>
    </font>
    <font>
      <b/>
      <u/>
      <sz val="16"/>
      <color rgb="FFFF9900"/>
      <name val="Calibri"/>
      <family val="2"/>
      <scheme val="minor"/>
    </font>
    <font>
      <b/>
      <sz val="10"/>
      <color rgb="FFFF9900"/>
      <name val="Arial"/>
      <family val="2"/>
    </font>
    <font>
      <sz val="10"/>
      <color rgb="FFFF9900"/>
      <name val="Arial"/>
      <family val="2"/>
    </font>
    <font>
      <sz val="11"/>
      <color theme="1" tint="0.34998626667073579"/>
      <name val="Calibri"/>
      <family val="2"/>
    </font>
    <font>
      <sz val="8.8000000000000007"/>
      <color theme="1" tint="0.34998626667073579"/>
      <name val="Calibri"/>
      <family val="2"/>
    </font>
    <font>
      <sz val="12"/>
      <color theme="1"/>
      <name val="Calibri"/>
      <family val="2"/>
      <scheme val="minor"/>
    </font>
    <font>
      <vertAlign val="superscript"/>
      <sz val="11"/>
      <color theme="0"/>
      <name val="Calibri"/>
      <family val="2"/>
      <scheme val="minor"/>
    </font>
    <font>
      <b/>
      <sz val="12"/>
      <color rgb="FFFF0000"/>
      <name val="Calibri"/>
      <family val="2"/>
      <scheme val="minor"/>
    </font>
    <font>
      <sz val="11"/>
      <color theme="0" tint="-0.499984740745262"/>
      <name val="Calibri"/>
      <family val="2"/>
      <scheme val="minor"/>
    </font>
    <font>
      <sz val="11"/>
      <color theme="0" tint="-0.499984740745262"/>
      <name val="Calibri"/>
      <family val="2"/>
    </font>
    <font>
      <sz val="10"/>
      <color theme="0" tint="-4.9989318521683403E-2"/>
      <name val="Calibri"/>
      <family val="2"/>
      <scheme val="minor"/>
    </font>
    <font>
      <sz val="11"/>
      <color theme="0" tint="-4.9989318521683403E-2"/>
      <name val="Calibri"/>
      <family val="2"/>
      <scheme val="minor"/>
    </font>
    <font>
      <b/>
      <sz val="11"/>
      <color theme="1" tint="0.34998626667073579"/>
      <name val="Calibri"/>
      <family val="2"/>
      <scheme val="minor"/>
    </font>
    <font>
      <sz val="10"/>
      <color theme="1" tint="0.34998626667073579"/>
      <name val="Calibri"/>
      <family val="2"/>
    </font>
    <font>
      <sz val="10"/>
      <color theme="1" tint="0.34998626667073579"/>
      <name val="Calibri"/>
      <family val="2"/>
      <scheme val="minor"/>
    </font>
    <font>
      <sz val="12"/>
      <name val="Calibri"/>
      <family val="2"/>
      <scheme val="minor"/>
    </font>
    <font>
      <sz val="11"/>
      <color theme="1"/>
      <name val="Proxima Nova Lt"/>
      <family val="3"/>
    </font>
    <font>
      <sz val="12"/>
      <color theme="1"/>
      <name val="Proxima Nova Lt"/>
      <family val="3"/>
    </font>
    <font>
      <sz val="16"/>
      <color theme="1"/>
      <name val="Calibri"/>
      <family val="2"/>
      <scheme val="minor"/>
    </font>
    <font>
      <sz val="18"/>
      <color theme="1"/>
      <name val="Calibri"/>
      <family val="2"/>
      <scheme val="minor"/>
    </font>
    <font>
      <sz val="16"/>
      <color theme="1"/>
      <name val="Cambria"/>
      <family val="1"/>
      <scheme val="major"/>
    </font>
    <font>
      <b/>
      <sz val="16"/>
      <color theme="1"/>
      <name val="Cambria"/>
      <family val="1"/>
      <scheme val="major"/>
    </font>
    <font>
      <sz val="16"/>
      <color theme="1"/>
      <name val="Times New Roman"/>
      <family val="1"/>
    </font>
    <font>
      <b/>
      <sz val="16"/>
      <color theme="1"/>
      <name val="Times New Roman"/>
      <family val="1"/>
    </font>
    <font>
      <sz val="11"/>
      <color theme="1"/>
      <name val="Times New Roman"/>
      <family val="1"/>
    </font>
    <font>
      <sz val="12"/>
      <color theme="1"/>
      <name val="Times New Roman"/>
      <family val="1"/>
    </font>
    <font>
      <b/>
      <sz val="12"/>
      <color theme="1"/>
      <name val="Times New Roman"/>
      <family val="1"/>
    </font>
    <font>
      <sz val="10"/>
      <color theme="1"/>
      <name val="Times New Roman"/>
      <family val="1"/>
    </font>
    <font>
      <sz val="11"/>
      <color theme="0" tint="-0.249977111117893"/>
      <name val="Calibri"/>
      <family val="2"/>
      <scheme val="minor"/>
    </font>
    <font>
      <b/>
      <sz val="12"/>
      <color theme="1" tint="0.14999847407452621"/>
      <name val="Calibri"/>
      <family val="2"/>
      <scheme val="minor"/>
    </font>
    <font>
      <u/>
      <sz val="12"/>
      <color theme="1"/>
      <name val="Calibri"/>
      <family val="2"/>
      <scheme val="minor"/>
    </font>
    <font>
      <u/>
      <sz val="11"/>
      <color theme="1"/>
      <name val="Calibri"/>
      <family val="2"/>
      <scheme val="minor"/>
    </font>
    <font>
      <b/>
      <sz val="14"/>
      <color theme="1"/>
      <name val="Calibri"/>
      <family val="2"/>
      <scheme val="minor"/>
    </font>
    <font>
      <b/>
      <vertAlign val="subscript"/>
      <sz val="12"/>
      <color theme="1"/>
      <name val="Calibri"/>
      <family val="2"/>
      <scheme val="minor"/>
    </font>
    <font>
      <sz val="8"/>
      <name val="Calibri"/>
      <family val="2"/>
      <scheme val="minor"/>
    </font>
    <font>
      <b/>
      <sz val="16"/>
      <color theme="1"/>
      <name val="Calibri"/>
      <family val="2"/>
      <scheme val="minor"/>
    </font>
    <font>
      <b/>
      <sz val="10"/>
      <color theme="1"/>
      <name val="Times New Roman"/>
      <family val="1"/>
    </font>
    <font>
      <sz val="9"/>
      <color theme="1" tint="0.34998626667073579"/>
      <name val="Times New Roman"/>
      <family val="1"/>
    </font>
    <font>
      <sz val="9"/>
      <color theme="1"/>
      <name val="Times New Roman"/>
      <family val="1"/>
    </font>
    <font>
      <sz val="10"/>
      <color theme="1"/>
      <name val="Proxima Nova Lt"/>
      <family val="3"/>
    </font>
    <font>
      <sz val="11"/>
      <name val="Calibri"/>
      <family val="2"/>
      <scheme val="minor"/>
    </font>
    <font>
      <sz val="10"/>
      <color theme="1" tint="0.249977111117893"/>
      <name val="Calibri"/>
      <family val="2"/>
      <scheme val="minor"/>
    </font>
    <font>
      <sz val="11"/>
      <color theme="1" tint="0.249977111117893"/>
      <name val="Calibri"/>
      <family val="2"/>
      <scheme val="minor"/>
    </font>
    <font>
      <i/>
      <sz val="10"/>
      <color theme="1"/>
      <name val="Calibri"/>
      <family val="2"/>
      <scheme val="minor"/>
    </font>
    <font>
      <sz val="10"/>
      <color theme="0" tint="-0.14999847407452621"/>
      <name val="Calibri"/>
      <family val="2"/>
    </font>
    <font>
      <sz val="10"/>
      <color theme="1"/>
      <name val="Calibri"/>
      <family val="2"/>
    </font>
    <font>
      <sz val="9"/>
      <color theme="1" tint="0.499984740745262"/>
      <name val="Times New Roman"/>
      <family val="1"/>
    </font>
    <font>
      <vertAlign val="superscript"/>
      <sz val="12"/>
      <color theme="1"/>
      <name val="Calibri"/>
      <family val="2"/>
      <scheme val="minor"/>
    </font>
    <font>
      <sz val="8"/>
      <color rgb="FF000000"/>
      <name val="Segoe UI"/>
      <family val="2"/>
    </font>
    <font>
      <b/>
      <sz val="10"/>
      <color theme="1"/>
      <name val="Calibri"/>
      <family val="2"/>
      <scheme val="minor"/>
    </font>
    <font>
      <b/>
      <sz val="10"/>
      <color rgb="FFC00000"/>
      <name val="Calibri"/>
      <family val="2"/>
      <scheme val="minor"/>
    </font>
    <font>
      <b/>
      <sz val="10"/>
      <color theme="9" tint="-0.249977111117893"/>
      <name val="Calibri"/>
      <family val="2"/>
      <scheme val="minor"/>
    </font>
    <font>
      <sz val="10"/>
      <color rgb="FFC00000"/>
      <name val="Calibri"/>
      <family val="2"/>
      <scheme val="minor"/>
    </font>
    <font>
      <sz val="10"/>
      <color theme="1" tint="0.34998626667073579"/>
      <name val="Times New Roman"/>
      <family val="1"/>
    </font>
    <font>
      <b/>
      <u/>
      <sz val="12"/>
      <color theme="1"/>
      <name val="Calibri"/>
      <family val="2"/>
      <scheme val="minor"/>
    </font>
    <font>
      <u/>
      <sz val="12"/>
      <name val="Calibri"/>
      <family val="2"/>
      <scheme val="minor"/>
    </font>
    <font>
      <b/>
      <sz val="10"/>
      <color theme="9"/>
      <name val="Calibri"/>
      <family val="2"/>
      <scheme val="minor"/>
    </font>
  </fonts>
  <fills count="5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1" tint="0.14999847407452621"/>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rgb="FFFFFF99"/>
        <bgColor indexed="64"/>
      </patternFill>
    </fill>
    <fill>
      <patternFill patternType="solid">
        <fgColor rgb="FFFFC000"/>
        <bgColor indexed="64"/>
      </patternFill>
    </fill>
    <fill>
      <patternFill patternType="solid">
        <fgColor rgb="FF00B0F0"/>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tint="-0.499984740745262"/>
        <bgColor indexed="64"/>
      </patternFill>
    </fill>
    <fill>
      <patternFill patternType="solid">
        <fgColor theme="9" tint="0.39997558519241921"/>
        <bgColor indexed="64"/>
      </patternFill>
    </fill>
    <fill>
      <patternFill patternType="solid">
        <fgColor indexed="43"/>
        <bgColor indexed="64"/>
      </patternFill>
    </fill>
    <fill>
      <patternFill patternType="solid">
        <fgColor theme="7" tint="0.59996337778862885"/>
        <bgColor indexed="64"/>
      </patternFill>
    </fill>
    <fill>
      <patternFill patternType="solid">
        <fgColor theme="0" tint="-0.34998626667073579"/>
        <bgColor indexed="64"/>
      </patternFill>
    </fill>
    <fill>
      <patternFill patternType="solid">
        <fgColor theme="9" tint="0.39994506668294322"/>
        <bgColor indexed="64"/>
      </patternFill>
    </fill>
  </fills>
  <borders count="1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9"/>
      </left>
      <right style="thin">
        <color theme="9"/>
      </right>
      <top style="thin">
        <color theme="9"/>
      </top>
      <bottom style="double">
        <color theme="9"/>
      </bottom>
      <diagonal/>
    </border>
    <border>
      <left/>
      <right/>
      <top/>
      <bottom style="thick">
        <color theme="0" tint="-0.24994659260841701"/>
      </bottom>
      <diagonal/>
    </border>
    <border>
      <left/>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1" tint="0.14996795556505021"/>
      </left>
      <right/>
      <top style="thin">
        <color theme="1" tint="0.14996795556505021"/>
      </top>
      <bottom/>
      <diagonal/>
    </border>
    <border>
      <left/>
      <right/>
      <top style="thin">
        <color theme="1" tint="0.14996795556505021"/>
      </top>
      <bottom/>
      <diagonal/>
    </border>
    <border>
      <left/>
      <right style="thin">
        <color theme="1" tint="0.14996795556505021"/>
      </right>
      <top style="thin">
        <color theme="1" tint="0.14996795556505021"/>
      </top>
      <bottom/>
      <diagonal/>
    </border>
    <border>
      <left style="thin">
        <color theme="1" tint="0.14996795556505021"/>
      </left>
      <right/>
      <top/>
      <bottom/>
      <diagonal/>
    </border>
    <border>
      <left/>
      <right style="thin">
        <color theme="1" tint="0.14996795556505021"/>
      </right>
      <top/>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bottom style="thin">
        <color theme="0" tint="-0.2499465926084170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9"/>
      </right>
      <top/>
      <bottom/>
      <diagonal/>
    </border>
    <border>
      <left/>
      <right style="thin">
        <color theme="1" tint="0.14996795556505021"/>
      </right>
      <top style="thin">
        <color theme="0" tint="-0.34998626667073579"/>
      </top>
      <bottom/>
      <diagonal/>
    </border>
    <border>
      <left style="thin">
        <color theme="0" tint="-0.14999847407452621"/>
      </left>
      <right/>
      <top style="thin">
        <color theme="0" tint="-0.14999847407452621"/>
      </top>
      <bottom/>
      <diagonal/>
    </border>
    <border>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top/>
      <bottom/>
      <diagonal/>
    </border>
    <border>
      <left/>
      <right style="thin">
        <color theme="0" tint="-0.14999847407452621"/>
      </right>
      <top/>
      <bottom/>
      <diagonal/>
    </border>
    <border>
      <left style="thin">
        <color theme="0" tint="-0.14999847407452621"/>
      </left>
      <right/>
      <top/>
      <bottom style="thin">
        <color theme="0" tint="-0.14999847407452621"/>
      </bottom>
      <diagonal/>
    </border>
    <border>
      <left/>
      <right/>
      <top/>
      <bottom style="thin">
        <color theme="0" tint="-0.14999847407452621"/>
      </bottom>
      <diagonal/>
    </border>
    <border>
      <left/>
      <right style="thin">
        <color theme="0" tint="-0.14999847407452621"/>
      </right>
      <top/>
      <bottom style="thin">
        <color theme="0" tint="-0.14999847407452621"/>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style="thin">
        <color indexed="64"/>
      </left>
      <right style="thick">
        <color indexed="64"/>
      </right>
      <top style="thick">
        <color indexed="64"/>
      </top>
      <bottom/>
      <diagonal/>
    </border>
    <border>
      <left style="thin">
        <color indexed="64"/>
      </left>
      <right style="thick">
        <color indexed="64"/>
      </right>
      <top/>
      <bottom/>
      <diagonal/>
    </border>
    <border>
      <left style="thick">
        <color indexed="64"/>
      </left>
      <right/>
      <top/>
      <bottom style="thick">
        <color indexed="64"/>
      </bottom>
      <diagonal/>
    </border>
    <border>
      <left/>
      <right/>
      <top/>
      <bottom style="thick">
        <color indexed="64"/>
      </bottom>
      <diagonal/>
    </border>
    <border>
      <left style="thin">
        <color indexed="64"/>
      </left>
      <right style="thick">
        <color indexed="64"/>
      </right>
      <top/>
      <bottom style="thick">
        <color indexed="64"/>
      </bottom>
      <diagonal/>
    </border>
    <border>
      <left style="thick">
        <color indexed="64"/>
      </left>
      <right style="thick">
        <color indexed="64"/>
      </right>
      <top style="thick">
        <color indexed="64"/>
      </top>
      <bottom/>
      <diagonal/>
    </border>
    <border>
      <left/>
      <right style="thick">
        <color indexed="64"/>
      </right>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right/>
      <top/>
      <bottom style="medium">
        <color indexed="64"/>
      </bottom>
      <diagonal/>
    </border>
    <border>
      <left/>
      <right style="thick">
        <color indexed="64"/>
      </right>
      <top/>
      <bottom style="medium">
        <color indexed="64"/>
      </bottom>
      <diagonal/>
    </border>
    <border>
      <left style="thick">
        <color indexed="64"/>
      </left>
      <right style="thin">
        <color indexed="64"/>
      </right>
      <top style="thick">
        <color indexed="64"/>
      </top>
      <bottom/>
      <diagonal/>
    </border>
    <border>
      <left/>
      <right style="thin">
        <color indexed="64"/>
      </right>
      <top style="thick">
        <color indexed="64"/>
      </top>
      <bottom/>
      <diagonal/>
    </border>
    <border>
      <left style="thin">
        <color indexed="64"/>
      </left>
      <right style="thin">
        <color indexed="64"/>
      </right>
      <top/>
      <bottom/>
      <diagonal/>
    </border>
    <border>
      <left style="thick">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ck">
        <color indexed="64"/>
      </right>
      <top/>
      <bottom style="medium">
        <color indexed="64"/>
      </bottom>
      <diagonal/>
    </border>
    <border>
      <left style="thin">
        <color indexed="64"/>
      </left>
      <right style="thin">
        <color indexed="64"/>
      </right>
      <top style="medium">
        <color indexed="64"/>
      </top>
      <bottom/>
      <diagonal/>
    </border>
    <border>
      <left/>
      <right style="thin">
        <color indexed="64"/>
      </right>
      <top/>
      <bottom/>
      <diagonal/>
    </border>
    <border>
      <left/>
      <right style="thin">
        <color indexed="64"/>
      </right>
      <top/>
      <bottom style="thick">
        <color indexed="64"/>
      </bottom>
      <diagonal/>
    </border>
    <border>
      <left style="thick">
        <color indexed="64"/>
      </left>
      <right style="thick">
        <color indexed="64"/>
      </right>
      <top style="medium">
        <color indexed="64"/>
      </top>
      <bottom style="thick">
        <color indexed="64"/>
      </bottom>
      <diagonal/>
    </border>
    <border>
      <left/>
      <right/>
      <top style="medium">
        <color indexed="64"/>
      </top>
      <bottom style="thick">
        <color indexed="64"/>
      </bottom>
      <diagonal/>
    </border>
    <border>
      <left/>
      <right style="thin">
        <color theme="0" tint="-0.24994659260841701"/>
      </right>
      <top/>
      <bottom/>
      <diagonal/>
    </border>
    <border>
      <left/>
      <right style="thin">
        <color theme="0" tint="-0.24994659260841701"/>
      </right>
      <top style="thick">
        <color indexed="64"/>
      </top>
      <bottom/>
      <diagonal/>
    </border>
    <border>
      <left/>
      <right style="thin">
        <color theme="1" tint="0.34998626667073579"/>
      </right>
      <top/>
      <bottom/>
      <diagonal/>
    </border>
    <border>
      <left/>
      <right style="thin">
        <color theme="1" tint="0.34998626667073579"/>
      </right>
      <top style="thin">
        <color theme="0" tint="-0.24994659260841701"/>
      </top>
      <bottom/>
      <diagonal/>
    </border>
    <border>
      <left/>
      <right/>
      <top/>
      <bottom style="medium">
        <color theme="0" tint="-0.249977111117893"/>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style="thin">
        <color theme="1" tint="0.34998626667073579"/>
      </right>
      <top style="thin">
        <color theme="0" tint="-0.249977111117893"/>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ck">
        <color indexed="64"/>
      </left>
      <right/>
      <top style="medium">
        <color indexed="64"/>
      </top>
      <bottom style="thick">
        <color indexed="64"/>
      </bottom>
      <diagonal/>
    </border>
    <border>
      <left style="thick">
        <color indexed="64"/>
      </left>
      <right style="thick">
        <color indexed="64"/>
      </right>
      <top/>
      <bottom style="medium">
        <color indexed="64"/>
      </bottom>
      <diagonal/>
    </border>
    <border>
      <left style="thick">
        <color indexed="64"/>
      </left>
      <right style="thick">
        <color indexed="64"/>
      </right>
      <top/>
      <bottom/>
      <diagonal/>
    </border>
    <border>
      <left style="thick">
        <color indexed="64"/>
      </left>
      <right style="medium">
        <color indexed="64"/>
      </right>
      <top style="medium">
        <color indexed="64"/>
      </top>
      <bottom style="thick">
        <color indexed="64"/>
      </bottom>
      <diagonal/>
    </border>
    <border>
      <left style="thick">
        <color indexed="64"/>
      </left>
      <right style="medium">
        <color indexed="64"/>
      </right>
      <top style="medium">
        <color indexed="64"/>
      </top>
      <bottom/>
      <diagonal/>
    </border>
    <border>
      <left style="thick">
        <color indexed="64"/>
      </left>
      <right style="medium">
        <color indexed="64"/>
      </right>
      <top/>
      <bottom style="medium">
        <color indexed="64"/>
      </bottom>
      <diagonal/>
    </border>
    <border>
      <left style="thick">
        <color indexed="64"/>
      </left>
      <right style="medium">
        <color indexed="64"/>
      </right>
      <top/>
      <bottom/>
      <diagonal/>
    </border>
    <border>
      <left style="thin">
        <color theme="1" tint="0.34998626667073579"/>
      </left>
      <right/>
      <top/>
      <bottom/>
      <diagonal/>
    </border>
    <border>
      <left/>
      <right style="thin">
        <color theme="1" tint="0.499984740745262"/>
      </right>
      <top/>
      <bottom style="thin">
        <color theme="1" tint="0.34998626667073579"/>
      </bottom>
      <diagonal/>
    </border>
    <border>
      <left style="thin">
        <color theme="1" tint="0.34998626667073579"/>
      </left>
      <right style="thin">
        <color theme="1" tint="0.499984740745262"/>
      </right>
      <top/>
      <bottom style="thin">
        <color theme="1" tint="0.34998626667073579"/>
      </bottom>
      <diagonal/>
    </border>
    <border>
      <left/>
      <right style="thin">
        <color theme="1" tint="0.34998626667073579"/>
      </right>
      <top/>
      <bottom style="thin">
        <color theme="0" tint="-0.249977111117893"/>
      </bottom>
      <diagonal/>
    </border>
    <border>
      <left/>
      <right/>
      <top style="thin">
        <color theme="0" tint="-0.249977111117893"/>
      </top>
      <bottom/>
      <diagonal/>
    </border>
    <border>
      <left/>
      <right style="thin">
        <color theme="1" tint="0.34998626667073579"/>
      </right>
      <top style="medium">
        <color theme="0" tint="-0.249977111117893"/>
      </top>
      <bottom/>
      <diagonal/>
    </border>
    <border>
      <left style="thin">
        <color indexed="64"/>
      </left>
      <right style="thin">
        <color theme="1" tint="0.34998626667073579"/>
      </right>
      <top style="thin">
        <color indexed="64"/>
      </top>
      <bottom style="medium">
        <color theme="1" tint="0.499984740745262"/>
      </bottom>
      <diagonal/>
    </border>
    <border>
      <left style="thin">
        <color theme="1" tint="0.34998626667073579"/>
      </left>
      <right style="thin">
        <color theme="1" tint="0.34998626667073579"/>
      </right>
      <top style="thin">
        <color indexed="64"/>
      </top>
      <bottom style="medium">
        <color theme="1" tint="0.499984740745262"/>
      </bottom>
      <diagonal/>
    </border>
    <border>
      <left style="thin">
        <color theme="1" tint="0.34998626667073579"/>
      </left>
      <right style="thin">
        <color indexed="64"/>
      </right>
      <top style="thin">
        <color indexed="64"/>
      </top>
      <bottom style="medium">
        <color theme="1" tint="0.499984740745262"/>
      </bottom>
      <diagonal/>
    </border>
    <border>
      <left/>
      <right style="thin">
        <color theme="1"/>
      </right>
      <top/>
      <bottom/>
      <diagonal/>
    </border>
    <border>
      <left style="thin">
        <color indexed="64"/>
      </left>
      <right style="thin">
        <color theme="1"/>
      </right>
      <top/>
      <bottom/>
      <diagonal/>
    </border>
    <border>
      <left/>
      <right/>
      <top/>
      <bottom style="thin">
        <color theme="1"/>
      </bottom>
      <diagonal/>
    </border>
    <border>
      <left/>
      <right style="thin">
        <color indexed="64"/>
      </right>
      <top/>
      <bottom style="thin">
        <color indexed="64"/>
      </bottom>
      <diagonal/>
    </border>
    <border>
      <left style="thin">
        <color indexed="64"/>
      </left>
      <right/>
      <top/>
      <bottom style="thick">
        <color theme="4"/>
      </bottom>
      <diagonal/>
    </border>
    <border>
      <left style="thin">
        <color theme="1"/>
      </left>
      <right/>
      <top/>
      <bottom/>
      <diagonal/>
    </border>
    <border>
      <left/>
      <right/>
      <top style="medium">
        <color theme="0" tint="-0.249977111117893"/>
      </top>
      <bottom/>
      <diagonal/>
    </border>
    <border>
      <left/>
      <right/>
      <top/>
      <bottom style="thin">
        <color theme="0" tint="-0.24994659260841701"/>
      </bottom>
      <diagonal/>
    </border>
    <border>
      <left/>
      <right/>
      <top style="thin">
        <color theme="0" tint="-0.24994659260841701"/>
      </top>
      <bottom/>
      <diagonal/>
    </border>
    <border>
      <left style="thin">
        <color theme="1" tint="0.34998626667073579"/>
      </left>
      <right/>
      <top style="thin">
        <color theme="0" tint="-0.249977111117893"/>
      </top>
      <bottom/>
      <diagonal/>
    </border>
    <border>
      <left style="thin">
        <color theme="1" tint="0.34998626667073579"/>
      </left>
      <right/>
      <top/>
      <bottom style="thin">
        <color theme="0" tint="-0.249977111117893"/>
      </bottom>
      <diagonal/>
    </border>
    <border>
      <left style="thin">
        <color theme="1" tint="0.34998626667073579"/>
      </left>
      <right style="thin">
        <color theme="1" tint="0.34998626667073579"/>
      </right>
      <top/>
      <bottom style="thin">
        <color theme="0" tint="-0.249977111117893"/>
      </bottom>
      <diagonal/>
    </border>
    <border>
      <left/>
      <right/>
      <top style="thin">
        <color theme="0" tint="-0.249977111117893"/>
      </top>
      <bottom style="medium">
        <color theme="0" tint="-0.249977111117893"/>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bottom style="medium">
        <color theme="0" tint="-0.249977111117893"/>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bottom style="medium">
        <color theme="0" tint="-0.34998626667073579"/>
      </bottom>
      <diagonal/>
    </border>
    <border>
      <left/>
      <right style="thick">
        <color indexed="64"/>
      </right>
      <top style="medium">
        <color indexed="64"/>
      </top>
      <bottom style="thick">
        <color indexed="64"/>
      </bottom>
      <diagonal/>
    </border>
  </borders>
  <cellStyleXfs count="44">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32" fillId="0" borderId="0" applyNumberFormat="0" applyFill="0" applyBorder="0" applyAlignment="0" applyProtection="0"/>
  </cellStyleXfs>
  <cellXfs count="523">
    <xf numFmtId="0" fontId="0" fillId="0" borderId="0" xfId="0"/>
    <xf numFmtId="0" fontId="16" fillId="0" borderId="0" xfId="0" applyFont="1"/>
    <xf numFmtId="0" fontId="3" fillId="0" borderId="1" xfId="3"/>
    <xf numFmtId="0" fontId="3" fillId="0" borderId="1" xfId="3" applyAlignment="1">
      <alignment horizontal="right"/>
    </xf>
    <xf numFmtId="0" fontId="18" fillId="0" borderId="0" xfId="0" applyFont="1"/>
    <xf numFmtId="0" fontId="0" fillId="0" borderId="0" xfId="0" applyAlignment="1">
      <alignment horizontal="center"/>
    </xf>
    <xf numFmtId="0" fontId="0" fillId="0" borderId="0" xfId="0" applyAlignment="1">
      <alignment horizontal="right"/>
    </xf>
    <xf numFmtId="2" fontId="0" fillId="0" borderId="0" xfId="0" applyNumberFormat="1" applyAlignment="1">
      <alignment horizontal="right"/>
    </xf>
    <xf numFmtId="164" fontId="0" fillId="0" borderId="0" xfId="0" applyNumberFormat="1"/>
    <xf numFmtId="1" fontId="0" fillId="0" borderId="0" xfId="0" applyNumberFormat="1"/>
    <xf numFmtId="2" fontId="0" fillId="0" borderId="0" xfId="0" applyNumberFormat="1"/>
    <xf numFmtId="9" fontId="0" fillId="0" borderId="0" xfId="0" applyNumberFormat="1" applyAlignment="1">
      <alignment horizontal="right"/>
    </xf>
    <xf numFmtId="9" fontId="0" fillId="0" borderId="0" xfId="0" applyNumberFormat="1"/>
    <xf numFmtId="11" fontId="0" fillId="0" borderId="0" xfId="0" applyNumberFormat="1"/>
    <xf numFmtId="0" fontId="20" fillId="0" borderId="0" xfId="6" applyFont="1"/>
    <xf numFmtId="0" fontId="23" fillId="0" borderId="0" xfId="6" applyFont="1"/>
    <xf numFmtId="0" fontId="0" fillId="33" borderId="0" xfId="0" applyFill="1"/>
    <xf numFmtId="0" fontId="0" fillId="34" borderId="0" xfId="0" applyFill="1"/>
    <xf numFmtId="0" fontId="19" fillId="34" borderId="0" xfId="0" applyFont="1" applyFill="1"/>
    <xf numFmtId="0" fontId="16" fillId="34" borderId="0" xfId="0" applyFont="1" applyFill="1" applyAlignment="1">
      <alignment horizontal="center"/>
    </xf>
    <xf numFmtId="0" fontId="28" fillId="34" borderId="0" xfId="6" applyFont="1" applyFill="1" applyAlignment="1">
      <alignment horizontal="right"/>
    </xf>
    <xf numFmtId="0" fontId="21" fillId="34" borderId="0" xfId="0" applyFont="1" applyFill="1" applyAlignment="1">
      <alignment horizontal="right"/>
    </xf>
    <xf numFmtId="0" fontId="0" fillId="36" borderId="0" xfId="0" applyFill="1"/>
    <xf numFmtId="0" fontId="0" fillId="34" borderId="13" xfId="0" applyFill="1" applyBorder="1"/>
    <xf numFmtId="0" fontId="0" fillId="34" borderId="14" xfId="0" applyFill="1" applyBorder="1"/>
    <xf numFmtId="0" fontId="26" fillId="36" borderId="0" xfId="0" applyFont="1" applyFill="1"/>
    <xf numFmtId="0" fontId="2" fillId="36" borderId="0" xfId="2" applyFill="1"/>
    <xf numFmtId="0" fontId="0" fillId="34" borderId="15" xfId="0" applyFill="1" applyBorder="1"/>
    <xf numFmtId="0" fontId="0" fillId="34" borderId="16" xfId="0" applyFill="1" applyBorder="1"/>
    <xf numFmtId="0" fontId="19" fillId="34" borderId="16" xfId="0" applyFont="1" applyFill="1" applyBorder="1"/>
    <xf numFmtId="0" fontId="0" fillId="36" borderId="18" xfId="0" applyFill="1" applyBorder="1"/>
    <xf numFmtId="0" fontId="0" fillId="36" borderId="19" xfId="0" applyFill="1" applyBorder="1"/>
    <xf numFmtId="0" fontId="0" fillId="36" borderId="20" xfId="0" applyFill="1" applyBorder="1"/>
    <xf numFmtId="0" fontId="0" fillId="36" borderId="21" xfId="0" applyFill="1" applyBorder="1"/>
    <xf numFmtId="0" fontId="0" fillId="36" borderId="22" xfId="0" applyFill="1" applyBorder="1"/>
    <xf numFmtId="0" fontId="30" fillId="36" borderId="0" xfId="2" applyFont="1" applyFill="1"/>
    <xf numFmtId="0" fontId="24" fillId="34" borderId="0" xfId="6" applyFont="1" applyFill="1" applyAlignment="1">
      <alignment vertical="center"/>
    </xf>
    <xf numFmtId="0" fontId="29" fillId="34" borderId="0" xfId="6" applyFont="1" applyFill="1" applyAlignment="1">
      <alignment vertical="center"/>
    </xf>
    <xf numFmtId="165" fontId="29" fillId="33" borderId="23" xfId="6" applyNumberFormat="1" applyFont="1" applyFill="1" applyBorder="1" applyAlignment="1">
      <alignment horizontal="center" vertical="center"/>
    </xf>
    <xf numFmtId="165" fontId="24" fillId="33" borderId="24" xfId="6" applyNumberFormat="1" applyFont="1" applyFill="1" applyBorder="1" applyAlignment="1">
      <alignment horizontal="center" vertical="center"/>
    </xf>
    <xf numFmtId="165" fontId="29" fillId="33" borderId="24" xfId="6" applyNumberFormat="1" applyFont="1" applyFill="1" applyBorder="1" applyAlignment="1">
      <alignment horizontal="center" vertical="center"/>
    </xf>
    <xf numFmtId="165" fontId="29" fillId="33" borderId="25" xfId="6" applyNumberFormat="1" applyFont="1" applyFill="1" applyBorder="1" applyAlignment="1">
      <alignment horizontal="center" vertical="center"/>
    </xf>
    <xf numFmtId="0" fontId="29" fillId="34" borderId="26" xfId="6" applyFont="1" applyFill="1" applyBorder="1" applyAlignment="1">
      <alignment vertical="center"/>
    </xf>
    <xf numFmtId="0" fontId="31" fillId="34" borderId="0" xfId="0" applyFont="1" applyFill="1" applyAlignment="1">
      <alignment horizontal="right" vertical="center"/>
    </xf>
    <xf numFmtId="166" fontId="29" fillId="33" borderId="24" xfId="6" applyNumberFormat="1" applyFont="1" applyFill="1" applyBorder="1" applyAlignment="1">
      <alignment horizontal="center" vertical="center"/>
    </xf>
    <xf numFmtId="0" fontId="24" fillId="34" borderId="26" xfId="6" applyFont="1" applyFill="1" applyBorder="1" applyAlignment="1">
      <alignment vertical="center"/>
    </xf>
    <xf numFmtId="0" fontId="39" fillId="36" borderId="12" xfId="43" applyFont="1" applyFill="1" applyBorder="1" applyAlignment="1">
      <alignment vertical="center"/>
    </xf>
    <xf numFmtId="0" fontId="38" fillId="36" borderId="0" xfId="0" applyFont="1" applyFill="1" applyAlignment="1">
      <alignment vertical="center"/>
    </xf>
    <xf numFmtId="0" fontId="0" fillId="0" borderId="0" xfId="0" applyProtection="1">
      <protection locked="0"/>
    </xf>
    <xf numFmtId="0" fontId="16" fillId="33" borderId="10" xfId="0" applyFont="1" applyFill="1" applyBorder="1" applyAlignment="1" applyProtection="1">
      <alignment horizontal="center"/>
      <protection locked="0"/>
    </xf>
    <xf numFmtId="1" fontId="16" fillId="33" borderId="10" xfId="1" applyNumberFormat="1" applyFont="1" applyFill="1" applyBorder="1" applyAlignment="1" applyProtection="1">
      <alignment horizontal="center"/>
      <protection locked="0"/>
    </xf>
    <xf numFmtId="0" fontId="31" fillId="34" borderId="0" xfId="0" applyFont="1" applyFill="1" applyAlignment="1">
      <alignment horizontal="right"/>
    </xf>
    <xf numFmtId="0" fontId="31" fillId="34" borderId="0" xfId="0" applyFont="1" applyFill="1"/>
    <xf numFmtId="0" fontId="0" fillId="34" borderId="30" xfId="0" applyFill="1" applyBorder="1"/>
    <xf numFmtId="0" fontId="0" fillId="34" borderId="31" xfId="0" applyFill="1" applyBorder="1"/>
    <xf numFmtId="0" fontId="0" fillId="34" borderId="32" xfId="0" applyFill="1" applyBorder="1"/>
    <xf numFmtId="0" fontId="0" fillId="34" borderId="33" xfId="0" applyFill="1" applyBorder="1"/>
    <xf numFmtId="0" fontId="0" fillId="34" borderId="34" xfId="0" applyFill="1" applyBorder="1"/>
    <xf numFmtId="0" fontId="0" fillId="34" borderId="35" xfId="0" applyFill="1" applyBorder="1"/>
    <xf numFmtId="0" fontId="0" fillId="34" borderId="36" xfId="0" applyFill="1" applyBorder="1"/>
    <xf numFmtId="0" fontId="0" fillId="34" borderId="37" xfId="0" applyFill="1" applyBorder="1"/>
    <xf numFmtId="0" fontId="26" fillId="36" borderId="0" xfId="0" applyFont="1" applyFill="1" applyAlignment="1">
      <alignment horizontal="left" vertical="center" indent="3"/>
    </xf>
    <xf numFmtId="0" fontId="43" fillId="33" borderId="41" xfId="0" applyFont="1" applyFill="1" applyBorder="1" applyAlignment="1">
      <alignment horizontal="left"/>
    </xf>
    <xf numFmtId="0" fontId="0" fillId="33" borderId="0" xfId="0" applyFill="1" applyAlignment="1">
      <alignment horizontal="center"/>
    </xf>
    <xf numFmtId="0" fontId="0" fillId="39" borderId="42" xfId="0" applyFill="1" applyBorder="1" applyAlignment="1">
      <alignment horizontal="center"/>
    </xf>
    <xf numFmtId="0" fontId="45" fillId="33" borderId="41" xfId="0" applyFont="1" applyFill="1" applyBorder="1" applyAlignment="1">
      <alignment horizontal="left"/>
    </xf>
    <xf numFmtId="0" fontId="45" fillId="33" borderId="0" xfId="0" applyFont="1" applyFill="1" applyAlignment="1">
      <alignment horizontal="center"/>
    </xf>
    <xf numFmtId="0" fontId="45" fillId="40" borderId="43" xfId="0" applyFont="1" applyFill="1" applyBorder="1" applyAlignment="1">
      <alignment horizontal="center"/>
    </xf>
    <xf numFmtId="0" fontId="42" fillId="33" borderId="44" xfId="0" applyFont="1" applyFill="1" applyBorder="1" applyAlignment="1">
      <alignment horizontal="left"/>
    </xf>
    <xf numFmtId="0" fontId="0" fillId="33" borderId="45" xfId="0" applyFill="1" applyBorder="1"/>
    <xf numFmtId="0" fontId="0" fillId="33" borderId="45" xfId="0" applyFill="1" applyBorder="1" applyAlignment="1">
      <alignment horizontal="center"/>
    </xf>
    <xf numFmtId="0" fontId="0" fillId="41" borderId="46" xfId="0" applyFill="1" applyBorder="1" applyAlignment="1">
      <alignment horizontal="center"/>
    </xf>
    <xf numFmtId="0" fontId="45" fillId="38" borderId="38" xfId="0" applyFont="1" applyFill="1" applyBorder="1" applyAlignment="1">
      <alignment horizontal="left"/>
    </xf>
    <xf numFmtId="0" fontId="45" fillId="35" borderId="39" xfId="0" applyFont="1" applyFill="1" applyBorder="1" applyAlignment="1">
      <alignment horizontal="left"/>
    </xf>
    <xf numFmtId="0" fontId="0" fillId="35" borderId="40" xfId="0" applyFill="1" applyBorder="1" applyAlignment="1">
      <alignment horizontal="left"/>
    </xf>
    <xf numFmtId="0" fontId="0" fillId="35" borderId="47" xfId="0" applyFill="1" applyBorder="1" applyAlignment="1">
      <alignment horizontal="center"/>
    </xf>
    <xf numFmtId="0" fontId="45" fillId="35" borderId="38" xfId="0" applyFont="1" applyFill="1" applyBorder="1" applyAlignment="1">
      <alignment horizontal="left"/>
    </xf>
    <xf numFmtId="0" fontId="0" fillId="35" borderId="40" xfId="0" applyFill="1" applyBorder="1" applyAlignment="1">
      <alignment horizontal="center"/>
    </xf>
    <xf numFmtId="1" fontId="40" fillId="42" borderId="39" xfId="0" applyNumberFormat="1" applyFont="1" applyFill="1" applyBorder="1" applyAlignment="1">
      <alignment horizontal="center"/>
    </xf>
    <xf numFmtId="0" fontId="0" fillId="44" borderId="0" xfId="0" applyFill="1" applyAlignment="1">
      <alignment horizontal="center"/>
    </xf>
    <xf numFmtId="1" fontId="40" fillId="45" borderId="39" xfId="0" applyNumberFormat="1" applyFont="1" applyFill="1" applyBorder="1" applyAlignment="1">
      <alignment horizontal="center"/>
    </xf>
    <xf numFmtId="0" fontId="45" fillId="38" borderId="44" xfId="0" applyFont="1" applyFill="1" applyBorder="1" applyAlignment="1">
      <alignment horizontal="left"/>
    </xf>
    <xf numFmtId="0" fontId="45" fillId="35" borderId="49" xfId="0" applyFont="1" applyFill="1" applyBorder="1" applyAlignment="1">
      <alignment horizontal="center"/>
    </xf>
    <xf numFmtId="9" fontId="43" fillId="39" borderId="50" xfId="0" applyNumberFormat="1" applyFont="1" applyFill="1" applyBorder="1" applyAlignment="1" applyProtection="1">
      <alignment horizontal="center"/>
      <protection locked="0"/>
    </xf>
    <xf numFmtId="0" fontId="45" fillId="39" borderId="0" xfId="0" applyFont="1" applyFill="1" applyAlignment="1" applyProtection="1">
      <alignment horizontal="center"/>
      <protection locked="0"/>
    </xf>
    <xf numFmtId="1" fontId="40" fillId="42" borderId="51" xfId="0" applyNumberFormat="1" applyFont="1" applyFill="1" applyBorder="1" applyAlignment="1">
      <alignment horizontal="center"/>
    </xf>
    <xf numFmtId="0" fontId="0" fillId="44" borderId="45" xfId="0" applyFill="1" applyBorder="1" applyAlignment="1">
      <alignment horizontal="center"/>
    </xf>
    <xf numFmtId="1" fontId="40" fillId="45" borderId="51" xfId="0" applyNumberFormat="1" applyFont="1" applyFill="1" applyBorder="1" applyAlignment="1">
      <alignment horizontal="center"/>
    </xf>
    <xf numFmtId="0" fontId="0" fillId="38" borderId="53" xfId="0" applyFill="1" applyBorder="1"/>
    <xf numFmtId="0" fontId="0" fillId="38" borderId="54" xfId="0" applyFill="1" applyBorder="1" applyAlignment="1" applyProtection="1">
      <alignment horizontal="center"/>
      <protection locked="0"/>
    </xf>
    <xf numFmtId="0" fontId="46" fillId="35" borderId="39" xfId="0" applyFont="1" applyFill="1" applyBorder="1" applyAlignment="1">
      <alignment horizontal="center"/>
    </xf>
    <xf numFmtId="0" fontId="46" fillId="35" borderId="55" xfId="0" applyFont="1" applyFill="1" applyBorder="1" applyAlignment="1">
      <alignment horizontal="center"/>
    </xf>
    <xf numFmtId="0" fontId="46" fillId="35" borderId="42" xfId="0" applyFont="1" applyFill="1" applyBorder="1" applyAlignment="1">
      <alignment horizontal="center"/>
    </xf>
    <xf numFmtId="0" fontId="45" fillId="35" borderId="0" xfId="0" applyFont="1" applyFill="1" applyAlignment="1">
      <alignment horizontal="center"/>
    </xf>
    <xf numFmtId="0" fontId="0" fillId="35" borderId="0" xfId="0" applyFill="1" applyAlignment="1">
      <alignment horizontal="center"/>
    </xf>
    <xf numFmtId="0" fontId="0" fillId="35" borderId="38" xfId="0" applyFill="1" applyBorder="1" applyAlignment="1">
      <alignment horizontal="center"/>
    </xf>
    <xf numFmtId="0" fontId="46" fillId="35" borderId="56" xfId="0" applyFont="1" applyFill="1" applyBorder="1" applyAlignment="1">
      <alignment horizontal="center"/>
    </xf>
    <xf numFmtId="0" fontId="46" fillId="35" borderId="57" xfId="0" applyFont="1" applyFill="1" applyBorder="1" applyAlignment="1">
      <alignment horizontal="center"/>
    </xf>
    <xf numFmtId="1" fontId="46" fillId="35" borderId="51" xfId="0" applyNumberFormat="1" applyFont="1" applyFill="1" applyBorder="1" applyAlignment="1">
      <alignment horizontal="center"/>
    </xf>
    <xf numFmtId="1" fontId="46" fillId="35" borderId="57" xfId="0" applyNumberFormat="1" applyFont="1" applyFill="1" applyBorder="1" applyAlignment="1">
      <alignment horizontal="center"/>
    </xf>
    <xf numFmtId="1" fontId="46" fillId="35" borderId="58" xfId="0" applyNumberFormat="1" applyFont="1" applyFill="1" applyBorder="1" applyAlignment="1">
      <alignment horizontal="center"/>
    </xf>
    <xf numFmtId="1" fontId="49" fillId="35" borderId="51" xfId="0" applyNumberFormat="1" applyFont="1" applyFill="1" applyBorder="1" applyAlignment="1">
      <alignment horizontal="center"/>
    </xf>
    <xf numFmtId="1" fontId="48" fillId="35" borderId="51" xfId="0" applyNumberFormat="1" applyFont="1" applyFill="1" applyBorder="1" applyAlignment="1">
      <alignment horizontal="center"/>
    </xf>
    <xf numFmtId="0" fontId="0" fillId="35" borderId="56" xfId="0" applyFill="1" applyBorder="1" applyAlignment="1">
      <alignment horizontal="center"/>
    </xf>
    <xf numFmtId="1" fontId="45" fillId="35" borderId="52" xfId="0" applyNumberFormat="1" applyFont="1" applyFill="1" applyBorder="1" applyAlignment="1">
      <alignment horizontal="center"/>
    </xf>
    <xf numFmtId="0" fontId="0" fillId="35" borderId="52" xfId="0" applyFill="1" applyBorder="1" applyAlignment="1">
      <alignment horizontal="center"/>
    </xf>
    <xf numFmtId="0" fontId="45" fillId="0" borderId="0" xfId="0" applyFont="1" applyProtection="1">
      <protection locked="0"/>
    </xf>
    <xf numFmtId="0" fontId="0" fillId="0" borderId="41" xfId="0" applyBorder="1" applyProtection="1">
      <protection locked="0"/>
    </xf>
    <xf numFmtId="0" fontId="43" fillId="39" borderId="55" xfId="0" applyFont="1" applyFill="1" applyBorder="1" applyAlignment="1" applyProtection="1">
      <alignment horizontal="center"/>
      <protection locked="0"/>
    </xf>
    <xf numFmtId="1" fontId="43" fillId="46" borderId="59" xfId="0" applyNumberFormat="1" applyFont="1" applyFill="1" applyBorder="1" applyAlignment="1" applyProtection="1">
      <alignment horizontal="center"/>
      <protection locked="0"/>
    </xf>
    <xf numFmtId="1" fontId="43" fillId="40" borderId="60" xfId="0" applyNumberFormat="1" applyFont="1" applyFill="1" applyBorder="1" applyAlignment="1" applyProtection="1">
      <alignment horizontal="center"/>
      <protection locked="0"/>
    </xf>
    <xf numFmtId="0" fontId="43" fillId="40" borderId="43" xfId="0" applyFont="1" applyFill="1" applyBorder="1" applyAlignment="1" applyProtection="1">
      <alignment horizontal="center"/>
      <protection locked="0"/>
    </xf>
    <xf numFmtId="0" fontId="0" fillId="42" borderId="0" xfId="0" applyFill="1" applyAlignment="1" applyProtection="1">
      <alignment horizontal="center"/>
      <protection locked="0"/>
    </xf>
    <xf numFmtId="0" fontId="45" fillId="0" borderId="41" xfId="0" applyFont="1" applyBorder="1" applyProtection="1">
      <protection locked="0"/>
    </xf>
    <xf numFmtId="0" fontId="43" fillId="46" borderId="55" xfId="0" applyFont="1" applyFill="1" applyBorder="1" applyAlignment="1" applyProtection="1">
      <alignment horizontal="center"/>
      <protection locked="0"/>
    </xf>
    <xf numFmtId="1" fontId="43" fillId="46" borderId="55" xfId="0" applyNumberFormat="1" applyFont="1" applyFill="1" applyBorder="1" applyAlignment="1" applyProtection="1">
      <alignment horizontal="center"/>
      <protection locked="0"/>
    </xf>
    <xf numFmtId="0" fontId="0" fillId="0" borderId="44" xfId="0" applyBorder="1" applyProtection="1">
      <protection locked="0"/>
    </xf>
    <xf numFmtId="1" fontId="43" fillId="40" borderId="61" xfId="0" applyNumberFormat="1" applyFont="1" applyFill="1" applyBorder="1" applyAlignment="1" applyProtection="1">
      <alignment horizontal="center"/>
      <protection locked="0"/>
    </xf>
    <xf numFmtId="0" fontId="50" fillId="42" borderId="44" xfId="0" applyFont="1" applyFill="1" applyBorder="1" applyAlignment="1" applyProtection="1">
      <alignment horizontal="center"/>
      <protection locked="0"/>
    </xf>
    <xf numFmtId="0" fontId="46" fillId="37" borderId="62" xfId="0" applyFont="1" applyFill="1" applyBorder="1" applyAlignment="1">
      <alignment horizontal="center"/>
    </xf>
    <xf numFmtId="0" fontId="0" fillId="44" borderId="38" xfId="0" applyFill="1" applyBorder="1" applyAlignment="1">
      <alignment horizontal="center"/>
    </xf>
    <xf numFmtId="0" fontId="0" fillId="44" borderId="39" xfId="0" applyFill="1" applyBorder="1" applyAlignment="1">
      <alignment horizontal="center"/>
    </xf>
    <xf numFmtId="0" fontId="0" fillId="42" borderId="63" xfId="0" applyFill="1" applyBorder="1" applyAlignment="1">
      <alignment horizontal="center"/>
    </xf>
    <xf numFmtId="0" fontId="0" fillId="44" borderId="40" xfId="0" applyFill="1" applyBorder="1" applyAlignment="1">
      <alignment horizontal="center"/>
    </xf>
    <xf numFmtId="0" fontId="0" fillId="45" borderId="63" xfId="0" applyFill="1" applyBorder="1" applyAlignment="1">
      <alignment horizontal="center"/>
    </xf>
    <xf numFmtId="0" fontId="45" fillId="0" borderId="0" xfId="0" applyFont="1" applyAlignment="1" applyProtection="1">
      <alignment horizontal="center"/>
      <protection locked="0"/>
    </xf>
    <xf numFmtId="49" fontId="0" fillId="0" borderId="0" xfId="0" applyNumberFormat="1" applyAlignment="1" applyProtection="1">
      <alignment horizontal="center"/>
      <protection locked="0"/>
    </xf>
    <xf numFmtId="0" fontId="0" fillId="0" borderId="0" xfId="0" applyAlignment="1" applyProtection="1">
      <alignment horizontal="center"/>
      <protection locked="0"/>
    </xf>
    <xf numFmtId="0" fontId="50" fillId="0" borderId="0" xfId="0" applyFont="1" applyAlignment="1" applyProtection="1">
      <alignment horizontal="center"/>
      <protection locked="0"/>
    </xf>
    <xf numFmtId="0" fontId="52" fillId="0" borderId="0" xfId="0" applyFont="1" applyAlignment="1" applyProtection="1">
      <alignment horizontal="center"/>
      <protection locked="0"/>
    </xf>
    <xf numFmtId="0" fontId="30" fillId="36" borderId="0" xfId="2" applyFont="1" applyFill="1" applyAlignment="1">
      <alignment horizontal="left" indent="5"/>
    </xf>
    <xf numFmtId="0" fontId="26" fillId="36" borderId="0" xfId="0" applyFont="1" applyFill="1" applyAlignment="1">
      <alignment horizontal="left" vertical="center" indent="5"/>
    </xf>
    <xf numFmtId="0" fontId="0" fillId="0" borderId="40" xfId="0" applyBorder="1"/>
    <xf numFmtId="0" fontId="0" fillId="0" borderId="38" xfId="0" applyBorder="1" applyAlignment="1">
      <alignment horizontal="center"/>
    </xf>
    <xf numFmtId="0" fontId="0" fillId="0" borderId="39" xfId="0" applyBorder="1" applyAlignment="1">
      <alignment horizontal="center"/>
    </xf>
    <xf numFmtId="0" fontId="46" fillId="0" borderId="40" xfId="0" applyFont="1" applyBorder="1" applyAlignment="1">
      <alignment horizontal="center"/>
    </xf>
    <xf numFmtId="0" fontId="53" fillId="36" borderId="0" xfId="2" applyFont="1" applyFill="1" applyAlignment="1">
      <alignment horizontal="left"/>
    </xf>
    <xf numFmtId="0" fontId="42" fillId="33" borderId="0" xfId="0" applyFont="1" applyFill="1" applyAlignment="1">
      <alignment horizontal="left"/>
    </xf>
    <xf numFmtId="0" fontId="16" fillId="33" borderId="0" xfId="0" applyFont="1" applyFill="1"/>
    <xf numFmtId="0" fontId="54" fillId="36" borderId="38" xfId="0" applyFont="1" applyFill="1" applyBorder="1"/>
    <xf numFmtId="0" fontId="55" fillId="36" borderId="39" xfId="0" applyFont="1" applyFill="1" applyBorder="1"/>
    <xf numFmtId="0" fontId="55" fillId="36" borderId="40" xfId="0" applyFont="1" applyFill="1" applyBorder="1"/>
    <xf numFmtId="0" fontId="0" fillId="33" borderId="0" xfId="0" applyFill="1" applyProtection="1">
      <protection locked="0"/>
    </xf>
    <xf numFmtId="0" fontId="45" fillId="33" borderId="0" xfId="0" applyFont="1" applyFill="1" applyProtection="1">
      <protection locked="0"/>
    </xf>
    <xf numFmtId="0" fontId="0" fillId="36" borderId="0" xfId="0" applyFill="1" applyProtection="1">
      <protection locked="0"/>
    </xf>
    <xf numFmtId="0" fontId="0" fillId="33" borderId="64" xfId="0" applyFill="1" applyBorder="1"/>
    <xf numFmtId="0" fontId="46" fillId="33" borderId="64" xfId="0" applyFont="1" applyFill="1" applyBorder="1"/>
    <xf numFmtId="0" fontId="46" fillId="0" borderId="65" xfId="0" applyFont="1" applyBorder="1"/>
    <xf numFmtId="0" fontId="46" fillId="0" borderId="64" xfId="0" applyFont="1" applyBorder="1"/>
    <xf numFmtId="0" fontId="46" fillId="0" borderId="64" xfId="0" applyFont="1" applyBorder="1" applyProtection="1">
      <protection locked="0"/>
    </xf>
    <xf numFmtId="0" fontId="42" fillId="33" borderId="0" xfId="0" applyFont="1" applyFill="1"/>
    <xf numFmtId="10" fontId="0" fillId="0" borderId="0" xfId="0" applyNumberFormat="1"/>
    <xf numFmtId="0" fontId="29" fillId="34" borderId="66" xfId="6" applyFont="1" applyFill="1" applyBorder="1" applyAlignment="1">
      <alignment vertical="center"/>
    </xf>
    <xf numFmtId="0" fontId="29" fillId="34" borderId="67" xfId="6" applyFont="1" applyFill="1" applyBorder="1" applyAlignment="1">
      <alignment vertical="center"/>
    </xf>
    <xf numFmtId="165" fontId="29" fillId="33" borderId="66" xfId="6" applyNumberFormat="1" applyFont="1" applyFill="1" applyBorder="1" applyAlignment="1">
      <alignment horizontal="center" vertical="center"/>
    </xf>
    <xf numFmtId="165" fontId="24" fillId="33" borderId="25" xfId="6" applyNumberFormat="1" applyFont="1" applyFill="1" applyBorder="1" applyAlignment="1">
      <alignment horizontal="center" vertical="center"/>
    </xf>
    <xf numFmtId="166" fontId="24" fillId="33" borderId="25" xfId="6" applyNumberFormat="1" applyFont="1" applyFill="1" applyBorder="1" applyAlignment="1">
      <alignment horizontal="center" vertical="center"/>
    </xf>
    <xf numFmtId="0" fontId="0" fillId="0" borderId="66" xfId="0" applyBorder="1"/>
    <xf numFmtId="0" fontId="0" fillId="0" borderId="66" xfId="0" applyBorder="1" applyProtection="1">
      <protection locked="0"/>
    </xf>
    <xf numFmtId="168" fontId="0" fillId="0" borderId="0" xfId="0" applyNumberFormat="1"/>
    <xf numFmtId="0" fontId="13" fillId="0" borderId="0" xfId="6" applyFont="1"/>
    <xf numFmtId="0" fontId="17" fillId="0" borderId="0" xfId="0" applyFont="1"/>
    <xf numFmtId="0" fontId="0" fillId="35" borderId="13" xfId="0" applyFill="1" applyBorder="1"/>
    <xf numFmtId="0" fontId="29" fillId="35" borderId="69" xfId="6" applyFont="1" applyFill="1" applyBorder="1" applyAlignment="1">
      <alignment vertical="center"/>
    </xf>
    <xf numFmtId="0" fontId="58" fillId="35" borderId="0" xfId="6" applyFont="1" applyFill="1" applyAlignment="1">
      <alignment horizontal="left" vertical="center" indent="5"/>
    </xf>
    <xf numFmtId="0" fontId="31" fillId="35" borderId="0" xfId="0" applyFont="1" applyFill="1"/>
    <xf numFmtId="0" fontId="0" fillId="35" borderId="0" xfId="0" applyFill="1"/>
    <xf numFmtId="0" fontId="0" fillId="35" borderId="14" xfId="0" applyFill="1" applyBorder="1"/>
    <xf numFmtId="0" fontId="29" fillId="35" borderId="70" xfId="6" applyFont="1" applyFill="1" applyBorder="1" applyAlignment="1">
      <alignment vertical="center"/>
    </xf>
    <xf numFmtId="0" fontId="58" fillId="35" borderId="0" xfId="6" applyFont="1" applyFill="1" applyAlignment="1">
      <alignment vertical="center"/>
    </xf>
    <xf numFmtId="0" fontId="29" fillId="35" borderId="68" xfId="6" applyFont="1" applyFill="1" applyBorder="1" applyAlignment="1">
      <alignment vertical="center"/>
    </xf>
    <xf numFmtId="0" fontId="29" fillId="35" borderId="0" xfId="6" applyFont="1" applyFill="1" applyAlignment="1">
      <alignment horizontal="center" vertical="center"/>
    </xf>
    <xf numFmtId="0" fontId="31" fillId="35" borderId="0" xfId="0" quotePrefix="1" applyFont="1" applyFill="1" applyAlignment="1">
      <alignment horizontal="left" vertical="center"/>
    </xf>
    <xf numFmtId="0" fontId="29" fillId="35" borderId="0" xfId="6" applyFont="1" applyFill="1" applyAlignment="1">
      <alignment vertical="center"/>
    </xf>
    <xf numFmtId="0" fontId="20" fillId="35" borderId="0" xfId="6" applyFont="1" applyFill="1"/>
    <xf numFmtId="0" fontId="33" fillId="35" borderId="0" xfId="6" applyFont="1" applyFill="1" applyAlignment="1">
      <alignment vertical="center"/>
    </xf>
    <xf numFmtId="0" fontId="13" fillId="0" borderId="0" xfId="0" applyFont="1" applyAlignment="1">
      <alignment horizontal="center"/>
    </xf>
    <xf numFmtId="11" fontId="16" fillId="0" borderId="0" xfId="0" applyNumberFormat="1" applyFont="1"/>
    <xf numFmtId="0" fontId="33" fillId="35" borderId="11" xfId="3" applyFont="1" applyFill="1" applyBorder="1"/>
    <xf numFmtId="0" fontId="27" fillId="35" borderId="11" xfId="3" applyFont="1" applyFill="1" applyBorder="1"/>
    <xf numFmtId="0" fontId="0" fillId="35" borderId="11" xfId="0" applyFill="1" applyBorder="1"/>
    <xf numFmtId="0" fontId="5" fillId="35" borderId="0" xfId="6" applyFill="1" applyAlignment="1">
      <alignment horizontal="center"/>
    </xf>
    <xf numFmtId="0" fontId="0" fillId="35" borderId="0" xfId="0" applyFill="1" applyAlignment="1">
      <alignment vertical="center"/>
    </xf>
    <xf numFmtId="0" fontId="28" fillId="35" borderId="0" xfId="6" applyFont="1" applyFill="1" applyAlignment="1">
      <alignment horizontal="right"/>
    </xf>
    <xf numFmtId="0" fontId="22" fillId="35" borderId="0" xfId="0" applyFont="1" applyFill="1"/>
    <xf numFmtId="0" fontId="22" fillId="35" borderId="14" xfId="0" applyFont="1" applyFill="1" applyBorder="1"/>
    <xf numFmtId="0" fontId="5" fillId="35" borderId="0" xfId="6" applyFill="1" applyAlignment="1">
      <alignment horizontal="right"/>
    </xf>
    <xf numFmtId="0" fontId="35" fillId="35" borderId="0" xfId="0" applyFont="1" applyFill="1" applyAlignment="1">
      <alignment horizontal="right" vertical="center"/>
    </xf>
    <xf numFmtId="0" fontId="35" fillId="35" borderId="0" xfId="0" applyFont="1" applyFill="1" applyAlignment="1">
      <alignment vertical="center"/>
    </xf>
    <xf numFmtId="0" fontId="0" fillId="35" borderId="14" xfId="0" applyFill="1" applyBorder="1" applyAlignment="1">
      <alignment vertical="center"/>
    </xf>
    <xf numFmtId="0" fontId="56" fillId="35" borderId="0" xfId="0" applyFont="1" applyFill="1"/>
    <xf numFmtId="0" fontId="0" fillId="35" borderId="16" xfId="0" applyFill="1" applyBorder="1"/>
    <xf numFmtId="0" fontId="0" fillId="35" borderId="17" xfId="0" applyFill="1" applyBorder="1"/>
    <xf numFmtId="0" fontId="16" fillId="34" borderId="10" xfId="0" applyFont="1" applyFill="1" applyBorder="1" applyAlignment="1" applyProtection="1">
      <alignment horizontal="center"/>
      <protection locked="0"/>
    </xf>
    <xf numFmtId="9" fontId="16" fillId="34" borderId="10" xfId="1" applyFont="1" applyFill="1" applyBorder="1" applyAlignment="1" applyProtection="1">
      <alignment horizontal="center"/>
      <protection locked="0"/>
    </xf>
    <xf numFmtId="0" fontId="28" fillId="35" borderId="0" xfId="0" applyFont="1" applyFill="1" applyAlignment="1">
      <alignment horizontal="left"/>
    </xf>
    <xf numFmtId="0" fontId="28" fillId="35" borderId="0" xfId="0" applyFont="1" applyFill="1" applyAlignment="1">
      <alignment horizontal="right"/>
    </xf>
    <xf numFmtId="0" fontId="61" fillId="35" borderId="0" xfId="0" applyFont="1" applyFill="1"/>
    <xf numFmtId="0" fontId="61" fillId="35" borderId="0" xfId="0" applyFont="1" applyFill="1" applyAlignment="1">
      <alignment horizontal="left"/>
    </xf>
    <xf numFmtId="0" fontId="62" fillId="35" borderId="0" xfId="0" applyFont="1" applyFill="1"/>
    <xf numFmtId="0" fontId="61" fillId="35" borderId="0" xfId="0" applyFont="1" applyFill="1" applyAlignment="1">
      <alignment vertical="top"/>
    </xf>
    <xf numFmtId="0" fontId="63" fillId="34" borderId="0" xfId="0" quotePrefix="1" applyFont="1" applyFill="1" applyAlignment="1">
      <alignment vertical="center"/>
    </xf>
    <xf numFmtId="0" fontId="63" fillId="34" borderId="14" xfId="0" quotePrefix="1" applyFont="1" applyFill="1" applyBorder="1" applyAlignment="1">
      <alignment vertical="center"/>
    </xf>
    <xf numFmtId="0" fontId="64" fillId="34" borderId="13" xfId="0" applyFont="1" applyFill="1" applyBorder="1" applyAlignment="1">
      <alignment horizontal="right" vertical="center"/>
    </xf>
    <xf numFmtId="0" fontId="13" fillId="36" borderId="14" xfId="0" applyFont="1" applyFill="1" applyBorder="1" applyAlignment="1">
      <alignment horizontal="center" vertical="center"/>
    </xf>
    <xf numFmtId="0" fontId="28" fillId="35" borderId="0" xfId="6" applyFont="1" applyFill="1" applyAlignment="1">
      <alignment horizontal="left"/>
    </xf>
    <xf numFmtId="0" fontId="28" fillId="35" borderId="0" xfId="6" applyFont="1" applyFill="1" applyAlignment="1">
      <alignment horizontal="right" vertical="center"/>
    </xf>
    <xf numFmtId="0" fontId="21" fillId="35" borderId="0" xfId="6" applyFont="1" applyFill="1" applyAlignment="1">
      <alignment horizontal="right" vertical="center"/>
    </xf>
    <xf numFmtId="165" fontId="0" fillId="0" borderId="0" xfId="0" applyNumberFormat="1"/>
    <xf numFmtId="0" fontId="0" fillId="35" borderId="69" xfId="0" applyFill="1" applyBorder="1" applyAlignment="1">
      <alignment vertical="top"/>
    </xf>
    <xf numFmtId="0" fontId="65" fillId="35" borderId="69" xfId="0" applyFont="1" applyFill="1" applyBorder="1" applyAlignment="1">
      <alignment vertical="top"/>
    </xf>
    <xf numFmtId="166" fontId="29" fillId="33" borderId="0" xfId="6" applyNumberFormat="1" applyFont="1" applyFill="1" applyAlignment="1">
      <alignment horizontal="center" vertical="center"/>
    </xf>
    <xf numFmtId="0" fontId="63" fillId="34" borderId="0" xfId="0" quotePrefix="1" applyFont="1" applyFill="1"/>
    <xf numFmtId="2" fontId="29" fillId="33" borderId="24" xfId="6" applyNumberFormat="1" applyFont="1" applyFill="1" applyBorder="1" applyAlignment="1">
      <alignment horizontal="center" vertical="center"/>
    </xf>
    <xf numFmtId="2" fontId="29" fillId="33" borderId="66" xfId="6" applyNumberFormat="1" applyFont="1" applyFill="1" applyBorder="1" applyAlignment="1">
      <alignment horizontal="center" vertical="center"/>
    </xf>
    <xf numFmtId="2" fontId="29" fillId="33" borderId="23" xfId="6" applyNumberFormat="1" applyFont="1" applyFill="1" applyBorder="1" applyAlignment="1">
      <alignment horizontal="center" vertical="center"/>
    </xf>
    <xf numFmtId="0" fontId="28" fillId="35" borderId="0" xfId="6" applyFont="1" applyFill="1" applyAlignment="1">
      <alignment horizontal="left" vertical="center" indent="3"/>
    </xf>
    <xf numFmtId="0" fontId="16" fillId="34" borderId="10" xfId="0" applyFont="1" applyFill="1" applyBorder="1" applyAlignment="1" applyProtection="1">
      <alignment horizontal="center" vertical="center"/>
      <protection locked="0"/>
    </xf>
    <xf numFmtId="0" fontId="16" fillId="33" borderId="10" xfId="0" applyFont="1" applyFill="1" applyBorder="1" applyAlignment="1" applyProtection="1">
      <alignment horizontal="center" vertical="center"/>
      <protection locked="0"/>
    </xf>
    <xf numFmtId="0" fontId="66" fillId="35" borderId="0" xfId="0" applyFont="1" applyFill="1"/>
    <xf numFmtId="0" fontId="65" fillId="35" borderId="0" xfId="6" applyFont="1" applyFill="1" applyAlignment="1">
      <alignment horizontal="right" vertical="center"/>
    </xf>
    <xf numFmtId="165" fontId="16" fillId="34" borderId="10" xfId="0" applyNumberFormat="1" applyFont="1" applyFill="1" applyBorder="1" applyAlignment="1" applyProtection="1">
      <alignment horizontal="center"/>
      <protection locked="0"/>
    </xf>
    <xf numFmtId="0" fontId="67" fillId="35" borderId="0" xfId="0" applyFont="1" applyFill="1" applyAlignment="1">
      <alignment vertical="top"/>
    </xf>
    <xf numFmtId="0" fontId="58" fillId="35" borderId="0" xfId="6" applyFont="1" applyFill="1" applyAlignment="1">
      <alignment horizontal="right" vertical="center"/>
    </xf>
    <xf numFmtId="0" fontId="58" fillId="34" borderId="0" xfId="0" applyFont="1" applyFill="1"/>
    <xf numFmtId="0" fontId="68" fillId="34" borderId="0" xfId="6" applyFont="1" applyFill="1" applyAlignment="1">
      <alignment horizontal="left"/>
    </xf>
    <xf numFmtId="0" fontId="69" fillId="0" borderId="0" xfId="0" applyFont="1"/>
    <xf numFmtId="0" fontId="70" fillId="0" borderId="0" xfId="0" applyFont="1"/>
    <xf numFmtId="0" fontId="72" fillId="34" borderId="0" xfId="0" applyFont="1" applyFill="1" applyAlignment="1">
      <alignment horizontal="right"/>
    </xf>
    <xf numFmtId="0" fontId="71" fillId="34" borderId="0" xfId="0" applyFont="1" applyFill="1" applyAlignment="1">
      <alignment horizontal="left"/>
    </xf>
    <xf numFmtId="0" fontId="74" fillId="34" borderId="69" xfId="0" applyFont="1" applyFill="1" applyBorder="1" applyAlignment="1">
      <alignment horizontal="right"/>
    </xf>
    <xf numFmtId="0" fontId="31" fillId="35" borderId="0" xfId="0" applyFont="1" applyFill="1" applyAlignment="1">
      <alignment vertical="top"/>
    </xf>
    <xf numFmtId="0" fontId="75" fillId="0" borderId="0" xfId="0" applyFont="1" applyAlignment="1">
      <alignment vertical="center"/>
    </xf>
    <xf numFmtId="0" fontId="76" fillId="0" borderId="0" xfId="0" applyFont="1" applyAlignment="1">
      <alignment vertical="center"/>
    </xf>
    <xf numFmtId="0" fontId="77" fillId="0" borderId="0" xfId="0" applyFont="1"/>
    <xf numFmtId="0" fontId="78" fillId="0" borderId="0" xfId="0" applyFont="1"/>
    <xf numFmtId="0" fontId="79" fillId="0" borderId="0" xfId="0" applyFont="1"/>
    <xf numFmtId="0" fontId="78" fillId="0" borderId="0" xfId="0" applyFont="1" applyAlignment="1">
      <alignment vertical="center"/>
    </xf>
    <xf numFmtId="165" fontId="78" fillId="0" borderId="0" xfId="0" applyNumberFormat="1" applyFont="1"/>
    <xf numFmtId="164" fontId="81" fillId="0" borderId="0" xfId="0" applyNumberFormat="1" applyFont="1"/>
    <xf numFmtId="165" fontId="16" fillId="33" borderId="10" xfId="0" applyNumberFormat="1" applyFont="1" applyFill="1" applyBorder="1" applyAlignment="1" applyProtection="1">
      <alignment horizontal="center"/>
      <protection locked="0"/>
    </xf>
    <xf numFmtId="0" fontId="29" fillId="34" borderId="71" xfId="6" applyFont="1" applyFill="1" applyBorder="1" applyAlignment="1">
      <alignment vertical="center"/>
    </xf>
    <xf numFmtId="0" fontId="58" fillId="34" borderId="0" xfId="0" applyFont="1" applyFill="1" applyAlignment="1">
      <alignment horizontal="center"/>
    </xf>
    <xf numFmtId="0" fontId="0" fillId="34" borderId="0" xfId="0" applyFill="1" applyAlignment="1">
      <alignment horizontal="center"/>
    </xf>
    <xf numFmtId="0" fontId="33" fillId="34" borderId="11" xfId="3" applyFont="1" applyFill="1" applyBorder="1" applyAlignment="1">
      <alignment horizontal="left"/>
    </xf>
    <xf numFmtId="0" fontId="58" fillId="33" borderId="0" xfId="0" applyFont="1" applyFill="1"/>
    <xf numFmtId="0" fontId="31" fillId="0" borderId="0" xfId="0" applyFont="1"/>
    <xf numFmtId="0" fontId="83" fillId="33" borderId="0" xfId="0" applyFont="1" applyFill="1" applyAlignment="1">
      <alignment horizontal="center"/>
    </xf>
    <xf numFmtId="0" fontId="28" fillId="34" borderId="0" xfId="6" applyFont="1" applyFill="1" applyAlignment="1">
      <alignment horizontal="left" indent="2"/>
    </xf>
    <xf numFmtId="0" fontId="58" fillId="34" borderId="0" xfId="0" applyFont="1" applyFill="1" applyAlignment="1">
      <alignment horizontal="center" wrapText="1"/>
    </xf>
    <xf numFmtId="0" fontId="58" fillId="34" borderId="73" xfId="0" applyFont="1" applyFill="1" applyBorder="1" applyAlignment="1">
      <alignment horizontal="center"/>
    </xf>
    <xf numFmtId="0" fontId="0" fillId="34" borderId="0" xfId="0" applyFill="1" applyAlignment="1">
      <alignment horizontal="center" vertical="center"/>
    </xf>
    <xf numFmtId="0" fontId="0" fillId="34" borderId="0" xfId="0" applyFill="1" applyAlignment="1">
      <alignment horizontal="left" vertical="center" indent="3"/>
    </xf>
    <xf numFmtId="0" fontId="0" fillId="34" borderId="73" xfId="0" applyFill="1" applyBorder="1" applyAlignment="1">
      <alignment horizontal="center" vertical="center"/>
    </xf>
    <xf numFmtId="0" fontId="31" fillId="33" borderId="0" xfId="0" applyFont="1" applyFill="1"/>
    <xf numFmtId="0" fontId="29" fillId="34" borderId="0" xfId="0" applyFont="1" applyFill="1" applyAlignment="1">
      <alignment horizontal="center" vertical="center"/>
    </xf>
    <xf numFmtId="0" fontId="29" fillId="34" borderId="73" xfId="0" applyFont="1" applyFill="1" applyBorder="1" applyAlignment="1">
      <alignment horizontal="center" vertical="center"/>
    </xf>
    <xf numFmtId="0" fontId="29" fillId="34" borderId="0" xfId="0" applyFont="1" applyFill="1" applyAlignment="1">
      <alignment horizontal="center" vertical="center" wrapText="1"/>
    </xf>
    <xf numFmtId="0" fontId="31" fillId="34" borderId="14" xfId="0" applyFont="1" applyFill="1" applyBorder="1"/>
    <xf numFmtId="2" fontId="50" fillId="42" borderId="41" xfId="0" applyNumberFormat="1" applyFont="1" applyFill="1" applyBorder="1" applyAlignment="1" applyProtection="1">
      <alignment horizontal="center"/>
      <protection locked="0"/>
    </xf>
    <xf numFmtId="2" fontId="50" fillId="42" borderId="48" xfId="0" applyNumberFormat="1" applyFont="1" applyFill="1" applyBorder="1" applyAlignment="1" applyProtection="1">
      <alignment horizontal="center"/>
      <protection locked="0"/>
    </xf>
    <xf numFmtId="1" fontId="50" fillId="42" borderId="48" xfId="0" applyNumberFormat="1" applyFont="1" applyFill="1" applyBorder="1" applyAlignment="1" applyProtection="1">
      <alignment horizontal="center"/>
      <protection locked="0"/>
    </xf>
    <xf numFmtId="1" fontId="43" fillId="42" borderId="38" xfId="0" applyNumberFormat="1" applyFont="1" applyFill="1" applyBorder="1" applyAlignment="1">
      <alignment horizontal="center"/>
    </xf>
    <xf numFmtId="1" fontId="43" fillId="42" borderId="56" xfId="0" applyNumberFormat="1" applyFont="1" applyFill="1" applyBorder="1" applyAlignment="1">
      <alignment horizontal="center"/>
    </xf>
    <xf numFmtId="0" fontId="45" fillId="35" borderId="38" xfId="0" applyFont="1" applyFill="1" applyBorder="1" applyAlignment="1">
      <alignment horizontal="center"/>
    </xf>
    <xf numFmtId="1" fontId="48" fillId="35" borderId="56" xfId="0" applyNumberFormat="1" applyFont="1" applyFill="1" applyBorder="1" applyAlignment="1">
      <alignment horizontal="center"/>
    </xf>
    <xf numFmtId="0" fontId="45" fillId="35" borderId="47" xfId="0" applyFont="1" applyFill="1" applyBorder="1" applyAlignment="1">
      <alignment horizontal="center"/>
    </xf>
    <xf numFmtId="1" fontId="48" fillId="35" borderId="76" xfId="0" applyNumberFormat="1" applyFont="1" applyFill="1" applyBorder="1" applyAlignment="1">
      <alignment horizontal="center"/>
    </xf>
    <xf numFmtId="0" fontId="0" fillId="42" borderId="77" xfId="0" applyFill="1" applyBorder="1" applyAlignment="1" applyProtection="1">
      <alignment horizontal="center"/>
      <protection locked="0"/>
    </xf>
    <xf numFmtId="0" fontId="0" fillId="42" borderId="62" xfId="0" applyFill="1" applyBorder="1" applyAlignment="1">
      <alignment horizontal="center"/>
    </xf>
    <xf numFmtId="0" fontId="0" fillId="45" borderId="41" xfId="0" applyFill="1" applyBorder="1" applyAlignment="1" applyProtection="1">
      <alignment horizontal="center"/>
      <protection locked="0"/>
    </xf>
    <xf numFmtId="0" fontId="0" fillId="45" borderId="75" xfId="0" applyFill="1" applyBorder="1" applyAlignment="1">
      <alignment horizontal="center"/>
    </xf>
    <xf numFmtId="1" fontId="47" fillId="35" borderId="79" xfId="0" applyNumberFormat="1" applyFont="1" applyFill="1" applyBorder="1" applyAlignment="1">
      <alignment horizontal="center"/>
    </xf>
    <xf numFmtId="1" fontId="47" fillId="35" borderId="80" xfId="0" applyNumberFormat="1" applyFont="1" applyFill="1" applyBorder="1" applyAlignment="1">
      <alignment horizontal="center"/>
    </xf>
    <xf numFmtId="0" fontId="0" fillId="47" borderId="81" xfId="0" applyFill="1" applyBorder="1" applyAlignment="1" applyProtection="1">
      <alignment horizontal="center"/>
      <protection locked="0"/>
    </xf>
    <xf numFmtId="0" fontId="0" fillId="47" borderId="78" xfId="0" applyFill="1" applyBorder="1" applyAlignment="1">
      <alignment horizontal="center"/>
    </xf>
    <xf numFmtId="0" fontId="0" fillId="45" borderId="81" xfId="0" applyFill="1" applyBorder="1" applyAlignment="1" applyProtection="1">
      <alignment horizontal="center"/>
      <protection locked="0"/>
    </xf>
    <xf numFmtId="0" fontId="0" fillId="45" borderId="78" xfId="0" applyFill="1" applyBorder="1" applyAlignment="1">
      <alignment horizontal="center"/>
    </xf>
    <xf numFmtId="2" fontId="50" fillId="45" borderId="41" xfId="0" applyNumberFormat="1" applyFont="1" applyFill="1" applyBorder="1" applyAlignment="1" applyProtection="1">
      <alignment horizontal="center"/>
      <protection locked="0"/>
    </xf>
    <xf numFmtId="2" fontId="50" fillId="45" borderId="48" xfId="0" applyNumberFormat="1" applyFont="1" applyFill="1" applyBorder="1" applyAlignment="1" applyProtection="1">
      <alignment horizontal="center"/>
      <protection locked="0"/>
    </xf>
    <xf numFmtId="0" fontId="45" fillId="35" borderId="0" xfId="0" applyFont="1" applyFill="1" applyAlignment="1">
      <alignment horizontal="left"/>
    </xf>
    <xf numFmtId="167" fontId="29" fillId="33" borderId="24" xfId="6" applyNumberFormat="1" applyFont="1" applyFill="1" applyBorder="1" applyAlignment="1">
      <alignment horizontal="center" vertical="center"/>
    </xf>
    <xf numFmtId="167" fontId="29" fillId="33" borderId="23" xfId="6" applyNumberFormat="1" applyFont="1" applyFill="1" applyBorder="1" applyAlignment="1">
      <alignment horizontal="center" vertical="center"/>
    </xf>
    <xf numFmtId="166" fontId="29" fillId="33" borderId="82" xfId="6" applyNumberFormat="1" applyFont="1" applyFill="1" applyBorder="1" applyAlignment="1">
      <alignment horizontal="center" vertical="center"/>
    </xf>
    <xf numFmtId="9" fontId="0" fillId="0" borderId="72" xfId="0" applyNumberFormat="1" applyBorder="1"/>
    <xf numFmtId="0" fontId="0" fillId="0" borderId="72" xfId="0" applyBorder="1"/>
    <xf numFmtId="0" fontId="0" fillId="0" borderId="0" xfId="0" applyAlignment="1">
      <alignment horizontal="center" vertical="center"/>
    </xf>
    <xf numFmtId="0" fontId="0" fillId="0" borderId="73" xfId="0" applyBorder="1" applyAlignment="1">
      <alignment horizontal="center" vertical="center"/>
    </xf>
    <xf numFmtId="165" fontId="0" fillId="0" borderId="0" xfId="0" applyNumberFormat="1" applyAlignment="1">
      <alignment horizontal="center" vertical="center"/>
    </xf>
    <xf numFmtId="9" fontId="0" fillId="0" borderId="0" xfId="0" applyNumberFormat="1" applyAlignment="1">
      <alignment horizontal="center" vertical="center"/>
    </xf>
    <xf numFmtId="10" fontId="0" fillId="0" borderId="0" xfId="0" applyNumberFormat="1" applyAlignment="1">
      <alignment horizontal="center" vertical="center"/>
    </xf>
    <xf numFmtId="2" fontId="0" fillId="0" borderId="0" xfId="0" applyNumberFormat="1" applyAlignment="1">
      <alignment horizontal="center" vertical="center"/>
    </xf>
    <xf numFmtId="164" fontId="0" fillId="0" borderId="0" xfId="0" applyNumberFormat="1" applyAlignment="1">
      <alignment horizontal="center" vertical="center"/>
    </xf>
    <xf numFmtId="10" fontId="0" fillId="0" borderId="0" xfId="1" applyNumberFormat="1" applyFont="1" applyAlignment="1">
      <alignment horizontal="center" vertical="center"/>
    </xf>
    <xf numFmtId="2" fontId="0" fillId="0" borderId="0" xfId="1" applyNumberFormat="1" applyFont="1" applyAlignment="1">
      <alignment horizontal="center" vertical="center"/>
    </xf>
    <xf numFmtId="165" fontId="0" fillId="0" borderId="73" xfId="0" applyNumberFormat="1" applyBorder="1" applyAlignment="1">
      <alignment horizontal="center" vertical="center"/>
    </xf>
    <xf numFmtId="2" fontId="0" fillId="0" borderId="73" xfId="0" applyNumberFormat="1" applyBorder="1" applyAlignment="1">
      <alignment horizontal="center" vertical="center"/>
    </xf>
    <xf numFmtId="164" fontId="0" fillId="0" borderId="73" xfId="0" applyNumberFormat="1" applyBorder="1" applyAlignment="1">
      <alignment horizontal="center" vertical="center"/>
    </xf>
    <xf numFmtId="10" fontId="0" fillId="0" borderId="73" xfId="0" applyNumberFormat="1" applyBorder="1" applyAlignment="1">
      <alignment horizontal="center" vertical="center"/>
    </xf>
    <xf numFmtId="165" fontId="29" fillId="33" borderId="83" xfId="6" applyNumberFormat="1" applyFont="1" applyFill="1" applyBorder="1" applyAlignment="1">
      <alignment horizontal="center" vertical="center"/>
    </xf>
    <xf numFmtId="165" fontId="29" fillId="33" borderId="84" xfId="6" applyNumberFormat="1" applyFont="1" applyFill="1" applyBorder="1" applyAlignment="1">
      <alignment horizontal="center" vertical="center"/>
    </xf>
    <xf numFmtId="0" fontId="60" fillId="34" borderId="86" xfId="6" quotePrefix="1" applyFont="1" applyFill="1" applyBorder="1" applyAlignment="1">
      <alignment vertical="center"/>
    </xf>
    <xf numFmtId="0" fontId="29" fillId="33" borderId="88" xfId="6" applyFont="1" applyFill="1" applyBorder="1" applyAlignment="1">
      <alignment horizontal="center" vertical="center"/>
    </xf>
    <xf numFmtId="0" fontId="29" fillId="33" borderId="89" xfId="6" applyFont="1" applyFill="1" applyBorder="1" applyAlignment="1">
      <alignment horizontal="center" vertical="center"/>
    </xf>
    <xf numFmtId="0" fontId="29" fillId="33" borderId="90" xfId="6" applyFont="1" applyFill="1" applyBorder="1" applyAlignment="1">
      <alignment horizontal="center" vertical="center"/>
    </xf>
    <xf numFmtId="2" fontId="0" fillId="0" borderId="0" xfId="0" applyNumberFormat="1" applyAlignment="1">
      <alignment horizontal="center"/>
    </xf>
    <xf numFmtId="165" fontId="0" fillId="0" borderId="0" xfId="0" applyNumberFormat="1" applyAlignment="1">
      <alignment horizontal="center"/>
    </xf>
    <xf numFmtId="165" fontId="0" fillId="0" borderId="91" xfId="0" applyNumberFormat="1" applyBorder="1" applyAlignment="1">
      <alignment horizontal="center"/>
    </xf>
    <xf numFmtId="2" fontId="0" fillId="0" borderId="91" xfId="0" applyNumberFormat="1" applyBorder="1" applyAlignment="1">
      <alignment horizontal="center"/>
    </xf>
    <xf numFmtId="0" fontId="0" fillId="0" borderId="92" xfId="0" applyBorder="1" applyAlignment="1">
      <alignment horizontal="center" vertical="center"/>
    </xf>
    <xf numFmtId="0" fontId="80" fillId="0" borderId="0" xfId="0" applyFont="1" applyAlignment="1">
      <alignment vertical="center"/>
    </xf>
    <xf numFmtId="0" fontId="80" fillId="0" borderId="0" xfId="0" applyFont="1"/>
    <xf numFmtId="0" fontId="89" fillId="0" borderId="0" xfId="0" applyFont="1"/>
    <xf numFmtId="165" fontId="80" fillId="0" borderId="0" xfId="0" applyNumberFormat="1" applyFont="1"/>
    <xf numFmtId="0" fontId="80" fillId="0" borderId="0" xfId="0" applyFont="1" applyAlignment="1">
      <alignment horizontal="right"/>
    </xf>
    <xf numFmtId="0" fontId="90" fillId="0" borderId="0" xfId="0" applyFont="1" applyAlignment="1">
      <alignment horizontal="left"/>
    </xf>
    <xf numFmtId="0" fontId="90" fillId="0" borderId="0" xfId="0" applyFont="1" applyAlignment="1">
      <alignment horizontal="left" vertical="top" wrapText="1"/>
    </xf>
    <xf numFmtId="0" fontId="80" fillId="0" borderId="0" xfId="0" applyFont="1" applyAlignment="1">
      <alignment horizontal="left"/>
    </xf>
    <xf numFmtId="0" fontId="80" fillId="0" borderId="0" xfId="0" applyFont="1" applyAlignment="1">
      <alignment horizontal="left" vertical="center"/>
    </xf>
    <xf numFmtId="2" fontId="80" fillId="0" borderId="0" xfId="0" applyNumberFormat="1" applyFont="1" applyAlignment="1">
      <alignment horizontal="left" vertical="center"/>
    </xf>
    <xf numFmtId="0" fontId="31" fillId="0" borderId="0" xfId="0" applyFont="1" applyAlignment="1">
      <alignment horizontal="left" vertical="center"/>
    </xf>
    <xf numFmtId="0" fontId="89" fillId="0" borderId="0" xfId="0" applyFont="1" applyAlignment="1">
      <alignment horizontal="left" vertical="center"/>
    </xf>
    <xf numFmtId="0" fontId="78" fillId="0" borderId="0" xfId="0" applyFont="1" applyAlignment="1">
      <alignment horizontal="left" vertical="center"/>
    </xf>
    <xf numFmtId="0" fontId="91" fillId="0" borderId="0" xfId="0" applyFont="1" applyAlignment="1">
      <alignment horizontal="right" vertical="center"/>
    </xf>
    <xf numFmtId="0" fontId="92" fillId="0" borderId="0" xfId="0" applyFont="1"/>
    <xf numFmtId="0" fontId="58" fillId="35" borderId="0" xfId="6" applyFont="1" applyFill="1" applyBorder="1" applyAlignment="1">
      <alignment vertical="center"/>
    </xf>
    <xf numFmtId="0" fontId="31" fillId="35" borderId="0" xfId="0" applyFont="1" applyFill="1" applyAlignment="1">
      <alignment vertical="center"/>
    </xf>
    <xf numFmtId="0" fontId="58" fillId="35" borderId="0" xfId="6" applyFont="1" applyFill="1" applyAlignment="1">
      <alignment horizontal="center" vertical="center"/>
    </xf>
    <xf numFmtId="0" fontId="0" fillId="0" borderId="93" xfId="0" applyBorder="1"/>
    <xf numFmtId="0" fontId="31" fillId="35" borderId="0" xfId="0" applyFont="1" applyFill="1" applyAlignment="1">
      <alignment horizontal="left" vertical="center"/>
    </xf>
    <xf numFmtId="0" fontId="31" fillId="35" borderId="68" xfId="6" applyFont="1" applyFill="1" applyBorder="1" applyAlignment="1">
      <alignment vertical="center"/>
    </xf>
    <xf numFmtId="0" fontId="58" fillId="35" borderId="0" xfId="6" applyFont="1" applyFill="1" applyAlignment="1">
      <alignment horizontal="left" vertical="center"/>
    </xf>
    <xf numFmtId="0" fontId="29" fillId="35" borderId="0" xfId="6" applyFont="1" applyFill="1" applyAlignment="1">
      <alignment horizontal="right" vertical="center"/>
    </xf>
    <xf numFmtId="0" fontId="85" fillId="34" borderId="0" xfId="0" applyFont="1" applyFill="1" applyAlignment="1">
      <alignment horizontal="center" vertical="center" wrapText="1"/>
    </xf>
    <xf numFmtId="0" fontId="0" fillId="0" borderId="73" xfId="0" applyBorder="1" applyAlignment="1">
      <alignment horizontal="center"/>
    </xf>
    <xf numFmtId="0" fontId="16" fillId="34" borderId="0" xfId="0" applyFont="1" applyFill="1" applyAlignment="1">
      <alignment horizontal="center" vertical="center"/>
    </xf>
    <xf numFmtId="0" fontId="16" fillId="34" borderId="72" xfId="0" applyFont="1" applyFill="1" applyBorder="1" applyAlignment="1">
      <alignment vertical="center"/>
    </xf>
    <xf numFmtId="0" fontId="16" fillId="34" borderId="94" xfId="0" applyFont="1" applyFill="1" applyBorder="1" applyAlignment="1">
      <alignment vertical="center"/>
    </xf>
    <xf numFmtId="0" fontId="0" fillId="0" borderId="73" xfId="0" applyBorder="1"/>
    <xf numFmtId="0" fontId="0" fillId="34" borderId="60" xfId="0" applyFill="1" applyBorder="1" applyAlignment="1">
      <alignment horizontal="center" vertical="center"/>
    </xf>
    <xf numFmtId="0" fontId="0" fillId="34" borderId="60" xfId="0" applyFill="1" applyBorder="1"/>
    <xf numFmtId="0" fontId="0" fillId="33" borderId="60" xfId="0" applyFill="1" applyBorder="1"/>
    <xf numFmtId="0" fontId="29" fillId="34" borderId="0" xfId="6" applyFont="1" applyFill="1" applyBorder="1" applyAlignment="1">
      <alignment vertical="center"/>
    </xf>
    <xf numFmtId="0" fontId="82" fillId="33" borderId="25" xfId="6" applyFont="1" applyFill="1" applyBorder="1" applyAlignment="1">
      <alignment horizontal="center" vertical="center"/>
    </xf>
    <xf numFmtId="0" fontId="82" fillId="33" borderId="23" xfId="6" applyFont="1" applyFill="1" applyBorder="1" applyAlignment="1">
      <alignment horizontal="center" vertical="center"/>
    </xf>
    <xf numFmtId="0" fontId="22" fillId="34" borderId="0" xfId="0" applyFont="1" applyFill="1" applyAlignment="1">
      <alignment horizontal="left" vertical="top" indent="3"/>
    </xf>
    <xf numFmtId="0" fontId="0" fillId="0" borderId="91" xfId="0" applyBorder="1" applyAlignment="1">
      <alignment horizontal="center"/>
    </xf>
    <xf numFmtId="0" fontId="3" fillId="0" borderId="95" xfId="3" applyBorder="1"/>
    <xf numFmtId="0" fontId="16" fillId="0" borderId="73" xfId="0" applyFont="1" applyBorder="1"/>
    <xf numFmtId="165" fontId="0" fillId="0" borderId="73" xfId="0" applyNumberFormat="1" applyBorder="1" applyAlignment="1">
      <alignment horizontal="center"/>
    </xf>
    <xf numFmtId="2" fontId="0" fillId="0" borderId="73" xfId="0" applyNumberFormat="1" applyBorder="1" applyAlignment="1">
      <alignment horizontal="center"/>
    </xf>
    <xf numFmtId="9" fontId="0" fillId="0" borderId="0" xfId="1" applyFont="1"/>
    <xf numFmtId="166" fontId="0" fillId="0" borderId="0" xfId="0" applyNumberFormat="1" applyAlignment="1">
      <alignment horizontal="center"/>
    </xf>
    <xf numFmtId="0" fontId="0" fillId="0" borderId="60" xfId="0" applyBorder="1"/>
    <xf numFmtId="0" fontId="3" fillId="0" borderId="95" xfId="3" applyBorder="1" applyAlignment="1">
      <alignment horizontal="right"/>
    </xf>
    <xf numFmtId="0" fontId="58" fillId="35" borderId="0" xfId="6" applyFont="1" applyFill="1" applyAlignment="1">
      <alignment horizontal="left" vertical="center" indent="3"/>
    </xf>
    <xf numFmtId="2" fontId="0" fillId="0" borderId="0" xfId="0" applyNumberFormat="1" applyAlignment="1">
      <alignment horizontal="left"/>
    </xf>
    <xf numFmtId="0" fontId="93" fillId="0" borderId="0" xfId="0" applyFont="1"/>
    <xf numFmtId="0" fontId="31" fillId="34" borderId="0" xfId="0" applyFont="1" applyFill="1" applyAlignment="1">
      <alignment vertical="top" wrapText="1"/>
    </xf>
    <xf numFmtId="0" fontId="31" fillId="34" borderId="14" xfId="0" applyFont="1" applyFill="1" applyBorder="1" applyAlignment="1">
      <alignment vertical="top" wrapText="1"/>
    </xf>
    <xf numFmtId="0" fontId="31" fillId="34" borderId="0" xfId="0" applyFont="1" applyFill="1" applyAlignment="1">
      <alignment vertical="top"/>
    </xf>
    <xf numFmtId="2" fontId="93" fillId="0" borderId="0" xfId="0" applyNumberFormat="1" applyFont="1"/>
    <xf numFmtId="0" fontId="33" fillId="34" borderId="0" xfId="3" applyFont="1" applyFill="1" applyBorder="1" applyAlignment="1"/>
    <xf numFmtId="0" fontId="60" fillId="34" borderId="0" xfId="6" quotePrefix="1" applyFont="1" applyFill="1" applyBorder="1" applyAlignment="1">
      <alignment vertical="center"/>
    </xf>
    <xf numFmtId="0" fontId="29" fillId="35" borderId="0" xfId="6" applyFont="1" applyFill="1" applyBorder="1" applyAlignment="1">
      <alignment vertical="center"/>
    </xf>
    <xf numFmtId="0" fontId="58" fillId="34" borderId="66" xfId="6" applyFont="1" applyFill="1" applyBorder="1" applyAlignment="1">
      <alignment vertical="center"/>
    </xf>
    <xf numFmtId="0" fontId="58" fillId="34" borderId="66" xfId="6" applyFont="1" applyFill="1" applyBorder="1" applyAlignment="1">
      <alignment horizontal="right" vertical="center"/>
    </xf>
    <xf numFmtId="9" fontId="0" fillId="0" borderId="72" xfId="1" applyFont="1" applyBorder="1"/>
    <xf numFmtId="2" fontId="0" fillId="0" borderId="72" xfId="0" applyNumberFormat="1" applyBorder="1"/>
    <xf numFmtId="0" fontId="29" fillId="34" borderId="97" xfId="6" applyFont="1" applyFill="1" applyBorder="1" applyAlignment="1">
      <alignment vertical="center"/>
    </xf>
    <xf numFmtId="0" fontId="29" fillId="34" borderId="98" xfId="6" applyFont="1" applyFill="1" applyBorder="1" applyAlignment="1">
      <alignment vertical="center"/>
    </xf>
    <xf numFmtId="0" fontId="29" fillId="34" borderId="86" xfId="6" applyFont="1" applyFill="1" applyBorder="1" applyAlignment="1">
      <alignment vertical="center"/>
    </xf>
    <xf numFmtId="0" fontId="29" fillId="34" borderId="99" xfId="6" applyFont="1" applyFill="1" applyBorder="1" applyAlignment="1">
      <alignment vertical="center"/>
    </xf>
    <xf numFmtId="0" fontId="29" fillId="34" borderId="69" xfId="6" applyFont="1" applyFill="1" applyBorder="1" applyAlignment="1">
      <alignment vertical="center"/>
    </xf>
    <xf numFmtId="0" fontId="58" fillId="34" borderId="87" xfId="6" applyFont="1" applyFill="1" applyBorder="1" applyAlignment="1">
      <alignment vertical="center"/>
    </xf>
    <xf numFmtId="0" fontId="24" fillId="34" borderId="0" xfId="6" applyFont="1" applyFill="1" applyBorder="1" applyAlignment="1">
      <alignment vertical="center"/>
    </xf>
    <xf numFmtId="0" fontId="29" fillId="34" borderId="100" xfId="6" applyFont="1" applyFill="1" applyBorder="1" applyAlignment="1">
      <alignment vertical="center"/>
    </xf>
    <xf numFmtId="0" fontId="58" fillId="34" borderId="85" xfId="6" applyFont="1" applyFill="1" applyBorder="1" applyAlignment="1">
      <alignment vertical="center"/>
    </xf>
    <xf numFmtId="0" fontId="24" fillId="34" borderId="82" xfId="6" applyFont="1" applyFill="1" applyBorder="1" applyAlignment="1">
      <alignment vertical="center"/>
    </xf>
    <xf numFmtId="0" fontId="58" fillId="34" borderId="71" xfId="6" applyFont="1" applyFill="1" applyBorder="1" applyAlignment="1">
      <alignment vertical="center"/>
    </xf>
    <xf numFmtId="0" fontId="29" fillId="34" borderId="101" xfId="6" applyFont="1" applyFill="1" applyBorder="1" applyAlignment="1">
      <alignment vertical="center"/>
    </xf>
    <xf numFmtId="0" fontId="58" fillId="34" borderId="102" xfId="6" applyFont="1" applyFill="1" applyBorder="1" applyAlignment="1">
      <alignment horizontal="right" vertical="center"/>
    </xf>
    <xf numFmtId="0" fontId="19" fillId="34" borderId="0" xfId="0" applyFont="1" applyFill="1" applyAlignment="1">
      <alignment horizontal="left"/>
    </xf>
    <xf numFmtId="0" fontId="94" fillId="34" borderId="0" xfId="0" applyFont="1" applyFill="1" applyAlignment="1">
      <alignment horizontal="right" vertical="center"/>
    </xf>
    <xf numFmtId="0" fontId="94" fillId="34" borderId="0" xfId="0" applyFont="1" applyFill="1" applyAlignment="1">
      <alignment horizontal="left" vertical="center"/>
    </xf>
    <xf numFmtId="0" fontId="29" fillId="35" borderId="86" xfId="6" applyFont="1" applyFill="1" applyBorder="1" applyAlignment="1">
      <alignment vertical="center"/>
    </xf>
    <xf numFmtId="0" fontId="29" fillId="35" borderId="103" xfId="6" applyFont="1" applyFill="1" applyBorder="1" applyAlignment="1">
      <alignment vertical="center"/>
    </xf>
    <xf numFmtId="0" fontId="22" fillId="34" borderId="0" xfId="0" applyFont="1" applyFill="1" applyAlignment="1">
      <alignment horizontal="center"/>
    </xf>
    <xf numFmtId="2" fontId="0" fillId="0" borderId="0" xfId="0" applyNumberFormat="1" applyAlignment="1">
      <alignment horizontal="left" vertical="center"/>
    </xf>
    <xf numFmtId="0" fontId="22" fillId="0" borderId="0" xfId="0" applyFont="1" applyAlignment="1">
      <alignment horizontal="right" vertical="center"/>
    </xf>
    <xf numFmtId="0" fontId="16" fillId="48" borderId="0" xfId="0" applyFont="1" applyFill="1"/>
    <xf numFmtId="0" fontId="0" fillId="48" borderId="0" xfId="0" applyFill="1"/>
    <xf numFmtId="2" fontId="0" fillId="48" borderId="0" xfId="0" applyNumberFormat="1" applyFill="1"/>
    <xf numFmtId="0" fontId="16" fillId="48" borderId="73" xfId="0" applyFont="1" applyFill="1" applyBorder="1"/>
    <xf numFmtId="0" fontId="0" fillId="48" borderId="73" xfId="0" applyFill="1" applyBorder="1"/>
    <xf numFmtId="11" fontId="0" fillId="48" borderId="0" xfId="0" applyNumberFormat="1" applyFill="1"/>
    <xf numFmtId="0" fontId="95" fillId="34" borderId="14" xfId="0" applyFont="1" applyFill="1" applyBorder="1"/>
    <xf numFmtId="0" fontId="67" fillId="35" borderId="0" xfId="0" applyFont="1" applyFill="1" applyAlignment="1">
      <alignment horizontal="left" vertical="top"/>
    </xf>
    <xf numFmtId="165" fontId="67" fillId="35" borderId="0" xfId="0" applyNumberFormat="1" applyFont="1" applyFill="1" applyAlignment="1">
      <alignment horizontal="left" vertical="center"/>
    </xf>
    <xf numFmtId="1" fontId="16" fillId="33" borderId="10" xfId="1" applyNumberFormat="1" applyFont="1" applyFill="1" applyBorder="1" applyAlignment="1" applyProtection="1">
      <alignment horizontal="center" vertical="center"/>
      <protection locked="0"/>
    </xf>
    <xf numFmtId="0" fontId="0" fillId="34" borderId="86" xfId="0" applyFill="1" applyBorder="1"/>
    <xf numFmtId="0" fontId="96" fillId="34" borderId="0" xfId="0" applyFont="1" applyFill="1" applyAlignment="1">
      <alignment vertical="top"/>
    </xf>
    <xf numFmtId="0" fontId="96" fillId="34" borderId="14" xfId="0" applyFont="1" applyFill="1" applyBorder="1" applyAlignment="1">
      <alignment vertical="top"/>
    </xf>
    <xf numFmtId="0" fontId="28" fillId="35" borderId="0" xfId="6" applyFont="1" applyFill="1" applyAlignment="1">
      <alignment horizontal="center" vertical="center"/>
    </xf>
    <xf numFmtId="0" fontId="21" fillId="35" borderId="0" xfId="0" applyFont="1" applyFill="1" applyAlignment="1">
      <alignment vertical="center"/>
    </xf>
    <xf numFmtId="0" fontId="58" fillId="35" borderId="68" xfId="6" applyFont="1" applyFill="1" applyBorder="1" applyAlignment="1">
      <alignment horizontal="left" vertical="center"/>
    </xf>
    <xf numFmtId="0" fontId="58" fillId="35" borderId="68" xfId="6" applyFont="1" applyFill="1" applyBorder="1" applyAlignment="1">
      <alignment horizontal="right" vertical="center"/>
    </xf>
    <xf numFmtId="0" fontId="19" fillId="34" borderId="0" xfId="0" applyFont="1" applyFill="1" applyAlignment="1">
      <alignment horizontal="right"/>
    </xf>
    <xf numFmtId="165" fontId="43" fillId="39" borderId="0" xfId="0" applyNumberFormat="1" applyFont="1" applyFill="1" applyAlignment="1" applyProtection="1">
      <alignment horizontal="center"/>
      <protection locked="0"/>
    </xf>
    <xf numFmtId="0" fontId="99" fillId="0" borderId="0" xfId="0" applyFont="1" applyAlignment="1">
      <alignment horizontal="right"/>
    </xf>
    <xf numFmtId="169" fontId="0" fillId="34" borderId="0" xfId="0" applyNumberFormat="1" applyFill="1" applyAlignment="1">
      <alignment horizontal="center" vertical="center"/>
    </xf>
    <xf numFmtId="0" fontId="58" fillId="34" borderId="104" xfId="0" applyFont="1" applyFill="1" applyBorder="1" applyAlignment="1">
      <alignment horizontal="center" wrapText="1"/>
    </xf>
    <xf numFmtId="0" fontId="58" fillId="34" borderId="105" xfId="0" applyFont="1" applyFill="1" applyBorder="1" applyAlignment="1">
      <alignment horizontal="center" wrapText="1"/>
    </xf>
    <xf numFmtId="0" fontId="0" fillId="34" borderId="72" xfId="0" applyFill="1" applyBorder="1"/>
    <xf numFmtId="0" fontId="0" fillId="0" borderId="106" xfId="0" applyBorder="1"/>
    <xf numFmtId="0" fontId="0" fillId="0" borderId="106" xfId="0" applyBorder="1" applyProtection="1">
      <protection locked="0"/>
    </xf>
    <xf numFmtId="0" fontId="88" fillId="34" borderId="68" xfId="3" applyFont="1" applyFill="1" applyBorder="1" applyAlignment="1">
      <alignment vertical="center"/>
    </xf>
    <xf numFmtId="0" fontId="65" fillId="35" borderId="0" xfId="6" applyFont="1" applyFill="1" applyAlignment="1">
      <alignment horizontal="left" vertical="center" indent="3"/>
    </xf>
    <xf numFmtId="0" fontId="0" fillId="43" borderId="0" xfId="0" applyFill="1" applyAlignment="1">
      <alignment horizontal="center"/>
    </xf>
    <xf numFmtId="0" fontId="0" fillId="43" borderId="45" xfId="0" applyFill="1" applyBorder="1" applyAlignment="1">
      <alignment horizontal="center"/>
    </xf>
    <xf numFmtId="1" fontId="40" fillId="45" borderId="40" xfId="0" applyNumberFormat="1" applyFont="1" applyFill="1" applyBorder="1" applyAlignment="1">
      <alignment horizontal="center"/>
    </xf>
    <xf numFmtId="1" fontId="40" fillId="45" borderId="52" xfId="0" applyNumberFormat="1" applyFont="1" applyFill="1" applyBorder="1" applyAlignment="1">
      <alignment horizontal="center"/>
    </xf>
    <xf numFmtId="1" fontId="43" fillId="45" borderId="39" xfId="0" applyNumberFormat="1" applyFont="1" applyFill="1" applyBorder="1" applyAlignment="1">
      <alignment horizontal="center"/>
    </xf>
    <xf numFmtId="1" fontId="43" fillId="45" borderId="51" xfId="0" applyNumberFormat="1" applyFont="1" applyFill="1" applyBorder="1" applyAlignment="1">
      <alignment horizontal="center"/>
    </xf>
    <xf numFmtId="0" fontId="45" fillId="38" borderId="39" xfId="0" applyFont="1" applyFill="1" applyBorder="1" applyAlignment="1">
      <alignment horizontal="center"/>
    </xf>
    <xf numFmtId="0" fontId="45" fillId="38" borderId="45" xfId="0" applyFont="1" applyFill="1" applyBorder="1" applyAlignment="1">
      <alignment horizontal="center"/>
    </xf>
    <xf numFmtId="0" fontId="0" fillId="49" borderId="0" xfId="0" applyFill="1" applyAlignment="1" applyProtection="1">
      <alignment horizontal="center"/>
      <protection locked="0"/>
    </xf>
    <xf numFmtId="0" fontId="48" fillId="35" borderId="47" xfId="0" applyFont="1" applyFill="1" applyBorder="1" applyAlignment="1">
      <alignment horizontal="center"/>
    </xf>
    <xf numFmtId="0" fontId="48" fillId="35" borderId="76" xfId="0" applyFont="1" applyFill="1" applyBorder="1" applyAlignment="1">
      <alignment horizontal="center"/>
    </xf>
    <xf numFmtId="0" fontId="51" fillId="0" borderId="77" xfId="0" applyFont="1" applyBorder="1" applyAlignment="1" applyProtection="1">
      <alignment horizontal="center"/>
      <protection locked="0"/>
    </xf>
    <xf numFmtId="0" fontId="51" fillId="0" borderId="50" xfId="0" applyFont="1" applyBorder="1" applyAlignment="1" applyProtection="1">
      <alignment horizontal="center"/>
      <protection locked="0"/>
    </xf>
    <xf numFmtId="0" fontId="102" fillId="33" borderId="27" xfId="0" applyFont="1" applyFill="1" applyBorder="1" applyAlignment="1">
      <alignment horizontal="center" vertical="center"/>
    </xf>
    <xf numFmtId="0" fontId="102" fillId="35" borderId="27" xfId="0" applyFont="1" applyFill="1" applyBorder="1" applyAlignment="1">
      <alignment horizontal="center" vertical="center"/>
    </xf>
    <xf numFmtId="0" fontId="103" fillId="33" borderId="27" xfId="0" applyFont="1" applyFill="1" applyBorder="1" applyAlignment="1">
      <alignment horizontal="center" vertical="center"/>
    </xf>
    <xf numFmtId="0" fontId="0" fillId="35" borderId="68" xfId="0" applyFill="1" applyBorder="1"/>
    <xf numFmtId="0" fontId="0" fillId="35" borderId="0" xfId="0" applyFill="1" applyAlignment="1">
      <alignment horizontal="center" vertical="center"/>
    </xf>
    <xf numFmtId="0" fontId="31" fillId="34" borderId="0" xfId="0" applyFont="1" applyFill="1" applyAlignment="1">
      <alignment horizontal="left" vertical="center" indent="1"/>
    </xf>
    <xf numFmtId="0" fontId="63" fillId="34" borderId="0" xfId="0" quotePrefix="1" applyFont="1" applyFill="1" applyAlignment="1">
      <alignment horizontal="left" indent="1"/>
    </xf>
    <xf numFmtId="0" fontId="63" fillId="34" borderId="82" xfId="0" quotePrefix="1" applyFont="1" applyFill="1" applyBorder="1" applyAlignment="1">
      <alignment horizontal="left" vertical="center" indent="1"/>
    </xf>
    <xf numFmtId="0" fontId="31" fillId="34" borderId="82" xfId="0" applyFont="1" applyFill="1" applyBorder="1" applyAlignment="1">
      <alignment horizontal="left" vertical="center" indent="1"/>
    </xf>
    <xf numFmtId="0" fontId="31" fillId="34" borderId="0" xfId="0" applyFont="1" applyFill="1" applyAlignment="1">
      <alignment horizontal="left" indent="1"/>
    </xf>
    <xf numFmtId="0" fontId="104" fillId="34" borderId="0" xfId="0" applyFont="1" applyFill="1" applyAlignment="1">
      <alignment horizontal="center" vertical="center"/>
    </xf>
    <xf numFmtId="0" fontId="0" fillId="34" borderId="0" xfId="0" applyFill="1" applyAlignment="1">
      <alignment vertical="center"/>
    </xf>
    <xf numFmtId="0" fontId="0" fillId="34" borderId="14" xfId="0" applyFill="1" applyBorder="1" applyAlignment="1">
      <alignment vertical="center"/>
    </xf>
    <xf numFmtId="0" fontId="98" fillId="34" borderId="0" xfId="0" applyFont="1" applyFill="1" applyAlignment="1">
      <alignment horizontal="left" vertical="center"/>
    </xf>
    <xf numFmtId="0" fontId="0" fillId="34" borderId="0" xfId="0" applyFill="1" applyAlignment="1">
      <alignment horizontal="left"/>
    </xf>
    <xf numFmtId="0" fontId="28" fillId="34" borderId="0" xfId="0" applyFont="1" applyFill="1" applyAlignment="1">
      <alignment horizontal="right"/>
    </xf>
    <xf numFmtId="0" fontId="19" fillId="34" borderId="0" xfId="0" applyFont="1" applyFill="1" applyAlignment="1">
      <alignment horizontal="left" vertical="center"/>
    </xf>
    <xf numFmtId="0" fontId="28" fillId="34" borderId="0" xfId="6" applyFont="1" applyFill="1" applyAlignment="1">
      <alignment horizontal="left" vertical="top" indent="2"/>
    </xf>
    <xf numFmtId="0" fontId="22" fillId="34" borderId="0" xfId="0" applyFont="1" applyFill="1" applyAlignment="1">
      <alignment horizontal="left" indent="1"/>
    </xf>
    <xf numFmtId="0" fontId="73" fillId="34" borderId="0" xfId="0" applyFont="1" applyFill="1" applyAlignment="1" applyProtection="1">
      <alignment horizontal="left"/>
      <protection locked="0"/>
    </xf>
    <xf numFmtId="0" fontId="28" fillId="35" borderId="0" xfId="0" applyFont="1" applyFill="1" applyAlignment="1">
      <alignment horizontal="left" vertical="center"/>
    </xf>
    <xf numFmtId="0" fontId="38" fillId="36" borderId="12" xfId="0" applyFont="1" applyFill="1" applyBorder="1" applyAlignment="1">
      <alignment vertical="center"/>
    </xf>
    <xf numFmtId="0" fontId="94" fillId="34" borderId="0" xfId="0" applyFont="1" applyFill="1" applyAlignment="1">
      <alignment horizontal="right" vertical="top"/>
    </xf>
    <xf numFmtId="0" fontId="94" fillId="34" borderId="0" xfId="0" applyFont="1" applyFill="1" applyAlignment="1">
      <alignment horizontal="left" vertical="top"/>
    </xf>
    <xf numFmtId="9" fontId="0" fillId="0" borderId="0" xfId="1" applyFont="1" applyAlignment="1">
      <alignment horizontal="right"/>
    </xf>
    <xf numFmtId="0" fontId="0" fillId="0" borderId="0" xfId="0" applyAlignment="1">
      <alignment horizontal="left"/>
    </xf>
    <xf numFmtId="0" fontId="106" fillId="0" borderId="0" xfId="0" applyFont="1" applyAlignment="1">
      <alignment horizontal="left" wrapText="1"/>
    </xf>
    <xf numFmtId="0" fontId="105" fillId="34" borderId="0" xfId="0" applyFont="1" applyFill="1" applyAlignment="1">
      <alignment horizontal="left" vertical="center" indent="1"/>
    </xf>
    <xf numFmtId="0" fontId="65" fillId="34" borderId="0" xfId="6" applyFont="1" applyFill="1" applyAlignment="1">
      <alignment horizontal="left" indent="3"/>
    </xf>
    <xf numFmtId="0" fontId="31" fillId="34" borderId="82" xfId="0" applyFont="1" applyFill="1" applyBorder="1" applyAlignment="1">
      <alignment vertical="top" wrapText="1"/>
    </xf>
    <xf numFmtId="0" fontId="0" fillId="0" borderId="108" xfId="0" applyBorder="1"/>
    <xf numFmtId="0" fontId="85" fillId="34" borderId="109" xfId="3" applyFont="1" applyFill="1" applyBorder="1" applyAlignment="1">
      <alignment horizontal="left"/>
    </xf>
    <xf numFmtId="0" fontId="33" fillId="34" borderId="109" xfId="3" applyFont="1" applyFill="1" applyBorder="1" applyAlignment="1">
      <alignment horizontal="left"/>
    </xf>
    <xf numFmtId="0" fontId="107" fillId="34" borderId="0" xfId="0" applyFont="1" applyFill="1" applyAlignment="1">
      <alignment horizontal="center"/>
    </xf>
    <xf numFmtId="0" fontId="85" fillId="34" borderId="0" xfId="3" applyFont="1" applyFill="1" applyBorder="1" applyAlignment="1">
      <alignment horizontal="left"/>
    </xf>
    <xf numFmtId="0" fontId="107" fillId="34" borderId="0" xfId="0" applyFont="1" applyFill="1"/>
    <xf numFmtId="0" fontId="68" fillId="34" borderId="0" xfId="6" applyFont="1" applyFill="1" applyBorder="1" applyAlignment="1">
      <alignment horizontal="left"/>
    </xf>
    <xf numFmtId="0" fontId="18" fillId="34" borderId="0" xfId="0" applyFont="1" applyFill="1" applyAlignment="1">
      <alignment horizontal="right" vertical="center"/>
    </xf>
    <xf numFmtId="0" fontId="58" fillId="34" borderId="0" xfId="0" applyFont="1" applyFill="1" applyAlignment="1">
      <alignment horizontal="left" vertical="center"/>
    </xf>
    <xf numFmtId="0" fontId="58" fillId="34" borderId="0" xfId="0" applyFont="1" applyFill="1" applyAlignment="1">
      <alignment vertical="center"/>
    </xf>
    <xf numFmtId="0" fontId="33" fillId="34" borderId="0" xfId="3" applyFont="1" applyFill="1" applyBorder="1" applyAlignment="1">
      <alignment horizontal="left"/>
    </xf>
    <xf numFmtId="0" fontId="65" fillId="34" borderId="0" xfId="0" applyFont="1" applyFill="1" applyAlignment="1">
      <alignment horizontal="left"/>
    </xf>
    <xf numFmtId="0" fontId="65" fillId="35" borderId="0" xfId="0" applyFont="1" applyFill="1" applyAlignment="1">
      <alignment horizontal="right"/>
    </xf>
    <xf numFmtId="0" fontId="0" fillId="45" borderId="110" xfId="0" applyFill="1" applyBorder="1" applyAlignment="1">
      <alignment horizontal="center"/>
    </xf>
    <xf numFmtId="0" fontId="0" fillId="34" borderId="86" xfId="0" applyFill="1" applyBorder="1" applyAlignment="1" applyProtection="1">
      <alignment horizontal="center" vertical="center"/>
      <protection locked="0"/>
    </xf>
    <xf numFmtId="0" fontId="0" fillId="34" borderId="0" xfId="0" applyFill="1" applyAlignment="1" applyProtection="1">
      <alignment horizontal="center" vertical="center"/>
      <protection locked="0"/>
    </xf>
    <xf numFmtId="0" fontId="0" fillId="34" borderId="69" xfId="0" applyFill="1" applyBorder="1" applyAlignment="1" applyProtection="1">
      <alignment horizontal="center" vertical="center"/>
      <protection locked="0"/>
    </xf>
    <xf numFmtId="0" fontId="0" fillId="34" borderId="86" xfId="0" applyFill="1" applyBorder="1" applyAlignment="1" applyProtection="1">
      <alignment horizontal="center" vertical="center" wrapText="1"/>
      <protection locked="0"/>
    </xf>
    <xf numFmtId="0" fontId="0" fillId="34" borderId="0" xfId="0" applyFill="1" applyAlignment="1" applyProtection="1">
      <alignment horizontal="center" vertical="center" wrapText="1"/>
      <protection locked="0"/>
    </xf>
    <xf numFmtId="0" fontId="0" fillId="34" borderId="69" xfId="0" applyFill="1" applyBorder="1" applyAlignment="1" applyProtection="1">
      <alignment horizontal="center" vertical="center" wrapText="1"/>
      <protection locked="0"/>
    </xf>
    <xf numFmtId="0" fontId="28" fillId="0" borderId="0" xfId="6" quotePrefix="1" applyFont="1" applyAlignment="1">
      <alignment horizontal="left"/>
    </xf>
    <xf numFmtId="0" fontId="28" fillId="0" borderId="0" xfId="6" applyFont="1" applyAlignment="1">
      <alignment horizontal="left"/>
    </xf>
    <xf numFmtId="0" fontId="28" fillId="0" borderId="0" xfId="6" applyFont="1" applyAlignment="1">
      <alignment horizontal="right"/>
    </xf>
    <xf numFmtId="0" fontId="28" fillId="35" borderId="0" xfId="6" applyFont="1" applyFill="1" applyAlignment="1">
      <alignment horizontal="right"/>
    </xf>
    <xf numFmtId="0" fontId="28" fillId="35" borderId="28" xfId="6" applyFont="1" applyFill="1" applyBorder="1" applyAlignment="1">
      <alignment horizontal="right"/>
    </xf>
    <xf numFmtId="0" fontId="27" fillId="34" borderId="0" xfId="3" applyFont="1" applyFill="1" applyBorder="1" applyAlignment="1">
      <alignment horizontal="left"/>
    </xf>
    <xf numFmtId="0" fontId="28" fillId="35" borderId="0" xfId="0" applyFont="1" applyFill="1" applyAlignment="1">
      <alignment horizontal="center" vertical="center"/>
    </xf>
    <xf numFmtId="0" fontId="97" fillId="35" borderId="0" xfId="0" applyFont="1" applyFill="1" applyAlignment="1">
      <alignment horizontal="left" vertical="top"/>
    </xf>
    <xf numFmtId="0" fontId="19" fillId="34" borderId="0" xfId="6" applyFont="1" applyFill="1" applyAlignment="1">
      <alignment horizontal="left" indent="4"/>
    </xf>
    <xf numFmtId="0" fontId="31" fillId="34" borderId="82" xfId="0" applyFont="1" applyFill="1" applyBorder="1" applyAlignment="1">
      <alignment horizontal="left" vertical="top" wrapText="1" indent="1"/>
    </xf>
    <xf numFmtId="0" fontId="31" fillId="34" borderId="0" xfId="0" applyFont="1" applyFill="1" applyAlignment="1">
      <alignment horizontal="left" vertical="top" wrapText="1" indent="1"/>
    </xf>
    <xf numFmtId="0" fontId="31" fillId="34" borderId="82" xfId="0" applyFont="1" applyFill="1" applyBorder="1" applyAlignment="1">
      <alignment horizontal="left" vertical="center" indent="1"/>
    </xf>
    <xf numFmtId="0" fontId="31" fillId="34" borderId="0" xfId="0" applyFont="1" applyFill="1" applyAlignment="1">
      <alignment horizontal="left" vertical="center" indent="1"/>
    </xf>
    <xf numFmtId="0" fontId="31" fillId="34" borderId="82" xfId="0" quotePrefix="1" applyFont="1" applyFill="1" applyBorder="1" applyAlignment="1">
      <alignment horizontal="left" vertical="center" wrapText="1" indent="1"/>
    </xf>
    <xf numFmtId="0" fontId="31" fillId="34" borderId="0" xfId="0" quotePrefix="1" applyFont="1" applyFill="1" applyAlignment="1">
      <alignment horizontal="left" vertical="center" wrapText="1" indent="1"/>
    </xf>
    <xf numFmtId="0" fontId="38" fillId="36" borderId="12" xfId="0" applyFont="1" applyFill="1" applyBorder="1" applyAlignment="1">
      <alignment horizontal="center" vertical="center"/>
    </xf>
    <xf numFmtId="0" fontId="38" fillId="36" borderId="29" xfId="0" applyFont="1" applyFill="1" applyBorder="1" applyAlignment="1">
      <alignment horizontal="center" vertical="center"/>
    </xf>
    <xf numFmtId="0" fontId="73" fillId="34" borderId="69" xfId="0" applyFont="1" applyFill="1" applyBorder="1" applyAlignment="1" applyProtection="1">
      <alignment horizontal="left"/>
      <protection locked="0"/>
    </xf>
    <xf numFmtId="0" fontId="39" fillId="36" borderId="12" xfId="43" applyFont="1" applyFill="1" applyBorder="1" applyAlignment="1">
      <alignment horizontal="center" vertical="center"/>
    </xf>
    <xf numFmtId="0" fontId="33" fillId="34" borderId="11" xfId="3" applyFont="1" applyFill="1" applyBorder="1" applyAlignment="1">
      <alignment horizontal="left"/>
    </xf>
    <xf numFmtId="0" fontId="29" fillId="35" borderId="0" xfId="6" applyFont="1" applyFill="1" applyAlignment="1" applyProtection="1">
      <alignment horizontal="center" vertical="center"/>
      <protection locked="0"/>
    </xf>
    <xf numFmtId="0" fontId="58" fillId="35" borderId="68" xfId="6" applyFont="1" applyFill="1" applyBorder="1" applyAlignment="1">
      <alignment horizontal="left" vertical="center" wrapText="1"/>
    </xf>
    <xf numFmtId="0" fontId="85" fillId="34" borderId="68" xfId="3" applyFont="1" applyFill="1" applyBorder="1" applyAlignment="1">
      <alignment horizontal="left" vertical="center"/>
    </xf>
    <xf numFmtId="0" fontId="85" fillId="34" borderId="107" xfId="3" applyFont="1" applyFill="1" applyBorder="1" applyAlignment="1">
      <alignment horizontal="left" vertical="center"/>
    </xf>
    <xf numFmtId="0" fontId="0" fillId="0" borderId="73" xfId="0" applyBorder="1" applyAlignment="1">
      <alignment horizontal="center"/>
    </xf>
    <xf numFmtId="0" fontId="0" fillId="0" borderId="0" xfId="0" applyAlignment="1">
      <alignment horizontal="center"/>
    </xf>
    <xf numFmtId="0" fontId="0" fillId="0" borderId="96" xfId="0" applyBorder="1" applyAlignment="1">
      <alignment horizontal="center"/>
    </xf>
    <xf numFmtId="0" fontId="0" fillId="0" borderId="91" xfId="0" applyBorder="1" applyAlignment="1">
      <alignment horizontal="center"/>
    </xf>
    <xf numFmtId="0" fontId="0" fillId="0" borderId="60" xfId="0" applyBorder="1" applyAlignment="1">
      <alignment horizontal="center"/>
    </xf>
    <xf numFmtId="0" fontId="58" fillId="34" borderId="0" xfId="0" applyFont="1" applyFill="1" applyAlignment="1" applyProtection="1">
      <alignment horizontal="left" vertical="top" wrapText="1"/>
      <protection locked="0"/>
    </xf>
    <xf numFmtId="0" fontId="107" fillId="34" borderId="0" xfId="0" applyFont="1" applyFill="1" applyAlignment="1">
      <alignment horizontal="center"/>
    </xf>
    <xf numFmtId="0" fontId="1" fillId="34" borderId="0" xfId="6" applyFont="1" applyFill="1" applyAlignment="1"/>
    <xf numFmtId="0" fontId="16" fillId="34" borderId="73" xfId="0" applyFont="1" applyFill="1" applyBorder="1" applyAlignment="1">
      <alignment horizontal="center" vertical="center"/>
    </xf>
    <xf numFmtId="0" fontId="16" fillId="34" borderId="0" xfId="0" applyFont="1" applyFill="1" applyAlignment="1">
      <alignment horizontal="center" vertical="center"/>
    </xf>
    <xf numFmtId="0" fontId="84" fillId="33" borderId="0" xfId="0" applyFont="1" applyFill="1" applyAlignment="1">
      <alignment horizontal="center"/>
    </xf>
    <xf numFmtId="0" fontId="85" fillId="34" borderId="0" xfId="0" applyFont="1" applyFill="1" applyAlignment="1">
      <alignment horizontal="center" vertical="center" wrapText="1"/>
    </xf>
    <xf numFmtId="0" fontId="16" fillId="34" borderId="72" xfId="0" applyFont="1" applyFill="1" applyBorder="1" applyAlignment="1">
      <alignment horizontal="center" vertical="center"/>
    </xf>
    <xf numFmtId="0" fontId="16" fillId="34" borderId="74" xfId="0" applyFont="1" applyFill="1" applyBorder="1" applyAlignment="1">
      <alignment horizontal="center" vertical="center"/>
    </xf>
    <xf numFmtId="0" fontId="106" fillId="0" borderId="0" xfId="0" applyFont="1" applyAlignment="1">
      <alignment horizontal="left" wrapText="1"/>
    </xf>
    <xf numFmtId="0" fontId="80" fillId="0" borderId="0" xfId="0" applyFont="1" applyAlignment="1">
      <alignment horizontal="left" vertical="center" wrapText="1"/>
    </xf>
    <xf numFmtId="0" fontId="80" fillId="0" borderId="0" xfId="0" applyFont="1" applyAlignment="1" applyProtection="1">
      <alignment vertical="center"/>
      <protection locked="0"/>
    </xf>
    <xf numFmtId="0" fontId="90" fillId="0" borderId="0" xfId="0" applyFont="1" applyAlignment="1">
      <alignment horizontal="left" vertical="top" wrapText="1"/>
    </xf>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43"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36">
    <dxf>
      <font>
        <color rgb="FFC00000"/>
      </font>
    </dxf>
    <dxf>
      <font>
        <color rgb="FFC00000"/>
      </font>
    </dxf>
    <dxf>
      <font>
        <color theme="5" tint="0.79998168889431442"/>
        <name val="Cambria"/>
        <scheme val="none"/>
      </font>
    </dxf>
    <dxf>
      <font>
        <b/>
        <i val="0"/>
        <condense val="0"/>
        <extend val="0"/>
      </font>
    </dxf>
    <dxf>
      <font>
        <b/>
        <i val="0"/>
      </font>
      <fill>
        <patternFill>
          <bgColor rgb="FFFF0000"/>
        </patternFill>
      </fill>
    </dxf>
    <dxf>
      <font>
        <color theme="5" tint="0.79998168889431442"/>
        <name val="Cambria"/>
        <scheme val="none"/>
      </font>
    </dxf>
    <dxf>
      <font>
        <b/>
        <i val="0"/>
        <condense val="0"/>
        <extend val="0"/>
      </font>
    </dxf>
    <dxf>
      <font>
        <color theme="1"/>
        <name val="Cambria"/>
        <scheme val="none"/>
      </font>
      <fill>
        <patternFill patternType="solid">
          <bgColor rgb="FF00B0F0"/>
        </patternFill>
      </fill>
    </dxf>
    <dxf>
      <font>
        <color theme="1"/>
        <name val="Cambria"/>
        <scheme val="none"/>
      </font>
      <fill>
        <patternFill patternType="solid">
          <bgColor rgb="FF00B0F0"/>
        </patternFill>
      </fill>
    </dxf>
    <dxf>
      <font>
        <color theme="7" tint="-0.24994659260841701"/>
        <name val="Cambria"/>
        <scheme val="none"/>
      </font>
      <fill>
        <patternFill patternType="solid">
          <bgColor rgb="FFFFFFCC"/>
        </patternFill>
      </fill>
    </dxf>
    <dxf>
      <font>
        <color theme="9" tint="-0.24994659260841701"/>
      </font>
      <fill>
        <patternFill patternType="solid">
          <bgColor rgb="FFFFFFCC"/>
        </patternFill>
      </fill>
    </dxf>
    <dxf>
      <font>
        <b/>
        <i val="0"/>
        <color theme="1"/>
        <name val="Cambria"/>
        <scheme val="none"/>
      </font>
      <numFmt numFmtId="13" formatCode="0%"/>
      <fill>
        <patternFill patternType="solid">
          <bgColor rgb="FF92D050"/>
        </patternFill>
      </fill>
    </dxf>
    <dxf>
      <font>
        <color theme="1" tint="0.34998626667073579"/>
      </font>
    </dxf>
    <dxf>
      <font>
        <color theme="0" tint="-0.14996795556505021"/>
      </font>
    </dxf>
    <dxf>
      <font>
        <color theme="0" tint="-0.14996795556505021"/>
      </font>
    </dxf>
    <dxf>
      <fill>
        <patternFill>
          <bgColor theme="0" tint="-0.14996795556505021"/>
        </patternFill>
      </fill>
    </dxf>
    <dxf>
      <font>
        <color theme="1" tint="0.34998626667073579"/>
      </font>
      <fill>
        <patternFill>
          <bgColor theme="1" tint="0.499984740745262"/>
        </patternFill>
      </fill>
      <border>
        <left style="thin">
          <color auto="1"/>
        </left>
        <right style="thin">
          <color auto="1"/>
        </right>
        <top style="thin">
          <color auto="1"/>
        </top>
        <bottom style="thin">
          <color auto="1"/>
        </bottom>
        <vertical/>
        <horizontal/>
      </border>
    </dxf>
    <dxf>
      <font>
        <color rgb="FFC00000"/>
      </font>
    </dxf>
    <dxf>
      <font>
        <color theme="1" tint="0.34998626667073579"/>
      </font>
      <fill>
        <patternFill>
          <bgColor theme="1" tint="0.499984740745262"/>
        </patternFill>
      </fill>
      <border>
        <left style="thin">
          <color auto="1"/>
        </left>
        <right style="thin">
          <color auto="1"/>
        </right>
        <top style="thin">
          <color auto="1"/>
        </top>
        <bottom style="thin">
          <color auto="1"/>
        </bottom>
      </border>
    </dxf>
    <dxf>
      <font>
        <color theme="0" tint="-0.34998626667073579"/>
      </font>
    </dxf>
    <dxf>
      <font>
        <color theme="1" tint="0.499984740745262"/>
      </font>
    </dxf>
    <dxf>
      <font>
        <color theme="0" tint="-0.34998626667073579"/>
      </font>
    </dxf>
    <dxf>
      <font>
        <color theme="0" tint="-0.34998626667073579"/>
      </font>
    </dxf>
    <dxf>
      <font>
        <color theme="0" tint="-0.34998626667073579"/>
      </font>
    </dxf>
    <dxf>
      <font>
        <color rgb="FFC00000"/>
      </font>
    </dxf>
    <dxf>
      <font>
        <color rgb="FFC00000"/>
      </font>
    </dxf>
    <dxf>
      <font>
        <color rgb="FFC00000"/>
      </font>
    </dxf>
    <dxf>
      <font>
        <color rgb="FFC00000"/>
      </font>
    </dxf>
    <dxf>
      <font>
        <color theme="9" tint="-0.24994659260841701"/>
      </font>
    </dxf>
    <dxf>
      <font>
        <color rgb="FFC00000"/>
      </font>
    </dxf>
    <dxf>
      <font>
        <color rgb="FFC00000"/>
      </font>
    </dxf>
    <dxf>
      <font>
        <color rgb="FFC00000"/>
      </font>
    </dxf>
    <dxf>
      <font>
        <color rgb="FFC00000"/>
      </font>
    </dxf>
    <dxf>
      <fill>
        <patternFill>
          <bgColor theme="0" tint="-0.14996795556505021"/>
        </patternFill>
      </fill>
    </dxf>
    <dxf>
      <font>
        <color rgb="FFC00000"/>
      </font>
    </dxf>
    <dxf>
      <font>
        <strike val="0"/>
        <color rgb="FFC00000"/>
      </font>
    </dxf>
  </dxfs>
  <tableStyles count="0" defaultTableStyle="TableStyleMedium9"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28575" cap="rnd">
              <a:noFill/>
              <a:round/>
            </a:ln>
            <a:effectLst/>
          </c:spPr>
          <c:marker>
            <c:symbol val="circle"/>
            <c:size val="5"/>
            <c:spPr>
              <a:solidFill>
                <a:schemeClr val="accent1"/>
              </a:solidFill>
              <a:ln w="9525">
                <a:solidFill>
                  <a:schemeClr val="accent1"/>
                </a:solidFill>
              </a:ln>
              <a:effectLst/>
            </c:spPr>
          </c:marker>
          <c:xVal>
            <c:numRef>
              <c:f>'HSC-FD Equations'!$B$69:$B$73</c:f>
              <c:numCache>
                <c:formatCode>0%</c:formatCode>
                <c:ptCount val="5"/>
                <c:pt idx="0">
                  <c:v>0.95</c:v>
                </c:pt>
                <c:pt idx="1">
                  <c:v>0.9</c:v>
                </c:pt>
                <c:pt idx="2">
                  <c:v>0.85</c:v>
                </c:pt>
                <c:pt idx="3">
                  <c:v>0.8</c:v>
                </c:pt>
                <c:pt idx="4">
                  <c:v>0.7</c:v>
                </c:pt>
              </c:numCache>
            </c:numRef>
          </c:xVal>
          <c:yVal>
            <c:numRef>
              <c:f>'HSC-FD Equations'!$D$69:$D$73</c:f>
              <c:numCache>
                <c:formatCode>General</c:formatCode>
                <c:ptCount val="5"/>
                <c:pt idx="0">
                  <c:v>1.27</c:v>
                </c:pt>
                <c:pt idx="1">
                  <c:v>1</c:v>
                </c:pt>
                <c:pt idx="2">
                  <c:v>0.80827499999999919</c:v>
                </c:pt>
                <c:pt idx="3">
                  <c:v>0.66</c:v>
                </c:pt>
                <c:pt idx="4">
                  <c:v>0.47</c:v>
                </c:pt>
              </c:numCache>
            </c:numRef>
          </c:yVal>
          <c:smooth val="0"/>
          <c:extLst>
            <c:ext xmlns:c16="http://schemas.microsoft.com/office/drawing/2014/chart" uri="{C3380CC4-5D6E-409C-BE32-E72D297353CC}">
              <c16:uniqueId val="{00000000-4C6D-47F4-B246-7E122A174209}"/>
            </c:ext>
          </c:extLst>
        </c:ser>
        <c:ser>
          <c:idx val="1"/>
          <c:order val="1"/>
          <c:spPr>
            <a:ln w="25400" cap="rnd">
              <a:noFill/>
              <a:round/>
            </a:ln>
            <a:effectLst/>
          </c:spPr>
          <c:marker>
            <c:symbol val="circle"/>
            <c:size val="5"/>
            <c:spPr>
              <a:solidFill>
                <a:schemeClr val="accent2"/>
              </a:solidFill>
              <a:ln w="9525">
                <a:solidFill>
                  <a:schemeClr val="accent2"/>
                </a:solidFill>
              </a:ln>
              <a:effectLst/>
            </c:spPr>
          </c:marker>
          <c:xVal>
            <c:numRef>
              <c:f>'HSC-FD Equations'!$B$69:$B$73</c:f>
              <c:numCache>
                <c:formatCode>0%</c:formatCode>
                <c:ptCount val="5"/>
                <c:pt idx="0">
                  <c:v>0.95</c:v>
                </c:pt>
                <c:pt idx="1">
                  <c:v>0.9</c:v>
                </c:pt>
                <c:pt idx="2">
                  <c:v>0.85</c:v>
                </c:pt>
                <c:pt idx="3">
                  <c:v>0.8</c:v>
                </c:pt>
                <c:pt idx="4">
                  <c:v>0.7</c:v>
                </c:pt>
              </c:numCache>
            </c:numRef>
          </c:xVal>
          <c:yVal>
            <c:numRef>
              <c:f>'HSC-FD Equations'!$C$69:$C$73</c:f>
              <c:numCache>
                <c:formatCode>General</c:formatCode>
                <c:ptCount val="5"/>
                <c:pt idx="0">
                  <c:v>0.95499999999999996</c:v>
                </c:pt>
                <c:pt idx="1">
                  <c:v>0.75</c:v>
                </c:pt>
                <c:pt idx="2">
                  <c:v>0.60761749999999903</c:v>
                </c:pt>
                <c:pt idx="3">
                  <c:v>0.5</c:v>
                </c:pt>
                <c:pt idx="4">
                  <c:v>0.35</c:v>
                </c:pt>
              </c:numCache>
            </c:numRef>
          </c:yVal>
          <c:smooth val="0"/>
          <c:extLst>
            <c:ext xmlns:c16="http://schemas.microsoft.com/office/drawing/2014/chart" uri="{C3380CC4-5D6E-409C-BE32-E72D297353CC}">
              <c16:uniqueId val="{00000002-4C6D-47F4-B246-7E122A174209}"/>
            </c:ext>
          </c:extLst>
        </c:ser>
        <c:dLbls>
          <c:showLegendKey val="0"/>
          <c:showVal val="0"/>
          <c:showCatName val="0"/>
          <c:showSerName val="0"/>
          <c:showPercent val="0"/>
          <c:showBubbleSize val="0"/>
        </c:dLbls>
        <c:axId val="832666440"/>
        <c:axId val="832668080"/>
      </c:scatterChart>
      <c:valAx>
        <c:axId val="83266644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2668080"/>
        <c:crosses val="autoZero"/>
        <c:crossBetween val="midCat"/>
      </c:valAx>
      <c:valAx>
        <c:axId val="8326680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2666440"/>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Radio" checked="Checked" firstButton="1" fmlaLink="'HSC-FD Equations'!$C$23"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checked="Checked" firstButton="1" fmlaLink="Data!$C$39"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Radio" checked="Checked" firstButton="1" fmlaLink="Data!$C$58"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Radio" checked="Checked" firstButton="1" fmlaLink="'HSC-FD Equations'!$C$25"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CheckBox" fmlaLink="'HSC-FD Equations'!$C$21" lockText="1"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Radio" checked="Checked" firstButton="1" fmlaLink="'HSC-FD Equations'!$C$3" lockText="1"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Radio" checked="Checked" firstButton="1" fmlaLink="Data!$A$49"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Radio" checked="Checked" firstButton="1" fmlaLink="Data!$A$64"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Radio" checked="Checked" firstButton="1" fmlaLink="'HSC-FD Equations'!$C$329"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25.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 Id="rId4" Type="http://schemas.openxmlformats.org/officeDocument/2006/relationships/image" Target="../media/image10.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13.emf"/><Relationship Id="rId2" Type="http://schemas.openxmlformats.org/officeDocument/2006/relationships/image" Target="../media/image12.emf"/><Relationship Id="rId1" Type="http://schemas.openxmlformats.org/officeDocument/2006/relationships/image" Target="../media/image11.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16.emf"/><Relationship Id="rId2" Type="http://schemas.openxmlformats.org/officeDocument/2006/relationships/image" Target="../media/image15.emf"/><Relationship Id="rId1" Type="http://schemas.openxmlformats.org/officeDocument/2006/relationships/image" Target="../media/image14.emf"/></Relationships>
</file>

<file path=xl/drawings/_rels/vmlDrawing5.vml.rels><?xml version="1.0" encoding="UTF-8" standalone="yes"?>
<Relationships xmlns="http://schemas.openxmlformats.org/package/2006/relationships"><Relationship Id="rId8" Type="http://schemas.openxmlformats.org/officeDocument/2006/relationships/image" Target="../media/image24.emf"/><Relationship Id="rId3" Type="http://schemas.openxmlformats.org/officeDocument/2006/relationships/image" Target="../media/image19.emf"/><Relationship Id="rId7" Type="http://schemas.openxmlformats.org/officeDocument/2006/relationships/image" Target="../media/image23.emf"/><Relationship Id="rId2" Type="http://schemas.openxmlformats.org/officeDocument/2006/relationships/image" Target="../media/image18.emf"/><Relationship Id="rId1" Type="http://schemas.openxmlformats.org/officeDocument/2006/relationships/image" Target="../media/image17.emf"/><Relationship Id="rId6" Type="http://schemas.openxmlformats.org/officeDocument/2006/relationships/image" Target="../media/image22.emf"/><Relationship Id="rId5" Type="http://schemas.openxmlformats.org/officeDocument/2006/relationships/image" Target="../media/image21.emf"/><Relationship Id="rId4" Type="http://schemas.openxmlformats.org/officeDocument/2006/relationships/image" Target="../media/image20.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6.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4126</xdr:colOff>
          <xdr:row>7</xdr:row>
          <xdr:rowOff>24352</xdr:rowOff>
        </xdr:from>
        <xdr:to>
          <xdr:col>14</xdr:col>
          <xdr:colOff>685160</xdr:colOff>
          <xdr:row>10</xdr:row>
          <xdr:rowOff>18417</xdr:rowOff>
        </xdr:to>
        <xdr:pic>
          <xdr:nvPicPr>
            <xdr:cNvPr id="9" name="Picture 8">
              <a:extLst>
                <a:ext uri="{FF2B5EF4-FFF2-40B4-BE49-F238E27FC236}">
                  <a16:creationId xmlns:a16="http://schemas.microsoft.com/office/drawing/2014/main" id="{00000000-0008-0000-0000-000009000000}"/>
                </a:ext>
              </a:extLst>
            </xdr:cNvPr>
            <xdr:cNvPicPr>
              <a:picLocks noChangeAspect="1"/>
              <a:extLst>
                <a:ext uri="{84589F7E-364E-4C9E-8A38-B11213B215E9}">
                  <a14:cameraTool cellRange="dischargediagram" spid="_x0000_s1985"/>
                </a:ext>
              </a:extLst>
            </xdr:cNvPicPr>
          </xdr:nvPicPr>
          <xdr:blipFill>
            <a:blip xmlns:r="http://schemas.openxmlformats.org/officeDocument/2006/relationships" r:embed="rId1"/>
            <a:stretch>
              <a:fillRect/>
            </a:stretch>
          </xdr:blipFill>
          <xdr:spPr>
            <a:xfrm>
              <a:off x="11594210" y="1561159"/>
              <a:ext cx="681034" cy="572069"/>
            </a:xfrm>
            <a:prstGeom prst="rect">
              <a:avLst/>
            </a:prstGeom>
          </xdr:spPr>
        </xdr:pic>
        <xdr:clientData/>
      </xdr:twoCellAnchor>
    </mc:Choice>
    <mc:Fallback/>
  </mc:AlternateContent>
  <xdr:twoCellAnchor editAs="oneCell">
    <xdr:from>
      <xdr:col>17</xdr:col>
      <xdr:colOff>134726</xdr:colOff>
      <xdr:row>11</xdr:row>
      <xdr:rowOff>56158</xdr:rowOff>
    </xdr:from>
    <xdr:to>
      <xdr:col>20</xdr:col>
      <xdr:colOff>965802</xdr:colOff>
      <xdr:row>28</xdr:row>
      <xdr:rowOff>88095</xdr:rowOff>
    </xdr:to>
    <xdr:pic>
      <xdr:nvPicPr>
        <xdr:cNvPr id="3" name="Picture 2" descr="http://www.smartair.asia/resource/products/86/images/SMARTEMP%20HSC-FD.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15641426" y="2408833"/>
          <a:ext cx="3288526" cy="3432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761999</xdr:colOff>
      <xdr:row>1</xdr:row>
      <xdr:rowOff>84044</xdr:rowOff>
    </xdr:from>
    <xdr:to>
      <xdr:col>19</xdr:col>
      <xdr:colOff>172061</xdr:colOff>
      <xdr:row>2</xdr:row>
      <xdr:rowOff>247035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875007" y="250531"/>
          <a:ext cx="2213132" cy="437317"/>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28575</xdr:colOff>
          <xdr:row>65</xdr:row>
          <xdr:rowOff>19050</xdr:rowOff>
        </xdr:from>
        <xdr:to>
          <xdr:col>12</xdr:col>
          <xdr:colOff>762000</xdr:colOff>
          <xdr:row>66</xdr:row>
          <xdr:rowOff>0</xdr:rowOff>
        </xdr:to>
        <xdr:sp macro="" textlink="">
          <xdr:nvSpPr>
            <xdr:cNvPr id="1049" name="Group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AU" sz="800" b="0" i="0" u="none" strike="noStrike" baseline="0">
                  <a:solidFill>
                    <a:srgbClr val="000000"/>
                  </a:solidFill>
                  <a:latin typeface="Segoe UI"/>
                  <a:cs typeface="Segoe UI"/>
                </a:rPr>
                <a:t>Group Box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704850</xdr:colOff>
          <xdr:row>66</xdr:row>
          <xdr:rowOff>57150</xdr:rowOff>
        </xdr:from>
        <xdr:to>
          <xdr:col>8</xdr:col>
          <xdr:colOff>0</xdr:colOff>
          <xdr:row>66</xdr:row>
          <xdr:rowOff>266700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704850</xdr:colOff>
          <xdr:row>66</xdr:row>
          <xdr:rowOff>57150</xdr:rowOff>
        </xdr:from>
        <xdr:to>
          <xdr:col>10</xdr:col>
          <xdr:colOff>47625</xdr:colOff>
          <xdr:row>66</xdr:row>
          <xdr:rowOff>266700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704850</xdr:colOff>
          <xdr:row>66</xdr:row>
          <xdr:rowOff>38100</xdr:rowOff>
        </xdr:from>
        <xdr:to>
          <xdr:col>11</xdr:col>
          <xdr:colOff>752475</xdr:colOff>
          <xdr:row>66</xdr:row>
          <xdr:rowOff>257175</xdr:rowOff>
        </xdr:to>
        <xdr:sp macro="" textlink="">
          <xdr:nvSpPr>
            <xdr:cNvPr id="1052" name="Option Button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66</xdr:row>
          <xdr:rowOff>28575</xdr:rowOff>
        </xdr:from>
        <xdr:to>
          <xdr:col>12</xdr:col>
          <xdr:colOff>781050</xdr:colOff>
          <xdr:row>66</xdr:row>
          <xdr:rowOff>285750</xdr:rowOff>
        </xdr:to>
        <xdr:sp macro="" textlink="">
          <xdr:nvSpPr>
            <xdr:cNvPr id="1053" name="Group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AU" sz="800" b="0" i="0" u="none" strike="noStrike" baseline="0">
                  <a:solidFill>
                    <a:srgbClr val="000000"/>
                  </a:solidFill>
                  <a:latin typeface="Segoe UI"/>
                  <a:cs typeface="Segoe UI"/>
                </a:rPr>
                <a:t>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609600</xdr:colOff>
          <xdr:row>15</xdr:row>
          <xdr:rowOff>57150</xdr:rowOff>
        </xdr:from>
        <xdr:to>
          <xdr:col>15</xdr:col>
          <xdr:colOff>114300</xdr:colOff>
          <xdr:row>17</xdr:row>
          <xdr:rowOff>180975</xdr:rowOff>
        </xdr:to>
        <xdr:sp macro="" textlink="">
          <xdr:nvSpPr>
            <xdr:cNvPr id="1054" name="Group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AU" sz="800" b="0" i="0" u="none" strike="noStrike" baseline="0">
                  <a:solidFill>
                    <a:srgbClr val="000000"/>
                  </a:solidFill>
                  <a:latin typeface="Segoe UI"/>
                  <a:cs typeface="Segoe UI"/>
                </a:rPr>
                <a:t>Group Box 30</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601578</xdr:colOff>
          <xdr:row>15</xdr:row>
          <xdr:rowOff>48567</xdr:rowOff>
        </xdr:from>
        <xdr:to>
          <xdr:col>13</xdr:col>
          <xdr:colOff>600954</xdr:colOff>
          <xdr:row>21</xdr:row>
          <xdr:rowOff>73679</xdr:rowOff>
        </xdr:to>
        <xdr:grpSp>
          <xdr:nvGrpSpPr>
            <xdr:cNvPr id="4" name="Distance Selection">
              <a:extLst>
                <a:ext uri="{FF2B5EF4-FFF2-40B4-BE49-F238E27FC236}">
                  <a16:creationId xmlns:a16="http://schemas.microsoft.com/office/drawing/2014/main" id="{00000000-0008-0000-0000-000004000000}"/>
                </a:ext>
              </a:extLst>
            </xdr:cNvPr>
            <xdr:cNvGrpSpPr/>
          </xdr:nvGrpSpPr>
          <xdr:grpSpPr>
            <a:xfrm>
              <a:off x="8497803" y="3201342"/>
              <a:ext cx="3656976" cy="1225262"/>
              <a:chOff x="7250842" y="3101472"/>
              <a:chExt cx="3364962" cy="1222721"/>
            </a:xfrm>
          </xdr:grpSpPr>
          <xdr:sp macro="" textlink="">
            <xdr:nvSpPr>
              <xdr:cNvPr id="1057" name="Group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7250842" y="3101472"/>
                <a:ext cx="3364962" cy="1222721"/>
              </a:xfrm>
              <a:prstGeom prst="rect">
                <a:avLst/>
              </a:prstGeom>
              <a:noFill/>
              <a:ln w="9525">
                <a:miter lim="800000"/>
                <a:headEnd/>
                <a:tailEnd/>
              </a:ln>
              <a:extLst>
                <a:ext uri="{909E8E84-426E-40DD-AFC4-6F175D3DCCD1}">
                  <a14:hiddenFill>
                    <a:noFill/>
                  </a14:hiddenFill>
                </a:ext>
              </a:extLst>
            </xdr:spPr>
          </xdr:sp>
          <xdr:sp macro="" textlink="">
            <xdr:nvSpPr>
              <xdr:cNvPr id="1059" name="Option Button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7525413" y="3204197"/>
                <a:ext cx="492085" cy="31851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60" name="Option Button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7537064" y="3590819"/>
                <a:ext cx="449086" cy="3202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63" name="Option Button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7544801" y="3973086"/>
                <a:ext cx="532486" cy="32255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685800</xdr:colOff>
          <xdr:row>11</xdr:row>
          <xdr:rowOff>180975</xdr:rowOff>
        </xdr:from>
        <xdr:to>
          <xdr:col>12</xdr:col>
          <xdr:colOff>238125</xdr:colOff>
          <xdr:row>13</xdr:row>
          <xdr:rowOff>9525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419100</xdr:colOff>
          <xdr:row>63</xdr:row>
          <xdr:rowOff>11728</xdr:rowOff>
        </xdr:from>
        <xdr:to>
          <xdr:col>13</xdr:col>
          <xdr:colOff>223203</xdr:colOff>
          <xdr:row>63</xdr:row>
          <xdr:rowOff>297478</xdr:rowOff>
        </xdr:to>
        <xdr:grpSp>
          <xdr:nvGrpSpPr>
            <xdr:cNvPr id="6" name="Face Shape">
              <a:extLst>
                <a:ext uri="{FF2B5EF4-FFF2-40B4-BE49-F238E27FC236}">
                  <a16:creationId xmlns:a16="http://schemas.microsoft.com/office/drawing/2014/main" id="{00000000-0008-0000-0000-000006000000}"/>
                </a:ext>
              </a:extLst>
            </xdr:cNvPr>
            <xdr:cNvGrpSpPr/>
          </xdr:nvGrpSpPr>
          <xdr:grpSpPr>
            <a:xfrm>
              <a:off x="5086350" y="14546878"/>
              <a:ext cx="6690678" cy="285750"/>
              <a:chOff x="4237792" y="14081537"/>
              <a:chExt cx="6593993" cy="285748"/>
            </a:xfrm>
          </xdr:grpSpPr>
          <xdr:sp macro="" textlink="">
            <xdr:nvSpPr>
              <xdr:cNvPr id="1082" name="Group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4237792" y="14081537"/>
                <a:ext cx="6593993" cy="285748"/>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AU" sz="800" b="0" i="0" u="none" strike="noStrike" baseline="0">
                    <a:solidFill>
                      <a:srgbClr val="000000"/>
                    </a:solidFill>
                    <a:latin typeface="Segoe UI"/>
                    <a:cs typeface="Segoe UI"/>
                  </a:rPr>
                  <a:t>Group Box 58</a:t>
                </a:r>
              </a:p>
            </xdr:txBody>
          </xdr:sp>
          <xdr:sp macro="" textlink="">
            <xdr:nvSpPr>
              <xdr:cNvPr id="1083" name="Option Button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4694071" y="14116662"/>
                <a:ext cx="698366" cy="2350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6499601" y="14121814"/>
                <a:ext cx="542925" cy="23336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8645634" y="14117453"/>
                <a:ext cx="390525" cy="23336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11</xdr:col>
          <xdr:colOff>376073</xdr:colOff>
          <xdr:row>23</xdr:row>
          <xdr:rowOff>68580</xdr:rowOff>
        </xdr:from>
        <xdr:to>
          <xdr:col>15</xdr:col>
          <xdr:colOff>33173</xdr:colOff>
          <xdr:row>26</xdr:row>
          <xdr:rowOff>7620</xdr:rowOff>
        </xdr:to>
        <xdr:grpSp>
          <xdr:nvGrpSpPr>
            <xdr:cNvPr id="7" name="Diffuser location">
              <a:extLst>
                <a:ext uri="{FF2B5EF4-FFF2-40B4-BE49-F238E27FC236}">
                  <a16:creationId xmlns:a16="http://schemas.microsoft.com/office/drawing/2014/main" id="{00000000-0008-0000-0000-000007000000}"/>
                </a:ext>
              </a:extLst>
            </xdr:cNvPr>
            <xdr:cNvGrpSpPr/>
          </xdr:nvGrpSpPr>
          <xdr:grpSpPr>
            <a:xfrm>
              <a:off x="10101098" y="4821555"/>
              <a:ext cx="3295650" cy="539115"/>
              <a:chOff x="10334300" y="4726041"/>
              <a:chExt cx="3145220" cy="530246"/>
            </a:xfrm>
          </xdr:grpSpPr>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10985687" y="4817417"/>
                <a:ext cx="457200" cy="27221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12270293" y="4839523"/>
                <a:ext cx="396240" cy="2264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97" name="Group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10334300" y="4726041"/>
                <a:ext cx="3145220" cy="530246"/>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AU" sz="800" b="0" i="0" u="none" strike="noStrike" baseline="0">
                    <a:solidFill>
                      <a:srgbClr val="000000"/>
                    </a:solidFill>
                    <a:latin typeface="Segoe UI"/>
                    <a:cs typeface="Segoe UI"/>
                  </a:rPr>
                  <a:t>Group Box 73</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145238</xdr:colOff>
          <xdr:row>7</xdr:row>
          <xdr:rowOff>112484</xdr:rowOff>
        </xdr:from>
        <xdr:to>
          <xdr:col>8</xdr:col>
          <xdr:colOff>685800</xdr:colOff>
          <xdr:row>9</xdr:row>
          <xdr:rowOff>77559</xdr:rowOff>
        </xdr:to>
        <xdr:grpSp>
          <xdr:nvGrpSpPr>
            <xdr:cNvPr id="10" name="units">
              <a:extLst>
                <a:ext uri="{FF2B5EF4-FFF2-40B4-BE49-F238E27FC236}">
                  <a16:creationId xmlns:a16="http://schemas.microsoft.com/office/drawing/2014/main" id="{00000000-0008-0000-0000-00000A000000}"/>
                </a:ext>
              </a:extLst>
            </xdr:cNvPr>
            <xdr:cNvGrpSpPr/>
          </xdr:nvGrpSpPr>
          <xdr:grpSpPr>
            <a:xfrm>
              <a:off x="4812488" y="1674584"/>
              <a:ext cx="2855137" cy="355600"/>
              <a:chOff x="4543886" y="1657197"/>
              <a:chExt cx="2638602" cy="331070"/>
            </a:xfrm>
          </xdr:grpSpPr>
          <xdr:sp macro="" textlink="">
            <xdr:nvSpPr>
              <xdr:cNvPr id="1067" name="Group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4543886" y="1657197"/>
                <a:ext cx="2638602" cy="33107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AU" sz="800" b="0" i="0" u="none" strike="noStrike" baseline="0">
                    <a:solidFill>
                      <a:srgbClr val="000000"/>
                    </a:solidFill>
                    <a:latin typeface="Segoe UI"/>
                    <a:cs typeface="Segoe UI"/>
                  </a:rPr>
                  <a:t>Group Box 43</a:t>
                </a:r>
              </a:p>
            </xdr:txBody>
          </xdr:sp>
          <xdr:sp macro="" textlink="">
            <xdr:nvSpPr>
              <xdr:cNvPr id="1068" name="Option Button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4656125" y="1730020"/>
                <a:ext cx="616316" cy="2003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98" name="Option Button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5571114" y="1701815"/>
                <a:ext cx="501216" cy="2293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962579</xdr:colOff>
          <xdr:row>36</xdr:row>
          <xdr:rowOff>246541</xdr:rowOff>
        </xdr:from>
        <xdr:to>
          <xdr:col>20</xdr:col>
          <xdr:colOff>1594223</xdr:colOff>
          <xdr:row>50</xdr:row>
          <xdr:rowOff>29078</xdr:rowOff>
        </xdr:to>
        <xdr:pic>
          <xdr:nvPicPr>
            <xdr:cNvPr id="12" name="Picture 11">
              <a:extLst>
                <a:ext uri="{FF2B5EF4-FFF2-40B4-BE49-F238E27FC236}">
                  <a16:creationId xmlns:a16="http://schemas.microsoft.com/office/drawing/2014/main" id="{00000000-0008-0000-0000-00000C000000}"/>
                </a:ext>
              </a:extLst>
            </xdr:cNvPr>
            <xdr:cNvPicPr>
              <a:picLocks noChangeAspect="1"/>
              <a:extLst>
                <a:ext uri="{84589F7E-364E-4C9E-8A38-B11213B215E9}">
                  <a14:cameraTool cellRange="layout." spid="_x0000_s1986"/>
                </a:ext>
              </a:extLst>
            </xdr:cNvPicPr>
          </xdr:nvPicPr>
          <xdr:blipFill>
            <a:blip xmlns:r="http://schemas.openxmlformats.org/officeDocument/2006/relationships" r:embed="rId4"/>
            <a:stretch>
              <a:fillRect/>
            </a:stretch>
          </xdr:blipFill>
          <xdr:spPr>
            <a:xfrm>
              <a:off x="14326154" y="7504591"/>
              <a:ext cx="5222694" cy="3516337"/>
            </a:xfrm>
            <a:prstGeom prst="rect">
              <a:avLst/>
            </a:prstGeom>
          </xdr:spPr>
        </xdr:pic>
        <xdr:clientData/>
      </xdr:twoCellAnchor>
    </mc:Choice>
    <mc:Fallback/>
  </mc:AlternateContent>
  <mc:AlternateContent xmlns:mc="http://schemas.openxmlformats.org/markup-compatibility/2006">
    <mc:Choice xmlns:a14="http://schemas.microsoft.com/office/drawing/2010/main" Requires="a14">
      <xdr:twoCellAnchor>
        <xdr:from>
          <xdr:col>3</xdr:col>
          <xdr:colOff>1480526</xdr:colOff>
          <xdr:row>67</xdr:row>
          <xdr:rowOff>46343</xdr:rowOff>
        </xdr:from>
        <xdr:to>
          <xdr:col>13</xdr:col>
          <xdr:colOff>549957</xdr:colOff>
          <xdr:row>67</xdr:row>
          <xdr:rowOff>523875</xdr:rowOff>
        </xdr:to>
        <xdr:grpSp>
          <xdr:nvGrpSpPr>
            <xdr:cNvPr id="11" name="Conn. box selection">
              <a:extLst>
                <a:ext uri="{FF2B5EF4-FFF2-40B4-BE49-F238E27FC236}">
                  <a16:creationId xmlns:a16="http://schemas.microsoft.com/office/drawing/2014/main" id="{00000000-0008-0000-0000-00000B000000}"/>
                </a:ext>
              </a:extLst>
            </xdr:cNvPr>
            <xdr:cNvGrpSpPr/>
          </xdr:nvGrpSpPr>
          <xdr:grpSpPr>
            <a:xfrm>
              <a:off x="3147401" y="15800693"/>
              <a:ext cx="8956381" cy="477532"/>
              <a:chOff x="3147401" y="15800707"/>
              <a:chExt cx="8756358" cy="477532"/>
            </a:xfrm>
          </xdr:grpSpPr>
          <xdr:sp macro="" textlink="">
            <xdr:nvSpPr>
              <xdr:cNvPr id="1089" name="Group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3147401" y="15800707"/>
                <a:ext cx="8756358" cy="477532"/>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AU" sz="800" b="0" i="0" u="none" strike="noStrike" baseline="0">
                    <a:solidFill>
                      <a:srgbClr val="000000"/>
                    </a:solidFill>
                    <a:latin typeface="Segoe UI"/>
                    <a:cs typeface="Segoe UI"/>
                  </a:rPr>
                  <a:t>Group Box 65</a:t>
                </a:r>
              </a:p>
            </xdr:txBody>
          </xdr:sp>
          <xdr:sp macro="" textlink="">
            <xdr:nvSpPr>
              <xdr:cNvPr id="1090" name="Option Button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4870370" y="15913301"/>
                <a:ext cx="482180" cy="23607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91" name="Option Button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6652881" y="15899291"/>
                <a:ext cx="553593" cy="23773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731" name="Option Button 707" hidden="1">
                <a:extLst>
                  <a:ext uri="{63B3BB69-23CF-44E3-9099-C40C66FF867C}">
                    <a14:compatExt spid="_x0000_s1731"/>
                  </a:ext>
                  <a:ext uri="{FF2B5EF4-FFF2-40B4-BE49-F238E27FC236}">
                    <a16:creationId xmlns:a16="http://schemas.microsoft.com/office/drawing/2014/main" id="{00000000-0008-0000-0000-0000C3060000}"/>
                  </a:ext>
                </a:extLst>
              </xdr:cNvPr>
              <xdr:cNvSpPr/>
            </xdr:nvSpPr>
            <xdr:spPr bwMode="auto">
              <a:xfrm>
                <a:off x="9334500" y="15925800"/>
                <a:ext cx="57150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919655</xdr:colOff>
          <xdr:row>25</xdr:row>
          <xdr:rowOff>98536</xdr:rowOff>
        </xdr:from>
        <xdr:to>
          <xdr:col>3</xdr:col>
          <xdr:colOff>670034</xdr:colOff>
          <xdr:row>28</xdr:row>
          <xdr:rowOff>106681</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1253030" y="5251561"/>
              <a:ext cx="1083879" cy="608220"/>
              <a:chOff x="1405761" y="5150096"/>
              <a:chExt cx="1123296" cy="599353"/>
            </a:xfrm>
          </xdr:grpSpPr>
          <xdr:sp macro="" textlink="">
            <xdr:nvSpPr>
              <xdr:cNvPr id="1741" name="Group Box 717" hidden="1">
                <a:extLst>
                  <a:ext uri="{63B3BB69-23CF-44E3-9099-C40C66FF867C}">
                    <a14:compatExt spid="_x0000_s1741"/>
                  </a:ext>
                  <a:ext uri="{FF2B5EF4-FFF2-40B4-BE49-F238E27FC236}">
                    <a16:creationId xmlns:a16="http://schemas.microsoft.com/office/drawing/2014/main" id="{00000000-0008-0000-0000-0000CD060000}"/>
                  </a:ext>
                </a:extLst>
              </xdr:cNvPr>
              <xdr:cNvSpPr/>
            </xdr:nvSpPr>
            <xdr:spPr bwMode="auto">
              <a:xfrm>
                <a:off x="1405761" y="5150096"/>
                <a:ext cx="1123296" cy="599353"/>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AU" sz="800" b="0" i="0" u="none" strike="noStrike" baseline="0">
                    <a:solidFill>
                      <a:srgbClr val="000000"/>
                    </a:solidFill>
                    <a:latin typeface="Segoe UI"/>
                    <a:cs typeface="Segoe UI"/>
                  </a:rPr>
                  <a:t>Group Box 717</a:t>
                </a:r>
              </a:p>
            </xdr:txBody>
          </xdr:sp>
          <xdr:sp macro="" textlink="">
            <xdr:nvSpPr>
              <xdr:cNvPr id="1742" name="Option Button 718" hidden="1">
                <a:extLst>
                  <a:ext uri="{63B3BB69-23CF-44E3-9099-C40C66FF867C}">
                    <a14:compatExt spid="_x0000_s1742"/>
                  </a:ext>
                  <a:ext uri="{FF2B5EF4-FFF2-40B4-BE49-F238E27FC236}">
                    <a16:creationId xmlns:a16="http://schemas.microsoft.com/office/drawing/2014/main" id="{00000000-0008-0000-0000-0000CE060000}"/>
                  </a:ext>
                </a:extLst>
              </xdr:cNvPr>
              <xdr:cNvSpPr/>
            </xdr:nvSpPr>
            <xdr:spPr bwMode="auto">
              <a:xfrm>
                <a:off x="1714237" y="5238618"/>
                <a:ext cx="502920" cy="21992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743" name="Option Button 719" hidden="1">
                <a:extLst>
                  <a:ext uri="{63B3BB69-23CF-44E3-9099-C40C66FF867C}">
                    <a14:compatExt spid="_x0000_s1743"/>
                  </a:ext>
                  <a:ext uri="{FF2B5EF4-FFF2-40B4-BE49-F238E27FC236}">
                    <a16:creationId xmlns:a16="http://schemas.microsoft.com/office/drawing/2014/main" id="{00000000-0008-0000-0000-0000CF060000}"/>
                  </a:ext>
                </a:extLst>
              </xdr:cNvPr>
              <xdr:cNvSpPr/>
            </xdr:nvSpPr>
            <xdr:spPr bwMode="auto">
              <a:xfrm>
                <a:off x="1722908" y="5445409"/>
                <a:ext cx="502920" cy="21992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312420</xdr:colOff>
          <xdr:row>61</xdr:row>
          <xdr:rowOff>259080</xdr:rowOff>
        </xdr:from>
        <xdr:to>
          <xdr:col>14</xdr:col>
          <xdr:colOff>487680</xdr:colOff>
          <xdr:row>62</xdr:row>
          <xdr:rowOff>297180</xdr:rowOff>
        </xdr:to>
        <xdr:grpSp>
          <xdr:nvGrpSpPr>
            <xdr:cNvPr id="8" name="Reducer">
              <a:extLst>
                <a:ext uri="{FF2B5EF4-FFF2-40B4-BE49-F238E27FC236}">
                  <a16:creationId xmlns:a16="http://schemas.microsoft.com/office/drawing/2014/main" id="{00000000-0008-0000-0000-000008000000}"/>
                </a:ext>
              </a:extLst>
            </xdr:cNvPr>
            <xdr:cNvGrpSpPr/>
          </xdr:nvGrpSpPr>
          <xdr:grpSpPr>
            <a:xfrm>
              <a:off x="4979670" y="14098905"/>
              <a:ext cx="7804785" cy="428625"/>
              <a:chOff x="5047177" y="14012024"/>
              <a:chExt cx="8017202" cy="430196"/>
            </a:xfrm>
          </xdr:grpSpPr>
          <xdr:sp macro="" textlink="">
            <xdr:nvSpPr>
              <xdr:cNvPr id="1039" name="Option Button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5237677" y="14190807"/>
                <a:ext cx="533548" cy="2133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0" name="Option Button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6207859" y="14190807"/>
                <a:ext cx="533400" cy="2133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1" name="Option Button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7177892" y="14190807"/>
                <a:ext cx="533400" cy="2133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2" name="Option Button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8155545" y="14190807"/>
                <a:ext cx="533400" cy="2133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3" name="Option Button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9117959" y="14190807"/>
                <a:ext cx="533400" cy="2133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4" name="Option Button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10087992" y="14190807"/>
                <a:ext cx="533400" cy="2133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5" name="Option Button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11058026" y="14190807"/>
                <a:ext cx="533400" cy="2133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55" name="Group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5047177" y="14012024"/>
                <a:ext cx="8017202" cy="430196"/>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AU" sz="800" b="0" i="0" u="none" strike="noStrike" baseline="0">
                    <a:solidFill>
                      <a:srgbClr val="000000"/>
                    </a:solidFill>
                    <a:latin typeface="Segoe UI"/>
                    <a:cs typeface="Segoe UI"/>
                  </a:rPr>
                  <a:t>Group Box 31</a:t>
                </a:r>
              </a:p>
            </xdr:txBody>
          </xdr:sp>
          <xdr:sp macro="" textlink="">
            <xdr:nvSpPr>
              <xdr:cNvPr id="1750" name="Option Button 726" hidden="1">
                <a:extLst>
                  <a:ext uri="{63B3BB69-23CF-44E3-9099-C40C66FF867C}">
                    <a14:compatExt spid="_x0000_s1750"/>
                  </a:ext>
                  <a:ext uri="{FF2B5EF4-FFF2-40B4-BE49-F238E27FC236}">
                    <a16:creationId xmlns:a16="http://schemas.microsoft.com/office/drawing/2014/main" id="{00000000-0008-0000-0000-0000D6060000}"/>
                  </a:ext>
                </a:extLst>
              </xdr:cNvPr>
              <xdr:cNvSpPr/>
            </xdr:nvSpPr>
            <xdr:spPr bwMode="auto">
              <a:xfrm>
                <a:off x="11705726" y="14190807"/>
                <a:ext cx="665233" cy="2209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8</xdr:col>
      <xdr:colOff>230520</xdr:colOff>
      <xdr:row>61</xdr:row>
      <xdr:rowOff>147278</xdr:rowOff>
    </xdr:from>
    <xdr:to>
      <xdr:col>16</xdr:col>
      <xdr:colOff>489856</xdr:colOff>
      <xdr:row>82</xdr:row>
      <xdr:rowOff>140875</xdr:rowOff>
    </xdr:to>
    <xdr:graphicFrame macro="">
      <xdr:nvGraphicFramePr>
        <xdr:cNvPr id="4" name="Chart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26</xdr:col>
      <xdr:colOff>807508</xdr:colOff>
      <xdr:row>0</xdr:row>
      <xdr:rowOff>257175</xdr:rowOff>
    </xdr:from>
    <xdr:ext cx="2320322" cy="448833"/>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923558" y="257175"/>
          <a:ext cx="2320322" cy="44883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133350</xdr:colOff>
          <xdr:row>25</xdr:row>
          <xdr:rowOff>0</xdr:rowOff>
        </xdr:from>
        <xdr:to>
          <xdr:col>22</xdr:col>
          <xdr:colOff>228600</xdr:colOff>
          <xdr:row>38</xdr:row>
          <xdr:rowOff>180975</xdr:rowOff>
        </xdr:to>
        <xdr:sp macro="" textlink="">
          <xdr:nvSpPr>
            <xdr:cNvPr id="3073" name="Group Box 1" hidden="1">
              <a:extLst>
                <a:ext uri="{63B3BB69-23CF-44E3-9099-C40C66FF867C}">
                  <a14:compatExt spid="_x0000_s3073"/>
                </a:ext>
                <a:ext uri="{FF2B5EF4-FFF2-40B4-BE49-F238E27FC236}">
                  <a16:creationId xmlns:a16="http://schemas.microsoft.com/office/drawing/2014/main" id="{00000000-0008-0000-0400-00000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28</xdr:row>
          <xdr:rowOff>66675</xdr:rowOff>
        </xdr:from>
        <xdr:to>
          <xdr:col>7</xdr:col>
          <xdr:colOff>619125</xdr:colOff>
          <xdr:row>43</xdr:row>
          <xdr:rowOff>123825</xdr:rowOff>
        </xdr:to>
        <xdr:sp macro="" textlink="">
          <xdr:nvSpPr>
            <xdr:cNvPr id="3074" name="Object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28</xdr:row>
          <xdr:rowOff>76200</xdr:rowOff>
        </xdr:from>
        <xdr:to>
          <xdr:col>13</xdr:col>
          <xdr:colOff>695325</xdr:colOff>
          <xdr:row>43</xdr:row>
          <xdr:rowOff>133350</xdr:rowOff>
        </xdr:to>
        <xdr:sp macro="" textlink="">
          <xdr:nvSpPr>
            <xdr:cNvPr id="3075" name="Object 3" hidden="1">
              <a:extLst>
                <a:ext uri="{63B3BB69-23CF-44E3-9099-C40C66FF867C}">
                  <a14:compatExt spid="_x0000_s3075"/>
                </a:ext>
                <a:ext uri="{FF2B5EF4-FFF2-40B4-BE49-F238E27FC236}">
                  <a16:creationId xmlns:a16="http://schemas.microsoft.com/office/drawing/2014/main" id="{00000000-0008-0000-04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28</xdr:row>
          <xdr:rowOff>66675</xdr:rowOff>
        </xdr:from>
        <xdr:to>
          <xdr:col>20</xdr:col>
          <xdr:colOff>104775</xdr:colOff>
          <xdr:row>43</xdr:row>
          <xdr:rowOff>123825</xdr:rowOff>
        </xdr:to>
        <xdr:sp macro="" textlink="">
          <xdr:nvSpPr>
            <xdr:cNvPr id="3076" name="Object 4" hidden="1">
              <a:extLst>
                <a:ext uri="{63B3BB69-23CF-44E3-9099-C40C66FF867C}">
                  <a14:compatExt spid="_x0000_s3076"/>
                </a:ext>
                <a:ext uri="{FF2B5EF4-FFF2-40B4-BE49-F238E27FC236}">
                  <a16:creationId xmlns:a16="http://schemas.microsoft.com/office/drawing/2014/main" id="{00000000-0008-0000-04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257175</xdr:colOff>
          <xdr:row>28</xdr:row>
          <xdr:rowOff>66675</xdr:rowOff>
        </xdr:from>
        <xdr:to>
          <xdr:col>26</xdr:col>
          <xdr:colOff>495300</xdr:colOff>
          <xdr:row>43</xdr:row>
          <xdr:rowOff>123825</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4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absolute">
    <xdr:from>
      <xdr:col>11</xdr:col>
      <xdr:colOff>97345</xdr:colOff>
      <xdr:row>40</xdr:row>
      <xdr:rowOff>76546</xdr:rowOff>
    </xdr:from>
    <xdr:to>
      <xdr:col>11</xdr:col>
      <xdr:colOff>562400</xdr:colOff>
      <xdr:row>43</xdr:row>
      <xdr:rowOff>58375</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0196385" y="8722769"/>
          <a:ext cx="590057" cy="466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AU" sz="1100"/>
        </a:p>
      </xdr:txBody>
    </xdr:sp>
    <xdr:clientData/>
  </xdr:twoCellAnchor>
  <mc:AlternateContent xmlns:mc="http://schemas.openxmlformats.org/markup-compatibility/2006">
    <mc:Choice xmlns:a14="http://schemas.microsoft.com/office/drawing/2010/main" Requires="a14">
      <xdr:twoCellAnchor editAs="oneCell">
        <xdr:from>
          <xdr:col>1</xdr:col>
          <xdr:colOff>133350</xdr:colOff>
          <xdr:row>6</xdr:row>
          <xdr:rowOff>76200</xdr:rowOff>
        </xdr:from>
        <xdr:to>
          <xdr:col>20</xdr:col>
          <xdr:colOff>676275</xdr:colOff>
          <xdr:row>17</xdr:row>
          <xdr:rowOff>228600</xdr:rowOff>
        </xdr:to>
        <xdr:sp macro="" textlink="">
          <xdr:nvSpPr>
            <xdr:cNvPr id="8193" name="Group Box 1" hidden="1">
              <a:extLst>
                <a:ext uri="{63B3BB69-23CF-44E3-9099-C40C66FF867C}">
                  <a14:compatExt spid="_x0000_s8193"/>
                </a:ext>
                <a:ext uri="{FF2B5EF4-FFF2-40B4-BE49-F238E27FC236}">
                  <a16:creationId xmlns:a16="http://schemas.microsoft.com/office/drawing/2014/main" id="{00000000-0008-0000-0500-00000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647700</xdr:colOff>
          <xdr:row>21</xdr:row>
          <xdr:rowOff>200025</xdr:rowOff>
        </xdr:from>
        <xdr:to>
          <xdr:col>9</xdr:col>
          <xdr:colOff>1428750</xdr:colOff>
          <xdr:row>32</xdr:row>
          <xdr:rowOff>171450</xdr:rowOff>
        </xdr:to>
        <xdr:sp macro="" textlink="">
          <xdr:nvSpPr>
            <xdr:cNvPr id="8227" name="Object 35" hidden="1">
              <a:extLst>
                <a:ext uri="{63B3BB69-23CF-44E3-9099-C40C66FF867C}">
                  <a14:compatExt spid="_x0000_s8227"/>
                </a:ext>
                <a:ext uri="{FF2B5EF4-FFF2-40B4-BE49-F238E27FC236}">
                  <a16:creationId xmlns:a16="http://schemas.microsoft.com/office/drawing/2014/main" id="{00000000-0008-0000-0500-00002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35</xdr:row>
          <xdr:rowOff>152400</xdr:rowOff>
        </xdr:from>
        <xdr:to>
          <xdr:col>9</xdr:col>
          <xdr:colOff>1428750</xdr:colOff>
          <xdr:row>46</xdr:row>
          <xdr:rowOff>142875</xdr:rowOff>
        </xdr:to>
        <xdr:sp macro="" textlink="">
          <xdr:nvSpPr>
            <xdr:cNvPr id="8229" name="Object 37" hidden="1">
              <a:extLst>
                <a:ext uri="{63B3BB69-23CF-44E3-9099-C40C66FF867C}">
                  <a14:compatExt spid="_x0000_s8229"/>
                </a:ext>
                <a:ext uri="{FF2B5EF4-FFF2-40B4-BE49-F238E27FC236}">
                  <a16:creationId xmlns:a16="http://schemas.microsoft.com/office/drawing/2014/main" id="{00000000-0008-0000-0500-000025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400050</xdr:colOff>
          <xdr:row>22</xdr:row>
          <xdr:rowOff>114300</xdr:rowOff>
        </xdr:from>
        <xdr:to>
          <xdr:col>19</xdr:col>
          <xdr:colOff>276225</xdr:colOff>
          <xdr:row>31</xdr:row>
          <xdr:rowOff>47625</xdr:rowOff>
        </xdr:to>
        <xdr:sp macro="" textlink="">
          <xdr:nvSpPr>
            <xdr:cNvPr id="8232" name="Object 40" hidden="1">
              <a:extLst>
                <a:ext uri="{63B3BB69-23CF-44E3-9099-C40C66FF867C}">
                  <a14:compatExt spid="_x0000_s8232"/>
                </a:ext>
                <a:ext uri="{FF2B5EF4-FFF2-40B4-BE49-F238E27FC236}">
                  <a16:creationId xmlns:a16="http://schemas.microsoft.com/office/drawing/2014/main" id="{00000000-0008-0000-0500-000028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2</xdr:col>
          <xdr:colOff>0</xdr:colOff>
          <xdr:row>4</xdr:row>
          <xdr:rowOff>1743075</xdr:rowOff>
        </xdr:to>
        <xdr:sp macro="" textlink="">
          <xdr:nvSpPr>
            <xdr:cNvPr id="15365" name="Object 5" hidden="1">
              <a:extLst>
                <a:ext uri="{63B3BB69-23CF-44E3-9099-C40C66FF867C}">
                  <a14:compatExt spid="_x0000_s15365"/>
                </a:ext>
                <a:ext uri="{FF2B5EF4-FFF2-40B4-BE49-F238E27FC236}">
                  <a16:creationId xmlns:a16="http://schemas.microsoft.com/office/drawing/2014/main" id="{00000000-0008-0000-0600-0000053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0</xdr:colOff>
          <xdr:row>3</xdr:row>
          <xdr:rowOff>1733550</xdr:rowOff>
        </xdr:to>
        <xdr:sp macro="" textlink="">
          <xdr:nvSpPr>
            <xdr:cNvPr id="15366" name="Object 6" hidden="1">
              <a:extLst>
                <a:ext uri="{63B3BB69-23CF-44E3-9099-C40C66FF867C}">
                  <a14:compatExt spid="_x0000_s15366"/>
                </a:ext>
                <a:ext uri="{FF2B5EF4-FFF2-40B4-BE49-F238E27FC236}">
                  <a16:creationId xmlns:a16="http://schemas.microsoft.com/office/drawing/2014/main" id="{00000000-0008-0000-0600-0000063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0</xdr:colOff>
          <xdr:row>5</xdr:row>
          <xdr:rowOff>1381125</xdr:rowOff>
        </xdr:to>
        <xdr:sp macro="" textlink="">
          <xdr:nvSpPr>
            <xdr:cNvPr id="15367" name="Object 7" hidden="1">
              <a:extLst>
                <a:ext uri="{63B3BB69-23CF-44E3-9099-C40C66FF867C}">
                  <a14:compatExt spid="_x0000_s15367"/>
                </a:ext>
                <a:ext uri="{FF2B5EF4-FFF2-40B4-BE49-F238E27FC236}">
                  <a16:creationId xmlns:a16="http://schemas.microsoft.com/office/drawing/2014/main" id="{00000000-0008-0000-0600-0000073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2</xdr:row>
          <xdr:rowOff>28575</xdr:rowOff>
        </xdr:from>
        <xdr:to>
          <xdr:col>0</xdr:col>
          <xdr:colOff>438150</xdr:colOff>
          <xdr:row>2</xdr:row>
          <xdr:rowOff>438150</xdr:rowOff>
        </xdr:to>
        <xdr:sp macro="" textlink="">
          <xdr:nvSpPr>
            <xdr:cNvPr id="20719" name="Object 239" hidden="1">
              <a:extLst>
                <a:ext uri="{63B3BB69-23CF-44E3-9099-C40C66FF867C}">
                  <a14:compatExt spid="_x0000_s20719"/>
                </a:ext>
                <a:ext uri="{FF2B5EF4-FFF2-40B4-BE49-F238E27FC236}">
                  <a16:creationId xmlns:a16="http://schemas.microsoft.com/office/drawing/2014/main" id="{00000000-0008-0000-0700-0000E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xdr:row>
          <xdr:rowOff>28575</xdr:rowOff>
        </xdr:from>
        <xdr:to>
          <xdr:col>0</xdr:col>
          <xdr:colOff>485775</xdr:colOff>
          <xdr:row>4</xdr:row>
          <xdr:rowOff>438150</xdr:rowOff>
        </xdr:to>
        <xdr:sp macro="" textlink="">
          <xdr:nvSpPr>
            <xdr:cNvPr id="20723" name="Object 243" hidden="1">
              <a:extLst>
                <a:ext uri="{63B3BB69-23CF-44E3-9099-C40C66FF867C}">
                  <a14:compatExt spid="_x0000_s20723"/>
                </a:ext>
                <a:ext uri="{FF2B5EF4-FFF2-40B4-BE49-F238E27FC236}">
                  <a16:creationId xmlns:a16="http://schemas.microsoft.com/office/drawing/2014/main" id="{00000000-0008-0000-0700-0000F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xdr:row>
          <xdr:rowOff>9525</xdr:rowOff>
        </xdr:from>
        <xdr:to>
          <xdr:col>0</xdr:col>
          <xdr:colOff>447675</xdr:colOff>
          <xdr:row>5</xdr:row>
          <xdr:rowOff>447675</xdr:rowOff>
        </xdr:to>
        <xdr:sp macro="" textlink="">
          <xdr:nvSpPr>
            <xdr:cNvPr id="20724" name="Object 244" hidden="1">
              <a:extLst>
                <a:ext uri="{63B3BB69-23CF-44E3-9099-C40C66FF867C}">
                  <a14:compatExt spid="_x0000_s20724"/>
                </a:ext>
                <a:ext uri="{FF2B5EF4-FFF2-40B4-BE49-F238E27FC236}">
                  <a16:creationId xmlns:a16="http://schemas.microsoft.com/office/drawing/2014/main" id="{00000000-0008-0000-0700-0000F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xdr:row>
          <xdr:rowOff>19050</xdr:rowOff>
        </xdr:from>
        <xdr:to>
          <xdr:col>0</xdr:col>
          <xdr:colOff>447675</xdr:colOff>
          <xdr:row>3</xdr:row>
          <xdr:rowOff>438150</xdr:rowOff>
        </xdr:to>
        <xdr:sp macro="" textlink="">
          <xdr:nvSpPr>
            <xdr:cNvPr id="20725" name="Object 245" hidden="1">
              <a:extLst>
                <a:ext uri="{63B3BB69-23CF-44E3-9099-C40C66FF867C}">
                  <a14:compatExt spid="_x0000_s20725"/>
                </a:ext>
                <a:ext uri="{FF2B5EF4-FFF2-40B4-BE49-F238E27FC236}">
                  <a16:creationId xmlns:a16="http://schemas.microsoft.com/office/drawing/2014/main" id="{00000000-0008-0000-0700-0000F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3</xdr:col>
          <xdr:colOff>0</xdr:colOff>
          <xdr:row>7</xdr:row>
          <xdr:rowOff>0</xdr:rowOff>
        </xdr:to>
        <xdr:sp macro="" textlink="">
          <xdr:nvSpPr>
            <xdr:cNvPr id="20764" name="Object 284" hidden="1">
              <a:extLst>
                <a:ext uri="{63B3BB69-23CF-44E3-9099-C40C66FF867C}">
                  <a14:compatExt spid="_x0000_s20764"/>
                </a:ext>
                <a:ext uri="{FF2B5EF4-FFF2-40B4-BE49-F238E27FC236}">
                  <a16:creationId xmlns:a16="http://schemas.microsoft.com/office/drawing/2014/main" id="{00000000-0008-0000-0700-00001C5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3</xdr:col>
          <xdr:colOff>0</xdr:colOff>
          <xdr:row>8</xdr:row>
          <xdr:rowOff>0</xdr:rowOff>
        </xdr:to>
        <xdr:sp macro="" textlink="">
          <xdr:nvSpPr>
            <xdr:cNvPr id="20765" name="Object 285" hidden="1">
              <a:extLst>
                <a:ext uri="{63B3BB69-23CF-44E3-9099-C40C66FF867C}">
                  <a14:compatExt spid="_x0000_s20765"/>
                </a:ext>
                <a:ext uri="{FF2B5EF4-FFF2-40B4-BE49-F238E27FC236}">
                  <a16:creationId xmlns:a16="http://schemas.microsoft.com/office/drawing/2014/main" id="{00000000-0008-0000-0700-00001D5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xdr:row>
          <xdr:rowOff>0</xdr:rowOff>
        </xdr:from>
        <xdr:to>
          <xdr:col>3</xdr:col>
          <xdr:colOff>9525</xdr:colOff>
          <xdr:row>9</xdr:row>
          <xdr:rowOff>0</xdr:rowOff>
        </xdr:to>
        <xdr:sp macro="" textlink="">
          <xdr:nvSpPr>
            <xdr:cNvPr id="20766" name="Object 286" hidden="1">
              <a:extLst>
                <a:ext uri="{63B3BB69-23CF-44E3-9099-C40C66FF867C}">
                  <a14:compatExt spid="_x0000_s20766"/>
                </a:ext>
                <a:ext uri="{FF2B5EF4-FFF2-40B4-BE49-F238E27FC236}">
                  <a16:creationId xmlns:a16="http://schemas.microsoft.com/office/drawing/2014/main" id="{00000000-0008-0000-0700-00001E5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3</xdr:col>
          <xdr:colOff>0</xdr:colOff>
          <xdr:row>10</xdr:row>
          <xdr:rowOff>0</xdr:rowOff>
        </xdr:to>
        <xdr:sp macro="" textlink="">
          <xdr:nvSpPr>
            <xdr:cNvPr id="20767" name="Object 287" hidden="1">
              <a:extLst>
                <a:ext uri="{63B3BB69-23CF-44E3-9099-C40C66FF867C}">
                  <a14:compatExt spid="_x0000_s20767"/>
                </a:ext>
                <a:ext uri="{FF2B5EF4-FFF2-40B4-BE49-F238E27FC236}">
                  <a16:creationId xmlns:a16="http://schemas.microsoft.com/office/drawing/2014/main" id="{00000000-0008-0000-0700-00001F5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257803</xdr:colOff>
          <xdr:row>30</xdr:row>
          <xdr:rowOff>3475</xdr:rowOff>
        </xdr:from>
        <xdr:to>
          <xdr:col>6</xdr:col>
          <xdr:colOff>397539</xdr:colOff>
          <xdr:row>40</xdr:row>
          <xdr:rowOff>161383</xdr:rowOff>
        </xdr:to>
        <xdr:pic>
          <xdr:nvPicPr>
            <xdr:cNvPr id="14" name="Picture 13">
              <a:extLst>
                <a:ext uri="{FF2B5EF4-FFF2-40B4-BE49-F238E27FC236}">
                  <a16:creationId xmlns:a16="http://schemas.microsoft.com/office/drawing/2014/main" id="{00000000-0008-0000-0800-00000E000000}"/>
                </a:ext>
              </a:extLst>
            </xdr:cNvPr>
            <xdr:cNvPicPr>
              <a:picLocks noChangeAspect="1"/>
              <a:extLst>
                <a:ext uri="{84589F7E-364E-4C9E-8A38-B11213B215E9}">
                  <a14:cameraTool cellRange="layout." spid="_x0000_s22813"/>
                </a:ext>
              </a:extLst>
            </xdr:cNvPicPr>
          </xdr:nvPicPr>
          <xdr:blipFill>
            <a:blip xmlns:r="http://schemas.openxmlformats.org/officeDocument/2006/relationships" r:embed="rId1"/>
            <a:stretch>
              <a:fillRect/>
            </a:stretch>
          </xdr:blipFill>
          <xdr:spPr>
            <a:xfrm>
              <a:off x="3054343" y="5505115"/>
              <a:ext cx="3035336" cy="1910508"/>
            </a:xfrm>
            <a:prstGeom prst="rect">
              <a:avLst/>
            </a:prstGeom>
          </xdr:spPr>
        </xdr:pic>
        <xdr:clientData/>
      </xdr:twoCellAnchor>
    </mc:Choice>
    <mc:Fallback/>
  </mc:AlternateContent>
  <xdr:twoCellAnchor editAs="oneCell">
    <xdr:from>
      <xdr:col>4</xdr:col>
      <xdr:colOff>762464</xdr:colOff>
      <xdr:row>2</xdr:row>
      <xdr:rowOff>144222</xdr:rowOff>
    </xdr:from>
    <xdr:to>
      <xdr:col>6</xdr:col>
      <xdr:colOff>20172</xdr:colOff>
      <xdr:row>12</xdr:row>
      <xdr:rowOff>143314</xdr:rowOff>
    </xdr:to>
    <xdr:pic>
      <xdr:nvPicPr>
        <xdr:cNvPr id="16" name="Picture 15" descr="http://www.smartair.asia/resource/products/86/images/SMARTEMP%20HSC-FD.png">
          <a:extLst>
            <a:ext uri="{FF2B5EF4-FFF2-40B4-BE49-F238E27FC236}">
              <a16:creationId xmlns:a16="http://schemas.microsoft.com/office/drawing/2014/main" id="{00000000-0008-0000-0800-00001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048589" y="915747"/>
          <a:ext cx="1725591" cy="1760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8283</xdr:colOff>
      <xdr:row>0</xdr:row>
      <xdr:rowOff>55908</xdr:rowOff>
    </xdr:from>
    <xdr:to>
      <xdr:col>0</xdr:col>
      <xdr:colOff>1657268</xdr:colOff>
      <xdr:row>0</xdr:row>
      <xdr:rowOff>371819</xdr:rowOff>
    </xdr:to>
    <xdr:pic>
      <xdr:nvPicPr>
        <xdr:cNvPr id="18" name="Picture 17">
          <a:extLst>
            <a:ext uri="{FF2B5EF4-FFF2-40B4-BE49-F238E27FC236}">
              <a16:creationId xmlns:a16="http://schemas.microsoft.com/office/drawing/2014/main" id="{00000000-0008-0000-0800-000012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283" y="55908"/>
          <a:ext cx="1652840" cy="3154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docs.live.net/e88369f42e4cf940/Documents/Work/Smartair/HSC-FD/Selection-Tool-SMARTEMP-HSC-FD_sean%20edit.xlsx" TargetMode="External"/><Relationship Id="rId1" Type="http://schemas.openxmlformats.org/officeDocument/2006/relationships/externalLinkPath" Target="Selection-Tool-SMARTEMP-HSC-FD_sean%20e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SC-FD"/>
      <sheetName val="HSC-FD Equations"/>
      <sheetName val="Data"/>
      <sheetName val="Reducer Selector"/>
      <sheetName val="Notes"/>
      <sheetName val="Plenum Box Details"/>
      <sheetName val="Box Diagrams"/>
      <sheetName val="layout diagrams"/>
      <sheetName val="Selection Summary"/>
      <sheetName val="Tender Text"/>
    </sheetNames>
    <sheetDataSet>
      <sheetData sheetId="0" refreshError="1"/>
      <sheetData sheetId="1" refreshError="1"/>
      <sheetData sheetId="2">
        <row r="2">
          <cell r="A2" t="str">
            <v>DN250</v>
          </cell>
        </row>
        <row r="3">
          <cell r="A3" t="str">
            <v>DN355</v>
          </cell>
        </row>
        <row r="4">
          <cell r="A4" t="str">
            <v>DN500</v>
          </cell>
        </row>
        <row r="16">
          <cell r="A16" t="str">
            <v>4 Way (360°)</v>
          </cell>
        </row>
        <row r="17">
          <cell r="A17" t="str">
            <v>3 Way (270°)</v>
          </cell>
        </row>
        <row r="18">
          <cell r="A18" t="str">
            <v>2 Way (2×90°)</v>
          </cell>
        </row>
        <row r="19">
          <cell r="A19" t="str">
            <v>2 Way (1×180°)</v>
          </cell>
        </row>
        <row r="23">
          <cell r="A23">
            <v>0.95</v>
          </cell>
        </row>
        <row r="24">
          <cell r="A24">
            <v>0.9</v>
          </cell>
        </row>
        <row r="25">
          <cell r="A25">
            <v>0.8</v>
          </cell>
        </row>
        <row r="26">
          <cell r="A26">
            <v>0.7</v>
          </cell>
        </row>
        <row r="71">
          <cell r="B71" t="str">
            <v>please select a valid reducer option</v>
          </cell>
        </row>
      </sheetData>
      <sheetData sheetId="3" refreshError="1"/>
      <sheetData sheetId="4" refreshError="1"/>
      <sheetData sheetId="5" refreshError="1"/>
      <sheetData sheetId="6" refreshError="1"/>
      <sheetData sheetId="7">
        <row r="2">
          <cell r="B2" t="str">
            <v>4w</v>
          </cell>
        </row>
        <row r="4">
          <cell r="B4" t="str">
            <v>4w</v>
          </cell>
        </row>
        <row r="5">
          <cell r="B5" t="str">
            <v>3w</v>
          </cell>
        </row>
        <row r="6">
          <cell r="B6" t="str">
            <v>2s</v>
          </cell>
        </row>
        <row r="7">
          <cell r="B7" t="str">
            <v>2a</v>
          </cell>
        </row>
      </sheetData>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41" Type="http://schemas.openxmlformats.org/officeDocument/2006/relationships/ctrlProp" Target="../ctrlProps/ctrlProp37.xml"/><Relationship Id="rId1" Type="http://schemas.openxmlformats.org/officeDocument/2006/relationships/hyperlink" Target="http://www.smartair.asia/product/86"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8" Type="http://schemas.openxmlformats.org/officeDocument/2006/relationships/ctrlProp" Target="../ctrlProps/ctrlProp4.xml"/><Relationship Id="rId3" Type="http://schemas.openxmlformats.org/officeDocument/2006/relationships/drawing" Target="../drawings/drawing1.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8" Type="http://schemas.openxmlformats.org/officeDocument/2006/relationships/package" Target="../embeddings/Microsoft_Visio_Drawing2.vsdx"/><Relationship Id="rId3" Type="http://schemas.openxmlformats.org/officeDocument/2006/relationships/vmlDrawing" Target="../drawings/vmlDrawing2.vml"/><Relationship Id="rId7" Type="http://schemas.openxmlformats.org/officeDocument/2006/relationships/image" Target="../media/image8.emf"/><Relationship Id="rId12" Type="http://schemas.openxmlformats.org/officeDocument/2006/relationships/ctrlProp" Target="../ctrlProps/ctrlProp38.xml"/><Relationship Id="rId2" Type="http://schemas.openxmlformats.org/officeDocument/2006/relationships/drawing" Target="../drawings/drawing4.xml"/><Relationship Id="rId1" Type="http://schemas.openxmlformats.org/officeDocument/2006/relationships/printerSettings" Target="../printerSettings/printerSettings3.bin"/><Relationship Id="rId6" Type="http://schemas.openxmlformats.org/officeDocument/2006/relationships/package" Target="../embeddings/Microsoft_Visio_Drawing1.vsdx"/><Relationship Id="rId11" Type="http://schemas.openxmlformats.org/officeDocument/2006/relationships/image" Target="../media/image10.emf"/><Relationship Id="rId5" Type="http://schemas.openxmlformats.org/officeDocument/2006/relationships/image" Target="../media/image7.emf"/><Relationship Id="rId10" Type="http://schemas.openxmlformats.org/officeDocument/2006/relationships/package" Target="../embeddings/Microsoft_Visio_Drawing3.vsdx"/><Relationship Id="rId4" Type="http://schemas.openxmlformats.org/officeDocument/2006/relationships/package" Target="../embeddings/Microsoft_Visio_Drawing.vsdx"/><Relationship Id="rId9" Type="http://schemas.openxmlformats.org/officeDocument/2006/relationships/image" Target="../media/image9.emf"/></Relationships>
</file>

<file path=xl/worksheets/_rels/sheet6.xml.rels><?xml version="1.0" encoding="UTF-8" standalone="yes"?>
<Relationships xmlns="http://schemas.openxmlformats.org/package/2006/relationships"><Relationship Id="rId8" Type="http://schemas.openxmlformats.org/officeDocument/2006/relationships/package" Target="../embeddings/Microsoft_Visio_Drawing6.vsdx"/><Relationship Id="rId3" Type="http://schemas.openxmlformats.org/officeDocument/2006/relationships/vmlDrawing" Target="../drawings/vmlDrawing3.vml"/><Relationship Id="rId7" Type="http://schemas.openxmlformats.org/officeDocument/2006/relationships/image" Target="../media/image12.emf"/><Relationship Id="rId2" Type="http://schemas.openxmlformats.org/officeDocument/2006/relationships/drawing" Target="../drawings/drawing5.xml"/><Relationship Id="rId1" Type="http://schemas.openxmlformats.org/officeDocument/2006/relationships/printerSettings" Target="../printerSettings/printerSettings4.bin"/><Relationship Id="rId6" Type="http://schemas.openxmlformats.org/officeDocument/2006/relationships/package" Target="../embeddings/Microsoft_Visio_Drawing5.vsdx"/><Relationship Id="rId5" Type="http://schemas.openxmlformats.org/officeDocument/2006/relationships/image" Target="../media/image11.emf"/><Relationship Id="rId10" Type="http://schemas.openxmlformats.org/officeDocument/2006/relationships/ctrlProp" Target="../ctrlProps/ctrlProp39.xml"/><Relationship Id="rId4" Type="http://schemas.openxmlformats.org/officeDocument/2006/relationships/package" Target="../embeddings/Microsoft_Visio_Drawing4.vsdx"/><Relationship Id="rId9" Type="http://schemas.openxmlformats.org/officeDocument/2006/relationships/image" Target="../media/image13.emf"/></Relationships>
</file>

<file path=xl/worksheets/_rels/sheet7.xml.rels><?xml version="1.0" encoding="UTF-8" standalone="yes"?>
<Relationships xmlns="http://schemas.openxmlformats.org/package/2006/relationships"><Relationship Id="rId8" Type="http://schemas.openxmlformats.org/officeDocument/2006/relationships/package" Target="../embeddings/Microsoft_Visio_Drawing9.vsdx"/><Relationship Id="rId3" Type="http://schemas.openxmlformats.org/officeDocument/2006/relationships/vmlDrawing" Target="../drawings/vmlDrawing4.vml"/><Relationship Id="rId7" Type="http://schemas.openxmlformats.org/officeDocument/2006/relationships/image" Target="../media/image15.emf"/><Relationship Id="rId2" Type="http://schemas.openxmlformats.org/officeDocument/2006/relationships/drawing" Target="../drawings/drawing6.xml"/><Relationship Id="rId1" Type="http://schemas.openxmlformats.org/officeDocument/2006/relationships/printerSettings" Target="../printerSettings/printerSettings5.bin"/><Relationship Id="rId6" Type="http://schemas.openxmlformats.org/officeDocument/2006/relationships/package" Target="../embeddings/Microsoft_Visio_Drawing8.vsdx"/><Relationship Id="rId5" Type="http://schemas.openxmlformats.org/officeDocument/2006/relationships/image" Target="../media/image14.emf"/><Relationship Id="rId4" Type="http://schemas.openxmlformats.org/officeDocument/2006/relationships/package" Target="../embeddings/Microsoft_Visio_Drawing7.vsdx"/><Relationship Id="rId9" Type="http://schemas.openxmlformats.org/officeDocument/2006/relationships/image" Target="../media/image16.emf"/></Relationships>
</file>

<file path=xl/worksheets/_rels/sheet8.xml.rels><?xml version="1.0" encoding="UTF-8" standalone="yes"?>
<Relationships xmlns="http://schemas.openxmlformats.org/package/2006/relationships"><Relationship Id="rId8" Type="http://schemas.openxmlformats.org/officeDocument/2006/relationships/image" Target="../media/image19.emf"/><Relationship Id="rId13" Type="http://schemas.openxmlformats.org/officeDocument/2006/relationships/package" Target="../embeddings/Microsoft_Visio_Drawing15.vsdx"/><Relationship Id="rId18" Type="http://schemas.openxmlformats.org/officeDocument/2006/relationships/image" Target="../media/image24.emf"/><Relationship Id="rId3" Type="http://schemas.openxmlformats.org/officeDocument/2006/relationships/package" Target="../embeddings/Microsoft_Visio_Drawing10.vsdx"/><Relationship Id="rId7" Type="http://schemas.openxmlformats.org/officeDocument/2006/relationships/package" Target="../embeddings/Microsoft_Visio_Drawing12.vsdx"/><Relationship Id="rId12" Type="http://schemas.openxmlformats.org/officeDocument/2006/relationships/image" Target="../media/image21.emf"/><Relationship Id="rId17" Type="http://schemas.openxmlformats.org/officeDocument/2006/relationships/package" Target="../embeddings/Microsoft_Visio_Drawing17.vsdx"/><Relationship Id="rId2" Type="http://schemas.openxmlformats.org/officeDocument/2006/relationships/vmlDrawing" Target="../drawings/vmlDrawing5.vml"/><Relationship Id="rId16" Type="http://schemas.openxmlformats.org/officeDocument/2006/relationships/image" Target="../media/image23.emf"/><Relationship Id="rId1" Type="http://schemas.openxmlformats.org/officeDocument/2006/relationships/drawing" Target="../drawings/drawing7.xml"/><Relationship Id="rId6" Type="http://schemas.openxmlformats.org/officeDocument/2006/relationships/image" Target="../media/image18.emf"/><Relationship Id="rId11" Type="http://schemas.openxmlformats.org/officeDocument/2006/relationships/package" Target="../embeddings/Microsoft_Visio_Drawing14.vsdx"/><Relationship Id="rId5" Type="http://schemas.openxmlformats.org/officeDocument/2006/relationships/package" Target="../embeddings/Microsoft_Visio_Drawing11.vsdx"/><Relationship Id="rId15" Type="http://schemas.openxmlformats.org/officeDocument/2006/relationships/package" Target="../embeddings/Microsoft_Visio_Drawing16.vsdx"/><Relationship Id="rId10" Type="http://schemas.openxmlformats.org/officeDocument/2006/relationships/image" Target="../media/image20.emf"/><Relationship Id="rId4" Type="http://schemas.openxmlformats.org/officeDocument/2006/relationships/image" Target="../media/image17.emf"/><Relationship Id="rId9" Type="http://schemas.openxmlformats.org/officeDocument/2006/relationships/package" Target="../embeddings/Microsoft_Visio_Drawing13.vsdx"/><Relationship Id="rId14" Type="http://schemas.openxmlformats.org/officeDocument/2006/relationships/image" Target="../media/image22.emf"/></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3"/>
  <sheetViews>
    <sheetView tabSelected="1" zoomScaleNormal="100" workbookViewId="0">
      <selection activeCell="E9" sqref="E9"/>
    </sheetView>
  </sheetViews>
  <sheetFormatPr defaultRowHeight="15"/>
  <cols>
    <col min="1" max="1" width="2.42578125" customWidth="1"/>
    <col min="2" max="2" width="2.5703125" customWidth="1"/>
    <col min="3" max="3" width="20" customWidth="1"/>
    <col min="4" max="4" width="26" customWidth="1"/>
    <col min="5" max="5" width="19" customWidth="1"/>
    <col min="6" max="6" width="7.28515625" customWidth="1"/>
    <col min="7" max="13" width="13.7109375" customWidth="1"/>
    <col min="14" max="14" width="11.140625" customWidth="1"/>
    <col min="15" max="17" width="16" customWidth="1"/>
    <col min="18" max="20" width="12.28515625" customWidth="1"/>
    <col min="21" max="21" width="24.5703125" customWidth="1"/>
    <col min="24" max="24" width="9" customWidth="1"/>
  </cols>
  <sheetData>
    <row r="1" spans="1:26" ht="13.5" customHeight="1">
      <c r="B1" s="30"/>
      <c r="C1" s="31"/>
      <c r="D1" s="31"/>
      <c r="E1" s="31"/>
      <c r="F1" s="31"/>
      <c r="G1" s="31"/>
      <c r="H1" s="31"/>
      <c r="I1" s="31"/>
      <c r="J1" s="31"/>
      <c r="K1" s="31"/>
      <c r="L1" s="31"/>
      <c r="M1" s="22"/>
      <c r="N1" s="31"/>
      <c r="O1" s="31"/>
      <c r="P1" s="31"/>
      <c r="Q1" s="31"/>
      <c r="R1" s="31"/>
      <c r="S1" s="31"/>
      <c r="T1" s="31"/>
      <c r="U1" s="32"/>
    </row>
    <row r="2" spans="1:26" ht="21">
      <c r="B2" s="33"/>
      <c r="C2" s="22"/>
      <c r="D2" s="25" t="s">
        <v>0</v>
      </c>
      <c r="E2" s="25"/>
      <c r="F2" s="25"/>
      <c r="G2" s="22"/>
      <c r="H2" s="22"/>
      <c r="I2" s="47"/>
      <c r="J2" s="47"/>
      <c r="K2" s="47"/>
      <c r="L2" s="47"/>
      <c r="M2" s="22"/>
      <c r="N2" s="47"/>
      <c r="O2" s="47"/>
      <c r="P2" s="47"/>
      <c r="Q2" s="47"/>
      <c r="R2" s="47"/>
      <c r="S2" s="47"/>
      <c r="T2" s="47"/>
      <c r="U2" s="47"/>
    </row>
    <row r="3" spans="1:26" ht="25.5" customHeight="1">
      <c r="B3" s="33"/>
      <c r="C3" s="22"/>
      <c r="D3" s="35" t="s">
        <v>1</v>
      </c>
      <c r="E3" s="35"/>
      <c r="F3" s="35"/>
      <c r="G3" s="22"/>
      <c r="H3" s="22"/>
      <c r="I3" s="47"/>
      <c r="J3" s="47"/>
      <c r="K3" s="47"/>
      <c r="L3" s="47"/>
      <c r="M3" s="22"/>
      <c r="N3" s="47"/>
      <c r="O3" s="47"/>
      <c r="P3" s="47"/>
      <c r="Q3" s="47"/>
      <c r="R3" s="47"/>
      <c r="S3" s="47"/>
      <c r="T3" s="47"/>
      <c r="U3" s="47"/>
    </row>
    <row r="4" spans="1:26" ht="13.5" customHeight="1">
      <c r="B4" s="33"/>
      <c r="C4" s="22"/>
      <c r="D4" s="26"/>
      <c r="E4" s="26"/>
      <c r="F4" s="26"/>
      <c r="G4" s="22"/>
      <c r="H4" s="22"/>
      <c r="I4" s="22"/>
      <c r="J4" s="22"/>
      <c r="K4" s="22"/>
      <c r="L4" s="22"/>
      <c r="M4" s="22"/>
      <c r="N4" s="22"/>
      <c r="O4" s="22"/>
      <c r="P4" s="22"/>
      <c r="Q4" s="22"/>
      <c r="R4" s="22"/>
      <c r="S4" s="22"/>
      <c r="T4" s="22"/>
      <c r="U4" s="34"/>
    </row>
    <row r="5" spans="1:26" ht="24.75" customHeight="1">
      <c r="B5" s="23"/>
      <c r="C5" s="230" t="s">
        <v>2</v>
      </c>
      <c r="D5" s="498" t="s">
        <v>3</v>
      </c>
      <c r="E5" s="498"/>
      <c r="F5" s="498"/>
      <c r="G5" s="498"/>
      <c r="H5" s="498"/>
      <c r="I5" s="450"/>
      <c r="J5" s="166"/>
      <c r="K5" s="166"/>
      <c r="L5" s="166"/>
      <c r="M5" s="166"/>
      <c r="N5" s="166"/>
      <c r="O5" s="166"/>
      <c r="P5" s="166"/>
      <c r="Q5" s="166"/>
      <c r="R5" s="166"/>
      <c r="S5" s="166"/>
      <c r="T5" s="166"/>
      <c r="U5" s="167"/>
    </row>
    <row r="6" spans="1:26" ht="6.75" customHeight="1">
      <c r="B6" s="23"/>
      <c r="C6" s="228"/>
      <c r="D6" s="229"/>
      <c r="E6" s="229"/>
      <c r="F6" s="229"/>
      <c r="G6" s="229"/>
      <c r="H6" s="229"/>
      <c r="I6" s="229"/>
      <c r="J6" s="166"/>
      <c r="K6" s="166"/>
      <c r="L6" s="166"/>
      <c r="M6" s="166"/>
      <c r="N6" s="166"/>
      <c r="O6" s="166"/>
      <c r="P6" s="166"/>
      <c r="Q6" s="166"/>
      <c r="R6" s="166"/>
      <c r="S6" s="166"/>
      <c r="T6" s="166"/>
      <c r="U6" s="167"/>
    </row>
    <row r="7" spans="1:26" ht="18" customHeight="1" thickBot="1">
      <c r="A7" s="16"/>
      <c r="B7" s="23"/>
      <c r="C7" s="17"/>
      <c r="D7" s="500" t="s">
        <v>4</v>
      </c>
      <c r="E7" s="500"/>
      <c r="F7" s="500"/>
      <c r="G7" s="500"/>
      <c r="H7" s="17"/>
      <c r="I7" s="17"/>
      <c r="J7" s="166"/>
      <c r="K7" s="178" t="s">
        <v>5</v>
      </c>
      <c r="L7" s="179"/>
      <c r="M7" s="180"/>
      <c r="N7" s="180"/>
      <c r="O7" s="166"/>
      <c r="P7" s="166"/>
      <c r="Q7" s="166"/>
      <c r="R7" s="166"/>
      <c r="S7" s="166"/>
      <c r="T7" s="166"/>
      <c r="U7" s="204" t="s">
        <v>691</v>
      </c>
    </row>
    <row r="8" spans="1:26" ht="12.75" customHeight="1" thickTop="1">
      <c r="A8" s="16"/>
      <c r="B8" s="23"/>
      <c r="C8" s="17"/>
      <c r="D8" s="17"/>
      <c r="E8" s="17"/>
      <c r="F8" s="17"/>
      <c r="G8" s="17"/>
      <c r="H8" s="18"/>
      <c r="I8" s="18"/>
      <c r="J8" s="166"/>
      <c r="K8" s="166"/>
      <c r="L8" s="166"/>
      <c r="M8" s="166"/>
      <c r="N8" s="166"/>
      <c r="O8" s="166"/>
      <c r="P8" s="166"/>
      <c r="Q8" s="166"/>
      <c r="R8" s="166"/>
      <c r="S8" s="166"/>
      <c r="T8" s="166"/>
      <c r="U8" s="167"/>
    </row>
    <row r="9" spans="1:26" ht="18" thickBot="1">
      <c r="A9" s="16"/>
      <c r="B9" s="23"/>
      <c r="C9" s="17"/>
      <c r="D9" s="20" t="s">
        <v>6</v>
      </c>
      <c r="E9" s="399">
        <v>120</v>
      </c>
      <c r="F9" s="407"/>
      <c r="G9" s="382" t="s">
        <v>134</v>
      </c>
      <c r="H9" s="382" t="s">
        <v>629</v>
      </c>
      <c r="I9" s="382"/>
      <c r="J9" s="166"/>
      <c r="K9" s="484" t="s">
        <v>7</v>
      </c>
      <c r="L9" s="485"/>
      <c r="M9" s="217" t="s">
        <v>8</v>
      </c>
      <c r="N9" s="166"/>
      <c r="O9" s="166"/>
      <c r="P9" s="404" t="str">
        <f>Data!C54</f>
        <v/>
      </c>
      <c r="Q9" s="166"/>
      <c r="R9" s="166"/>
      <c r="S9" s="166"/>
      <c r="T9" s="166"/>
      <c r="U9" s="167"/>
      <c r="V9" s="160" t="s">
        <v>9</v>
      </c>
      <c r="W9" s="176">
        <v>5</v>
      </c>
      <c r="X9" s="161" t="s">
        <v>10</v>
      </c>
      <c r="Y9" s="161" t="s">
        <v>11</v>
      </c>
      <c r="Z9" s="161"/>
    </row>
    <row r="10" spans="1:26" ht="15.75" thickTop="1">
      <c r="A10" s="16"/>
      <c r="B10" s="23"/>
      <c r="C10" s="17"/>
      <c r="D10" s="21"/>
      <c r="E10" s="383" t="str">
        <f>'HSC-FD Equations'!C8</f>
        <v>= 432</v>
      </c>
      <c r="F10" s="384" t="str">
        <f>'HSC-FD Equations'!D8</f>
        <v>m³/h</v>
      </c>
      <c r="G10" s="17"/>
      <c r="H10" s="17"/>
      <c r="I10" s="17"/>
      <c r="J10" s="166"/>
      <c r="K10" s="166"/>
      <c r="L10" s="166"/>
      <c r="M10" s="181"/>
      <c r="N10" s="166"/>
      <c r="O10" s="182"/>
      <c r="P10" s="182"/>
      <c r="Q10" s="182"/>
      <c r="R10" s="182"/>
      <c r="S10" s="182"/>
      <c r="T10" s="182"/>
      <c r="U10" s="167"/>
    </row>
    <row r="11" spans="1:26" ht="15.75" customHeight="1" thickBot="1">
      <c r="A11" s="16"/>
      <c r="B11" s="23"/>
      <c r="C11" s="17"/>
      <c r="D11" s="20" t="s">
        <v>12</v>
      </c>
      <c r="E11" s="50">
        <v>100</v>
      </c>
      <c r="F11" s="18" t="s">
        <v>13</v>
      </c>
      <c r="G11" s="17"/>
      <c r="H11" s="17"/>
      <c r="I11" s="17"/>
      <c r="J11" s="166"/>
      <c r="K11" s="166"/>
      <c r="L11" s="183" t="s">
        <v>14</v>
      </c>
      <c r="M11" s="194">
        <v>0.9</v>
      </c>
      <c r="N11" s="166"/>
      <c r="O11" s="197" t="s">
        <v>15</v>
      </c>
      <c r="P11" s="197"/>
      <c r="Q11" s="184"/>
      <c r="R11" s="184"/>
      <c r="S11" s="184"/>
      <c r="T11" s="184"/>
      <c r="U11" s="185"/>
    </row>
    <row r="12" spans="1:26" ht="15.75" thickTop="1">
      <c r="A12" s="16"/>
      <c r="B12" s="23"/>
      <c r="C12" s="17"/>
      <c r="D12" s="21"/>
      <c r="E12" s="453" t="str">
        <f>'HSC-FD Equations'!C320</f>
        <v>= 120</v>
      </c>
      <c r="F12" s="454" t="str">
        <f>'HSC-FD Equations'!E3</f>
        <v>L/s</v>
      </c>
      <c r="G12" s="17"/>
      <c r="H12" s="17"/>
      <c r="I12" s="17"/>
      <c r="J12" s="166"/>
      <c r="K12" s="166"/>
      <c r="L12" s="166"/>
      <c r="M12" s="166"/>
      <c r="N12" s="166"/>
      <c r="O12" s="166"/>
      <c r="P12" s="166"/>
      <c r="Q12" s="166"/>
      <c r="R12" s="166"/>
      <c r="S12" s="166"/>
      <c r="T12" s="166"/>
      <c r="U12" s="167"/>
    </row>
    <row r="13" spans="1:26" ht="15.75" thickBot="1">
      <c r="A13" s="16"/>
      <c r="B13" s="23"/>
      <c r="C13" s="17"/>
      <c r="D13" s="20" t="s">
        <v>16</v>
      </c>
      <c r="E13" s="49">
        <v>35</v>
      </c>
      <c r="F13" s="18" t="s">
        <v>17</v>
      </c>
      <c r="G13" s="17"/>
      <c r="H13" s="17"/>
      <c r="I13" s="17"/>
      <c r="J13" s="166"/>
      <c r="K13" s="166"/>
      <c r="L13" s="166"/>
      <c r="M13" s="205" t="s">
        <v>18</v>
      </c>
      <c r="N13" s="166"/>
      <c r="O13" s="197" t="s">
        <v>606</v>
      </c>
      <c r="P13" s="166"/>
      <c r="Q13" s="166"/>
      <c r="R13" s="166"/>
      <c r="S13" s="166"/>
      <c r="T13" s="166"/>
      <c r="U13" s="167"/>
    </row>
    <row r="14" spans="1:26" ht="15.75" thickTop="1">
      <c r="A14" s="16"/>
      <c r="B14" s="23"/>
      <c r="C14" s="17"/>
      <c r="D14" s="21"/>
      <c r="E14" s="19"/>
      <c r="F14" s="18"/>
      <c r="G14" s="17"/>
      <c r="H14" s="17"/>
      <c r="I14" s="17"/>
      <c r="J14" s="166"/>
      <c r="K14" s="166"/>
      <c r="L14" s="166"/>
      <c r="M14" s="166"/>
      <c r="N14" s="166"/>
      <c r="O14" s="197" t="s">
        <v>19</v>
      </c>
      <c r="P14" s="166"/>
      <c r="Q14" s="166"/>
      <c r="R14" s="166"/>
      <c r="S14" s="166"/>
      <c r="T14" s="166"/>
      <c r="U14" s="167"/>
    </row>
    <row r="15" spans="1:26" ht="15.75" thickBot="1">
      <c r="A15" s="16"/>
      <c r="B15" s="23"/>
      <c r="C15" s="17"/>
      <c r="D15" s="20" t="s">
        <v>20</v>
      </c>
      <c r="E15" s="240">
        <v>-12</v>
      </c>
      <c r="F15" s="18" t="s">
        <v>21</v>
      </c>
      <c r="G15" s="17"/>
      <c r="H15" s="17"/>
      <c r="I15" s="17"/>
      <c r="J15" s="166"/>
      <c r="K15" s="210" t="s">
        <v>22</v>
      </c>
      <c r="L15" s="209"/>
      <c r="M15" s="166"/>
      <c r="N15" s="166"/>
      <c r="O15" s="166"/>
      <c r="P15" s="166"/>
      <c r="Q15" s="166"/>
      <c r="R15" s="166"/>
      <c r="S15" s="166"/>
      <c r="T15" s="166"/>
      <c r="U15" s="167"/>
    </row>
    <row r="16" spans="1:26" ht="15.75" customHeight="1" thickTop="1">
      <c r="A16" s="16"/>
      <c r="B16" s="23"/>
      <c r="C16" s="17"/>
      <c r="D16" s="21"/>
      <c r="E16" s="19"/>
      <c r="F16" s="345" t="s">
        <v>23</v>
      </c>
      <c r="G16" s="17"/>
      <c r="H16" s="17"/>
      <c r="I16" s="17"/>
      <c r="J16" s="166"/>
      <c r="K16" s="166"/>
      <c r="L16" s="166"/>
      <c r="M16" s="166"/>
      <c r="N16" s="166"/>
      <c r="O16" s="197"/>
      <c r="P16" s="166"/>
      <c r="Q16" s="166"/>
      <c r="R16" s="166"/>
      <c r="S16" s="166"/>
      <c r="T16" s="166"/>
      <c r="U16" s="167"/>
    </row>
    <row r="17" spans="1:21" ht="15.75" customHeight="1" thickBot="1">
      <c r="A17" s="16"/>
      <c r="B17" s="23"/>
      <c r="C17" s="17"/>
      <c r="D17" s="20" t="s">
        <v>24</v>
      </c>
      <c r="E17" s="49">
        <v>2.7</v>
      </c>
      <c r="F17" s="18" t="s">
        <v>25</v>
      </c>
      <c r="G17" s="17"/>
      <c r="H17" s="17"/>
      <c r="I17" s="17"/>
      <c r="J17" s="166"/>
      <c r="K17" s="417"/>
      <c r="L17" s="403"/>
      <c r="M17" s="206" t="s">
        <v>26</v>
      </c>
      <c r="N17" s="206"/>
      <c r="O17" s="197" t="s">
        <v>27</v>
      </c>
      <c r="P17" s="166"/>
      <c r="Q17" s="166"/>
      <c r="R17" s="166"/>
      <c r="S17" s="166"/>
      <c r="T17" s="166"/>
      <c r="U17" s="189"/>
    </row>
    <row r="18" spans="1:21" ht="15.75" customHeight="1" thickTop="1">
      <c r="A18" s="16"/>
      <c r="B18" s="23"/>
      <c r="C18" s="17"/>
      <c r="D18" s="20"/>
      <c r="E18" s="20"/>
      <c r="F18" s="20"/>
      <c r="G18" s="17"/>
      <c r="H18" s="17"/>
      <c r="I18" s="17"/>
      <c r="J18" s="166"/>
      <c r="K18" s="207" t="s">
        <v>28</v>
      </c>
      <c r="L18" s="205"/>
      <c r="M18" s="397" t="str">
        <f>"coverage = "&amp;ROUND('HSC-FD Equations'!C208,1) &amp; " m"</f>
        <v>coverage = 7.3 m</v>
      </c>
      <c r="N18" s="222"/>
      <c r="O18" s="200"/>
      <c r="P18" s="166"/>
      <c r="Q18" s="166"/>
      <c r="R18" s="166"/>
      <c r="S18" s="166"/>
      <c r="T18" s="166"/>
      <c r="U18" s="189"/>
    </row>
    <row r="19" spans="1:21" ht="15.75" customHeight="1" thickBot="1">
      <c r="A19" s="16"/>
      <c r="B19" s="23"/>
      <c r="C19" s="17"/>
      <c r="D19" s="20" t="s">
        <v>29</v>
      </c>
      <c r="E19" s="218" t="s">
        <v>30</v>
      </c>
      <c r="F19" s="449" t="s">
        <v>628</v>
      </c>
      <c r="G19" s="17"/>
      <c r="H19" s="17"/>
      <c r="I19" s="17"/>
      <c r="J19" s="166"/>
      <c r="K19" s="166"/>
      <c r="L19" s="206" t="s">
        <v>32</v>
      </c>
      <c r="M19" s="193">
        <v>8</v>
      </c>
      <c r="N19" s="190" t="s">
        <v>33</v>
      </c>
      <c r="O19" s="199" t="s">
        <v>34</v>
      </c>
      <c r="P19" s="166"/>
      <c r="Q19" s="166"/>
      <c r="R19" s="166"/>
      <c r="S19" s="166"/>
      <c r="T19" s="166"/>
      <c r="U19" s="167"/>
    </row>
    <row r="20" spans="1:21" ht="15.75" customHeight="1" thickTop="1">
      <c r="A20" s="16"/>
      <c r="B20" s="23"/>
      <c r="C20" s="17"/>
      <c r="D20" s="17"/>
      <c r="E20" s="17"/>
      <c r="F20" s="387"/>
      <c r="G20" s="17"/>
      <c r="H20" s="17"/>
      <c r="I20" s="17"/>
      <c r="J20" s="166"/>
      <c r="K20" s="207" t="s">
        <v>28</v>
      </c>
      <c r="L20" s="220"/>
      <c r="M20" s="398" t="str">
        <f>"= specfic airflow rate: "&amp;'HSC-FD Equations'!C206&amp;" "&amp;'HSC-FD Equations'!D4</f>
        <v>= specfic airflow rate: 2.3 L/s/m²</v>
      </c>
      <c r="N20" s="219"/>
      <c r="O20" s="199"/>
      <c r="P20" s="166"/>
      <c r="Q20" s="166"/>
      <c r="R20" s="166"/>
      <c r="S20" s="166"/>
      <c r="T20" s="166"/>
      <c r="U20" s="167"/>
    </row>
    <row r="21" spans="1:21" ht="15.75" customHeight="1" thickBot="1">
      <c r="A21" s="16"/>
      <c r="B21" s="23"/>
      <c r="C21" s="459" t="s">
        <v>616</v>
      </c>
      <c r="D21" s="20"/>
      <c r="E21" s="20"/>
      <c r="F21" s="20"/>
      <c r="G21" s="20"/>
      <c r="H21" s="20"/>
      <c r="I21" s="20"/>
      <c r="J21" s="166"/>
      <c r="K21" s="216"/>
      <c r="L21" s="206" t="s">
        <v>690</v>
      </c>
      <c r="M21" s="221">
        <v>15</v>
      </c>
      <c r="N21" s="190" t="str">
        <f>'HSC-FD Equations'!D4</f>
        <v>L/s/m²</v>
      </c>
      <c r="O21" s="199" t="str">
        <f>"≤ "&amp;'HSC-FD Equations'!C209&amp;" "&amp;'HSC-FD Equations'!D4</f>
        <v>≤ 30 L/s/m²</v>
      </c>
      <c r="P21" s="166"/>
      <c r="Q21" s="166"/>
      <c r="R21" s="166"/>
      <c r="S21" s="166"/>
      <c r="T21" s="166"/>
      <c r="U21" s="167"/>
    </row>
    <row r="22" spans="1:21" ht="15.75" customHeight="1" thickTop="1">
      <c r="A22" s="16"/>
      <c r="B22" s="23"/>
      <c r="C22" s="489" t="s">
        <v>618</v>
      </c>
      <c r="D22" s="489"/>
      <c r="E22" s="489"/>
      <c r="F22" s="489"/>
      <c r="G22" s="489"/>
      <c r="H22" s="489"/>
      <c r="I22" s="489"/>
      <c r="J22" s="166"/>
      <c r="K22" s="166"/>
      <c r="L22" s="166"/>
      <c r="M22" s="488" t="str">
        <f>"average diffuser coverage 'C': "&amp;ROUND('HSC-FD Equations'!C208,1) &amp; " m"</f>
        <v>average diffuser coverage 'C': 7.3 m</v>
      </c>
      <c r="N22" s="488"/>
      <c r="O22" s="488"/>
      <c r="P22" s="488"/>
      <c r="Q22" s="166"/>
      <c r="R22" s="166"/>
      <c r="S22" s="166"/>
      <c r="T22" s="166"/>
      <c r="U22" s="167"/>
    </row>
    <row r="23" spans="1:21" ht="15.75" customHeight="1" thickBot="1">
      <c r="A23" s="16"/>
      <c r="B23" s="23"/>
      <c r="C23" s="489" t="s">
        <v>617</v>
      </c>
      <c r="D23" s="489"/>
      <c r="E23" s="489"/>
      <c r="F23" s="489"/>
      <c r="G23" s="489"/>
      <c r="H23" s="489"/>
      <c r="I23" s="489"/>
      <c r="J23" s="166"/>
      <c r="K23" s="166"/>
      <c r="L23" s="183" t="s">
        <v>37</v>
      </c>
      <c r="M23" s="193">
        <v>23</v>
      </c>
      <c r="N23" s="190" t="s">
        <v>38</v>
      </c>
      <c r="O23" s="199" t="s">
        <v>39</v>
      </c>
      <c r="P23" s="166"/>
      <c r="Q23" s="166"/>
      <c r="R23" s="166"/>
      <c r="S23" s="166"/>
      <c r="T23" s="166"/>
      <c r="U23" s="189"/>
    </row>
    <row r="24" spans="1:21" ht="15.75" customHeight="1" thickTop="1">
      <c r="A24" s="16"/>
      <c r="B24" s="23"/>
      <c r="C24" s="17"/>
      <c r="D24" s="17"/>
      <c r="E24" s="17"/>
      <c r="F24" s="17"/>
      <c r="G24" s="17"/>
      <c r="H24" s="18"/>
      <c r="I24" s="18"/>
      <c r="J24" s="166"/>
      <c r="K24" s="166"/>
      <c r="L24" s="186"/>
      <c r="M24" s="166"/>
      <c r="N24" s="166"/>
      <c r="O24" s="197"/>
      <c r="P24" s="166"/>
      <c r="Q24" s="166"/>
      <c r="R24" s="166"/>
      <c r="S24" s="166"/>
      <c r="T24" s="166"/>
      <c r="U24" s="189"/>
    </row>
    <row r="25" spans="1:21" ht="15.75" customHeight="1" thickBot="1">
      <c r="A25" s="16"/>
      <c r="B25" s="23"/>
      <c r="C25" s="17"/>
      <c r="D25" s="244" t="s">
        <v>36</v>
      </c>
      <c r="E25" s="244"/>
      <c r="F25" s="244"/>
      <c r="G25" s="244"/>
      <c r="H25" s="20"/>
      <c r="I25" s="20"/>
      <c r="J25" s="166"/>
      <c r="K25" s="166"/>
      <c r="L25" s="196" t="s">
        <v>41</v>
      </c>
      <c r="M25" s="487" t="s">
        <v>42</v>
      </c>
      <c r="N25" s="487"/>
      <c r="O25" s="451" t="s">
        <v>43</v>
      </c>
      <c r="P25" s="195"/>
      <c r="Q25" s="166"/>
      <c r="R25" s="166"/>
      <c r="S25" s="166"/>
      <c r="T25" s="166"/>
      <c r="U25" s="189"/>
    </row>
    <row r="26" spans="1:21" ht="15.75" customHeight="1" thickTop="1">
      <c r="A26" s="16"/>
      <c r="B26" s="23"/>
      <c r="C26" s="17"/>
      <c r="D26" s="20"/>
      <c r="E26" s="20"/>
      <c r="F26" s="20"/>
      <c r="G26" s="20"/>
      <c r="H26" s="20"/>
      <c r="I26" s="20"/>
      <c r="J26" s="166"/>
      <c r="K26" s="166"/>
      <c r="L26" s="166"/>
      <c r="M26" s="166"/>
      <c r="N26" s="166"/>
      <c r="O26" s="166"/>
      <c r="P26" s="166"/>
      <c r="Q26" s="166"/>
      <c r="R26" s="166"/>
      <c r="S26" s="166"/>
      <c r="T26" s="166"/>
      <c r="U26" s="189"/>
    </row>
    <row r="27" spans="1:21" ht="15.75" customHeight="1" thickBot="1">
      <c r="A27" s="16"/>
      <c r="B27" s="23"/>
      <c r="C27" s="17"/>
      <c r="D27" s="448" t="s">
        <v>40</v>
      </c>
      <c r="E27" s="248"/>
      <c r="F27" s="248"/>
      <c r="G27" s="20"/>
      <c r="H27" s="20"/>
      <c r="I27" s="20"/>
      <c r="J27" s="166"/>
      <c r="K27" s="166"/>
      <c r="L27" s="196" t="s">
        <v>45</v>
      </c>
      <c r="M27" s="194">
        <v>0</v>
      </c>
      <c r="N27" s="166"/>
      <c r="O27" s="198" t="s">
        <v>46</v>
      </c>
      <c r="P27" s="166"/>
      <c r="Q27" s="166"/>
      <c r="R27" s="166"/>
      <c r="S27" s="166"/>
      <c r="T27" s="166"/>
      <c r="U27" s="189"/>
    </row>
    <row r="28" spans="1:21" ht="15.75" customHeight="1" thickTop="1">
      <c r="A28" s="16"/>
      <c r="B28" s="23"/>
      <c r="C28" s="17"/>
      <c r="D28" s="248" t="s">
        <v>44</v>
      </c>
      <c r="E28" s="248"/>
      <c r="F28" s="248"/>
      <c r="G28" s="20"/>
      <c r="H28" s="20"/>
      <c r="I28" s="20"/>
      <c r="J28" s="166"/>
      <c r="K28" s="166"/>
      <c r="L28" s="183"/>
      <c r="M28" s="166"/>
      <c r="N28" s="190"/>
      <c r="O28" s="199"/>
      <c r="P28" s="166"/>
      <c r="Q28" s="166"/>
      <c r="R28" s="166"/>
      <c r="S28" s="166"/>
      <c r="T28" s="166"/>
      <c r="U28" s="189"/>
    </row>
    <row r="29" spans="1:21" ht="15.75" customHeight="1">
      <c r="A29" s="16"/>
      <c r="B29" s="23"/>
      <c r="C29" s="17"/>
      <c r="D29" s="17"/>
      <c r="E29" s="17"/>
      <c r="F29" s="17"/>
      <c r="G29" s="17"/>
      <c r="H29" s="17"/>
      <c r="I29" s="17"/>
      <c r="J29" s="166"/>
      <c r="K29" s="473" t="s">
        <v>47</v>
      </c>
      <c r="L29" s="196"/>
      <c r="M29" s="190"/>
      <c r="N29" s="166"/>
      <c r="O29" s="166"/>
      <c r="P29" s="166"/>
      <c r="Q29" s="166"/>
      <c r="R29" s="166"/>
      <c r="S29" s="166"/>
      <c r="T29" s="166"/>
      <c r="U29" s="189"/>
    </row>
    <row r="30" spans="1:21" ht="15.75" customHeight="1">
      <c r="A30" s="16"/>
      <c r="B30" s="23"/>
      <c r="C30" s="472" t="s">
        <v>622</v>
      </c>
      <c r="D30" s="445"/>
      <c r="E30" s="446"/>
      <c r="F30" s="248"/>
      <c r="G30" s="18"/>
      <c r="H30" s="20"/>
      <c r="I30" s="20"/>
      <c r="J30" s="182"/>
      <c r="K30" s="187" t="s">
        <v>48</v>
      </c>
      <c r="L30" s="188" t="s">
        <v>49</v>
      </c>
      <c r="M30" s="166"/>
      <c r="N30" s="188"/>
      <c r="O30" s="182"/>
      <c r="P30" s="182"/>
      <c r="Q30" s="182"/>
      <c r="R30" s="182"/>
      <c r="S30" s="182"/>
      <c r="T30" s="182"/>
      <c r="U30" s="189"/>
    </row>
    <row r="31" spans="1:21" ht="15.75" customHeight="1">
      <c r="A31" s="16"/>
      <c r="B31" s="23"/>
      <c r="C31" s="447" t="s">
        <v>623</v>
      </c>
      <c r="D31" s="447" t="s">
        <v>624</v>
      </c>
      <c r="E31" s="447"/>
      <c r="F31" s="447"/>
      <c r="G31" s="447"/>
      <c r="H31" s="447"/>
      <c r="I31" s="447"/>
      <c r="J31" s="182"/>
      <c r="K31" s="187" t="s">
        <v>50</v>
      </c>
      <c r="L31" s="188" t="s">
        <v>51</v>
      </c>
      <c r="M31" s="166"/>
      <c r="N31" s="188"/>
      <c r="O31" s="182"/>
      <c r="P31" s="182"/>
      <c r="Q31" s="182"/>
      <c r="R31" s="182"/>
      <c r="S31" s="182"/>
      <c r="T31" s="182"/>
      <c r="U31" s="189"/>
    </row>
    <row r="32" spans="1:21" ht="15.75" customHeight="1">
      <c r="A32" s="16"/>
      <c r="B32" s="23"/>
      <c r="C32" s="447" t="s">
        <v>625</v>
      </c>
      <c r="D32" s="447" t="s">
        <v>630</v>
      </c>
      <c r="E32" s="447"/>
      <c r="F32" s="447"/>
      <c r="G32" s="447"/>
      <c r="H32" s="447"/>
      <c r="I32" s="447"/>
      <c r="J32" s="182"/>
      <c r="K32" s="187" t="s">
        <v>52</v>
      </c>
      <c r="L32" s="188" t="s">
        <v>53</v>
      </c>
      <c r="M32" s="166"/>
      <c r="N32" s="188"/>
      <c r="O32" s="182"/>
      <c r="P32" s="182"/>
      <c r="Q32" s="182"/>
      <c r="R32" s="182"/>
      <c r="S32" s="182"/>
      <c r="T32" s="182"/>
      <c r="U32" s="189"/>
    </row>
    <row r="33" spans="1:27" ht="15.75" customHeight="1">
      <c r="A33" s="16"/>
      <c r="B33" s="23"/>
      <c r="C33" s="447" t="s">
        <v>626</v>
      </c>
      <c r="D33" s="447" t="s">
        <v>627</v>
      </c>
      <c r="E33" s="447"/>
      <c r="F33" s="447"/>
      <c r="G33" s="447"/>
      <c r="H33" s="447"/>
      <c r="I33" s="447"/>
      <c r="J33" s="182"/>
      <c r="K33" s="187" t="s">
        <v>54</v>
      </c>
      <c r="L33" s="188" t="s">
        <v>55</v>
      </c>
      <c r="M33" s="166"/>
      <c r="N33" s="188"/>
      <c r="O33" s="182"/>
      <c r="P33" s="182"/>
      <c r="Q33" s="182"/>
      <c r="R33" s="182"/>
      <c r="S33" s="182"/>
      <c r="T33" s="182"/>
      <c r="U33" s="189"/>
    </row>
    <row r="34" spans="1:27" ht="7.7" customHeight="1">
      <c r="A34" s="16"/>
      <c r="B34" s="27"/>
      <c r="C34" s="28"/>
      <c r="D34" s="28"/>
      <c r="E34" s="28"/>
      <c r="F34" s="28"/>
      <c r="G34" s="28"/>
      <c r="H34" s="29"/>
      <c r="I34" s="29"/>
      <c r="J34" s="191"/>
      <c r="K34" s="191"/>
      <c r="L34" s="191"/>
      <c r="M34" s="191"/>
      <c r="N34" s="191"/>
      <c r="O34" s="191"/>
      <c r="P34" s="191"/>
      <c r="Q34" s="191"/>
      <c r="R34" s="191"/>
      <c r="S34" s="191"/>
      <c r="T34" s="191"/>
      <c r="U34" s="192"/>
    </row>
    <row r="35" spans="1:27" ht="11.65" customHeight="1">
      <c r="A35" s="16"/>
      <c r="B35" s="23"/>
      <c r="C35" s="17"/>
      <c r="D35" s="362"/>
      <c r="E35" s="362"/>
      <c r="F35" s="362"/>
      <c r="G35" s="362"/>
      <c r="H35" s="17"/>
      <c r="I35" s="486"/>
      <c r="J35" s="486"/>
      <c r="K35" s="17"/>
      <c r="L35" s="486"/>
      <c r="M35" s="486"/>
      <c r="N35" s="17"/>
      <c r="O35" s="17"/>
      <c r="P35" s="17"/>
      <c r="Q35" s="17"/>
      <c r="R35" s="17"/>
      <c r="S35" s="17"/>
      <c r="T35" s="17"/>
      <c r="U35" s="24"/>
    </row>
    <row r="36" spans="1:27" ht="21" customHeight="1" thickBot="1">
      <c r="A36" s="16"/>
      <c r="B36" s="23"/>
      <c r="C36" s="416"/>
      <c r="D36" s="503" t="str">
        <f>IF('HSC-FD Equations'!C315,"Perf (L12) only available with DN355 (E19)","SMARTEMP HSC-FD-")</f>
        <v>SMARTEMP HSC-FD-</v>
      </c>
      <c r="E36" s="503"/>
      <c r="F36" s="504"/>
      <c r="G36" s="302" t="str">
        <f>'HSC-FD Equations'!C270</f>
        <v>DN355-R0</v>
      </c>
      <c r="H36" s="303" t="str">
        <f>'HSC-FD Equations'!D270</f>
        <v>DN355-R1</v>
      </c>
      <c r="I36" s="303" t="str">
        <f>'HSC-FD Equations'!E270</f>
        <v>DN355-R2</v>
      </c>
      <c r="J36" s="303" t="str">
        <f>'HSC-FD Equations'!F270</f>
        <v>DN355-R3</v>
      </c>
      <c r="K36" s="303" t="str">
        <f>'HSC-FD Equations'!G270</f>
        <v>DN355-R4</v>
      </c>
      <c r="L36" s="303" t="str">
        <f>'HSC-FD Equations'!H270</f>
        <v>DN355-R5</v>
      </c>
      <c r="M36" s="304" t="str">
        <f>'HSC-FD Equations'!I270</f>
        <v>DN355-R6</v>
      </c>
      <c r="N36" s="43" t="s">
        <v>56</v>
      </c>
      <c r="O36" s="431" t="s">
        <v>57</v>
      </c>
      <c r="P36" s="432" t="s">
        <v>58</v>
      </c>
      <c r="Q36" s="433" t="s">
        <v>685</v>
      </c>
      <c r="R36" s="441"/>
      <c r="S36" s="441"/>
      <c r="T36" s="441"/>
      <c r="U36" s="24"/>
    </row>
    <row r="37" spans="1:27" ht="21" customHeight="1">
      <c r="A37" s="16"/>
      <c r="B37" s="23"/>
      <c r="C37" s="476" t="s">
        <v>60</v>
      </c>
      <c r="D37" s="369" t="s">
        <v>61</v>
      </c>
      <c r="E37" s="369"/>
      <c r="F37" s="374" t="str">
        <f>'HSC-FD Equations'!$D$3</f>
        <v>[L/s]</v>
      </c>
      <c r="G37" s="40">
        <f>'HSC-FD Equations'!C271</f>
        <v>120</v>
      </c>
      <c r="H37" s="40">
        <f>'HSC-FD Equations'!D271</f>
        <v>120</v>
      </c>
      <c r="I37" s="40">
        <f>'HSC-FD Equations'!E271</f>
        <v>120</v>
      </c>
      <c r="J37" s="40">
        <f>'HSC-FD Equations'!F271</f>
        <v>120</v>
      </c>
      <c r="K37" s="40">
        <f>'HSC-FD Equations'!G271</f>
        <v>120</v>
      </c>
      <c r="L37" s="40">
        <f>'HSC-FD Equations'!H271</f>
        <v>120</v>
      </c>
      <c r="M37" s="40">
        <f>'HSC-FD Equations'!I271</f>
        <v>120</v>
      </c>
      <c r="N37" s="17"/>
      <c r="O37" s="440"/>
      <c r="P37" s="17"/>
      <c r="Q37" s="17"/>
      <c r="R37" s="17"/>
      <c r="S37" s="17"/>
      <c r="T37" s="17"/>
      <c r="U37" s="24"/>
      <c r="X37" s="481"/>
      <c r="Y37" s="482"/>
    </row>
    <row r="38" spans="1:27" ht="21" customHeight="1">
      <c r="A38" s="16"/>
      <c r="B38" s="23"/>
      <c r="C38" s="476"/>
      <c r="D38" s="36" t="s">
        <v>62</v>
      </c>
      <c r="E38" s="375"/>
      <c r="F38" s="365" t="str">
        <f>'HSC-FD Equations'!$D$3</f>
        <v>[L/s]</v>
      </c>
      <c r="G38" s="39">
        <f>'HSC-FD Equations'!C272</f>
        <v>239.9</v>
      </c>
      <c r="H38" s="39">
        <f>'HSC-FD Equations'!D272</f>
        <v>204.2</v>
      </c>
      <c r="I38" s="39">
        <f>'HSC-FD Equations'!E272</f>
        <v>174.1</v>
      </c>
      <c r="J38" s="39">
        <f>'HSC-FD Equations'!F272</f>
        <v>129.19999999999999</v>
      </c>
      <c r="K38" s="39">
        <f>'HSC-FD Equations'!G272</f>
        <v>97</v>
      </c>
      <c r="L38" s="39">
        <f>'HSC-FD Equations'!H272</f>
        <v>64.400000000000006</v>
      </c>
      <c r="M38" s="39">
        <f>'HSC-FD Equations'!I272</f>
        <v>45.7</v>
      </c>
      <c r="N38" s="17"/>
      <c r="O38" s="17"/>
      <c r="P38" s="17"/>
      <c r="Q38" s="17"/>
      <c r="R38" s="17"/>
      <c r="S38" s="17"/>
      <c r="T38" s="17"/>
      <c r="U38" s="24"/>
    </row>
    <row r="39" spans="1:27" ht="21" customHeight="1">
      <c r="A39" s="16"/>
      <c r="B39" s="23"/>
      <c r="C39" s="476"/>
      <c r="D39" s="37" t="s">
        <v>63</v>
      </c>
      <c r="E39" s="342"/>
      <c r="F39" s="365" t="str">
        <f>'HSC-FD Equations'!$D$3</f>
        <v>[L/s]</v>
      </c>
      <c r="G39" s="40">
        <f>'HSC-FD Equations'!C273</f>
        <v>120</v>
      </c>
      <c r="H39" s="40">
        <f>'HSC-FD Equations'!D273</f>
        <v>120</v>
      </c>
      <c r="I39" s="40">
        <f>'HSC-FD Equations'!E273</f>
        <v>120</v>
      </c>
      <c r="J39" s="40">
        <f>'HSC-FD Equations'!F273</f>
        <v>120</v>
      </c>
      <c r="K39" s="40">
        <f>'HSC-FD Equations'!G273</f>
        <v>120</v>
      </c>
      <c r="L39" s="40">
        <f>'HSC-FD Equations'!H273</f>
        <v>120</v>
      </c>
      <c r="M39" s="40">
        <f>'HSC-FD Equations'!I273</f>
        <v>120</v>
      </c>
      <c r="N39" s="440"/>
      <c r="O39" s="17"/>
      <c r="P39" s="17"/>
      <c r="Q39" s="17"/>
      <c r="R39" s="17"/>
      <c r="S39" s="17"/>
      <c r="T39" s="17"/>
      <c r="U39" s="24"/>
      <c r="Y39" s="483"/>
      <c r="Z39" s="483"/>
      <c r="AA39" s="483"/>
    </row>
    <row r="40" spans="1:27" ht="21" customHeight="1">
      <c r="A40" s="16"/>
      <c r="B40" s="23"/>
      <c r="C40" s="476"/>
      <c r="D40" s="36" t="s">
        <v>64</v>
      </c>
      <c r="E40" s="375"/>
      <c r="F40" s="365" t="str">
        <f>'HSC-FD Equations'!$D$3</f>
        <v>[L/s]</v>
      </c>
      <c r="G40" s="39">
        <f>'HSC-FD Equations'!C274</f>
        <v>47.8</v>
      </c>
      <c r="H40" s="39">
        <f>'HSC-FD Equations'!D274</f>
        <v>41.6</v>
      </c>
      <c r="I40" s="39">
        <f>'HSC-FD Equations'!E274</f>
        <v>34.1</v>
      </c>
      <c r="J40" s="39">
        <f>'HSC-FD Equations'!F274</f>
        <v>26.4</v>
      </c>
      <c r="K40" s="39">
        <f>'HSC-FD Equations'!G274</f>
        <v>19.399999999999999</v>
      </c>
      <c r="L40" s="39">
        <f>'HSC-FD Equations'!H274</f>
        <v>13.5</v>
      </c>
      <c r="M40" s="39">
        <f>'HSC-FD Equations'!I274</f>
        <v>9.5</v>
      </c>
      <c r="N40" s="51"/>
      <c r="O40" s="52"/>
      <c r="P40" s="17"/>
      <c r="Q40" s="17"/>
      <c r="R40" s="17"/>
      <c r="S40" s="17"/>
      <c r="T40" s="17"/>
      <c r="U40" s="24"/>
    </row>
    <row r="41" spans="1:27" ht="21" customHeight="1">
      <c r="A41" s="16"/>
      <c r="B41" s="23"/>
      <c r="C41" s="476"/>
      <c r="D41" s="37" t="s">
        <v>65</v>
      </c>
      <c r="E41" s="342"/>
      <c r="F41" s="365"/>
      <c r="G41" s="44">
        <f>'HSC-FD Equations'!C275</f>
        <v>1</v>
      </c>
      <c r="H41" s="44">
        <f>'HSC-FD Equations'!D275</f>
        <v>1</v>
      </c>
      <c r="I41" s="44">
        <f>'HSC-FD Equations'!E275</f>
        <v>1</v>
      </c>
      <c r="J41" s="44">
        <f>'HSC-FD Equations'!F275</f>
        <v>1</v>
      </c>
      <c r="K41" s="44">
        <f>'HSC-FD Equations'!G275</f>
        <v>1</v>
      </c>
      <c r="L41" s="44">
        <f>'HSC-FD Equations'!H275</f>
        <v>1</v>
      </c>
      <c r="M41" s="44">
        <f>'HSC-FD Equations'!I275</f>
        <v>1</v>
      </c>
      <c r="N41" s="212"/>
      <c r="O41" s="360"/>
      <c r="P41" s="17"/>
      <c r="Q41" s="17"/>
      <c r="R41" s="17"/>
      <c r="S41" s="17"/>
      <c r="T41" s="17"/>
      <c r="U41" s="24"/>
    </row>
    <row r="42" spans="1:27" ht="21" customHeight="1">
      <c r="A42" s="16"/>
      <c r="B42" s="23"/>
      <c r="C42" s="477"/>
      <c r="D42" s="45" t="s">
        <v>66</v>
      </c>
      <c r="E42" s="375"/>
      <c r="F42" s="377"/>
      <c r="G42" s="156">
        <f>'HSC-FD Equations'!C276</f>
        <v>0.39900000000000002</v>
      </c>
      <c r="H42" s="156">
        <f>'HSC-FD Equations'!D276</f>
        <v>0.34699999999999998</v>
      </c>
      <c r="I42" s="156">
        <f>'HSC-FD Equations'!E276</f>
        <v>0.28499999999999998</v>
      </c>
      <c r="J42" s="156">
        <f>'HSC-FD Equations'!F276</f>
        <v>0.22</v>
      </c>
      <c r="K42" s="156">
        <f>'HSC-FD Equations'!G276</f>
        <v>0.16200000000000001</v>
      </c>
      <c r="L42" s="156">
        <f>'HSC-FD Equations'!H276</f>
        <v>0.112</v>
      </c>
      <c r="M42" s="156">
        <f>'HSC-FD Equations'!I276</f>
        <v>7.9000000000000001E-2</v>
      </c>
      <c r="N42" s="17"/>
      <c r="O42" s="17"/>
      <c r="P42" s="17"/>
      <c r="Q42" s="17"/>
      <c r="R42" s="17"/>
      <c r="S42" s="17"/>
      <c r="T42" s="17"/>
      <c r="U42" s="24" t="s">
        <v>67</v>
      </c>
    </row>
    <row r="43" spans="1:27" ht="21" customHeight="1">
      <c r="A43" s="16"/>
      <c r="B43" s="23"/>
      <c r="C43" s="475" t="s">
        <v>68</v>
      </c>
      <c r="D43" s="153" t="s">
        <v>69</v>
      </c>
      <c r="E43" s="376"/>
      <c r="F43" s="365" t="s">
        <v>70</v>
      </c>
      <c r="G43" s="154">
        <f>'HSC-FD Equations'!C277</f>
        <v>8.8000000000000007</v>
      </c>
      <c r="H43" s="154">
        <f>'HSC-FD Equations'!D277</f>
        <v>12.1</v>
      </c>
      <c r="I43" s="154">
        <f>'HSC-FD Equations'!E277</f>
        <v>16.600000000000001</v>
      </c>
      <c r="J43" s="154">
        <f>'HSC-FD Equations'!F277</f>
        <v>30.2</v>
      </c>
      <c r="K43" s="154">
        <f>'HSC-FD Equations'!G277</f>
        <v>53.6</v>
      </c>
      <c r="L43" s="154">
        <f>'HSC-FD Equations'!H277</f>
        <v>121.5</v>
      </c>
      <c r="M43" s="154">
        <f>'HSC-FD Equations'!I277</f>
        <v>241.6</v>
      </c>
      <c r="N43" s="490" t="s">
        <v>621</v>
      </c>
      <c r="O43" s="491"/>
      <c r="P43" s="491"/>
      <c r="Q43" s="17"/>
      <c r="R43" s="17"/>
      <c r="S43" s="17"/>
      <c r="T43" s="17"/>
      <c r="U43" s="24"/>
    </row>
    <row r="44" spans="1:27" ht="21" customHeight="1">
      <c r="A44" s="16"/>
      <c r="B44" s="23"/>
      <c r="C44" s="476"/>
      <c r="D44" s="152" t="s">
        <v>71</v>
      </c>
      <c r="E44" s="342"/>
      <c r="F44" s="365" t="s">
        <v>70</v>
      </c>
      <c r="G44" s="154">
        <f>'HSC-FD Equations'!C278</f>
        <v>12.4</v>
      </c>
      <c r="H44" s="154">
        <f>'HSC-FD Equations'!D278</f>
        <v>15.7</v>
      </c>
      <c r="I44" s="154">
        <f>'HSC-FD Equations'!E278</f>
        <v>20.3</v>
      </c>
      <c r="J44" s="154">
        <f>'HSC-FD Equations'!F278</f>
        <v>33.799999999999997</v>
      </c>
      <c r="K44" s="154">
        <f>'HSC-FD Equations'!G278</f>
        <v>57.2</v>
      </c>
      <c r="L44" s="154">
        <f>'HSC-FD Equations'!H278</f>
        <v>125.1</v>
      </c>
      <c r="M44" s="154">
        <f>'HSC-FD Equations'!I278</f>
        <v>245.3</v>
      </c>
      <c r="N44" s="490"/>
      <c r="O44" s="491"/>
      <c r="P44" s="491"/>
      <c r="Q44" s="17"/>
      <c r="R44" s="17"/>
      <c r="S44" s="17"/>
      <c r="T44" s="17"/>
      <c r="U44" s="24"/>
    </row>
    <row r="45" spans="1:27" ht="21" customHeight="1">
      <c r="A45" s="16"/>
      <c r="B45" s="23"/>
      <c r="C45" s="477"/>
      <c r="D45" s="45" t="s">
        <v>72</v>
      </c>
      <c r="E45" s="378"/>
      <c r="F45" s="365" t="s">
        <v>70</v>
      </c>
      <c r="G45" s="155">
        <f>'HSC-FD Equations'!C279</f>
        <v>35</v>
      </c>
      <c r="H45" s="155">
        <f>'HSC-FD Equations'!D279</f>
        <v>35</v>
      </c>
      <c r="I45" s="155">
        <f>'HSC-FD Equations'!E279</f>
        <v>35</v>
      </c>
      <c r="J45" s="155">
        <f>'HSC-FD Equations'!F279</f>
        <v>35</v>
      </c>
      <c r="K45" s="155">
        <f>'HSC-FD Equations'!G279</f>
        <v>35</v>
      </c>
      <c r="L45" s="155">
        <f>'HSC-FD Equations'!H279</f>
        <v>35</v>
      </c>
      <c r="M45" s="155">
        <f>'HSC-FD Equations'!I279</f>
        <v>35</v>
      </c>
      <c r="N45" s="490"/>
      <c r="O45" s="491"/>
      <c r="P45" s="491"/>
      <c r="Q45" s="17"/>
      <c r="R45" s="17"/>
      <c r="S45" s="17"/>
      <c r="T45" s="17"/>
      <c r="U45" s="24"/>
    </row>
    <row r="46" spans="1:27" ht="21" customHeight="1">
      <c r="A46" s="16"/>
      <c r="B46" s="23"/>
      <c r="C46" s="475" t="s">
        <v>666</v>
      </c>
      <c r="D46" s="342" t="s">
        <v>73</v>
      </c>
      <c r="E46" s="371"/>
      <c r="F46" s="379" t="s">
        <v>74</v>
      </c>
      <c r="G46" s="154">
        <f>'HSC-FD Equations'!C280</f>
        <v>27.2</v>
      </c>
      <c r="H46" s="40">
        <f>'HSC-FD Equations'!D280</f>
        <v>32</v>
      </c>
      <c r="I46" s="40">
        <f>'HSC-FD Equations'!E280</f>
        <v>37</v>
      </c>
      <c r="J46" s="40">
        <f>'HSC-FD Equations'!F280</f>
        <v>40.799999999999997</v>
      </c>
      <c r="K46" s="40">
        <f>'HSC-FD Equations'!G280</f>
        <v>46</v>
      </c>
      <c r="L46" s="40">
        <f>'HSC-FD Equations'!H280</f>
        <v>54</v>
      </c>
      <c r="M46" s="40">
        <f>'HSC-FD Equations'!I280</f>
        <v>60.1</v>
      </c>
      <c r="N46" s="460"/>
      <c r="O46" s="358"/>
      <c r="P46" s="358"/>
      <c r="Q46" s="17"/>
      <c r="R46" s="17"/>
      <c r="S46" s="17"/>
      <c r="T46" s="17"/>
      <c r="U46" s="24"/>
    </row>
    <row r="47" spans="1:27" ht="21" customHeight="1">
      <c r="A47" s="16"/>
      <c r="B47" s="23"/>
      <c r="C47" s="477"/>
      <c r="D47" s="370" t="s">
        <v>667</v>
      </c>
      <c r="E47" s="373"/>
      <c r="F47" s="377" t="s">
        <v>76</v>
      </c>
      <c r="G47" s="41">
        <f>'HSC-FD Equations'!C281</f>
        <v>12.2</v>
      </c>
      <c r="H47" s="41">
        <f>'HSC-FD Equations'!D281</f>
        <v>17</v>
      </c>
      <c r="I47" s="41">
        <f>'HSC-FD Equations'!E281</f>
        <v>22</v>
      </c>
      <c r="J47" s="41">
        <f>'HSC-FD Equations'!F281</f>
        <v>25.8</v>
      </c>
      <c r="K47" s="41">
        <f>'HSC-FD Equations'!G281</f>
        <v>31</v>
      </c>
      <c r="L47" s="41">
        <f>'HSC-FD Equations'!H281</f>
        <v>39</v>
      </c>
      <c r="M47" s="41">
        <f>'HSC-FD Equations'!I281</f>
        <v>45.1</v>
      </c>
      <c r="N47" s="492" t="s">
        <v>669</v>
      </c>
      <c r="O47" s="493"/>
      <c r="P47" s="493"/>
      <c r="Q47" s="17"/>
      <c r="R47" s="17"/>
      <c r="S47" s="17"/>
      <c r="T47" s="17"/>
      <c r="U47" s="24"/>
    </row>
    <row r="48" spans="1:27" ht="21" customHeight="1">
      <c r="A48" s="16"/>
      <c r="B48" s="203"/>
      <c r="C48" s="475" t="s">
        <v>77</v>
      </c>
      <c r="D48" s="152" t="s">
        <v>78</v>
      </c>
      <c r="E48" s="342"/>
      <c r="F48" s="365" t="s">
        <v>79</v>
      </c>
      <c r="G48" s="282">
        <f>'HSC-FD Equations'!C282</f>
        <v>9.6999999999999993</v>
      </c>
      <c r="H48" s="282">
        <f>'HSC-FD Equations'!D282</f>
        <v>10.199999999999999</v>
      </c>
      <c r="I48" s="282">
        <f>'HSC-FD Equations'!E282</f>
        <v>11.4</v>
      </c>
      <c r="J48" s="282">
        <f>'HSC-FD Equations'!F282</f>
        <v>12.7</v>
      </c>
      <c r="K48" s="282">
        <f>'HSC-FD Equations'!G282</f>
        <v>14.2</v>
      </c>
      <c r="L48" s="282">
        <f>'HSC-FD Equations'!H282</f>
        <v>15.7</v>
      </c>
      <c r="M48" s="282">
        <f>'HSC-FD Equations'!I282</f>
        <v>17.600000000000001</v>
      </c>
      <c r="N48" s="494" t="str">
        <f>'HSC-FD Equations'!C318</f>
        <v>Heating valid for specific flowrate of 2.3 L/s/m²
(see Cells K17:K21) at 2.7 m height.</v>
      </c>
      <c r="O48" s="495"/>
      <c r="P48" s="495"/>
      <c r="Q48" s="495"/>
      <c r="R48" s="442"/>
      <c r="S48" s="442"/>
      <c r="T48" s="442"/>
      <c r="U48" s="443"/>
    </row>
    <row r="49" spans="1:21" ht="21" customHeight="1">
      <c r="A49" s="16"/>
      <c r="B49" s="203"/>
      <c r="C49" s="477"/>
      <c r="D49" s="152" t="s">
        <v>80</v>
      </c>
      <c r="E49" s="342"/>
      <c r="F49" s="365" t="s">
        <v>79</v>
      </c>
      <c r="G49" s="281">
        <f>'HSC-FD Equations'!C283</f>
        <v>6.5</v>
      </c>
      <c r="H49" s="281">
        <f>'HSC-FD Equations'!D283</f>
        <v>6.8</v>
      </c>
      <c r="I49" s="281">
        <f>'HSC-FD Equations'!E283</f>
        <v>7.6</v>
      </c>
      <c r="J49" s="281">
        <f>'HSC-FD Equations'!F283</f>
        <v>8.4</v>
      </c>
      <c r="K49" s="281">
        <f>'HSC-FD Equations'!G283</f>
        <v>9.5</v>
      </c>
      <c r="L49" s="281">
        <f>'HSC-FD Equations'!H283</f>
        <v>10.5</v>
      </c>
      <c r="M49" s="281">
        <f>'HSC-FD Equations'!I283</f>
        <v>11.7</v>
      </c>
      <c r="N49" s="494"/>
      <c r="O49" s="495"/>
      <c r="P49" s="495"/>
      <c r="Q49" s="495"/>
      <c r="R49" s="442"/>
      <c r="S49" s="442"/>
      <c r="T49" s="442"/>
      <c r="U49" s="443"/>
    </row>
    <row r="50" spans="1:21" ht="21" customHeight="1">
      <c r="B50" s="23"/>
      <c r="C50" s="478" t="s">
        <v>81</v>
      </c>
      <c r="D50" s="371" t="s">
        <v>82</v>
      </c>
      <c r="E50" s="371"/>
      <c r="F50" s="379" t="s">
        <v>83</v>
      </c>
      <c r="G50" s="38">
        <f>'HSC-FD Equations'!C284</f>
        <v>12.7</v>
      </c>
      <c r="H50" s="38">
        <f>'HSC-FD Equations'!D284</f>
        <v>13</v>
      </c>
      <c r="I50" s="38">
        <f>'HSC-FD Equations'!E284</f>
        <v>13.3</v>
      </c>
      <c r="J50" s="38">
        <f>'HSC-FD Equations'!F284</f>
        <v>14</v>
      </c>
      <c r="K50" s="38">
        <f>'HSC-FD Equations'!G284</f>
        <v>15.3</v>
      </c>
      <c r="L50" s="38">
        <f>'HSC-FD Equations'!H284</f>
        <v>18.8</v>
      </c>
      <c r="M50" s="38">
        <f>'HSC-FD Equations'!I284</f>
        <v>22.9</v>
      </c>
      <c r="N50" s="51"/>
      <c r="O50" s="444"/>
      <c r="P50" s="442"/>
      <c r="Q50" s="442"/>
      <c r="R50" s="17"/>
      <c r="S50" s="17"/>
      <c r="T50" s="17"/>
      <c r="U50" s="24"/>
    </row>
    <row r="51" spans="1:21" ht="21" customHeight="1">
      <c r="B51" s="23"/>
      <c r="C51" s="479"/>
      <c r="D51" s="342" t="s">
        <v>84</v>
      </c>
      <c r="E51" s="342"/>
      <c r="F51" s="365" t="s">
        <v>83</v>
      </c>
      <c r="G51" s="154">
        <f>'HSC-FD Equations'!C285</f>
        <v>11.5</v>
      </c>
      <c r="H51" s="40">
        <f>'HSC-FD Equations'!D285</f>
        <v>11.6</v>
      </c>
      <c r="I51" s="40">
        <f>'HSC-FD Equations'!E285</f>
        <v>12</v>
      </c>
      <c r="J51" s="40">
        <f>'HSC-FD Equations'!F285</f>
        <v>12.6</v>
      </c>
      <c r="K51" s="40">
        <f>'HSC-FD Equations'!G285</f>
        <v>13.8</v>
      </c>
      <c r="L51" s="40">
        <f>'HSC-FD Equations'!H285</f>
        <v>17</v>
      </c>
      <c r="M51" s="40">
        <f>'HSC-FD Equations'!I285</f>
        <v>22.9</v>
      </c>
      <c r="N51" s="458" t="str">
        <f>'HSC-FD Equations'!C321</f>
        <v/>
      </c>
      <c r="O51" s="401"/>
      <c r="P51" s="401"/>
      <c r="Q51" s="401"/>
      <c r="R51" s="401"/>
      <c r="S51" s="401"/>
      <c r="T51" s="401"/>
      <c r="U51" s="396"/>
    </row>
    <row r="52" spans="1:21" ht="21" customHeight="1">
      <c r="B52" s="23"/>
      <c r="C52" s="479"/>
      <c r="D52" s="342" t="s">
        <v>85</v>
      </c>
      <c r="E52" s="342"/>
      <c r="F52" s="365" t="s">
        <v>83</v>
      </c>
      <c r="G52" s="154">
        <f>'HSC-FD Equations'!C286</f>
        <v>2.5</v>
      </c>
      <c r="H52" s="40">
        <f>'HSC-FD Equations'!D286</f>
        <v>2.6</v>
      </c>
      <c r="I52" s="40">
        <f>'HSC-FD Equations'!E286</f>
        <v>2.6</v>
      </c>
      <c r="J52" s="40">
        <f>'HSC-FD Equations'!F286</f>
        <v>2.7</v>
      </c>
      <c r="K52" s="40">
        <f>'HSC-FD Equations'!G286</f>
        <v>2.9</v>
      </c>
      <c r="L52" s="40">
        <f>'HSC-FD Equations'!H286</f>
        <v>3.4</v>
      </c>
      <c r="M52" s="40">
        <f>'HSC-FD Equations'!I286</f>
        <v>4.5</v>
      </c>
      <c r="N52" s="458" t="str">
        <f>'HSC-FD Equations'!C322</f>
        <v/>
      </c>
      <c r="O52" s="401"/>
      <c r="P52" s="401"/>
      <c r="Q52" s="401"/>
      <c r="R52" s="401"/>
      <c r="S52" s="401"/>
      <c r="T52" s="401"/>
      <c r="U52" s="402"/>
    </row>
    <row r="53" spans="1:21" ht="21" customHeight="1">
      <c r="B53" s="23"/>
      <c r="C53" s="480"/>
      <c r="D53" s="42" t="s">
        <v>86</v>
      </c>
      <c r="E53" s="380"/>
      <c r="F53" s="377" t="s">
        <v>83</v>
      </c>
      <c r="G53" s="41">
        <f>'HSC-FD Equations'!C287</f>
        <v>2.4</v>
      </c>
      <c r="H53" s="41">
        <f>'HSC-FD Equations'!D287</f>
        <v>2.4</v>
      </c>
      <c r="I53" s="41">
        <f>'HSC-FD Equations'!E287</f>
        <v>2.4</v>
      </c>
      <c r="J53" s="41">
        <f>'HSC-FD Equations'!F287</f>
        <v>2.4</v>
      </c>
      <c r="K53" s="41">
        <f>'HSC-FD Equations'!G287</f>
        <v>2.4</v>
      </c>
      <c r="L53" s="41">
        <f>'HSC-FD Equations'!H287</f>
        <v>2.4</v>
      </c>
      <c r="M53" s="41">
        <f>'HSC-FD Equations'!I287</f>
        <v>2.4</v>
      </c>
      <c r="N53" s="458" t="str">
        <f>'HSC-FD Equations'!C323</f>
        <v/>
      </c>
      <c r="O53" s="52"/>
      <c r="P53" s="52"/>
      <c r="Q53" s="17"/>
      <c r="R53" s="17"/>
      <c r="S53" s="17"/>
      <c r="T53" s="17"/>
      <c r="U53" s="24"/>
    </row>
    <row r="54" spans="1:21" ht="21" customHeight="1">
      <c r="B54" s="23"/>
      <c r="C54" s="475" t="s">
        <v>87</v>
      </c>
      <c r="D54" s="372" t="s">
        <v>88</v>
      </c>
      <c r="E54" s="342"/>
      <c r="F54" s="365" t="s">
        <v>89</v>
      </c>
      <c r="G54" s="213">
        <f>'HSC-FD Equations'!C288</f>
        <v>0.1</v>
      </c>
      <c r="H54" s="214">
        <f>'HSC-FD Equations'!D288</f>
        <v>0.1</v>
      </c>
      <c r="I54" s="215">
        <f>'HSC-FD Equations'!E288</f>
        <v>0.1</v>
      </c>
      <c r="J54" s="215">
        <f>'HSC-FD Equations'!F288</f>
        <v>0.11</v>
      </c>
      <c r="K54" s="215">
        <f>'HSC-FD Equations'!G288</f>
        <v>0.11</v>
      </c>
      <c r="L54" s="215">
        <f>'HSC-FD Equations'!H288</f>
        <v>0.12</v>
      </c>
      <c r="M54" s="215">
        <f>'HSC-FD Equations'!I288</f>
        <v>0.13</v>
      </c>
      <c r="N54" s="212"/>
      <c r="O54" s="360"/>
      <c r="P54" s="360"/>
      <c r="Q54" s="52"/>
      <c r="R54" s="52"/>
      <c r="S54" s="52"/>
      <c r="T54" s="52"/>
      <c r="U54" s="258"/>
    </row>
    <row r="55" spans="1:21" ht="21" customHeight="1">
      <c r="B55" s="23"/>
      <c r="C55" s="476"/>
      <c r="D55" s="342" t="s">
        <v>90</v>
      </c>
      <c r="E55" s="342"/>
      <c r="F55" s="365" t="s">
        <v>91</v>
      </c>
      <c r="G55" s="44">
        <f>'HSC-FD Equations'!C289</f>
        <v>7.6999999999999999E-2</v>
      </c>
      <c r="H55" s="44">
        <f>'HSC-FD Equations'!D289</f>
        <v>7.9000000000000001E-2</v>
      </c>
      <c r="I55" s="44">
        <f>'HSC-FD Equations'!E289</f>
        <v>8.2000000000000003E-2</v>
      </c>
      <c r="J55" s="44">
        <f>'HSC-FD Equations'!F289</f>
        <v>8.5999999999999993E-2</v>
      </c>
      <c r="K55" s="44">
        <f>'HSC-FD Equations'!G289</f>
        <v>9.2999999999999999E-2</v>
      </c>
      <c r="L55" s="44">
        <f>'HSC-FD Equations'!H289</f>
        <v>0.104</v>
      </c>
      <c r="M55" s="44">
        <f>'HSC-FD Equations'!I289</f>
        <v>0.11799999999999999</v>
      </c>
      <c r="N55" s="212"/>
      <c r="O55" s="360"/>
      <c r="P55" s="358"/>
      <c r="Q55" s="358"/>
      <c r="R55" s="358"/>
      <c r="S55" s="358"/>
      <c r="T55" s="358"/>
      <c r="U55" s="359"/>
    </row>
    <row r="56" spans="1:21" ht="21" customHeight="1">
      <c r="B56" s="23"/>
      <c r="C56" s="476"/>
      <c r="D56" s="342" t="s">
        <v>92</v>
      </c>
      <c r="E56" s="342"/>
      <c r="F56" s="365"/>
      <c r="G56" s="44">
        <f>'HSC-FD Equations'!C290</f>
        <v>5.1999999999999998E-2</v>
      </c>
      <c r="H56" s="211">
        <f>'HSC-FD Equations'!D290</f>
        <v>5.2999999999999999E-2</v>
      </c>
      <c r="I56" s="44">
        <f>'HSC-FD Equations'!E290</f>
        <v>5.3999999999999999E-2</v>
      </c>
      <c r="J56" s="44">
        <f>'HSC-FD Equations'!F290</f>
        <v>5.5E-2</v>
      </c>
      <c r="K56" s="44">
        <f>'HSC-FD Equations'!G290</f>
        <v>5.8000000000000003E-2</v>
      </c>
      <c r="L56" s="44">
        <f>'HSC-FD Equations'!H290</f>
        <v>6.2E-2</v>
      </c>
      <c r="M56" s="44">
        <f>'HSC-FD Equations'!I290</f>
        <v>6.6000000000000003E-2</v>
      </c>
      <c r="N56" s="436" t="str">
        <f>'HSC-FD Equations'!C319</f>
        <v>Comfort criteria for specific airflow rate of 2.3 L/s/m² (see Cells K17:K21) and room temperature of 23°C (Cell M23)</v>
      </c>
      <c r="O56" s="201"/>
      <c r="P56" s="201"/>
      <c r="Q56" s="201"/>
      <c r="R56" s="201"/>
      <c r="S56" s="201"/>
      <c r="T56" s="201"/>
      <c r="U56" s="202"/>
    </row>
    <row r="57" spans="1:21" ht="21" customHeight="1">
      <c r="B57" s="23"/>
      <c r="C57" s="476"/>
      <c r="D57" s="342" t="s">
        <v>93</v>
      </c>
      <c r="E57" s="152"/>
      <c r="F57" s="366" t="s">
        <v>94</v>
      </c>
      <c r="G57" s="44" t="str">
        <f>'HSC-FD Equations'!C291</f>
        <v>A</v>
      </c>
      <c r="H57" s="211" t="str">
        <f>'HSC-FD Equations'!D291</f>
        <v>A</v>
      </c>
      <c r="I57" s="283" t="str">
        <f>'HSC-FD Equations'!E291</f>
        <v>A</v>
      </c>
      <c r="J57" s="44" t="str">
        <f>'HSC-FD Equations'!F291</f>
        <v>A</v>
      </c>
      <c r="K57" s="211" t="str">
        <f>'HSC-FD Equations'!G291</f>
        <v>A</v>
      </c>
      <c r="L57" s="283" t="str">
        <f>'HSC-FD Equations'!H291</f>
        <v>B</v>
      </c>
      <c r="M57" s="44" t="str">
        <f>'HSC-FD Equations'!I291</f>
        <v>B</v>
      </c>
      <c r="N57" s="437" t="s">
        <v>95</v>
      </c>
      <c r="O57" s="201"/>
      <c r="P57" s="201"/>
      <c r="Q57" s="201"/>
      <c r="R57" s="201"/>
      <c r="S57" s="201"/>
      <c r="T57" s="201"/>
      <c r="U57" s="202"/>
    </row>
    <row r="58" spans="1:21" ht="21" customHeight="1">
      <c r="B58" s="23"/>
      <c r="C58" s="477"/>
      <c r="D58" s="373" t="s">
        <v>96</v>
      </c>
      <c r="E58" s="152"/>
      <c r="F58" s="381" t="s">
        <v>97</v>
      </c>
      <c r="G58" s="41" t="str">
        <f>'HSC-FD Equations'!C292</f>
        <v>&lt; 0.2</v>
      </c>
      <c r="H58" s="299" t="str">
        <f>'HSC-FD Equations'!D292</f>
        <v>&lt; 0.2</v>
      </c>
      <c r="I58" s="300" t="str">
        <f>'HSC-FD Equations'!E292</f>
        <v>&lt; 0.2</v>
      </c>
      <c r="J58" s="41" t="str">
        <f>'HSC-FD Equations'!F292</f>
        <v>&lt; 0.2</v>
      </c>
      <c r="K58" s="299" t="str">
        <f>'HSC-FD Equations'!G292</f>
        <v>&lt; 0.2</v>
      </c>
      <c r="L58" s="300" t="str">
        <f>'HSC-FD Equations'!H292</f>
        <v>&lt; 0.2</v>
      </c>
      <c r="M58" s="41" t="str">
        <f>'HSC-FD Equations'!I292</f>
        <v>&lt; 0.3</v>
      </c>
      <c r="N58" s="438"/>
      <c r="O58" s="201"/>
      <c r="P58" s="201"/>
      <c r="Q58" s="201"/>
      <c r="R58" s="201"/>
      <c r="S58" s="201"/>
      <c r="T58" s="201"/>
      <c r="U58" s="202"/>
    </row>
    <row r="59" spans="1:21" ht="21" customHeight="1">
      <c r="A59" s="16"/>
      <c r="B59" s="23"/>
      <c r="C59" s="475" t="s">
        <v>98</v>
      </c>
      <c r="D59" s="241" t="s">
        <v>99</v>
      </c>
      <c r="E59" s="376"/>
      <c r="F59" s="365" t="s">
        <v>100</v>
      </c>
      <c r="G59" s="344" t="str">
        <f>'HSC-FD Equations'!C293</f>
        <v>DN250</v>
      </c>
      <c r="H59" s="344" t="str">
        <f>'HSC-FD Equations'!D293</f>
        <v>DN250</v>
      </c>
      <c r="I59" s="344" t="str">
        <f>'HSC-FD Equations'!E293</f>
        <v>DN250</v>
      </c>
      <c r="J59" s="344" t="str">
        <f>'HSC-FD Equations'!F293</f>
        <v>DN250</v>
      </c>
      <c r="K59" s="344" t="str">
        <f>'HSC-FD Equations'!G293</f>
        <v>DN250</v>
      </c>
      <c r="L59" s="344" t="str">
        <f>'HSC-FD Equations'!H293</f>
        <v>DN250</v>
      </c>
      <c r="M59" s="344" t="str">
        <f>'HSC-FD Equations'!I293</f>
        <v>DN250</v>
      </c>
      <c r="N59" s="439" t="s">
        <v>101</v>
      </c>
      <c r="O59" s="17"/>
      <c r="P59" s="17"/>
      <c r="Q59" s="17"/>
      <c r="R59" s="17"/>
      <c r="S59" s="17"/>
      <c r="T59" s="17"/>
      <c r="U59" s="24"/>
    </row>
    <row r="60" spans="1:21" ht="21" customHeight="1">
      <c r="A60" s="16"/>
      <c r="B60" s="23"/>
      <c r="C60" s="477"/>
      <c r="D60" s="342" t="s">
        <v>610</v>
      </c>
      <c r="E60" s="373"/>
      <c r="F60" s="377" t="s">
        <v>100</v>
      </c>
      <c r="G60" s="343" t="str">
        <f>'HSC-FD Equations'!C294</f>
        <v>DN300</v>
      </c>
      <c r="H60" s="343" t="str">
        <f>'HSC-FD Equations'!D294</f>
        <v>DN300</v>
      </c>
      <c r="I60" s="343" t="str">
        <f>'HSC-FD Equations'!E294</f>
        <v>DN300</v>
      </c>
      <c r="J60" s="343" t="str">
        <f>'HSC-FD Equations'!F294</f>
        <v>DN300</v>
      </c>
      <c r="K60" s="343" t="str">
        <f>'HSC-FD Equations'!G294</f>
        <v>DN300</v>
      </c>
      <c r="L60" s="343" t="str">
        <f>'HSC-FD Equations'!H294</f>
        <v>DN300</v>
      </c>
      <c r="M60" s="343" t="str">
        <f>'HSC-FD Equations'!I294</f>
        <v>DN300</v>
      </c>
      <c r="N60" s="440" t="s">
        <v>665</v>
      </c>
      <c r="O60" s="52"/>
      <c r="P60" s="17"/>
      <c r="Q60" s="17"/>
      <c r="R60" s="17"/>
      <c r="S60" s="17"/>
      <c r="T60" s="17"/>
      <c r="U60" s="24"/>
    </row>
    <row r="61" spans="1:21" ht="14.25" customHeight="1">
      <c r="B61" s="23"/>
      <c r="C61" s="400"/>
      <c r="D61" s="301"/>
      <c r="E61" s="363"/>
      <c r="F61" s="363"/>
      <c r="G61" s="37"/>
      <c r="H61" s="37"/>
      <c r="I61" s="37"/>
      <c r="J61" s="37"/>
      <c r="K61" s="37"/>
      <c r="L61" s="37"/>
      <c r="M61" s="37"/>
      <c r="N61" s="51"/>
      <c r="O61" s="52"/>
      <c r="P61" s="17"/>
      <c r="Q61" s="17"/>
      <c r="R61" s="17"/>
      <c r="S61" s="17"/>
      <c r="T61" s="17"/>
      <c r="U61" s="24"/>
    </row>
    <row r="62" spans="1:21" ht="30.75" customHeight="1">
      <c r="B62" s="162"/>
      <c r="C62" s="166"/>
      <c r="D62" s="175" t="s">
        <v>102</v>
      </c>
      <c r="E62" s="175"/>
      <c r="F62" s="175"/>
      <c r="G62" s="173"/>
      <c r="H62" s="173"/>
      <c r="I62" s="173"/>
      <c r="J62" s="173"/>
      <c r="K62" s="173"/>
      <c r="L62" s="173"/>
      <c r="M62" s="173"/>
      <c r="N62" s="326"/>
      <c r="O62" s="165"/>
      <c r="P62" s="166"/>
      <c r="Q62" s="166"/>
      <c r="R62" s="166"/>
      <c r="S62" s="166"/>
      <c r="T62" s="166"/>
      <c r="U62" s="167"/>
    </row>
    <row r="63" spans="1:21" ht="24" customHeight="1">
      <c r="B63" s="162"/>
      <c r="C63" s="166"/>
      <c r="D63" s="163" t="s">
        <v>103</v>
      </c>
      <c r="E63" s="163"/>
      <c r="F63" s="163"/>
      <c r="G63" s="327" t="s">
        <v>638</v>
      </c>
      <c r="H63" s="327" t="s">
        <v>632</v>
      </c>
      <c r="I63" s="327" t="s">
        <v>633</v>
      </c>
      <c r="J63" s="327" t="s">
        <v>634</v>
      </c>
      <c r="K63" s="327" t="s">
        <v>635</v>
      </c>
      <c r="L63" s="327" t="s">
        <v>636</v>
      </c>
      <c r="M63" s="327" t="s">
        <v>637</v>
      </c>
      <c r="N63" s="435" t="s">
        <v>615</v>
      </c>
      <c r="O63" s="326" t="s">
        <v>104</v>
      </c>
      <c r="P63" s="166"/>
      <c r="Q63" s="166"/>
      <c r="R63" s="166"/>
      <c r="S63" s="166"/>
      <c r="T63" s="166"/>
      <c r="U63" s="167"/>
    </row>
    <row r="64" spans="1:21" ht="24" customHeight="1">
      <c r="B64" s="162"/>
      <c r="C64" s="166"/>
      <c r="D64" s="163" t="s">
        <v>105</v>
      </c>
      <c r="E64" s="168"/>
      <c r="F64" s="168"/>
      <c r="G64" s="327"/>
      <c r="H64" s="327" t="str">
        <f>Data!C46</f>
        <v>□ 595 mm square face*</v>
      </c>
      <c r="I64" s="355"/>
      <c r="J64" s="327" t="str">
        <f>Data!C47</f>
        <v>ø 500 mm circular face</v>
      </c>
      <c r="K64" s="327"/>
      <c r="L64" s="331" t="str">
        <f>Data!C48</f>
        <v>custom face size</v>
      </c>
      <c r="M64" s="164"/>
      <c r="N64" s="166"/>
      <c r="O64" s="329" t="str">
        <f>Data!D49</f>
        <v>□ 595 mm square face</v>
      </c>
      <c r="P64" s="166"/>
      <c r="Q64" s="166"/>
      <c r="R64" s="166"/>
      <c r="S64" s="166"/>
      <c r="T64" s="166"/>
      <c r="U64" s="167"/>
    </row>
    <row r="65" spans="2:21" ht="24" customHeight="1">
      <c r="B65" s="162"/>
      <c r="C65" s="166"/>
      <c r="D65" s="168" t="s">
        <v>7</v>
      </c>
      <c r="E65" s="364"/>
      <c r="F65" s="364"/>
      <c r="G65" s="327"/>
      <c r="H65" s="327"/>
      <c r="I65" s="332" t="str">
        <f>M9</f>
        <v>4 Way (360°)</v>
      </c>
      <c r="J65" s="331" t="s">
        <v>106</v>
      </c>
      <c r="K65" s="327"/>
      <c r="L65" s="327"/>
      <c r="M65" s="164"/>
      <c r="N65" s="166"/>
      <c r="O65" s="172" t="s">
        <v>107</v>
      </c>
      <c r="P65" s="166"/>
      <c r="Q65" s="166"/>
      <c r="R65" s="166"/>
      <c r="S65" s="166"/>
      <c r="T65" s="166"/>
      <c r="U65" s="167"/>
    </row>
    <row r="66" spans="2:21" ht="24" customHeight="1">
      <c r="B66" s="162"/>
      <c r="C66" s="166"/>
      <c r="D66" s="168" t="s">
        <v>108</v>
      </c>
      <c r="E66" s="168"/>
      <c r="F66" s="385"/>
      <c r="G66" s="169"/>
      <c r="H66" s="223"/>
      <c r="I66" s="223" t="s">
        <v>109</v>
      </c>
      <c r="J66" s="173" t="str">
        <f>IF('HSC-FD Equations'!C21,"is selected","is not selected")</f>
        <v>is not selected</v>
      </c>
      <c r="K66" s="169"/>
      <c r="L66" s="169"/>
      <c r="M66" s="169"/>
      <c r="N66" s="166"/>
      <c r="O66" s="172" t="s">
        <v>110</v>
      </c>
      <c r="P66" s="166"/>
      <c r="Q66" s="166"/>
      <c r="R66" s="166"/>
      <c r="S66" s="166"/>
      <c r="T66" s="166"/>
      <c r="U66" s="167"/>
    </row>
    <row r="67" spans="2:21" ht="24" customHeight="1">
      <c r="B67" s="162"/>
      <c r="C67" s="166"/>
      <c r="D67" s="168" t="s">
        <v>111</v>
      </c>
      <c r="E67" s="364"/>
      <c r="F67" s="168"/>
      <c r="G67" s="325"/>
      <c r="H67" s="325" t="s">
        <v>112</v>
      </c>
      <c r="I67" s="325"/>
      <c r="J67" s="325" t="s">
        <v>113</v>
      </c>
      <c r="K67" s="325"/>
      <c r="L67" s="325" t="s">
        <v>114</v>
      </c>
      <c r="M67" s="325"/>
      <c r="N67" s="166"/>
      <c r="O67" s="329" t="s">
        <v>115</v>
      </c>
      <c r="P67" s="166"/>
      <c r="Q67" s="166"/>
      <c r="R67" s="166"/>
      <c r="S67" s="166"/>
      <c r="T67" s="166"/>
      <c r="U67" s="167"/>
    </row>
    <row r="68" spans="2:21" ht="42.4" customHeight="1" thickBot="1">
      <c r="B68" s="162"/>
      <c r="C68" s="166"/>
      <c r="D68" s="170" t="s">
        <v>116</v>
      </c>
      <c r="E68" s="386"/>
      <c r="F68" s="170"/>
      <c r="G68" s="405" t="s">
        <v>117</v>
      </c>
      <c r="H68" s="406"/>
      <c r="I68" s="502" t="s">
        <v>118</v>
      </c>
      <c r="J68" s="502"/>
      <c r="K68" s="170"/>
      <c r="L68" s="502" t="s">
        <v>119</v>
      </c>
      <c r="M68" s="502"/>
      <c r="N68" s="434"/>
      <c r="O68" s="330" t="str">
        <f>Data!C64</f>
        <v>No connection box</v>
      </c>
      <c r="P68" s="170"/>
      <c r="Q68" s="166"/>
      <c r="R68" s="166"/>
      <c r="S68" s="166"/>
      <c r="T68" s="166"/>
      <c r="U68" s="167"/>
    </row>
    <row r="69" spans="2:21" ht="24" customHeight="1">
      <c r="B69" s="162"/>
      <c r="C69" s="166"/>
      <c r="D69" s="171" t="s">
        <v>120</v>
      </c>
      <c r="E69" s="171"/>
      <c r="F69" s="171"/>
      <c r="G69" s="501" t="str">
        <f>_order_code</f>
        <v>SMARTEMP HSC-FD-DN355-S595-R0-4w-P0-RAL9003-0</v>
      </c>
      <c r="H69" s="501"/>
      <c r="I69" s="501"/>
      <c r="J69" s="501"/>
      <c r="K69" s="501"/>
      <c r="L69" s="501"/>
      <c r="M69" s="501"/>
      <c r="N69" s="166"/>
      <c r="O69" s="172" t="s">
        <v>121</v>
      </c>
      <c r="P69" s="166"/>
      <c r="Q69" s="166"/>
      <c r="R69" s="166"/>
      <c r="S69" s="166"/>
      <c r="T69" s="166"/>
      <c r="U69" s="167"/>
    </row>
    <row r="70" spans="2:21" ht="15.75">
      <c r="B70" s="162"/>
      <c r="C70" s="166"/>
      <c r="D70" s="174"/>
      <c r="E70" s="174"/>
      <c r="F70" s="174"/>
      <c r="G70" s="166"/>
      <c r="H70" s="166"/>
      <c r="I70" s="166"/>
      <c r="J70" s="166"/>
      <c r="K70" s="166"/>
      <c r="L70" s="166"/>
      <c r="M70" s="166"/>
      <c r="N70" s="166"/>
      <c r="O70" s="231" t="s">
        <v>670</v>
      </c>
      <c r="P70" s="166"/>
      <c r="Q70" s="166"/>
      <c r="R70" s="166"/>
      <c r="S70" s="166"/>
      <c r="T70" s="166"/>
      <c r="U70" s="167"/>
    </row>
    <row r="71" spans="2:21" ht="15.75">
      <c r="B71" s="46"/>
      <c r="C71" s="46"/>
      <c r="D71" s="46"/>
      <c r="E71" s="46"/>
      <c r="F71" s="46"/>
      <c r="G71" s="46"/>
      <c r="H71" s="46"/>
      <c r="I71" s="499" t="s">
        <v>122</v>
      </c>
      <c r="J71" s="499"/>
      <c r="K71" s="499"/>
      <c r="L71" s="499"/>
      <c r="M71" s="499"/>
      <c r="N71" s="46"/>
      <c r="O71" s="452"/>
      <c r="P71" s="452"/>
      <c r="Q71" s="452"/>
      <c r="R71" s="452"/>
      <c r="S71" s="496" t="s">
        <v>123</v>
      </c>
      <c r="T71" s="496"/>
      <c r="U71" s="497"/>
    </row>
    <row r="72" spans="2:21">
      <c r="B72" s="389"/>
      <c r="C72" s="389"/>
      <c r="D72" s="389"/>
      <c r="E72" s="389"/>
      <c r="F72" s="389"/>
      <c r="G72" s="389"/>
      <c r="H72" s="389"/>
      <c r="I72" s="389"/>
      <c r="J72" s="389"/>
      <c r="K72" s="389"/>
      <c r="L72" s="389"/>
      <c r="M72" s="389"/>
      <c r="N72" s="389"/>
      <c r="O72" s="389"/>
      <c r="P72" s="389"/>
      <c r="Q72" s="389"/>
      <c r="R72" s="389"/>
      <c r="S72" s="389"/>
      <c r="T72" s="389"/>
      <c r="U72" s="389"/>
    </row>
    <row r="73" spans="2:21" ht="15.75">
      <c r="D73" s="14"/>
      <c r="E73" s="14"/>
      <c r="F73" s="14"/>
    </row>
    <row r="74" spans="2:21" ht="15.75">
      <c r="D74" s="14"/>
      <c r="E74" s="14"/>
      <c r="F74" s="14"/>
    </row>
    <row r="75" spans="2:21" ht="15.75">
      <c r="D75" s="15"/>
      <c r="E75" s="15"/>
      <c r="F75" s="15"/>
    </row>
    <row r="76" spans="2:21" ht="15.75">
      <c r="D76" s="15"/>
      <c r="E76" s="15"/>
      <c r="F76" s="15"/>
    </row>
    <row r="77" spans="2:21" ht="15.75">
      <c r="D77" s="14"/>
      <c r="E77" s="14"/>
      <c r="F77" s="14"/>
    </row>
    <row r="78" spans="2:21" ht="15.75">
      <c r="D78" s="14"/>
      <c r="E78" s="14"/>
      <c r="F78" s="14"/>
    </row>
    <row r="79" spans="2:21" ht="15.75">
      <c r="D79" s="14"/>
      <c r="E79" s="14"/>
      <c r="F79" s="14"/>
    </row>
    <row r="80" spans="2:21" ht="15.75">
      <c r="D80" s="14"/>
      <c r="E80" s="14"/>
      <c r="F80" s="14"/>
    </row>
    <row r="81" spans="4:6" ht="15.75">
      <c r="D81" s="14"/>
      <c r="E81" s="14"/>
      <c r="F81" s="14"/>
    </row>
    <row r="82" spans="4:6" ht="15.75">
      <c r="D82" s="14"/>
      <c r="E82" s="14"/>
      <c r="F82" s="14"/>
    </row>
    <row r="83" spans="4:6" ht="15.75">
      <c r="D83" s="14"/>
      <c r="E83" s="14"/>
      <c r="F83" s="14"/>
    </row>
  </sheetData>
  <sheetProtection algorithmName="SHA-512" hashValue="JuuwJAvpwQuCUJIaQAb0YEQlnXDMA+WV2Kv4cadRDp3dkJKKqNkaLfki9LVIaBszT4YJyaNF3+w7F0FfoR4Sww==" saltValue="lyWUSFlkTUzPkrfUIy+VDQ==" spinCount="100000" sheet="1" selectLockedCells="1"/>
  <protectedRanges>
    <protectedRange sqref="E19 E11 E13 E15 M9 W9 M11 E17 M25 O25 M19 M23 M21 M27 E9" name="inputs"/>
  </protectedRanges>
  <mergeCells count="27">
    <mergeCell ref="N43:P45"/>
    <mergeCell ref="N47:P47"/>
    <mergeCell ref="N48:Q49"/>
    <mergeCell ref="S71:U71"/>
    <mergeCell ref="D5:H5"/>
    <mergeCell ref="I71:M71"/>
    <mergeCell ref="D7:G7"/>
    <mergeCell ref="G69:M69"/>
    <mergeCell ref="I68:J68"/>
    <mergeCell ref="L68:M68"/>
    <mergeCell ref="D36:F36"/>
    <mergeCell ref="X37:Y37"/>
    <mergeCell ref="Y39:AA39"/>
    <mergeCell ref="K9:L9"/>
    <mergeCell ref="L35:M35"/>
    <mergeCell ref="I35:J35"/>
    <mergeCell ref="M25:N25"/>
    <mergeCell ref="M22:P22"/>
    <mergeCell ref="C22:I22"/>
    <mergeCell ref="C23:I23"/>
    <mergeCell ref="C54:C58"/>
    <mergeCell ref="C59:C60"/>
    <mergeCell ref="C43:C45"/>
    <mergeCell ref="C37:C42"/>
    <mergeCell ref="C50:C53"/>
    <mergeCell ref="C46:C47"/>
    <mergeCell ref="C48:C49"/>
  </mergeCells>
  <conditionalFormatting sqref="G43:M44">
    <cfRule type="expression" dxfId="30" priority="32">
      <formula>ISTEXT(G43)</formula>
    </cfRule>
  </conditionalFormatting>
  <conditionalFormatting sqref="G53:M53">
    <cfRule type="expression" dxfId="24" priority="184">
      <formula>G$53&gt;$E$17</formula>
    </cfRule>
  </conditionalFormatting>
  <conditionalFormatting sqref="L64">
    <cfRule type="containsText" dxfId="20" priority="5" operator="containsText" text="option not available">
      <formula>NOT(ISERROR(SEARCH("option not available",L64)))</formula>
    </cfRule>
  </conditionalFormatting>
  <conditionalFormatting sqref="M13">
    <cfRule type="expression" dxfId="19" priority="4">
      <formula>NOT($E$19="DN355")</formula>
    </cfRule>
  </conditionalFormatting>
  <conditionalFormatting sqref="M19">
    <cfRule type="expression" dxfId="17" priority="183">
      <formula>OR($M$19&gt;MAX($G$50:$M$50), $M$19&lt;MIN($G$52:$M$52))</formula>
    </cfRule>
  </conditionalFormatting>
  <conditionalFormatting sqref="M36:M60">
    <cfRule type="expression" dxfId="15" priority="159">
      <formula>($E$19="DN500")</formula>
    </cfRule>
  </conditionalFormatting>
  <dataValidations xWindow="413" yWindow="296" count="11">
    <dataValidation type="list" allowBlank="1" showInputMessage="1" showErrorMessage="1" sqref="M11" xr:uid="{00000000-0002-0000-0000-000000000000}">
      <formula1>adpi.</formula1>
    </dataValidation>
    <dataValidation type="list" allowBlank="1" showInputMessage="1" showErrorMessage="1" sqref="M9" xr:uid="{00000000-0002-0000-0000-000001000000}">
      <formula1>dischargedirection.</formula1>
    </dataValidation>
    <dataValidation type="list" allowBlank="1" showInputMessage="1" showErrorMessage="1" sqref="E19" xr:uid="{00000000-0002-0000-0000-000002000000}">
      <formula1>necksize.</formula1>
    </dataValidation>
    <dataValidation type="decimal" showErrorMessage="1" errorTitle="Turndown" error="Turndown available between 10% and 100%._x000a_Use 100% for no turndown." promptTitle="Turndown" prompt="Use 100% for no turndown." sqref="E11" xr:uid="{00000000-0002-0000-0000-000003000000}">
      <formula1>10</formula1>
      <formula2>100</formula2>
    </dataValidation>
    <dataValidation allowBlank="1" showErrorMessage="1" promptTitle="Default" prompt="Default at 35 Pa" sqref="E13" xr:uid="{00000000-0002-0000-0000-000004000000}"/>
    <dataValidation type="decimal" errorStyle="warning" allowBlank="1" showErrorMessage="1" errorTitle="Range" error="Use -8 K for 0 K to -8 K" promptTitle="Range" prompt="Available for dT of -16 K to -8 K" sqref="E15" xr:uid="{00000000-0002-0000-0000-000005000000}">
      <formula1>-16</formula1>
      <formula2>-8</formula2>
    </dataValidation>
    <dataValidation type="decimal" allowBlank="1" showErrorMessage="1" errorTitle="Input Error - Low Level Return" error="Input must be between 0% and 100%." sqref="M27" xr:uid="{00000000-0002-0000-0000-000006000000}">
      <formula1>0</formula1>
      <formula2>1</formula2>
    </dataValidation>
    <dataValidation type="decimal" allowBlank="1" showErrorMessage="1" errorTitle="Specific Airflow Rate" error="Specific Airflow Rate available between 2 L/s/m2 and 10 L/s/m2. Default 5 L/s/m2" promptTitle="Specific Airflow Rate" prompt="Default 5 L/s/m2" sqref="W9" xr:uid="{00000000-0002-0000-0000-000007000000}">
      <formula1>2</formula1>
      <formula2>10</formula2>
    </dataValidation>
    <dataValidation type="decimal" operator="notEqual" allowBlank="1" showInputMessage="1" showErrorMessage="1" sqref="M19" xr:uid="{00000000-0002-0000-0000-000008000000}">
      <formula1>0</formula1>
    </dataValidation>
    <dataValidation type="decimal" allowBlank="1" showErrorMessage="1" promptTitle="Specific Airflow Rate" prompt="Default 5 L/s/m2" sqref="M23" xr:uid="{00000000-0002-0000-0000-000009000000}">
      <formula1>20</formula1>
      <formula2>26</formula2>
    </dataValidation>
    <dataValidation type="decimal" allowBlank="1" showErrorMessage="1" errorTitle="Room Height" error="Room Height available for 2m to 5m" promptTitle="Room Height" prompt="Available for 2 m to 5 m" sqref="E17" xr:uid="{00000000-0002-0000-0000-00000A000000}">
      <formula1>2</formula1>
      <formula2>5</formula2>
    </dataValidation>
  </dataValidations>
  <hyperlinks>
    <hyperlink ref="I71:M71" r:id="rId1" display="click to see product on  smartair.asia" xr:uid="{00000000-0004-0000-0000-000000000000}"/>
  </hyperlinks>
  <pageMargins left="0.7" right="0.7" top="0.75" bottom="0.75" header="0.3" footer="0.3"/>
  <pageSetup paperSize="9" orientation="portrait" horizontalDpi="300" verticalDpi="300" r:id="rId2"/>
  <drawing r:id="rId3"/>
  <legacyDrawing r:id="rId4"/>
  <mc:AlternateContent xmlns:mc="http://schemas.openxmlformats.org/markup-compatibility/2006">
    <mc:Choice Requires="x14">
      <controls>
        <mc:AlternateContent xmlns:mc="http://schemas.openxmlformats.org/markup-compatibility/2006">
          <mc:Choice Requires="x14">
            <control shapeId="1032" r:id="rId5" name="Option Button 8">
              <controlPr defaultSize="0" autoFill="0" autoLine="0" autoPict="0">
                <anchor moveWithCells="1">
                  <from>
                    <xdr:col>12</xdr:col>
                    <xdr:colOff>142875</xdr:colOff>
                    <xdr:row>23</xdr:row>
                    <xdr:rowOff>161925</xdr:rowOff>
                  </from>
                  <to>
                    <xdr:col>12</xdr:col>
                    <xdr:colOff>619125</xdr:colOff>
                    <xdr:row>25</xdr:row>
                    <xdr:rowOff>38100</xdr:rowOff>
                  </to>
                </anchor>
              </controlPr>
            </control>
          </mc:Choice>
        </mc:AlternateContent>
        <mc:AlternateContent xmlns:mc="http://schemas.openxmlformats.org/markup-compatibility/2006">
          <mc:Choice Requires="x14">
            <control shapeId="1034" r:id="rId6" name="Option Button 10">
              <controlPr defaultSize="0" autoFill="0" autoLine="0" autoPict="0">
                <anchor moveWithCells="1">
                  <from>
                    <xdr:col>13</xdr:col>
                    <xdr:colOff>571500</xdr:colOff>
                    <xdr:row>23</xdr:row>
                    <xdr:rowOff>180975</xdr:rowOff>
                  </from>
                  <to>
                    <xdr:col>14</xdr:col>
                    <xdr:colOff>247650</xdr:colOff>
                    <xdr:row>25</xdr:row>
                    <xdr:rowOff>9525</xdr:rowOff>
                  </to>
                </anchor>
              </controlPr>
            </control>
          </mc:Choice>
        </mc:AlternateContent>
        <mc:AlternateContent xmlns:mc="http://schemas.openxmlformats.org/markup-compatibility/2006">
          <mc:Choice Requires="x14">
            <control shapeId="1039" r:id="rId7" name="Option Button 15">
              <controlPr defaultSize="0" autoFill="0" autoLine="0" autoPict="0">
                <anchor moveWithCells="1">
                  <from>
                    <xdr:col>6</xdr:col>
                    <xdr:colOff>9525</xdr:colOff>
                    <xdr:row>62</xdr:row>
                    <xdr:rowOff>47625</xdr:rowOff>
                  </from>
                  <to>
                    <xdr:col>6</xdr:col>
                    <xdr:colOff>533400</xdr:colOff>
                    <xdr:row>62</xdr:row>
                    <xdr:rowOff>257175</xdr:rowOff>
                  </to>
                </anchor>
              </controlPr>
            </control>
          </mc:Choice>
        </mc:AlternateContent>
        <mc:AlternateContent xmlns:mc="http://schemas.openxmlformats.org/markup-compatibility/2006">
          <mc:Choice Requires="x14">
            <control shapeId="1040" r:id="rId8" name="Option Button 16">
              <controlPr defaultSize="0" autoFill="0" autoLine="0" autoPict="0">
                <anchor moveWithCells="1">
                  <from>
                    <xdr:col>7</xdr:col>
                    <xdr:colOff>38100</xdr:colOff>
                    <xdr:row>62</xdr:row>
                    <xdr:rowOff>47625</xdr:rowOff>
                  </from>
                  <to>
                    <xdr:col>7</xdr:col>
                    <xdr:colOff>561975</xdr:colOff>
                    <xdr:row>62</xdr:row>
                    <xdr:rowOff>257175</xdr:rowOff>
                  </to>
                </anchor>
              </controlPr>
            </control>
          </mc:Choice>
        </mc:AlternateContent>
        <mc:AlternateContent xmlns:mc="http://schemas.openxmlformats.org/markup-compatibility/2006">
          <mc:Choice Requires="x14">
            <control shapeId="1041" r:id="rId9" name="Option Button 17">
              <controlPr defaultSize="0" autoFill="0" autoLine="0" autoPict="0">
                <anchor moveWithCells="1">
                  <from>
                    <xdr:col>8</xdr:col>
                    <xdr:colOff>76200</xdr:colOff>
                    <xdr:row>62</xdr:row>
                    <xdr:rowOff>47625</xdr:rowOff>
                  </from>
                  <to>
                    <xdr:col>8</xdr:col>
                    <xdr:colOff>590550</xdr:colOff>
                    <xdr:row>62</xdr:row>
                    <xdr:rowOff>257175</xdr:rowOff>
                  </to>
                </anchor>
              </controlPr>
            </control>
          </mc:Choice>
        </mc:AlternateContent>
        <mc:AlternateContent xmlns:mc="http://schemas.openxmlformats.org/markup-compatibility/2006">
          <mc:Choice Requires="x14">
            <control shapeId="1042" r:id="rId10" name="Option Button 18">
              <controlPr defaultSize="0" autoFill="0" autoLine="0" autoPict="0">
                <anchor moveWithCells="1">
                  <from>
                    <xdr:col>9</xdr:col>
                    <xdr:colOff>104775</xdr:colOff>
                    <xdr:row>62</xdr:row>
                    <xdr:rowOff>47625</xdr:rowOff>
                  </from>
                  <to>
                    <xdr:col>9</xdr:col>
                    <xdr:colOff>628650</xdr:colOff>
                    <xdr:row>62</xdr:row>
                    <xdr:rowOff>257175</xdr:rowOff>
                  </to>
                </anchor>
              </controlPr>
            </control>
          </mc:Choice>
        </mc:AlternateContent>
        <mc:AlternateContent xmlns:mc="http://schemas.openxmlformats.org/markup-compatibility/2006">
          <mc:Choice Requires="x14">
            <control shapeId="1043" r:id="rId11" name="Option Button 19">
              <controlPr defaultSize="0" autoFill="0" autoLine="0" autoPict="0">
                <anchor moveWithCells="1">
                  <from>
                    <xdr:col>10</xdr:col>
                    <xdr:colOff>133350</xdr:colOff>
                    <xdr:row>62</xdr:row>
                    <xdr:rowOff>47625</xdr:rowOff>
                  </from>
                  <to>
                    <xdr:col>10</xdr:col>
                    <xdr:colOff>647700</xdr:colOff>
                    <xdr:row>62</xdr:row>
                    <xdr:rowOff>257175</xdr:rowOff>
                  </to>
                </anchor>
              </controlPr>
            </control>
          </mc:Choice>
        </mc:AlternateContent>
        <mc:AlternateContent xmlns:mc="http://schemas.openxmlformats.org/markup-compatibility/2006">
          <mc:Choice Requires="x14">
            <control shapeId="1044" r:id="rId12" name="Option Button 20">
              <controlPr defaultSize="0" autoFill="0" autoLine="0" autoPict="0">
                <anchor moveWithCells="1">
                  <from>
                    <xdr:col>11</xdr:col>
                    <xdr:colOff>161925</xdr:colOff>
                    <xdr:row>62</xdr:row>
                    <xdr:rowOff>47625</xdr:rowOff>
                  </from>
                  <to>
                    <xdr:col>11</xdr:col>
                    <xdr:colOff>685800</xdr:colOff>
                    <xdr:row>62</xdr:row>
                    <xdr:rowOff>257175</xdr:rowOff>
                  </to>
                </anchor>
              </controlPr>
            </control>
          </mc:Choice>
        </mc:AlternateContent>
        <mc:AlternateContent xmlns:mc="http://schemas.openxmlformats.org/markup-compatibility/2006">
          <mc:Choice Requires="x14">
            <control shapeId="1045" r:id="rId13" name="Option Button 21">
              <controlPr defaultSize="0" autoFill="0" autoLine="0" autoPict="0">
                <anchor moveWithCells="1">
                  <from>
                    <xdr:col>12</xdr:col>
                    <xdr:colOff>190500</xdr:colOff>
                    <xdr:row>62</xdr:row>
                    <xdr:rowOff>47625</xdr:rowOff>
                  </from>
                  <to>
                    <xdr:col>12</xdr:col>
                    <xdr:colOff>714375</xdr:colOff>
                    <xdr:row>62</xdr:row>
                    <xdr:rowOff>257175</xdr:rowOff>
                  </to>
                </anchor>
              </controlPr>
            </control>
          </mc:Choice>
        </mc:AlternateContent>
        <mc:AlternateContent xmlns:mc="http://schemas.openxmlformats.org/markup-compatibility/2006">
          <mc:Choice Requires="x14">
            <control shapeId="1049" r:id="rId14" name="Group Box 25">
              <controlPr defaultSize="0" autoFill="0" autoPict="0">
                <anchor moveWithCells="1">
                  <from>
                    <xdr:col>6</xdr:col>
                    <xdr:colOff>28575</xdr:colOff>
                    <xdr:row>65</xdr:row>
                    <xdr:rowOff>19050</xdr:rowOff>
                  </from>
                  <to>
                    <xdr:col>12</xdr:col>
                    <xdr:colOff>762000</xdr:colOff>
                    <xdr:row>66</xdr:row>
                    <xdr:rowOff>0</xdr:rowOff>
                  </to>
                </anchor>
              </controlPr>
            </control>
          </mc:Choice>
        </mc:AlternateContent>
        <mc:AlternateContent xmlns:mc="http://schemas.openxmlformats.org/markup-compatibility/2006">
          <mc:Choice Requires="x14">
            <control shapeId="1050" r:id="rId15" name="Option Button 26">
              <controlPr defaultSize="0" autoFill="0" autoLine="0" autoPict="0">
                <anchor moveWithCells="1">
                  <from>
                    <xdr:col>6</xdr:col>
                    <xdr:colOff>704850</xdr:colOff>
                    <xdr:row>66</xdr:row>
                    <xdr:rowOff>57150</xdr:rowOff>
                  </from>
                  <to>
                    <xdr:col>8</xdr:col>
                    <xdr:colOff>0</xdr:colOff>
                    <xdr:row>66</xdr:row>
                    <xdr:rowOff>266700</xdr:rowOff>
                  </to>
                </anchor>
              </controlPr>
            </control>
          </mc:Choice>
        </mc:AlternateContent>
        <mc:AlternateContent xmlns:mc="http://schemas.openxmlformats.org/markup-compatibility/2006">
          <mc:Choice Requires="x14">
            <control shapeId="1051" r:id="rId16" name="Option Button 27">
              <controlPr defaultSize="0" autoFill="0" autoLine="0" autoPict="0">
                <anchor moveWithCells="1">
                  <from>
                    <xdr:col>8</xdr:col>
                    <xdr:colOff>704850</xdr:colOff>
                    <xdr:row>66</xdr:row>
                    <xdr:rowOff>57150</xdr:rowOff>
                  </from>
                  <to>
                    <xdr:col>10</xdr:col>
                    <xdr:colOff>47625</xdr:colOff>
                    <xdr:row>66</xdr:row>
                    <xdr:rowOff>266700</xdr:rowOff>
                  </to>
                </anchor>
              </controlPr>
            </control>
          </mc:Choice>
        </mc:AlternateContent>
        <mc:AlternateContent xmlns:mc="http://schemas.openxmlformats.org/markup-compatibility/2006">
          <mc:Choice Requires="x14">
            <control shapeId="1052" r:id="rId17" name="Option Button 28">
              <controlPr defaultSize="0" autoFill="0" autoLine="0" autoPict="0">
                <anchor moveWithCells="1">
                  <from>
                    <xdr:col>10</xdr:col>
                    <xdr:colOff>704850</xdr:colOff>
                    <xdr:row>66</xdr:row>
                    <xdr:rowOff>38100</xdr:rowOff>
                  </from>
                  <to>
                    <xdr:col>11</xdr:col>
                    <xdr:colOff>752475</xdr:colOff>
                    <xdr:row>66</xdr:row>
                    <xdr:rowOff>257175</xdr:rowOff>
                  </to>
                </anchor>
              </controlPr>
            </control>
          </mc:Choice>
        </mc:AlternateContent>
        <mc:AlternateContent xmlns:mc="http://schemas.openxmlformats.org/markup-compatibility/2006">
          <mc:Choice Requires="x14">
            <control shapeId="1053" r:id="rId18" name="Group Box 29">
              <controlPr defaultSize="0" autoFill="0" autoPict="0">
                <anchor moveWithCells="1">
                  <from>
                    <xdr:col>6</xdr:col>
                    <xdr:colOff>57150</xdr:colOff>
                    <xdr:row>66</xdr:row>
                    <xdr:rowOff>28575</xdr:rowOff>
                  </from>
                  <to>
                    <xdr:col>12</xdr:col>
                    <xdr:colOff>781050</xdr:colOff>
                    <xdr:row>66</xdr:row>
                    <xdr:rowOff>285750</xdr:rowOff>
                  </to>
                </anchor>
              </controlPr>
            </control>
          </mc:Choice>
        </mc:AlternateContent>
        <mc:AlternateContent xmlns:mc="http://schemas.openxmlformats.org/markup-compatibility/2006">
          <mc:Choice Requires="x14">
            <control shapeId="1054" r:id="rId19" name="Group Box 30">
              <controlPr defaultSize="0" autoFill="0" autoPict="0">
                <anchor moveWithCells="1">
                  <from>
                    <xdr:col>11</xdr:col>
                    <xdr:colOff>609600</xdr:colOff>
                    <xdr:row>15</xdr:row>
                    <xdr:rowOff>57150</xdr:rowOff>
                  </from>
                  <to>
                    <xdr:col>15</xdr:col>
                    <xdr:colOff>114300</xdr:colOff>
                    <xdr:row>17</xdr:row>
                    <xdr:rowOff>180975</xdr:rowOff>
                  </to>
                </anchor>
              </controlPr>
            </control>
          </mc:Choice>
        </mc:AlternateContent>
        <mc:AlternateContent xmlns:mc="http://schemas.openxmlformats.org/markup-compatibility/2006">
          <mc:Choice Requires="x14">
            <control shapeId="1055" r:id="rId20" name="Group Box 31">
              <controlPr defaultSize="0" autoFill="0" autoPict="0">
                <anchor moveWithCells="1">
                  <from>
                    <xdr:col>5</xdr:col>
                    <xdr:colOff>314325</xdr:colOff>
                    <xdr:row>61</xdr:row>
                    <xdr:rowOff>257175</xdr:rowOff>
                  </from>
                  <to>
                    <xdr:col>14</xdr:col>
                    <xdr:colOff>485775</xdr:colOff>
                    <xdr:row>62</xdr:row>
                    <xdr:rowOff>295275</xdr:rowOff>
                  </to>
                </anchor>
              </controlPr>
            </control>
          </mc:Choice>
        </mc:AlternateContent>
        <mc:AlternateContent xmlns:mc="http://schemas.openxmlformats.org/markup-compatibility/2006">
          <mc:Choice Requires="x14">
            <control shapeId="1057" r:id="rId21" name="Group Box 33">
              <controlPr defaultSize="0" autoFill="0" autoPict="0">
                <anchor moveWithCells="1">
                  <from>
                    <xdr:col>9</xdr:col>
                    <xdr:colOff>600075</xdr:colOff>
                    <xdr:row>15</xdr:row>
                    <xdr:rowOff>47625</xdr:rowOff>
                  </from>
                  <to>
                    <xdr:col>13</xdr:col>
                    <xdr:colOff>600075</xdr:colOff>
                    <xdr:row>21</xdr:row>
                    <xdr:rowOff>76200</xdr:rowOff>
                  </to>
                </anchor>
              </controlPr>
            </control>
          </mc:Choice>
        </mc:AlternateContent>
        <mc:AlternateContent xmlns:mc="http://schemas.openxmlformats.org/markup-compatibility/2006">
          <mc:Choice Requires="x14">
            <control shapeId="1059" r:id="rId22" name="Option Button 35">
              <controlPr defaultSize="0" autoFill="0" autoLine="0" autoPict="0">
                <anchor moveWithCells="1">
                  <from>
                    <xdr:col>9</xdr:col>
                    <xdr:colOff>895350</xdr:colOff>
                    <xdr:row>15</xdr:row>
                    <xdr:rowOff>152400</xdr:rowOff>
                  </from>
                  <to>
                    <xdr:col>10</xdr:col>
                    <xdr:colOff>523875</xdr:colOff>
                    <xdr:row>17</xdr:row>
                    <xdr:rowOff>66675</xdr:rowOff>
                  </to>
                </anchor>
              </controlPr>
            </control>
          </mc:Choice>
        </mc:AlternateContent>
        <mc:AlternateContent xmlns:mc="http://schemas.openxmlformats.org/markup-compatibility/2006">
          <mc:Choice Requires="x14">
            <control shapeId="1060" r:id="rId23" name="Option Button 36">
              <controlPr defaultSize="0" autoFill="0" autoLine="0" autoPict="0">
                <anchor moveWithCells="1">
                  <from>
                    <xdr:col>9</xdr:col>
                    <xdr:colOff>914400</xdr:colOff>
                    <xdr:row>17</xdr:row>
                    <xdr:rowOff>142875</xdr:rowOff>
                  </from>
                  <to>
                    <xdr:col>10</xdr:col>
                    <xdr:colOff>485775</xdr:colOff>
                    <xdr:row>19</xdr:row>
                    <xdr:rowOff>57150</xdr:rowOff>
                  </to>
                </anchor>
              </controlPr>
            </control>
          </mc:Choice>
        </mc:AlternateContent>
        <mc:AlternateContent xmlns:mc="http://schemas.openxmlformats.org/markup-compatibility/2006">
          <mc:Choice Requires="x14">
            <control shapeId="1063" r:id="rId24" name="Option Button 39">
              <controlPr defaultSize="0" autoFill="0" autoLine="0" autoPict="0">
                <anchor moveWithCells="1">
                  <from>
                    <xdr:col>10</xdr:col>
                    <xdr:colOff>9525</xdr:colOff>
                    <xdr:row>19</xdr:row>
                    <xdr:rowOff>123825</xdr:rowOff>
                  </from>
                  <to>
                    <xdr:col>10</xdr:col>
                    <xdr:colOff>581025</xdr:colOff>
                    <xdr:row>21</xdr:row>
                    <xdr:rowOff>47625</xdr:rowOff>
                  </to>
                </anchor>
              </controlPr>
            </control>
          </mc:Choice>
        </mc:AlternateContent>
        <mc:AlternateContent xmlns:mc="http://schemas.openxmlformats.org/markup-compatibility/2006">
          <mc:Choice Requires="x14">
            <control shapeId="1065" r:id="rId25" name="Check Box 41">
              <controlPr defaultSize="0" autoFill="0" autoLine="0" autoPict="0">
                <anchor moveWithCells="1">
                  <from>
                    <xdr:col>11</xdr:col>
                    <xdr:colOff>685800</xdr:colOff>
                    <xdr:row>11</xdr:row>
                    <xdr:rowOff>180975</xdr:rowOff>
                  </from>
                  <to>
                    <xdr:col>12</xdr:col>
                    <xdr:colOff>238125</xdr:colOff>
                    <xdr:row>13</xdr:row>
                    <xdr:rowOff>9525</xdr:rowOff>
                  </to>
                </anchor>
              </controlPr>
            </control>
          </mc:Choice>
        </mc:AlternateContent>
        <mc:AlternateContent xmlns:mc="http://schemas.openxmlformats.org/markup-compatibility/2006">
          <mc:Choice Requires="x14">
            <control shapeId="1067" r:id="rId26" name="Group Box 43">
              <controlPr defaultSize="0" autoFill="0" autoPict="0">
                <anchor moveWithCells="1">
                  <from>
                    <xdr:col>5</xdr:col>
                    <xdr:colOff>142875</xdr:colOff>
                    <xdr:row>7</xdr:row>
                    <xdr:rowOff>114300</xdr:rowOff>
                  </from>
                  <to>
                    <xdr:col>8</xdr:col>
                    <xdr:colOff>685800</xdr:colOff>
                    <xdr:row>9</xdr:row>
                    <xdr:rowOff>76200</xdr:rowOff>
                  </to>
                </anchor>
              </controlPr>
            </control>
          </mc:Choice>
        </mc:AlternateContent>
        <mc:AlternateContent xmlns:mc="http://schemas.openxmlformats.org/markup-compatibility/2006">
          <mc:Choice Requires="x14">
            <control shapeId="1068" r:id="rId27" name="Option Button 44">
              <controlPr defaultSize="0" autoFill="0" autoLine="0" autoPict="0">
                <anchor moveWithCells="1">
                  <from>
                    <xdr:col>5</xdr:col>
                    <xdr:colOff>266700</xdr:colOff>
                    <xdr:row>8</xdr:row>
                    <xdr:rowOff>28575</xdr:rowOff>
                  </from>
                  <to>
                    <xdr:col>6</xdr:col>
                    <xdr:colOff>447675</xdr:colOff>
                    <xdr:row>9</xdr:row>
                    <xdr:rowOff>19050</xdr:rowOff>
                  </to>
                </anchor>
              </controlPr>
            </control>
          </mc:Choice>
        </mc:AlternateContent>
        <mc:AlternateContent xmlns:mc="http://schemas.openxmlformats.org/markup-compatibility/2006">
          <mc:Choice Requires="x14">
            <control shapeId="1082" r:id="rId28" name="Group Box 58">
              <controlPr defaultSize="0" autoFill="0" autoPict="0">
                <anchor moveWithCells="1">
                  <from>
                    <xdr:col>5</xdr:col>
                    <xdr:colOff>419100</xdr:colOff>
                    <xdr:row>63</xdr:row>
                    <xdr:rowOff>9525</xdr:rowOff>
                  </from>
                  <to>
                    <xdr:col>13</xdr:col>
                    <xdr:colOff>219075</xdr:colOff>
                    <xdr:row>63</xdr:row>
                    <xdr:rowOff>295275</xdr:rowOff>
                  </to>
                </anchor>
              </controlPr>
            </control>
          </mc:Choice>
        </mc:AlternateContent>
        <mc:AlternateContent xmlns:mc="http://schemas.openxmlformats.org/markup-compatibility/2006">
          <mc:Choice Requires="x14">
            <control shapeId="1083" r:id="rId29" name="Option Button 59">
              <controlPr defaultSize="0" autoFill="0" autoLine="0" autoPict="0">
                <anchor moveWithCells="1">
                  <from>
                    <xdr:col>6</xdr:col>
                    <xdr:colOff>400050</xdr:colOff>
                    <xdr:row>63</xdr:row>
                    <xdr:rowOff>47625</xdr:rowOff>
                  </from>
                  <to>
                    <xdr:col>7</xdr:col>
                    <xdr:colOff>190500</xdr:colOff>
                    <xdr:row>63</xdr:row>
                    <xdr:rowOff>285750</xdr:rowOff>
                  </to>
                </anchor>
              </controlPr>
            </control>
          </mc:Choice>
        </mc:AlternateContent>
        <mc:AlternateContent xmlns:mc="http://schemas.openxmlformats.org/markup-compatibility/2006">
          <mc:Choice Requires="x14">
            <control shapeId="1084" r:id="rId30" name="Option Button 60">
              <controlPr defaultSize="0" autoFill="0" autoLine="0" autoPict="0">
                <anchor moveWithCells="1">
                  <from>
                    <xdr:col>8</xdr:col>
                    <xdr:colOff>400050</xdr:colOff>
                    <xdr:row>63</xdr:row>
                    <xdr:rowOff>47625</xdr:rowOff>
                  </from>
                  <to>
                    <xdr:col>9</xdr:col>
                    <xdr:colOff>38100</xdr:colOff>
                    <xdr:row>63</xdr:row>
                    <xdr:rowOff>285750</xdr:rowOff>
                  </to>
                </anchor>
              </controlPr>
            </control>
          </mc:Choice>
        </mc:AlternateContent>
        <mc:AlternateContent xmlns:mc="http://schemas.openxmlformats.org/markup-compatibility/2006">
          <mc:Choice Requires="x14">
            <control shapeId="1085" r:id="rId31" name="Option Button 61">
              <controlPr defaultSize="0" autoFill="0" autoLine="0" autoPict="0">
                <anchor moveWithCells="1">
                  <from>
                    <xdr:col>10</xdr:col>
                    <xdr:colOff>752475</xdr:colOff>
                    <xdr:row>63</xdr:row>
                    <xdr:rowOff>47625</xdr:rowOff>
                  </from>
                  <to>
                    <xdr:col>11</xdr:col>
                    <xdr:colOff>228600</xdr:colOff>
                    <xdr:row>63</xdr:row>
                    <xdr:rowOff>285750</xdr:rowOff>
                  </to>
                </anchor>
              </controlPr>
            </control>
          </mc:Choice>
        </mc:AlternateContent>
        <mc:AlternateContent xmlns:mc="http://schemas.openxmlformats.org/markup-compatibility/2006">
          <mc:Choice Requires="x14">
            <control shapeId="1089" r:id="rId32" name="Group Box 65">
              <controlPr defaultSize="0" autoFill="0" autoPict="0">
                <anchor moveWithCells="1">
                  <from>
                    <xdr:col>3</xdr:col>
                    <xdr:colOff>1476375</xdr:colOff>
                    <xdr:row>67</xdr:row>
                    <xdr:rowOff>47625</xdr:rowOff>
                  </from>
                  <to>
                    <xdr:col>13</xdr:col>
                    <xdr:colOff>552450</xdr:colOff>
                    <xdr:row>67</xdr:row>
                    <xdr:rowOff>523875</xdr:rowOff>
                  </to>
                </anchor>
              </controlPr>
            </control>
          </mc:Choice>
        </mc:AlternateContent>
        <mc:AlternateContent xmlns:mc="http://schemas.openxmlformats.org/markup-compatibility/2006">
          <mc:Choice Requires="x14">
            <control shapeId="1090" r:id="rId33" name="Option Button 66">
              <controlPr defaultSize="0" autoFill="0" autoLine="0" autoPict="0">
                <anchor moveWithCells="1">
                  <from>
                    <xdr:col>5</xdr:col>
                    <xdr:colOff>238125</xdr:colOff>
                    <xdr:row>67</xdr:row>
                    <xdr:rowOff>161925</xdr:rowOff>
                  </from>
                  <to>
                    <xdr:col>6</xdr:col>
                    <xdr:colOff>247650</xdr:colOff>
                    <xdr:row>67</xdr:row>
                    <xdr:rowOff>390525</xdr:rowOff>
                  </to>
                </anchor>
              </controlPr>
            </control>
          </mc:Choice>
        </mc:AlternateContent>
        <mc:AlternateContent xmlns:mc="http://schemas.openxmlformats.org/markup-compatibility/2006">
          <mc:Choice Requires="x14">
            <control shapeId="1091" r:id="rId34" name="Option Button 67">
              <controlPr defaultSize="0" autoFill="0" autoLine="0" autoPict="0">
                <anchor moveWithCells="1">
                  <from>
                    <xdr:col>7</xdr:col>
                    <xdr:colOff>666750</xdr:colOff>
                    <xdr:row>67</xdr:row>
                    <xdr:rowOff>142875</xdr:rowOff>
                  </from>
                  <to>
                    <xdr:col>8</xdr:col>
                    <xdr:colOff>314325</xdr:colOff>
                    <xdr:row>67</xdr:row>
                    <xdr:rowOff>381000</xdr:rowOff>
                  </to>
                </anchor>
              </controlPr>
            </control>
          </mc:Choice>
        </mc:AlternateContent>
        <mc:AlternateContent xmlns:mc="http://schemas.openxmlformats.org/markup-compatibility/2006">
          <mc:Choice Requires="x14">
            <control shapeId="1097" r:id="rId35" name="Group Box 73">
              <controlPr defaultSize="0" autoFill="0" autoPict="0">
                <anchor moveWithCells="1">
                  <from>
                    <xdr:col>11</xdr:col>
                    <xdr:colOff>371475</xdr:colOff>
                    <xdr:row>23</xdr:row>
                    <xdr:rowOff>66675</xdr:rowOff>
                  </from>
                  <to>
                    <xdr:col>15</xdr:col>
                    <xdr:colOff>28575</xdr:colOff>
                    <xdr:row>26</xdr:row>
                    <xdr:rowOff>9525</xdr:rowOff>
                  </to>
                </anchor>
              </controlPr>
            </control>
          </mc:Choice>
        </mc:AlternateContent>
        <mc:AlternateContent xmlns:mc="http://schemas.openxmlformats.org/markup-compatibility/2006">
          <mc:Choice Requires="x14">
            <control shapeId="1098" r:id="rId36" name="Option Button 74">
              <controlPr defaultSize="0" autoFill="0" autoLine="0" autoPict="0" altText="">
                <anchor moveWithCells="1">
                  <from>
                    <xdr:col>6</xdr:col>
                    <xdr:colOff>771525</xdr:colOff>
                    <xdr:row>7</xdr:row>
                    <xdr:rowOff>161925</xdr:rowOff>
                  </from>
                  <to>
                    <xdr:col>7</xdr:col>
                    <xdr:colOff>400050</xdr:colOff>
                    <xdr:row>9</xdr:row>
                    <xdr:rowOff>19050</xdr:rowOff>
                  </to>
                </anchor>
              </controlPr>
            </control>
          </mc:Choice>
        </mc:AlternateContent>
        <mc:AlternateContent xmlns:mc="http://schemas.openxmlformats.org/markup-compatibility/2006">
          <mc:Choice Requires="x14">
            <control shapeId="1731" r:id="rId37" name="Option Button 707">
              <controlPr defaultSize="0" autoFill="0" autoLine="0" autoPict="0">
                <anchor moveWithCells="1">
                  <from>
                    <xdr:col>10</xdr:col>
                    <xdr:colOff>666750</xdr:colOff>
                    <xdr:row>67</xdr:row>
                    <xdr:rowOff>171450</xdr:rowOff>
                  </from>
                  <to>
                    <xdr:col>11</xdr:col>
                    <xdr:colOff>333375</xdr:colOff>
                    <xdr:row>67</xdr:row>
                    <xdr:rowOff>390525</xdr:rowOff>
                  </to>
                </anchor>
              </controlPr>
            </control>
          </mc:Choice>
        </mc:AlternateContent>
        <mc:AlternateContent xmlns:mc="http://schemas.openxmlformats.org/markup-compatibility/2006">
          <mc:Choice Requires="x14">
            <control shapeId="1741" r:id="rId38" name="Group Box 717">
              <controlPr defaultSize="0" autoFill="0" autoPict="0">
                <anchor moveWithCells="1">
                  <from>
                    <xdr:col>2</xdr:col>
                    <xdr:colOff>923925</xdr:colOff>
                    <xdr:row>25</xdr:row>
                    <xdr:rowOff>95250</xdr:rowOff>
                  </from>
                  <to>
                    <xdr:col>3</xdr:col>
                    <xdr:colOff>666750</xdr:colOff>
                    <xdr:row>28</xdr:row>
                    <xdr:rowOff>104775</xdr:rowOff>
                  </to>
                </anchor>
              </controlPr>
            </control>
          </mc:Choice>
        </mc:AlternateContent>
        <mc:AlternateContent xmlns:mc="http://schemas.openxmlformats.org/markup-compatibility/2006">
          <mc:Choice Requires="x14">
            <control shapeId="1742" r:id="rId39" name="Option Button 718">
              <controlPr defaultSize="0" autoFill="0" autoLine="0" autoPict="0">
                <anchor moveWithCells="1">
                  <from>
                    <xdr:col>2</xdr:col>
                    <xdr:colOff>1219200</xdr:colOff>
                    <xdr:row>25</xdr:row>
                    <xdr:rowOff>190500</xdr:rowOff>
                  </from>
                  <to>
                    <xdr:col>3</xdr:col>
                    <xdr:colOff>371475</xdr:colOff>
                    <xdr:row>27</xdr:row>
                    <xdr:rowOff>9525</xdr:rowOff>
                  </to>
                </anchor>
              </controlPr>
            </control>
          </mc:Choice>
        </mc:AlternateContent>
        <mc:AlternateContent xmlns:mc="http://schemas.openxmlformats.org/markup-compatibility/2006">
          <mc:Choice Requires="x14">
            <control shapeId="1743" r:id="rId40" name="Option Button 719">
              <controlPr defaultSize="0" autoFill="0" autoLine="0" autoPict="0">
                <anchor moveWithCells="1">
                  <from>
                    <xdr:col>2</xdr:col>
                    <xdr:colOff>1228725</xdr:colOff>
                    <xdr:row>26</xdr:row>
                    <xdr:rowOff>200025</xdr:rowOff>
                  </from>
                  <to>
                    <xdr:col>3</xdr:col>
                    <xdr:colOff>381000</xdr:colOff>
                    <xdr:row>28</xdr:row>
                    <xdr:rowOff>19050</xdr:rowOff>
                  </to>
                </anchor>
              </controlPr>
            </control>
          </mc:Choice>
        </mc:AlternateContent>
        <mc:AlternateContent xmlns:mc="http://schemas.openxmlformats.org/markup-compatibility/2006">
          <mc:Choice Requires="x14">
            <control shapeId="1750" r:id="rId41" name="Option Button 726">
              <controlPr defaultSize="0" autoFill="0" autoLine="0" autoPict="0">
                <anchor moveWithCells="1">
                  <from>
                    <xdr:col>12</xdr:col>
                    <xdr:colOff>819150</xdr:colOff>
                    <xdr:row>62</xdr:row>
                    <xdr:rowOff>47625</xdr:rowOff>
                  </from>
                  <to>
                    <xdr:col>13</xdr:col>
                    <xdr:colOff>552450</xdr:colOff>
                    <xdr:row>62</xdr:row>
                    <xdr:rowOff>266700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 id="{9912C322-92CA-4771-8636-B2EE5167FBDB}">
            <xm:f>'HSC-FD Equations'!$C$315</xm:f>
            <x14:dxf>
              <font>
                <strike val="0"/>
                <color rgb="FFC00000"/>
              </font>
            </x14:dxf>
          </x14:cfRule>
          <xm:sqref>C36:D36</xm:sqref>
        </x14:conditionalFormatting>
        <x14:conditionalFormatting xmlns:xm="http://schemas.microsoft.com/office/excel/2006/main">
          <x14:cfRule type="expression" priority="11" id="{52AD5E39-6D6C-46E4-9498-0008B411C707}">
            <xm:f>OR('HSC-FD Equations'!$C$314,'HSC-FD Equations'!$C$315)</xm:f>
            <x14:dxf>
              <font>
                <color rgb="FFC00000"/>
              </font>
            </x14:dxf>
          </x14:cfRule>
          <xm:sqref>E19</xm:sqref>
        </x14:conditionalFormatting>
        <x14:conditionalFormatting xmlns:xm="http://schemas.microsoft.com/office/excel/2006/main">
          <x14:cfRule type="expression" priority="158" id="{00000000-000E-0000-0000-00008B000000}">
            <xm:f>'HSC-FD Equations'!C$312</xm:f>
            <x14:dxf>
              <fill>
                <patternFill>
                  <bgColor theme="0" tint="-0.14996795556505021"/>
                </patternFill>
              </fill>
            </x14:dxf>
          </x14:cfRule>
          <xm:sqref>G36:M60</xm:sqref>
        </x14:conditionalFormatting>
        <x14:conditionalFormatting xmlns:xm="http://schemas.microsoft.com/office/excel/2006/main">
          <x14:cfRule type="expression" priority="15" id="{823530BC-E902-404E-B0D9-25D39AE762BC}">
            <xm:f>'HSC-FD Equations'!C$297</xm:f>
            <x14:dxf>
              <font>
                <color rgb="FFC00000"/>
              </font>
            </x14:dxf>
          </x14:cfRule>
          <xm:sqref>G37:M37 G43:M44</xm:sqref>
        </x14:conditionalFormatting>
        <x14:conditionalFormatting xmlns:xm="http://schemas.microsoft.com/office/excel/2006/main">
          <x14:cfRule type="expression" priority="13" id="{1E4FF92E-2CC3-490A-A470-6233E42DAC85}">
            <xm:f>'HSC-FD Equations'!C$298</xm:f>
            <x14:dxf>
              <font>
                <color rgb="FFC00000"/>
              </font>
            </x14:dxf>
          </x14:cfRule>
          <xm:sqref>G39:M39 G41:M41</xm:sqref>
        </x14:conditionalFormatting>
        <x14:conditionalFormatting xmlns:xm="http://schemas.microsoft.com/office/excel/2006/main">
          <x14:cfRule type="expression" priority="1" id="{65D08D65-E7FC-49B0-8AC8-DFBB43921B5E}">
            <xm:f>('HSC-FD Equations'!C$300=2)</xm:f>
            <x14:dxf>
              <font>
                <color rgb="FFC00000"/>
              </font>
            </x14:dxf>
          </x14:cfRule>
          <x14:cfRule type="expression" priority="2" id="{5C0F60E3-83DA-44A8-BB84-FAA80600763A}">
            <xm:f>('HSC-FD Equations'!C$300=1)</xm:f>
            <x14:dxf>
              <font>
                <color theme="9" tint="-0.24994659260841701"/>
              </font>
            </x14:dxf>
          </x14:cfRule>
          <xm:sqref>G46:M47</xm:sqref>
        </x14:conditionalFormatting>
        <x14:conditionalFormatting xmlns:xm="http://schemas.microsoft.com/office/excel/2006/main">
          <x14:cfRule type="expression" priority="6" id="{E1FB1CAC-0CFB-4A42-AD52-18CF375DB35C}">
            <xm:f>OR('HSC-FD Equations'!C$303,'HSC-FD Equations'!C$307)</xm:f>
            <x14:dxf>
              <font>
                <color rgb="FFC00000"/>
              </font>
            </x14:dxf>
          </x14:cfRule>
          <xm:sqref>G50:M50</xm:sqref>
        </x14:conditionalFormatting>
        <x14:conditionalFormatting xmlns:xm="http://schemas.microsoft.com/office/excel/2006/main">
          <x14:cfRule type="expression" priority="21" id="{0B252E4A-DBD9-4264-B048-CEB9C5507376}">
            <xm:f>OR('HSC-FD Equations'!$C$304,'HSC-FD Equations'!C$308)</xm:f>
            <x14:dxf>
              <font>
                <color rgb="FFC00000"/>
              </font>
            </x14:dxf>
          </x14:cfRule>
          <xm:sqref>G51:M51</xm:sqref>
        </x14:conditionalFormatting>
        <x14:conditionalFormatting xmlns:xm="http://schemas.microsoft.com/office/excel/2006/main">
          <x14:cfRule type="expression" priority="30" id="{FB757FDA-A53B-4B6F-93D3-052A896A01CA}">
            <xm:f>OR('HSC-FD Equations'!C$309,'HSC-FD Equations'!C$309)</xm:f>
            <x14:dxf>
              <font>
                <color rgb="FFC00000"/>
              </font>
            </x14:dxf>
          </x14:cfRule>
          <xm:sqref>G52:M52</xm:sqref>
        </x14:conditionalFormatting>
        <x14:conditionalFormatting xmlns:xm="http://schemas.microsoft.com/office/excel/2006/main">
          <x14:cfRule type="expression" priority="43" id="{D2782EF1-C7B1-43F5-9268-78E7D51793B6}">
            <xm:f>('HSC-FD Equations'!$C$25&lt;&gt;2)</xm:f>
            <x14:dxf>
              <font>
                <color theme="0" tint="-0.34998626667073579"/>
              </font>
            </x14:dxf>
          </x14:cfRule>
          <xm:sqref>K19:L19 N19</xm:sqref>
        </x14:conditionalFormatting>
        <x14:conditionalFormatting xmlns:xm="http://schemas.microsoft.com/office/excel/2006/main">
          <x14:cfRule type="expression" priority="37" id="{0175E154-33B3-42F6-B54C-949CBD69F055}">
            <xm:f>('HSC-FD Equations'!$C$25&lt;&gt;3)</xm:f>
            <x14:dxf>
              <font>
                <color theme="0" tint="-0.34998626667073579"/>
              </font>
            </x14:dxf>
          </x14:cfRule>
          <xm:sqref>K21:L21 N21</xm:sqref>
        </x14:conditionalFormatting>
        <x14:conditionalFormatting xmlns:xm="http://schemas.microsoft.com/office/excel/2006/main">
          <x14:cfRule type="expression" priority="8" id="{DB850137-C833-4DB3-A3EA-229CC22C322F}">
            <xm:f>('HSC-FD Equations'!$C$25&lt;&gt;1)</xm:f>
            <x14:dxf>
              <font>
                <color theme="0" tint="-0.34998626667073579"/>
              </font>
            </x14:dxf>
          </x14:cfRule>
          <xm:sqref>K17:N17</xm:sqref>
        </x14:conditionalFormatting>
        <x14:conditionalFormatting xmlns:xm="http://schemas.microsoft.com/office/excel/2006/main">
          <x14:cfRule type="expression" priority="28" id="{C050A3BB-04DD-4A66-9F57-1A31EEFB16B8}">
            <xm:f>NOT('HSC-FD Equations'!$C$25=2)</xm:f>
            <x14:dxf>
              <font>
                <color theme="1" tint="0.34998626667073579"/>
              </font>
              <fill>
                <patternFill>
                  <bgColor theme="1" tint="0.499984740745262"/>
                </patternFill>
              </fill>
              <border>
                <left style="thin">
                  <color auto="1"/>
                </left>
                <right style="thin">
                  <color auto="1"/>
                </right>
                <top style="thin">
                  <color auto="1"/>
                </top>
                <bottom style="thin">
                  <color auto="1"/>
                </bottom>
              </border>
            </x14:dxf>
          </x14:cfRule>
          <xm:sqref>M19</xm:sqref>
        </x14:conditionalFormatting>
        <x14:conditionalFormatting xmlns:xm="http://schemas.microsoft.com/office/excel/2006/main">
          <x14:cfRule type="expression" priority="38" id="{EAD34E47-0EEC-4523-9E95-0CDE93CA9A2A}">
            <xm:f>NOT('HSC-FD Equations'!$C$25=3)</xm:f>
            <x14:dxf>
              <font>
                <color theme="1" tint="0.34998626667073579"/>
              </font>
              <fill>
                <patternFill>
                  <bgColor theme="1" tint="0.499984740745262"/>
                </patternFill>
              </fill>
              <border>
                <left style="thin">
                  <color auto="1"/>
                </left>
                <right style="thin">
                  <color auto="1"/>
                </right>
                <top style="thin">
                  <color auto="1"/>
                </top>
                <bottom style="thin">
                  <color auto="1"/>
                </bottom>
                <vertical/>
                <horizontal/>
              </border>
            </x14:dxf>
          </x14:cfRule>
          <xm:sqref>M21</xm:sqref>
        </x14:conditionalFormatting>
        <x14:conditionalFormatting xmlns:xm="http://schemas.microsoft.com/office/excel/2006/main">
          <x14:cfRule type="expression" priority="34" id="{26A54C63-3528-4148-852A-DBF1A4D78866}">
            <xm:f>('HSC-FD Equations'!$C$25&lt;&gt;1)</xm:f>
            <x14:dxf>
              <font>
                <color theme="0" tint="-0.14996795556505021"/>
              </font>
            </x14:dxf>
          </x14:cfRule>
          <xm:sqref>M18:N18</xm:sqref>
        </x14:conditionalFormatting>
        <x14:conditionalFormatting xmlns:xm="http://schemas.microsoft.com/office/excel/2006/main">
          <x14:cfRule type="expression" priority="35" id="{18C3FDDE-1260-4147-88F6-A944F5EA8E56}">
            <xm:f>('HSC-FD Equations'!$C$25&lt;&gt;2)</xm:f>
            <x14:dxf>
              <font>
                <color theme="0" tint="-0.14996795556505021"/>
              </font>
            </x14:dxf>
          </x14:cfRule>
          <xm:sqref>M20:N20</xm:sqref>
        </x14:conditionalFormatting>
        <x14:conditionalFormatting xmlns:xm="http://schemas.microsoft.com/office/excel/2006/main">
          <x14:cfRule type="expression" priority="33" id="{957CFD75-348D-4738-A4E7-9FDBD3A690E0}">
            <xm:f>('HSC-FD Equations'!$C$25=3)</xm:f>
            <x14:dxf>
              <font>
                <color theme="1" tint="0.34998626667073579"/>
              </font>
            </x14:dxf>
          </x14:cfRule>
          <xm:sqref>M22:P22</xm:sqref>
        </x14:conditionalFormatting>
      </x14:conditionalFormattings>
    </ext>
    <ext xmlns:x14="http://schemas.microsoft.com/office/spreadsheetml/2009/9/main" uri="{CCE6A557-97BC-4b89-ADB6-D9C93CAAB3DF}">
      <x14:dataValidations xmlns:xm="http://schemas.microsoft.com/office/excel/2006/main" xWindow="413" yWindow="296" count="1">
        <x14:dataValidation type="decimal" operator="lessThan" allowBlank="1" showInputMessage="1" showErrorMessage="1" xr:uid="{00000000-0002-0000-0000-00000B000000}">
          <x14:formula1>
            <xm:f>'HSC-FD Equations'!D209+1</xm:f>
          </x14:formula1>
          <xm:sqref>M21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ES348"/>
  <sheetViews>
    <sheetView topLeftCell="A291" zoomScaleNormal="100" workbookViewId="0">
      <selection activeCell="G296" sqref="G296"/>
    </sheetView>
  </sheetViews>
  <sheetFormatPr defaultRowHeight="15"/>
  <cols>
    <col min="2" max="2" width="26.5703125" customWidth="1"/>
    <col min="3" max="3" width="11.5703125" customWidth="1"/>
    <col min="4" max="4" width="12.7109375" customWidth="1"/>
    <col min="5" max="5" width="11.28515625" customWidth="1"/>
    <col min="6" max="6" width="10" customWidth="1"/>
    <col min="9" max="9" width="10.7109375" customWidth="1"/>
    <col min="15" max="15" width="12.5703125" customWidth="1"/>
    <col min="16" max="16" width="14.7109375" customWidth="1"/>
    <col min="17" max="23" width="11.5703125" bestFit="1" customWidth="1"/>
    <col min="30" max="30" width="20.7109375" customWidth="1"/>
    <col min="44" max="44" width="19.42578125" customWidth="1"/>
    <col min="51" max="51" width="11.85546875" customWidth="1"/>
    <col min="58" max="58" width="20.5703125" customWidth="1"/>
    <col min="72" max="72" width="18.7109375" customWidth="1"/>
    <col min="86" max="86" width="18.5703125" customWidth="1"/>
    <col min="100" max="100" width="15.28515625" customWidth="1"/>
    <col min="114" max="114" width="13.28515625" customWidth="1"/>
    <col min="128" max="128" width="13.28515625" customWidth="1"/>
    <col min="142" max="142" width="18" customWidth="1"/>
    <col min="156" max="156" width="17.5703125" customWidth="1"/>
    <col min="170" max="170" width="17.5703125" customWidth="1"/>
    <col min="184" max="184" width="17" customWidth="1"/>
  </cols>
  <sheetData>
    <row r="1" spans="2:12" ht="20.25" thickBot="1">
      <c r="B1" s="2" t="s">
        <v>124</v>
      </c>
    </row>
    <row r="2" spans="2:12" ht="15.75" thickTop="1"/>
    <row r="3" spans="2:12">
      <c r="B3" t="s">
        <v>125</v>
      </c>
      <c r="C3">
        <v>1</v>
      </c>
      <c r="D3" t="str">
        <f>IF(C3=1,"[L/s]","[m³/h]")</f>
        <v>[L/s]</v>
      </c>
      <c r="E3" t="str">
        <f>IF(C3=1,"L/s","m³/h")</f>
        <v>L/s</v>
      </c>
    </row>
    <row r="4" spans="2:12">
      <c r="B4" t="s">
        <v>126</v>
      </c>
      <c r="C4">
        <f>IF(C3=1,1,3.6)</f>
        <v>1</v>
      </c>
      <c r="D4" t="str">
        <f>IF(C3=1,"L/s/m²","m³/h/m²")</f>
        <v>L/s/m²</v>
      </c>
    </row>
    <row r="6" spans="2:12">
      <c r="B6" t="s">
        <v>127</v>
      </c>
      <c r="C6">
        <f>'HSC-FD'!E9/C4</f>
        <v>120</v>
      </c>
    </row>
    <row r="8" spans="2:12">
      <c r="B8" t="s">
        <v>128</v>
      </c>
      <c r="C8" t="str">
        <f>"= " &amp;IF(C3=1,'HSC-FD'!E9*3.6,ROUND('HSC-FD'!E9/3.6,1))</f>
        <v>= 432</v>
      </c>
      <c r="D8" t="str">
        <f>IF(C3=1,"m³/h","L/s")</f>
        <v>m³/h</v>
      </c>
    </row>
    <row r="10" spans="2:12" ht="20.25" thickBot="1">
      <c r="B10" s="2" t="s">
        <v>129</v>
      </c>
    </row>
    <row r="11" spans="2:12" ht="15.75" thickTop="1"/>
    <row r="12" spans="2:12">
      <c r="B12" t="s">
        <v>130</v>
      </c>
      <c r="C12" s="6" t="str">
        <f>'HSC-FD'!E19</f>
        <v>DN355</v>
      </c>
      <c r="E12" t="s">
        <v>131</v>
      </c>
      <c r="L12" t="s">
        <v>132</v>
      </c>
    </row>
    <row r="13" spans="2:12">
      <c r="B13" t="s">
        <v>133</v>
      </c>
      <c r="C13" s="6">
        <f>C6</f>
        <v>120</v>
      </c>
      <c r="E13" t="s">
        <v>134</v>
      </c>
      <c r="L13" t="s">
        <v>135</v>
      </c>
    </row>
    <row r="14" spans="2:12">
      <c r="B14" t="s">
        <v>136</v>
      </c>
      <c r="C14" s="6">
        <f>'HSC-FD'!E11</f>
        <v>100</v>
      </c>
      <c r="E14" t="s">
        <v>137</v>
      </c>
      <c r="L14" t="s">
        <v>138</v>
      </c>
    </row>
    <row r="15" spans="2:12">
      <c r="B15" t="s">
        <v>139</v>
      </c>
      <c r="C15" s="6">
        <f>'HSC-FD'!E13</f>
        <v>35</v>
      </c>
      <c r="E15" t="s">
        <v>140</v>
      </c>
      <c r="L15" t="s">
        <v>141</v>
      </c>
    </row>
    <row r="16" spans="2:12">
      <c r="B16" t="s">
        <v>142</v>
      </c>
      <c r="C16" s="6">
        <f>'HSC-FD'!E15</f>
        <v>-12</v>
      </c>
      <c r="E16" t="s">
        <v>143</v>
      </c>
      <c r="L16" t="s">
        <v>144</v>
      </c>
    </row>
    <row r="17" spans="2:12">
      <c r="B17" t="s">
        <v>145</v>
      </c>
      <c r="C17" s="6">
        <f>'HSC-FD'!E17</f>
        <v>2.7</v>
      </c>
      <c r="E17" t="s">
        <v>33</v>
      </c>
      <c r="L17" t="s">
        <v>146</v>
      </c>
    </row>
    <row r="18" spans="2:12">
      <c r="B18" t="s">
        <v>7</v>
      </c>
      <c r="C18" s="6" t="str">
        <f>'HSC-FD'!M9</f>
        <v>4 Way (360°)</v>
      </c>
      <c r="D18" t="str">
        <f>Data!B54</f>
        <v>4w</v>
      </c>
      <c r="L18" t="s">
        <v>147</v>
      </c>
    </row>
    <row r="19" spans="2:12">
      <c r="B19" t="s">
        <v>148</v>
      </c>
      <c r="C19" s="6">
        <f>'HSC-FD'!M21/C4</f>
        <v>15</v>
      </c>
      <c r="E19" t="s">
        <v>10</v>
      </c>
    </row>
    <row r="20" spans="2:12">
      <c r="B20" t="s">
        <v>149</v>
      </c>
      <c r="C20" s="11">
        <f>'HSC-FD'!M11</f>
        <v>0.9</v>
      </c>
      <c r="L20" t="s">
        <v>150</v>
      </c>
    </row>
    <row r="21" spans="2:12">
      <c r="B21" t="s">
        <v>151</v>
      </c>
      <c r="C21" s="11" t="b">
        <v>0</v>
      </c>
      <c r="L21" t="s">
        <v>152</v>
      </c>
    </row>
    <row r="22" spans="2:12">
      <c r="B22" t="s">
        <v>153</v>
      </c>
      <c r="C22" s="6">
        <f>'HSC-FD'!M27</f>
        <v>0</v>
      </c>
      <c r="L22" t="s">
        <v>154</v>
      </c>
    </row>
    <row r="23" spans="2:12">
      <c r="B23" t="s">
        <v>155</v>
      </c>
      <c r="C23" s="48">
        <v>1</v>
      </c>
    </row>
    <row r="24" spans="2:12">
      <c r="B24" t="s">
        <v>156</v>
      </c>
      <c r="C24">
        <f>'HSC-FD'!M23</f>
        <v>23</v>
      </c>
      <c r="E24" t="s">
        <v>157</v>
      </c>
    </row>
    <row r="25" spans="2:12">
      <c r="B25" t="s">
        <v>158</v>
      </c>
      <c r="C25">
        <v>1</v>
      </c>
    </row>
    <row r="26" spans="2:12">
      <c r="B26" t="s">
        <v>159</v>
      </c>
      <c r="C26">
        <f>'HSC-FD'!M19</f>
        <v>8</v>
      </c>
      <c r="E26" t="s">
        <v>33</v>
      </c>
      <c r="L26" t="s">
        <v>160</v>
      </c>
    </row>
    <row r="27" spans="2:12">
      <c r="C27" s="6"/>
      <c r="L27" t="s">
        <v>161</v>
      </c>
    </row>
    <row r="28" spans="2:12" ht="20.25" customHeight="1" thickBot="1">
      <c r="B28" s="2" t="s">
        <v>162</v>
      </c>
      <c r="C28" s="6"/>
      <c r="L28" t="s">
        <v>163</v>
      </c>
    </row>
    <row r="29" spans="2:12" ht="15.75" thickTop="1"/>
    <row r="30" spans="2:12">
      <c r="B30" t="s">
        <v>130</v>
      </c>
      <c r="C30" s="7" t="str">
        <f>RIGHT(C12,3)</f>
        <v>355</v>
      </c>
    </row>
    <row r="31" spans="2:12">
      <c r="B31" t="s">
        <v>164</v>
      </c>
      <c r="C31" s="6">
        <f>C13*(4/C36)</f>
        <v>120</v>
      </c>
      <c r="E31" t="s">
        <v>165</v>
      </c>
    </row>
    <row r="32" spans="2:12">
      <c r="B32" t="s">
        <v>136</v>
      </c>
      <c r="C32" s="6">
        <f>C14/100</f>
        <v>1</v>
      </c>
    </row>
    <row r="33" spans="2:5">
      <c r="B33" t="s">
        <v>139</v>
      </c>
      <c r="C33" s="6">
        <f>C15</f>
        <v>35</v>
      </c>
    </row>
    <row r="34" spans="2:5">
      <c r="B34" t="s">
        <v>166</v>
      </c>
      <c r="C34" s="6">
        <f>IF(ABS(C16)&lt;8,8,ABS(C16))</f>
        <v>12</v>
      </c>
      <c r="D34" t="s">
        <v>167</v>
      </c>
    </row>
    <row r="35" spans="2:5">
      <c r="B35" t="s">
        <v>145</v>
      </c>
      <c r="C35" s="6">
        <f>C17</f>
        <v>2.7</v>
      </c>
    </row>
    <row r="36" spans="2:5">
      <c r="B36" t="s">
        <v>7</v>
      </c>
      <c r="C36" s="6">
        <f>_xlfn.NUMBERVALUE(LEFT(C18,1))</f>
        <v>4</v>
      </c>
    </row>
    <row r="37" spans="2:5">
      <c r="B37" t="s">
        <v>168</v>
      </c>
      <c r="C37">
        <f>IF(C25=3,IF(C19&gt;10,10,IF(C19&lt;2,2,C19)),$C$207)</f>
        <v>2.2999999999999998</v>
      </c>
    </row>
    <row r="38" spans="2:5">
      <c r="B38" t="s">
        <v>149</v>
      </c>
      <c r="C38" s="9">
        <f>C20*100</f>
        <v>90</v>
      </c>
    </row>
    <row r="39" spans="2:5">
      <c r="B39" t="s">
        <v>169</v>
      </c>
      <c r="C39" s="10">
        <f>VLOOKUP(C20,Data!$A$28:$B$32,2,0)</f>
        <v>0.25</v>
      </c>
    </row>
    <row r="40" spans="2:5">
      <c r="B40" t="s">
        <v>170</v>
      </c>
      <c r="C40" s="10">
        <f>IF(C21,1.1,1)</f>
        <v>1</v>
      </c>
    </row>
    <row r="41" spans="2:5">
      <c r="B41" t="s">
        <v>171</v>
      </c>
      <c r="C41" s="10">
        <f>IF(C21,1.7,1)</f>
        <v>1</v>
      </c>
    </row>
    <row r="42" spans="2:5">
      <c r="B42" t="s">
        <v>172</v>
      </c>
      <c r="C42" s="10">
        <f>IF(C21,10,0)</f>
        <v>0</v>
      </c>
    </row>
    <row r="44" spans="2:5">
      <c r="B44" t="s">
        <v>173</v>
      </c>
      <c r="C44">
        <f>$C$13*$C$32</f>
        <v>120</v>
      </c>
      <c r="E44" t="s">
        <v>174</v>
      </c>
    </row>
    <row r="45" spans="2:5">
      <c r="B45" t="s">
        <v>175</v>
      </c>
      <c r="C45">
        <f>C31*C32</f>
        <v>120</v>
      </c>
    </row>
    <row r="46" spans="2:5">
      <c r="B46" t="s">
        <v>176</v>
      </c>
      <c r="C46">
        <f>1+C22</f>
        <v>1</v>
      </c>
    </row>
    <row r="47" spans="2:5">
      <c r="B47" t="s">
        <v>177</v>
      </c>
      <c r="C47" s="11" t="b">
        <f>IF(C23=2,TRUE,FALSE)</f>
        <v>0</v>
      </c>
    </row>
    <row r="48" spans="2:5">
      <c r="B48" t="s">
        <v>178</v>
      </c>
      <c r="C48">
        <f>IF(C47,0.5, 1)</f>
        <v>1</v>
      </c>
    </row>
    <row r="49" spans="2:6">
      <c r="B49" t="s">
        <v>179</v>
      </c>
      <c r="C49">
        <f>IF($C$47,1.1, 1)</f>
        <v>1</v>
      </c>
    </row>
    <row r="50" spans="2:6">
      <c r="B50" t="s">
        <v>180</v>
      </c>
      <c r="C50">
        <f>IF($C$47,0.85, 1)</f>
        <v>1</v>
      </c>
    </row>
    <row r="51" spans="2:6">
      <c r="B51" t="s">
        <v>181</v>
      </c>
      <c r="C51">
        <f>IF($C$47,0.8, 1)</f>
        <v>1</v>
      </c>
    </row>
    <row r="52" spans="2:6">
      <c r="B52" t="s">
        <v>182</v>
      </c>
      <c r="C52">
        <f>IF(Data!B54="2a",0.5,1)</f>
        <v>1</v>
      </c>
    </row>
    <row r="54" spans="2:6">
      <c r="B54" s="1" t="s">
        <v>183</v>
      </c>
      <c r="C54" s="10"/>
    </row>
    <row r="55" spans="2:6">
      <c r="E55" t="s">
        <v>184</v>
      </c>
    </row>
    <row r="56" spans="2:6">
      <c r="B56" t="s">
        <v>185</v>
      </c>
      <c r="C56" t="s">
        <v>186</v>
      </c>
      <c r="D56" t="s">
        <v>187</v>
      </c>
      <c r="E56" t="s">
        <v>188</v>
      </c>
    </row>
    <row r="57" spans="2:6">
      <c r="B57">
        <v>2.7</v>
      </c>
      <c r="C57">
        <v>4510</v>
      </c>
      <c r="D57">
        <v>2.2692999999999999</v>
      </c>
      <c r="E57">
        <f>C57*$C$39^D57</f>
        <v>194.05364448580664</v>
      </c>
    </row>
    <row r="58" spans="2:6">
      <c r="B58">
        <v>4</v>
      </c>
      <c r="C58">
        <v>3884</v>
      </c>
      <c r="D58">
        <v>2.2425999999999999</v>
      </c>
      <c r="E58">
        <f>C58*$C$39^D58</f>
        <v>173.42012091102143</v>
      </c>
    </row>
    <row r="59" spans="2:6">
      <c r="B59">
        <v>10.0001</v>
      </c>
      <c r="C59">
        <v>3435</v>
      </c>
      <c r="D59">
        <v>2.2753999999999999</v>
      </c>
      <c r="E59">
        <f>C59*$C$39^D59</f>
        <v>146.55459415179587</v>
      </c>
    </row>
    <row r="60" spans="2:6">
      <c r="C60" t="s">
        <v>189</v>
      </c>
      <c r="D60" t="s">
        <v>187</v>
      </c>
    </row>
    <row r="61" spans="2:6">
      <c r="B61">
        <f>C35</f>
        <v>2.7</v>
      </c>
      <c r="C61">
        <f>EXP(INDEX(LINEST(LN(E57:E59),LN(B57:B59),,),1,2))</f>
        <v>235.85800421193721</v>
      </c>
      <c r="D61">
        <f>INDEX(LINEST(LN(E57:E59),LN(B57:B59),,),1)</f>
        <v>-0.20897278485293347</v>
      </c>
      <c r="E61" s="1">
        <f>C61*B61^D61</f>
        <v>191.64934187208348</v>
      </c>
      <c r="F61" t="s">
        <v>190</v>
      </c>
    </row>
    <row r="62" spans="2:6">
      <c r="C62" s="1" t="s">
        <v>191</v>
      </c>
      <c r="E62" s="1"/>
    </row>
    <row r="63" spans="2:6">
      <c r="B63" t="s">
        <v>192</v>
      </c>
      <c r="C63" s="1">
        <f>$E$61/$C$34</f>
        <v>15.97077848934029</v>
      </c>
      <c r="E63" s="1"/>
    </row>
    <row r="64" spans="2:6">
      <c r="B64" t="s">
        <v>193</v>
      </c>
      <c r="C64" s="1">
        <f>C63+C65</f>
        <v>19.97077848934029</v>
      </c>
      <c r="E64" s="1"/>
    </row>
    <row r="65" spans="2:7">
      <c r="B65" t="s">
        <v>194</v>
      </c>
      <c r="C65" s="1">
        <v>4</v>
      </c>
      <c r="E65" s="1"/>
    </row>
    <row r="66" spans="2:7">
      <c r="E66" s="1"/>
    </row>
    <row r="67" spans="2:7">
      <c r="B67" s="1" t="s">
        <v>195</v>
      </c>
      <c r="E67" s="1"/>
    </row>
    <row r="68" spans="2:7">
      <c r="B68" t="s">
        <v>196</v>
      </c>
      <c r="C68" t="s">
        <v>197</v>
      </c>
      <c r="D68" t="s">
        <v>198</v>
      </c>
      <c r="F68" t="s">
        <v>199</v>
      </c>
      <c r="G68" t="s">
        <v>200</v>
      </c>
    </row>
    <row r="69" spans="2:7">
      <c r="B69" s="12">
        <v>0.95</v>
      </c>
      <c r="C69">
        <v>0.95499999999999996</v>
      </c>
      <c r="D69">
        <v>1.27</v>
      </c>
      <c r="F69">
        <v>5.3170379048810661</v>
      </c>
      <c r="G69">
        <v>4.4308649207342219</v>
      </c>
    </row>
    <row r="70" spans="2:7">
      <c r="B70" s="12">
        <v>0.9</v>
      </c>
      <c r="C70">
        <v>0.75</v>
      </c>
      <c r="D70">
        <v>1</v>
      </c>
      <c r="F70">
        <v>6</v>
      </c>
      <c r="G70">
        <v>5</v>
      </c>
    </row>
    <row r="71" spans="2:7">
      <c r="B71" s="12">
        <v>0.85</v>
      </c>
      <c r="C71">
        <f>6.623*0.85^2-8.55*0.85+3.09</f>
        <v>0.60761749999999903</v>
      </c>
      <c r="D71">
        <f>9.17*0.85^2-11.971*0.85+4.3583</f>
        <v>0.80827499999999919</v>
      </c>
      <c r="F71">
        <f>-13.659*0.85+18.293</f>
        <v>6.6828499999999984</v>
      </c>
      <c r="G71">
        <f>-11.383*0.85+15.244</f>
        <v>5.5684500000000003</v>
      </c>
    </row>
    <row r="72" spans="2:7">
      <c r="B72" s="12">
        <v>0.8</v>
      </c>
      <c r="C72">
        <v>0.5</v>
      </c>
      <c r="D72">
        <v>0.66</v>
      </c>
      <c r="F72">
        <v>7.3659241902378696</v>
      </c>
      <c r="G72">
        <v>6.138270158531558</v>
      </c>
    </row>
    <row r="73" spans="2:7">
      <c r="B73" s="284">
        <v>0.7</v>
      </c>
      <c r="C73" s="285">
        <v>0.35</v>
      </c>
      <c r="D73" s="285">
        <v>0.47</v>
      </c>
      <c r="E73" s="285"/>
      <c r="F73" s="285">
        <v>8.7318483804757356</v>
      </c>
      <c r="G73" s="285">
        <v>7.2765403170631142</v>
      </c>
    </row>
    <row r="74" spans="2:7">
      <c r="B74" t="s">
        <v>192</v>
      </c>
      <c r="C74" s="1">
        <f>VLOOKUP($C$20,$B$69:$D$73,2,0)</f>
        <v>0.75</v>
      </c>
      <c r="E74" t="s">
        <v>201</v>
      </c>
      <c r="F74" s="1">
        <f>VLOOKUP($C$20,$B$69:$G$73,5,0)</f>
        <v>6</v>
      </c>
      <c r="G74" t="s">
        <v>202</v>
      </c>
    </row>
    <row r="75" spans="2:7">
      <c r="B75" t="s">
        <v>193</v>
      </c>
      <c r="C75" s="1">
        <f>VLOOKUP($C$20,$B$69:$D$73,3,0)</f>
        <v>1</v>
      </c>
      <c r="F75" s="1">
        <f>VLOOKUP($C$20,$B$69:$G$73,6,0)</f>
        <v>5</v>
      </c>
    </row>
    <row r="77" spans="2:7">
      <c r="B77" s="1" t="s">
        <v>203</v>
      </c>
      <c r="E77" s="1"/>
    </row>
    <row r="78" spans="2:7">
      <c r="B78" t="s">
        <v>196</v>
      </c>
      <c r="C78" t="s">
        <v>197</v>
      </c>
      <c r="D78" t="s">
        <v>198</v>
      </c>
      <c r="F78" t="s">
        <v>199</v>
      </c>
      <c r="G78" t="s">
        <v>200</v>
      </c>
    </row>
    <row r="79" spans="2:7">
      <c r="B79" s="12">
        <v>0.95</v>
      </c>
      <c r="C79">
        <f>6.623*(B79-0.05)^2-8.55*(B79-0.05)+3.09</f>
        <v>0.7596299999999987</v>
      </c>
      <c r="D79">
        <f>9.17*(B79-0.05)^2-11.971*(B79-0.05)+4.3583</f>
        <v>1.0120999999999984</v>
      </c>
      <c r="F79">
        <v>5.3170379048810661</v>
      </c>
      <c r="G79">
        <v>4.4308649207342219</v>
      </c>
    </row>
    <row r="80" spans="2:7">
      <c r="B80" s="12">
        <v>0.9</v>
      </c>
      <c r="C80">
        <f>6.623*(B80-0.05)^2-8.55*(B80-0.05)+3.09</f>
        <v>0.60761749999999903</v>
      </c>
      <c r="D80">
        <f>9.17*(B80-0.05)^2-11.971*(B80-0.05)+4.3583</f>
        <v>0.80827499999999919</v>
      </c>
      <c r="F80">
        <v>6</v>
      </c>
      <c r="G80">
        <v>5</v>
      </c>
    </row>
    <row r="81" spans="2:140">
      <c r="B81" s="12">
        <v>0.85</v>
      </c>
      <c r="C81">
        <f>6.623*(B81-0.05)^2-8.55*(B81-0.05)+3.09</f>
        <v>0.48871999999999982</v>
      </c>
      <c r="D81">
        <f>9.17*(B81-0.05)^2-11.971*(B81-0.05)+4.3583</f>
        <v>0.65030000000000054</v>
      </c>
      <c r="F81">
        <f>-13.659*0.85+18.293</f>
        <v>6.6828499999999984</v>
      </c>
      <c r="G81">
        <f>-11.383*0.85+15.244</f>
        <v>5.5684500000000003</v>
      </c>
    </row>
    <row r="82" spans="2:140">
      <c r="B82" s="12">
        <v>0.8</v>
      </c>
      <c r="C82">
        <f>6.623*(B82-0.05)^2-8.55*(B82-0.05)+3.09</f>
        <v>0.40293749999999928</v>
      </c>
      <c r="D82">
        <f>9.17*(B82-0.05)^2-11.971*(B82-0.05)+4.3583</f>
        <v>0.53817500000000074</v>
      </c>
      <c r="F82">
        <v>7.3659241902378696</v>
      </c>
      <c r="G82">
        <v>6.138270158531558</v>
      </c>
    </row>
    <row r="83" spans="2:140">
      <c r="B83" s="284">
        <v>0.7</v>
      </c>
      <c r="C83" s="285">
        <f>6.623*(B83-0.05)^2-8.55*(B83-0.05)+3.09</f>
        <v>0.33071749999999911</v>
      </c>
      <c r="D83" s="285">
        <f>9.17*(B83-0.05)^2-11.971*(B83-0.05)+4.3583</f>
        <v>0.4514749999999994</v>
      </c>
      <c r="E83" s="285"/>
      <c r="F83" s="285">
        <v>8.7318483804757356</v>
      </c>
      <c r="G83" s="285">
        <v>7.2765403170631142</v>
      </c>
    </row>
    <row r="84" spans="2:140">
      <c r="B84" t="s">
        <v>192</v>
      </c>
      <c r="C84" s="1">
        <f>VLOOKUP($C$20,$B$79:$D$83,2,0)</f>
        <v>0.60761749999999903</v>
      </c>
      <c r="E84" t="s">
        <v>201</v>
      </c>
      <c r="F84" s="1">
        <f>VLOOKUP($C$20,$B$79:$G$83,5,0)</f>
        <v>6</v>
      </c>
      <c r="G84" t="s">
        <v>202</v>
      </c>
    </row>
    <row r="85" spans="2:140">
      <c r="B85" t="s">
        <v>193</v>
      </c>
      <c r="C85" s="1">
        <f>VLOOKUP($C$20,$B$79:$D$83,3,0)</f>
        <v>0.80827499999999919</v>
      </c>
      <c r="F85" s="1">
        <f>VLOOKUP($C$20,$B$79:$G$83,6,0)</f>
        <v>5</v>
      </c>
    </row>
    <row r="86" spans="2:140">
      <c r="C86" s="1"/>
      <c r="F86" s="1"/>
    </row>
    <row r="87" spans="2:140">
      <c r="B87" s="1" t="s">
        <v>204</v>
      </c>
      <c r="C87" s="1"/>
      <c r="F87" s="1"/>
    </row>
    <row r="88" spans="2:140">
      <c r="B88" t="s">
        <v>205</v>
      </c>
      <c r="C88">
        <f>IF($C$36=4,1/2,IF($C$36=3,1/SQRT(2),1))</f>
        <v>0.5</v>
      </c>
      <c r="F88" s="1"/>
    </row>
    <row r="89" spans="2:140">
      <c r="B89" t="s">
        <v>206</v>
      </c>
      <c r="C89">
        <f>(1/C88)^2</f>
        <v>4</v>
      </c>
      <c r="D89" t="s">
        <v>207</v>
      </c>
      <c r="F89" s="1"/>
    </row>
    <row r="90" spans="2:140">
      <c r="B90" t="s">
        <v>208</v>
      </c>
      <c r="C90">
        <f>IF(D18="2a",1,2)</f>
        <v>2</v>
      </c>
      <c r="F90" s="1"/>
    </row>
    <row r="91" spans="2:140">
      <c r="B91" t="s">
        <v>209</v>
      </c>
      <c r="C91">
        <f>IF($D$18="2s",0.25,IF($D$18="3w",0.5,1))</f>
        <v>1</v>
      </c>
      <c r="D91" t="s">
        <v>210</v>
      </c>
      <c r="F91" s="1"/>
    </row>
    <row r="92" spans="2:140">
      <c r="C92" s="1"/>
      <c r="F92" s="1"/>
    </row>
    <row r="93" spans="2:140" ht="20.25" thickBot="1">
      <c r="B93" s="3">
        <v>250</v>
      </c>
      <c r="AY93" s="354">
        <v>355</v>
      </c>
      <c r="CV93" s="347" t="s">
        <v>35</v>
      </c>
    </row>
    <row r="94" spans="2:140" ht="15.75" thickTop="1">
      <c r="AY94" s="338"/>
      <c r="CV94" s="338"/>
    </row>
    <row r="95" spans="2:140">
      <c r="B95" s="1" t="s">
        <v>211</v>
      </c>
      <c r="I95" s="1" t="s">
        <v>212</v>
      </c>
      <c r="P95" s="1" t="s">
        <v>213</v>
      </c>
      <c r="W95" s="1" t="s">
        <v>214</v>
      </c>
      <c r="AD95" s="1" t="s">
        <v>215</v>
      </c>
      <c r="AK95" s="1" t="s">
        <v>216</v>
      </c>
      <c r="AR95" s="1" t="s">
        <v>217</v>
      </c>
      <c r="AY95" s="348" t="s">
        <v>218</v>
      </c>
      <c r="BF95" s="1" t="s">
        <v>219</v>
      </c>
      <c r="BM95" s="1" t="s">
        <v>220</v>
      </c>
      <c r="BT95" s="1" t="s">
        <v>221</v>
      </c>
      <c r="CA95" s="1" t="s">
        <v>222</v>
      </c>
      <c r="CH95" s="1" t="s">
        <v>223</v>
      </c>
      <c r="CO95" s="1" t="s">
        <v>224</v>
      </c>
      <c r="CV95" s="348" t="s">
        <v>218</v>
      </c>
      <c r="DC95" s="1" t="s">
        <v>219</v>
      </c>
      <c r="DJ95" s="1" t="s">
        <v>220</v>
      </c>
      <c r="DQ95" s="1" t="s">
        <v>221</v>
      </c>
      <c r="DX95" s="1" t="s">
        <v>222</v>
      </c>
      <c r="EE95" s="1" t="s">
        <v>223</v>
      </c>
    </row>
    <row r="96" spans="2:140">
      <c r="B96" t="s">
        <v>225</v>
      </c>
      <c r="C96">
        <v>110</v>
      </c>
      <c r="D96" t="s">
        <v>134</v>
      </c>
      <c r="E96" t="s">
        <v>226</v>
      </c>
      <c r="F96">
        <f>35-3.06</f>
        <v>31.94</v>
      </c>
      <c r="G96" t="s">
        <v>140</v>
      </c>
      <c r="I96" t="s">
        <v>225</v>
      </c>
      <c r="J96">
        <f>BG96/2</f>
        <v>96.11</v>
      </c>
      <c r="K96" t="s">
        <v>134</v>
      </c>
      <c r="L96" t="s">
        <v>226</v>
      </c>
      <c r="M96">
        <f>BJ96</f>
        <v>31</v>
      </c>
      <c r="N96" t="s">
        <v>140</v>
      </c>
      <c r="P96" t="s">
        <v>225</v>
      </c>
      <c r="Q96">
        <f>BN96/2</f>
        <v>78.844999999999999</v>
      </c>
      <c r="R96" t="s">
        <v>134</v>
      </c>
      <c r="S96" t="s">
        <v>226</v>
      </c>
      <c r="T96">
        <f>BQ96</f>
        <v>28.7</v>
      </c>
      <c r="U96" t="s">
        <v>140</v>
      </c>
      <c r="W96" t="s">
        <v>225</v>
      </c>
      <c r="X96">
        <f>BU96/2</f>
        <v>61.005000000000003</v>
      </c>
      <c r="Y96" t="s">
        <v>134</v>
      </c>
      <c r="Z96" t="s">
        <v>226</v>
      </c>
      <c r="AA96">
        <f>BX96</f>
        <v>31.2</v>
      </c>
      <c r="AB96" t="s">
        <v>140</v>
      </c>
      <c r="AD96" t="s">
        <v>225</v>
      </c>
      <c r="AE96">
        <f>CB96/2</f>
        <v>44.89</v>
      </c>
      <c r="AF96" t="s">
        <v>134</v>
      </c>
      <c r="AG96" t="s">
        <v>226</v>
      </c>
      <c r="AH96">
        <f>CE96</f>
        <v>30</v>
      </c>
      <c r="AI96" t="s">
        <v>140</v>
      </c>
      <c r="AK96" t="s">
        <v>225</v>
      </c>
      <c r="AL96">
        <f>CI96/2</f>
        <v>31.08</v>
      </c>
      <c r="AM96" t="s">
        <v>134</v>
      </c>
      <c r="AN96" t="s">
        <v>226</v>
      </c>
      <c r="AO96">
        <f>CL96</f>
        <v>32.6</v>
      </c>
      <c r="AP96" t="s">
        <v>140</v>
      </c>
      <c r="AR96" t="s">
        <v>225</v>
      </c>
      <c r="AS96">
        <f>CP96/2</f>
        <v>21.87</v>
      </c>
      <c r="AT96" t="s">
        <v>134</v>
      </c>
      <c r="AU96" t="s">
        <v>226</v>
      </c>
      <c r="AV96">
        <f>CS96</f>
        <v>32.1</v>
      </c>
      <c r="AW96" t="s">
        <v>140</v>
      </c>
      <c r="AY96" s="338" t="s">
        <v>225</v>
      </c>
      <c r="AZ96">
        <v>221</v>
      </c>
      <c r="BA96" t="s">
        <v>134</v>
      </c>
      <c r="BB96" t="s">
        <v>226</v>
      </c>
      <c r="BC96">
        <f>35-5.3</f>
        <v>29.7</v>
      </c>
      <c r="BD96" t="s">
        <v>140</v>
      </c>
      <c r="BF96" t="s">
        <v>225</v>
      </c>
      <c r="BG96">
        <v>192.22</v>
      </c>
      <c r="BH96" t="s">
        <v>134</v>
      </c>
      <c r="BI96" t="s">
        <v>227</v>
      </c>
      <c r="BJ96">
        <f>35-4</f>
        <v>31</v>
      </c>
      <c r="BK96" t="s">
        <v>140</v>
      </c>
      <c r="BM96" t="s">
        <v>225</v>
      </c>
      <c r="BN96">
        <v>157.69</v>
      </c>
      <c r="BO96" t="s">
        <v>134</v>
      </c>
      <c r="BP96" t="s">
        <v>227</v>
      </c>
      <c r="BQ96">
        <f>35-6.3</f>
        <v>28.7</v>
      </c>
      <c r="BR96" t="s">
        <v>140</v>
      </c>
      <c r="BT96" t="s">
        <v>225</v>
      </c>
      <c r="BU96">
        <v>122.01</v>
      </c>
      <c r="BV96" t="s">
        <v>134</v>
      </c>
      <c r="BW96" t="s">
        <v>228</v>
      </c>
      <c r="BX96">
        <f>35-3.8</f>
        <v>31.2</v>
      </c>
      <c r="BY96" t="s">
        <v>140</v>
      </c>
      <c r="CA96" t="s">
        <v>225</v>
      </c>
      <c r="CB96">
        <v>89.78</v>
      </c>
      <c r="CC96" t="s">
        <v>134</v>
      </c>
      <c r="CD96" t="s">
        <v>227</v>
      </c>
      <c r="CE96">
        <f>35-5</f>
        <v>30</v>
      </c>
      <c r="CF96" t="s">
        <v>140</v>
      </c>
      <c r="CH96" t="s">
        <v>225</v>
      </c>
      <c r="CI96">
        <v>62.16</v>
      </c>
      <c r="CJ96" t="s">
        <v>134</v>
      </c>
      <c r="CK96" t="s">
        <v>227</v>
      </c>
      <c r="CL96">
        <f>35-2.4</f>
        <v>32.6</v>
      </c>
      <c r="CM96" t="s">
        <v>140</v>
      </c>
      <c r="CO96" t="s">
        <v>225</v>
      </c>
      <c r="CP96">
        <v>43.74</v>
      </c>
      <c r="CQ96" t="s">
        <v>134</v>
      </c>
      <c r="CR96" t="s">
        <v>228</v>
      </c>
      <c r="CS96">
        <f>35-2.9</f>
        <v>32.1</v>
      </c>
      <c r="CT96" t="s">
        <v>140</v>
      </c>
      <c r="CV96" s="338" t="s">
        <v>225</v>
      </c>
      <c r="CW96">
        <v>440</v>
      </c>
      <c r="CX96" t="s">
        <v>134</v>
      </c>
      <c r="CY96" t="s">
        <v>228</v>
      </c>
      <c r="CZ96">
        <f>35-8.6</f>
        <v>26.4</v>
      </c>
      <c r="DA96" t="s">
        <v>140</v>
      </c>
      <c r="DC96" t="s">
        <v>225</v>
      </c>
      <c r="DD96">
        <v>398</v>
      </c>
      <c r="DE96" t="s">
        <v>134</v>
      </c>
      <c r="DF96" t="s">
        <v>228</v>
      </c>
      <c r="DG96">
        <f>35-7</f>
        <v>28</v>
      </c>
      <c r="DH96" t="s">
        <v>140</v>
      </c>
      <c r="DJ96" t="s">
        <v>225</v>
      </c>
      <c r="DK96">
        <v>358</v>
      </c>
      <c r="DL96" t="s">
        <v>134</v>
      </c>
      <c r="DM96" t="s">
        <v>227</v>
      </c>
      <c r="DN96">
        <f>35-5.7</f>
        <v>29.3</v>
      </c>
      <c r="DO96" t="s">
        <v>140</v>
      </c>
      <c r="DQ96" t="s">
        <v>225</v>
      </c>
      <c r="DR96">
        <v>295</v>
      </c>
      <c r="DS96" t="s">
        <v>134</v>
      </c>
      <c r="DT96" t="s">
        <v>227</v>
      </c>
      <c r="DU96">
        <f>35-6.2</f>
        <v>28.8</v>
      </c>
      <c r="DV96" t="s">
        <v>140</v>
      </c>
      <c r="DX96" t="s">
        <v>225</v>
      </c>
      <c r="DY96">
        <v>220</v>
      </c>
      <c r="DZ96" t="s">
        <v>134</v>
      </c>
      <c r="EA96" t="s">
        <v>227</v>
      </c>
      <c r="EB96">
        <f>35-5.3</f>
        <v>29.7</v>
      </c>
      <c r="EC96" t="s">
        <v>140</v>
      </c>
      <c r="EE96" t="s">
        <v>225</v>
      </c>
      <c r="EF96">
        <v>151</v>
      </c>
      <c r="EG96" t="s">
        <v>134</v>
      </c>
      <c r="EH96" t="s">
        <v>227</v>
      </c>
      <c r="EI96">
        <f>35-5.8</f>
        <v>29.2</v>
      </c>
      <c r="EJ96" t="s">
        <v>140</v>
      </c>
    </row>
    <row r="97" spans="2:140">
      <c r="B97" t="s">
        <v>229</v>
      </c>
      <c r="C97">
        <f>C96</f>
        <v>110</v>
      </c>
      <c r="D97" t="s">
        <v>134</v>
      </c>
      <c r="F97">
        <f>F96*$C$40</f>
        <v>31.94</v>
      </c>
      <c r="G97" t="s">
        <v>140</v>
      </c>
      <c r="I97" t="s">
        <v>229</v>
      </c>
      <c r="J97">
        <f>J96</f>
        <v>96.11</v>
      </c>
      <c r="K97" t="s">
        <v>134</v>
      </c>
      <c r="M97">
        <f>M96*$C$40</f>
        <v>31</v>
      </c>
      <c r="N97" t="s">
        <v>140</v>
      </c>
      <c r="P97" t="s">
        <v>229</v>
      </c>
      <c r="Q97">
        <f>Q96</f>
        <v>78.844999999999999</v>
      </c>
      <c r="R97" t="s">
        <v>134</v>
      </c>
      <c r="T97">
        <f>T96*$C$40</f>
        <v>28.7</v>
      </c>
      <c r="U97" t="s">
        <v>140</v>
      </c>
      <c r="W97" t="s">
        <v>229</v>
      </c>
      <c r="X97">
        <f>X96</f>
        <v>61.005000000000003</v>
      </c>
      <c r="Y97" t="s">
        <v>134</v>
      </c>
      <c r="AA97">
        <f>AA96*$C$40</f>
        <v>31.2</v>
      </c>
      <c r="AB97" t="s">
        <v>140</v>
      </c>
      <c r="AD97" t="s">
        <v>229</v>
      </c>
      <c r="AE97">
        <f>AE96</f>
        <v>44.89</v>
      </c>
      <c r="AF97" t="s">
        <v>134</v>
      </c>
      <c r="AH97">
        <f>AH96*$C$40</f>
        <v>30</v>
      </c>
      <c r="AI97" t="s">
        <v>140</v>
      </c>
      <c r="AK97" t="s">
        <v>229</v>
      </c>
      <c r="AL97">
        <f>AL96</f>
        <v>31.08</v>
      </c>
      <c r="AM97" t="s">
        <v>134</v>
      </c>
      <c r="AO97">
        <f>AO96*$C$40</f>
        <v>32.6</v>
      </c>
      <c r="AP97" t="s">
        <v>140</v>
      </c>
      <c r="AR97" t="s">
        <v>229</v>
      </c>
      <c r="AS97">
        <f>AS96</f>
        <v>21.87</v>
      </c>
      <c r="AT97" t="s">
        <v>134</v>
      </c>
      <c r="AV97">
        <f>AV96*$C$40</f>
        <v>32.1</v>
      </c>
      <c r="AW97" t="s">
        <v>140</v>
      </c>
      <c r="AY97" s="338" t="s">
        <v>230</v>
      </c>
      <c r="AZ97">
        <f>AZ96</f>
        <v>221</v>
      </c>
      <c r="BA97" t="s">
        <v>134</v>
      </c>
      <c r="BC97">
        <f>BC96*$C$40</f>
        <v>29.7</v>
      </c>
      <c r="BD97" t="s">
        <v>140</v>
      </c>
      <c r="BF97" t="s">
        <v>230</v>
      </c>
      <c r="BG97">
        <f>BG96</f>
        <v>192.22</v>
      </c>
      <c r="BH97" t="s">
        <v>134</v>
      </c>
      <c r="BJ97">
        <f>BJ96*$C$40</f>
        <v>31</v>
      </c>
      <c r="BK97" t="s">
        <v>140</v>
      </c>
      <c r="BM97" t="s">
        <v>230</v>
      </c>
      <c r="BN97">
        <f>BN96</f>
        <v>157.69</v>
      </c>
      <c r="BO97" t="s">
        <v>134</v>
      </c>
      <c r="BQ97">
        <f>BQ96*$C$40</f>
        <v>28.7</v>
      </c>
      <c r="BR97" t="s">
        <v>140</v>
      </c>
      <c r="BT97" t="s">
        <v>230</v>
      </c>
      <c r="BU97">
        <f>BU96</f>
        <v>122.01</v>
      </c>
      <c r="BV97" t="s">
        <v>134</v>
      </c>
      <c r="BX97">
        <f>BX96*$C$40</f>
        <v>31.2</v>
      </c>
      <c r="BY97" t="s">
        <v>140</v>
      </c>
      <c r="CA97" t="s">
        <v>230</v>
      </c>
      <c r="CB97">
        <f>CB96</f>
        <v>89.78</v>
      </c>
      <c r="CC97" t="s">
        <v>134</v>
      </c>
      <c r="CE97">
        <f>CE96*$C$40</f>
        <v>30</v>
      </c>
      <c r="CF97" t="s">
        <v>140</v>
      </c>
      <c r="CH97" t="s">
        <v>230</v>
      </c>
      <c r="CI97">
        <f>CI96</f>
        <v>62.16</v>
      </c>
      <c r="CJ97" t="s">
        <v>134</v>
      </c>
      <c r="CK97">
        <v>28</v>
      </c>
      <c r="CL97">
        <f>CL96*$C$40</f>
        <v>32.6</v>
      </c>
      <c r="CM97" t="s">
        <v>140</v>
      </c>
      <c r="CO97" t="s">
        <v>230</v>
      </c>
      <c r="CP97">
        <f>CP96</f>
        <v>43.74</v>
      </c>
      <c r="CQ97" t="s">
        <v>134</v>
      </c>
      <c r="CS97">
        <f>CS96*$C$40</f>
        <v>32.1</v>
      </c>
      <c r="CT97" t="s">
        <v>140</v>
      </c>
      <c r="CV97" s="338" t="s">
        <v>230</v>
      </c>
      <c r="CW97">
        <f>CW96</f>
        <v>440</v>
      </c>
      <c r="CX97" t="s">
        <v>134</v>
      </c>
      <c r="CZ97">
        <f>CZ96*$C$40</f>
        <v>26.4</v>
      </c>
      <c r="DA97" t="s">
        <v>140</v>
      </c>
      <c r="DC97" t="s">
        <v>230</v>
      </c>
      <c r="DD97">
        <f>DD96</f>
        <v>398</v>
      </c>
      <c r="DE97" t="s">
        <v>134</v>
      </c>
      <c r="DG97">
        <f>DG96*$C$40</f>
        <v>28</v>
      </c>
      <c r="DH97" t="s">
        <v>140</v>
      </c>
      <c r="DJ97" t="s">
        <v>230</v>
      </c>
      <c r="DK97">
        <f>DK96</f>
        <v>358</v>
      </c>
      <c r="DL97" t="s">
        <v>134</v>
      </c>
      <c r="DN97">
        <f>DN96*$C$40</f>
        <v>29.3</v>
      </c>
      <c r="DO97" t="s">
        <v>140</v>
      </c>
      <c r="DQ97" t="s">
        <v>230</v>
      </c>
      <c r="DR97">
        <f>DR96</f>
        <v>295</v>
      </c>
      <c r="DS97" t="s">
        <v>134</v>
      </c>
      <c r="DU97">
        <f>DU96*$C$40</f>
        <v>28.8</v>
      </c>
      <c r="DV97" t="s">
        <v>140</v>
      </c>
      <c r="DX97" t="s">
        <v>230</v>
      </c>
      <c r="DY97">
        <f>DY96</f>
        <v>220</v>
      </c>
      <c r="DZ97" t="s">
        <v>134</v>
      </c>
      <c r="EB97">
        <f>EB96*$C$40</f>
        <v>29.7</v>
      </c>
      <c r="EC97" t="s">
        <v>140</v>
      </c>
      <c r="EE97" t="s">
        <v>230</v>
      </c>
      <c r="EF97">
        <f>EF96</f>
        <v>151</v>
      </c>
      <c r="EG97" t="s">
        <v>134</v>
      </c>
      <c r="EI97">
        <f>EI96*$C$40</f>
        <v>29.2</v>
      </c>
      <c r="EJ97" t="s">
        <v>140</v>
      </c>
    </row>
    <row r="98" spans="2:140">
      <c r="B98" t="s">
        <v>231</v>
      </c>
      <c r="C98" s="208">
        <f>($C$31/C97)^2*F97</f>
        <v>38.011239669421485</v>
      </c>
      <c r="I98" t="s">
        <v>231</v>
      </c>
      <c r="J98" s="208">
        <f>($C$31/J97)^2*M97</f>
        <v>48.326687890497965</v>
      </c>
      <c r="P98" t="s">
        <v>231</v>
      </c>
      <c r="Q98" s="208">
        <f>($C$31/Q97)^2*T97</f>
        <v>66.480775032836732</v>
      </c>
      <c r="W98" t="s">
        <v>231</v>
      </c>
      <c r="X98" s="208">
        <f>($C$31/X97)^2*AA97</f>
        <v>120.72194479860902</v>
      </c>
      <c r="AD98" t="s">
        <v>231</v>
      </c>
      <c r="AE98" s="208">
        <f>($C$31/AE97)^2*AH97</f>
        <v>214.38013299607496</v>
      </c>
      <c r="AK98" t="s">
        <v>231</v>
      </c>
      <c r="AL98" s="208">
        <f>($C$31/AL97)^2*AO97</f>
        <v>485.97963655878726</v>
      </c>
      <c r="AR98" t="s">
        <v>231</v>
      </c>
      <c r="AS98" s="208">
        <f>($C$31/AS97)^2*AV97</f>
        <v>966.42901093442185</v>
      </c>
      <c r="AY98" s="338" t="s">
        <v>231</v>
      </c>
      <c r="AZ98" s="208">
        <f>($C$31/AZ97)^2*BC97</f>
        <v>8.7565774656538533</v>
      </c>
      <c r="BF98" t="s">
        <v>231</v>
      </c>
      <c r="BG98" s="208">
        <f>($C$31/BG97)^2*BJ97</f>
        <v>12.081671972624491</v>
      </c>
      <c r="BM98" t="s">
        <v>231</v>
      </c>
      <c r="BN98" s="208">
        <f>($C$31/BN97)^2*BQ97</f>
        <v>16.620193758209183</v>
      </c>
      <c r="BT98" t="s">
        <v>231</v>
      </c>
      <c r="BU98" s="208">
        <f>($C$31/BU97)^2*BX97</f>
        <v>30.180486199652254</v>
      </c>
      <c r="CA98" t="s">
        <v>231</v>
      </c>
      <c r="CB98" s="208">
        <f>($C$31/CB97)^2*CE97</f>
        <v>53.595033249018741</v>
      </c>
      <c r="CH98" t="s">
        <v>231</v>
      </c>
      <c r="CI98" s="208">
        <f>($C$31/CI97)^2*CL97</f>
        <v>121.49490913969682</v>
      </c>
      <c r="CO98" t="s">
        <v>231</v>
      </c>
      <c r="CP98" s="208">
        <f>($C$31/CP97)^2*CS97</f>
        <v>241.60725273360546</v>
      </c>
      <c r="CV98" s="338" t="s">
        <v>231</v>
      </c>
      <c r="CW98" s="208">
        <f>($C$31/CW97)^2*CZ97</f>
        <v>1.9636363636363632</v>
      </c>
      <c r="DC98" t="s">
        <v>231</v>
      </c>
      <c r="DD98" s="208">
        <f>($C$31/DD97)^2*DG97</f>
        <v>2.5453902679225267</v>
      </c>
      <c r="DJ98" t="s">
        <v>231</v>
      </c>
      <c r="DK98" s="208">
        <f>($C$31/DK97)^2*DN97</f>
        <v>3.2920320838925128</v>
      </c>
      <c r="DQ98" t="s">
        <v>231</v>
      </c>
      <c r="DR98" s="208">
        <f>($C$31/DR97)^2*DU97</f>
        <v>4.7655271473714462</v>
      </c>
      <c r="DX98" t="s">
        <v>231</v>
      </c>
      <c r="DY98" s="208">
        <f>($C$31/DY97)^2*EB97</f>
        <v>8.8363636363636342</v>
      </c>
      <c r="EE98" t="s">
        <v>231</v>
      </c>
      <c r="EF98" s="208">
        <f>($C$31/EF97)^2*EI97</f>
        <v>18.441296434366908</v>
      </c>
    </row>
    <row r="99" spans="2:140">
      <c r="B99" t="s">
        <v>232</v>
      </c>
      <c r="C99" s="208">
        <f>C98+$C$348</f>
        <v>41.654889151871352</v>
      </c>
      <c r="I99" t="s">
        <v>232</v>
      </c>
      <c r="J99" s="208">
        <f>J98+$C$348</f>
        <v>51.970337372947832</v>
      </c>
      <c r="P99" t="s">
        <v>232</v>
      </c>
      <c r="Q99" s="208">
        <f>Q98+$C$348</f>
        <v>70.124424515286606</v>
      </c>
      <c r="W99" t="s">
        <v>232</v>
      </c>
      <c r="X99" s="208">
        <f>X98+$C$348</f>
        <v>124.36559428105889</v>
      </c>
      <c r="AD99" t="s">
        <v>232</v>
      </c>
      <c r="AE99" s="208">
        <f>AE98+$C$348</f>
        <v>218.02378247852482</v>
      </c>
      <c r="AK99" t="s">
        <v>232</v>
      </c>
      <c r="AL99" s="208">
        <f>AL98+$C$348</f>
        <v>489.62328604123712</v>
      </c>
      <c r="AR99" t="s">
        <v>232</v>
      </c>
      <c r="AS99" s="208">
        <f>AS98+$C$348</f>
        <v>970.07266041687171</v>
      </c>
      <c r="AY99" s="338" t="s">
        <v>232</v>
      </c>
      <c r="AZ99" s="208">
        <f>AZ98+$C$348</f>
        <v>12.400226948103722</v>
      </c>
      <c r="BF99" t="s">
        <v>232</v>
      </c>
      <c r="BG99" s="208">
        <f>BG98+$C$348</f>
        <v>15.725321455074361</v>
      </c>
      <c r="BM99" t="s">
        <v>232</v>
      </c>
      <c r="BN99" s="208">
        <f>BN98+$C$348</f>
        <v>20.263843240659053</v>
      </c>
      <c r="BT99" t="s">
        <v>232</v>
      </c>
      <c r="BU99" s="208">
        <f>BU98+$C$348</f>
        <v>33.824135682102124</v>
      </c>
      <c r="CA99" t="s">
        <v>232</v>
      </c>
      <c r="CB99" s="208">
        <f>CB98+$C$348</f>
        <v>57.238682731468607</v>
      </c>
      <c r="CH99" t="s">
        <v>232</v>
      </c>
      <c r="CI99" s="208">
        <f>CI98+$C$348</f>
        <v>125.13855862214669</v>
      </c>
      <c r="CO99" t="s">
        <v>232</v>
      </c>
      <c r="CP99" s="208">
        <f>CP98+$C$348</f>
        <v>245.25090221605532</v>
      </c>
      <c r="CV99" s="338" t="s">
        <v>232</v>
      </c>
      <c r="CW99" s="208">
        <f>CW98+$C$348</f>
        <v>5.6072858460862323</v>
      </c>
      <c r="DC99" t="s">
        <v>232</v>
      </c>
      <c r="DD99" s="208">
        <f>DD98+$C$348</f>
        <v>6.1890397503723964</v>
      </c>
      <c r="DJ99" t="s">
        <v>232</v>
      </c>
      <c r="DK99" s="208">
        <f>DK98+$C$348</f>
        <v>6.9356815663423816</v>
      </c>
      <c r="DQ99" t="s">
        <v>232</v>
      </c>
      <c r="DR99" s="208">
        <f>DR98+$C$348</f>
        <v>8.4091766298213155</v>
      </c>
      <c r="DX99" t="s">
        <v>232</v>
      </c>
      <c r="DY99" s="208">
        <f>DY98+$C$348</f>
        <v>12.480013118813503</v>
      </c>
      <c r="EE99" t="s">
        <v>232</v>
      </c>
      <c r="EF99" s="208">
        <f>EF98+$C$348</f>
        <v>22.084945916816778</v>
      </c>
    </row>
    <row r="100" spans="2:140">
      <c r="B100" t="s">
        <v>233</v>
      </c>
      <c r="C100">
        <f>(SQRT($C$33/(F97))*C97)*($C$36/4)</f>
        <v>115.14875625740297</v>
      </c>
      <c r="I100" t="s">
        <v>233</v>
      </c>
      <c r="J100">
        <f>(SQRT($C$33/(M97))*J97)*($C$36/4)</f>
        <v>102.12257396336634</v>
      </c>
      <c r="P100" t="s">
        <v>233</v>
      </c>
      <c r="Q100">
        <f>(SQRT($C$33/(T97))*Q97)*($C$36/4)</f>
        <v>87.069736733712759</v>
      </c>
      <c r="W100" t="s">
        <v>233</v>
      </c>
      <c r="X100">
        <f>(SQRT($C$33/(AA97))*X97)*($C$36/4)</f>
        <v>64.613334853305517</v>
      </c>
      <c r="AD100" t="s">
        <v>233</v>
      </c>
      <c r="AE100">
        <f>(SQRT($C$33/(AH97))*AE97)*($C$36/4)</f>
        <v>48.486741658588144</v>
      </c>
      <c r="AK100" t="s">
        <v>233</v>
      </c>
      <c r="AL100">
        <f>(SQRT($C$33/(AO97))*AL97)*($C$36/4)</f>
        <v>32.203734112638955</v>
      </c>
      <c r="AR100" t="s">
        <v>233</v>
      </c>
      <c r="AS100">
        <f>(SQRT($C$33/(AV97))*AS97)*($C$36/4)</f>
        <v>22.836539216012699</v>
      </c>
      <c r="AY100" s="338" t="s">
        <v>233</v>
      </c>
      <c r="AZ100">
        <f>(SQRT($C$33/(BC97))*AZ97)*($C$36/4)</f>
        <v>239.9098455810724</v>
      </c>
      <c r="BF100" t="s">
        <v>233</v>
      </c>
      <c r="BG100">
        <f>(SQRT($C$33/(BJ97))*BG97)*($C$36/4)</f>
        <v>204.24514792673267</v>
      </c>
      <c r="BM100" t="s">
        <v>233</v>
      </c>
      <c r="BN100">
        <f>(SQRT($C$33/(BQ97))*BN97)*($C$36/4)</f>
        <v>174.13947346742552</v>
      </c>
      <c r="BT100" t="s">
        <v>233</v>
      </c>
      <c r="BU100">
        <f>(SQRT($C$33/(BX97))*BU97)*($C$36/4)</f>
        <v>129.22666970661103</v>
      </c>
      <c r="CA100" t="s">
        <v>233</v>
      </c>
      <c r="CB100">
        <f>(SQRT($C$33/(CE97))*CB97)*($C$36/4)</f>
        <v>96.973483317176289</v>
      </c>
      <c r="CH100" t="s">
        <v>233</v>
      </c>
      <c r="CI100">
        <f>(SQRT($C$33/(CL97))*CI97)*($C$36/4)</f>
        <v>64.40746822527791</v>
      </c>
      <c r="CO100" t="s">
        <v>233</v>
      </c>
      <c r="CP100">
        <f>(SQRT($C$33/(CS97))*CP97)*($C$36/4)</f>
        <v>45.673078432025399</v>
      </c>
      <c r="CV100" s="338" t="s">
        <v>233</v>
      </c>
      <c r="CW100">
        <f>(SQRT($C$33/(CZ97))*CW97)*($C$36/4)</f>
        <v>506.62280511902219</v>
      </c>
      <c r="DC100" t="s">
        <v>233</v>
      </c>
      <c r="DD100">
        <f>(SQRT($C$33/(DG97))*DD97)*($C$36/4)</f>
        <v>444.97752752245816</v>
      </c>
      <c r="DJ100" t="s">
        <v>233</v>
      </c>
      <c r="DK100">
        <f>(SQRT($C$33/(DN97))*DK97)*($C$36/4)</f>
        <v>391.27602575118891</v>
      </c>
      <c r="DQ100" t="s">
        <v>233</v>
      </c>
      <c r="DR100">
        <f>(SQRT($C$33/(DU97))*DR97)*($C$36/4)</f>
        <v>325.20693198502261</v>
      </c>
      <c r="DX100" t="s">
        <v>233</v>
      </c>
      <c r="DY100">
        <f>(SQRT($C$33/(EB97))*DY97)*($C$36/4)</f>
        <v>238.82428066894087</v>
      </c>
      <c r="EE100" t="s">
        <v>233</v>
      </c>
      <c r="EF100">
        <f>(SQRT($C$33/(EI97))*EF97)*($C$36/4)</f>
        <v>165.31777204349405</v>
      </c>
    </row>
    <row r="101" spans="2:140">
      <c r="B101" t="s">
        <v>234</v>
      </c>
      <c r="C101">
        <f>(SQRT($C$34/16)*0.25*C97)*($C$36/4)*$C$41</f>
        <v>23.815698604072061</v>
      </c>
      <c r="I101" t="s">
        <v>234</v>
      </c>
      <c r="J101">
        <f>(SQRT($C$34/16)*0.25*J97)*($C$36/4)*$C$41</f>
        <v>20.808425389430599</v>
      </c>
      <c r="P101" t="s">
        <v>234</v>
      </c>
      <c r="Q101">
        <f>(SQRT($C$34/16)*0.25*Q97)*($C$36/4)*$C$41</f>
        <v>17.070443240346016</v>
      </c>
      <c r="W101" t="s">
        <v>234</v>
      </c>
      <c r="X101">
        <f>(SQRT($C$34/16)*0.25*X97)*($C$36/4)*$C$41</f>
        <v>13.20796993946742</v>
      </c>
      <c r="AD101" t="s">
        <v>234</v>
      </c>
      <c r="AE101">
        <f>(SQRT($C$34/16)*0.25*AE97)*($C$36/4)*$C$41</f>
        <v>9.7189700939708619</v>
      </c>
      <c r="AK101" t="s">
        <v>234</v>
      </c>
      <c r="AL101">
        <f>(SQRT($C$34/16)*0.25*AL97)*($C$36/4)*$C$41</f>
        <v>6.7290173874050874</v>
      </c>
      <c r="AR101" t="s">
        <v>234</v>
      </c>
      <c r="AS101">
        <f>(SQRT($C$34/16)*0.25*AS97)*($C$36/4)*$C$41</f>
        <v>4.7349938951914181</v>
      </c>
      <c r="AY101" s="338" t="s">
        <v>234</v>
      </c>
      <c r="AZ101">
        <f>(SQRT($C$34/16)*0.25*AZ97)*($C$36/4)*$C$41</f>
        <v>47.847903559090234</v>
      </c>
      <c r="BF101" t="s">
        <v>234</v>
      </c>
      <c r="BG101">
        <f>(SQRT($C$34/16)*0.25*BG97)*($C$36/4)*$C$41</f>
        <v>41.616850778861199</v>
      </c>
      <c r="BM101" t="s">
        <v>234</v>
      </c>
      <c r="BN101">
        <f>(SQRT($C$34/16)*0.25*BN97)*($C$36/4)*$C$41</f>
        <v>34.140886480692032</v>
      </c>
      <c r="BT101" t="s">
        <v>234</v>
      </c>
      <c r="BU101">
        <f>(SQRT($C$34/16)*0.25*BU97)*($C$36/4)*$C$41</f>
        <v>26.415939878934839</v>
      </c>
      <c r="CA101" t="s">
        <v>234</v>
      </c>
      <c r="CB101">
        <f>(SQRT($C$34/16)*0.25*CB97)*($C$36/4)*$C$41</f>
        <v>19.437940187941724</v>
      </c>
      <c r="CH101" t="s">
        <v>234</v>
      </c>
      <c r="CI101">
        <f>(SQRT($C$34/16)*0.25*CI97)*($C$36/4)*$C$41</f>
        <v>13.458034774810175</v>
      </c>
      <c r="CO101" t="s">
        <v>234</v>
      </c>
      <c r="CP101">
        <f>(SQRT($C$34/16)*0.25*CP97)*($C$36/4)*$C$41</f>
        <v>9.4699877903828362</v>
      </c>
      <c r="CV101" s="338" t="s">
        <v>234</v>
      </c>
      <c r="CW101">
        <f>(SQRT($C$34/16)*0.25*CW97)*($C$36/4)*$C$41</f>
        <v>95.262794416288244</v>
      </c>
      <c r="DC101" t="s">
        <v>234</v>
      </c>
      <c r="DD101">
        <f>(SQRT($C$34/16)*0.25*DD97)*($C$36/4)*$C$41</f>
        <v>86.169527676551638</v>
      </c>
      <c r="DJ101" t="s">
        <v>234</v>
      </c>
      <c r="DK101">
        <f>(SQRT($C$34/16)*0.25*DK97)*($C$36/4)*$C$41</f>
        <v>77.509273638707256</v>
      </c>
      <c r="DQ101" t="s">
        <v>234</v>
      </c>
      <c r="DR101">
        <f>(SQRT($C$34/16)*0.25*DR97)*($C$36/4)*$C$41</f>
        <v>63.869373529102347</v>
      </c>
      <c r="DX101" t="s">
        <v>234</v>
      </c>
      <c r="DY101">
        <f>(SQRT($C$34/16)*0.25*DY97)*($C$36/4)*$C$41</f>
        <v>47.631397208144122</v>
      </c>
      <c r="EE101" t="s">
        <v>234</v>
      </c>
      <c r="EF101">
        <f>(SQRT($C$34/16)*0.25*EF97)*($C$36/4)*$C$41</f>
        <v>32.692458992862555</v>
      </c>
    </row>
    <row r="102" spans="2:140">
      <c r="B102" t="s">
        <v>235</v>
      </c>
      <c r="C102">
        <f>C101/$C$13</f>
        <v>0.19846415503393383</v>
      </c>
      <c r="I102" t="s">
        <v>235</v>
      </c>
      <c r="J102">
        <f>J101/$C$13</f>
        <v>0.17340354491192167</v>
      </c>
      <c r="P102" t="s">
        <v>235</v>
      </c>
      <c r="Q102">
        <f>Q101/$C$13</f>
        <v>0.14225369366955012</v>
      </c>
      <c r="W102" t="s">
        <v>235</v>
      </c>
      <c r="X102">
        <f>X101/$C$13</f>
        <v>0.11006641616222849</v>
      </c>
      <c r="AD102" t="s">
        <v>235</v>
      </c>
      <c r="AE102">
        <f>AE101/$C$13</f>
        <v>8.0991417449757186E-2</v>
      </c>
      <c r="AK102" t="s">
        <v>235</v>
      </c>
      <c r="AL102">
        <f>AL101/$C$13</f>
        <v>5.6075144895042395E-2</v>
      </c>
      <c r="AR102" t="s">
        <v>235</v>
      </c>
      <c r="AS102">
        <f>AS101/$C$13</f>
        <v>3.9458282459928481E-2</v>
      </c>
      <c r="AY102" s="338" t="s">
        <v>235</v>
      </c>
      <c r="AZ102">
        <f>AZ101/$C$13</f>
        <v>0.39873252965908529</v>
      </c>
      <c r="BF102" t="s">
        <v>235</v>
      </c>
      <c r="BG102">
        <f>BG101/$C$13</f>
        <v>0.34680708982384334</v>
      </c>
      <c r="BM102" t="s">
        <v>235</v>
      </c>
      <c r="BN102">
        <f>BN101/$C$13</f>
        <v>0.28450738733910025</v>
      </c>
      <c r="BT102" t="s">
        <v>235</v>
      </c>
      <c r="BU102">
        <f>BU101/$C$13</f>
        <v>0.22013283232445699</v>
      </c>
      <c r="CA102" t="s">
        <v>235</v>
      </c>
      <c r="CB102">
        <f>CB101/$C$13</f>
        <v>0.16198283489951437</v>
      </c>
      <c r="CH102" t="s">
        <v>235</v>
      </c>
      <c r="CI102">
        <f>CI101/$C$13</f>
        <v>0.11215028979008479</v>
      </c>
      <c r="CO102" t="s">
        <v>235</v>
      </c>
      <c r="CP102">
        <f>CP101/$C$13</f>
        <v>7.8916564919856963E-2</v>
      </c>
      <c r="CV102" s="338" t="s">
        <v>235</v>
      </c>
      <c r="CW102">
        <f>CW101/$C$13</f>
        <v>0.79385662013573532</v>
      </c>
      <c r="DC102" t="s">
        <v>235</v>
      </c>
      <c r="DD102">
        <f>DD101/$C$13</f>
        <v>0.71807939730459702</v>
      </c>
      <c r="DJ102" t="s">
        <v>235</v>
      </c>
      <c r="DK102">
        <f>DK101/$C$13</f>
        <v>0.64591061365589375</v>
      </c>
      <c r="DQ102" t="s">
        <v>235</v>
      </c>
      <c r="DR102">
        <f>DR101/$C$13</f>
        <v>0.53224477940918624</v>
      </c>
      <c r="DX102" t="s">
        <v>235</v>
      </c>
      <c r="DY102">
        <f>DY101/$C$13</f>
        <v>0.39692831006786766</v>
      </c>
      <c r="EE102" t="s">
        <v>235</v>
      </c>
      <c r="EF102">
        <f>EF101/$C$13</f>
        <v>0.27243715827385462</v>
      </c>
    </row>
    <row r="103" spans="2:140">
      <c r="AY103" s="338"/>
      <c r="CV103" s="338"/>
    </row>
    <row r="104" spans="2:140">
      <c r="B104" t="s">
        <v>236</v>
      </c>
      <c r="C104" s="10">
        <f>E104*LN(C98)+F104</f>
        <v>44.624385645117577</v>
      </c>
      <c r="E104" s="13">
        <v>13.414999999999999</v>
      </c>
      <c r="F104">
        <v>-4.1778000000000004</v>
      </c>
      <c r="G104" s="13"/>
      <c r="I104" t="s">
        <v>236</v>
      </c>
      <c r="J104" s="10">
        <f>L104*LN(J98)+M104</f>
        <v>47.324378035162297</v>
      </c>
      <c r="L104" s="13">
        <v>13.414999999999999</v>
      </c>
      <c r="M104">
        <v>-4.6987766860000004</v>
      </c>
      <c r="N104" s="13"/>
      <c r="P104" t="s">
        <v>236</v>
      </c>
      <c r="Q104" s="10">
        <f>S104*LN(Q98)+T104</f>
        <v>50.849045758435203</v>
      </c>
      <c r="S104" s="13">
        <v>13.4</v>
      </c>
      <c r="T104" s="13">
        <v>-5.389585877</v>
      </c>
      <c r="U104" s="13"/>
      <c r="W104" t="s">
        <v>236</v>
      </c>
      <c r="X104" s="10">
        <f>Z104*LN(X98)+AA104</f>
        <v>57.550311762368828</v>
      </c>
      <c r="Z104" s="13">
        <v>13.4</v>
      </c>
      <c r="AA104" s="13">
        <v>-6.6824532235852772</v>
      </c>
      <c r="AB104" s="13"/>
      <c r="AD104" t="s">
        <v>236</v>
      </c>
      <c r="AE104" s="10">
        <f>AG104*LN(AE98)+AH104</f>
        <v>64.000499187956777</v>
      </c>
      <c r="AG104" s="13">
        <v>13.4</v>
      </c>
      <c r="AH104" s="13">
        <v>-7.927361018</v>
      </c>
      <c r="AI104" s="13"/>
      <c r="AK104" t="s">
        <v>236</v>
      </c>
      <c r="AL104" s="10">
        <f>AN104*LN(AL98)+AO104</f>
        <v>73.188414400367336</v>
      </c>
      <c r="AN104" s="13">
        <v>13.4</v>
      </c>
      <c r="AO104" s="13">
        <v>-9.7062196870000008</v>
      </c>
      <c r="AP104" s="13"/>
      <c r="AR104" t="s">
        <v>236</v>
      </c>
      <c r="AS104" s="10">
        <f>AU104*LN(AS98)+AV104</f>
        <v>80.900915210724321</v>
      </c>
      <c r="AU104" s="13">
        <v>13.4</v>
      </c>
      <c r="AV104" s="13">
        <v>-11.205429929999999</v>
      </c>
      <c r="AW104" s="13"/>
      <c r="AY104" s="338" t="s">
        <v>236</v>
      </c>
      <c r="AZ104" s="10">
        <f>BB104*LN(AZ98)+BC104</f>
        <v>27.236665253230967</v>
      </c>
      <c r="BB104">
        <v>14.752000000000001</v>
      </c>
      <c r="BC104">
        <v>-4.7723000000000004</v>
      </c>
      <c r="BF104" t="s">
        <v>236</v>
      </c>
      <c r="BG104" s="10">
        <f>BI104*LN(BG98)+BJ104</f>
        <v>31.95019927811208</v>
      </c>
      <c r="BI104">
        <v>16.690000000000001</v>
      </c>
      <c r="BJ104">
        <v>-9.6361000000000008</v>
      </c>
      <c r="BM104" t="s">
        <v>236</v>
      </c>
      <c r="BN104" s="10">
        <f>BP104*$C$31^2+BQ104*$C$31+BR104+$C$42</f>
        <v>37.018599999999999</v>
      </c>
      <c r="BP104">
        <v>-4.5600000000000003E-4</v>
      </c>
      <c r="BQ104">
        <v>0.34300000000000003</v>
      </c>
      <c r="BR104">
        <v>2.4249999999999998</v>
      </c>
      <c r="BT104" t="s">
        <v>236</v>
      </c>
      <c r="BU104" s="10">
        <f>BW104*$C$31^2+BX104*$C$31+BY104+$C$42</f>
        <v>40.753959999999999</v>
      </c>
      <c r="BW104">
        <v>-6.066E-4</v>
      </c>
      <c r="BX104">
        <v>0.39219999999999999</v>
      </c>
      <c r="BY104">
        <v>2.4249999999999998</v>
      </c>
      <c r="CA104" t="s">
        <v>236</v>
      </c>
      <c r="CB104" s="10">
        <f>CD104*$C$31^2+CE104*$C$31+CF104+$C$42</f>
        <v>46.013359999999999</v>
      </c>
      <c r="CD104">
        <v>-5.9559999999999995E-4</v>
      </c>
      <c r="CE104">
        <v>0.41220000000000001</v>
      </c>
      <c r="CF104">
        <v>5.1260000000000003</v>
      </c>
      <c r="CH104" t="s">
        <v>236</v>
      </c>
      <c r="CI104" s="10">
        <f>CK104*$C$31^2+CL104*$C$31+CM104+$C$42</f>
        <v>54.000800000000012</v>
      </c>
      <c r="CK104">
        <v>-1.488E-3</v>
      </c>
      <c r="CL104">
        <v>0.59940000000000004</v>
      </c>
      <c r="CM104">
        <v>3.5</v>
      </c>
      <c r="CO104" t="s">
        <v>236</v>
      </c>
      <c r="CP104" s="10">
        <f>CR104*$C$31^2+CS104*$C$31+CT104+$C$42</f>
        <v>60.135999999999996</v>
      </c>
      <c r="CR104">
        <v>-3.1350000000000002E-3</v>
      </c>
      <c r="CS104">
        <v>0.84370000000000001</v>
      </c>
      <c r="CT104">
        <v>4.0359999999999996</v>
      </c>
      <c r="CV104" s="338" t="s">
        <v>236</v>
      </c>
      <c r="CW104" s="10">
        <f>CY104*LN(CW98)+CZ104</f>
        <v>8.372674337164014</v>
      </c>
      <c r="CY104">
        <v>15.353</v>
      </c>
      <c r="CZ104">
        <v>-1.9875</v>
      </c>
      <c r="DC104" t="s">
        <v>236</v>
      </c>
      <c r="DD104" s="10">
        <f>DF104*LN(DD98)+DG104</f>
        <v>11.300617247860632</v>
      </c>
      <c r="DF104">
        <v>16.463000000000001</v>
      </c>
      <c r="DG104">
        <v>-4.0804999999999998</v>
      </c>
      <c r="DJ104" t="s">
        <v>236</v>
      </c>
      <c r="DK104" s="10">
        <f>DM104*$C$31^2+DN104*$C$31+DO104+$C$42</f>
        <v>22.173840000000002</v>
      </c>
      <c r="DM104">
        <v>-1.339E-4</v>
      </c>
      <c r="DN104">
        <v>0.1832</v>
      </c>
      <c r="DO104">
        <v>2.1179999999999999</v>
      </c>
      <c r="DQ104" t="s">
        <v>236</v>
      </c>
      <c r="DR104" s="10">
        <f>DT104*$C$31^2+DU104*$C$31+DV104+$C$42</f>
        <v>24.120179999999998</v>
      </c>
      <c r="DT104">
        <v>-1.8679999999999999E-4</v>
      </c>
      <c r="DU104">
        <v>0.217</v>
      </c>
      <c r="DV104">
        <v>0.77010000000000001</v>
      </c>
      <c r="DX104" t="s">
        <v>236</v>
      </c>
      <c r="DY104" s="10">
        <f>EA104*$C$31^2+EB104*$C$31+EC104+$C$42</f>
        <v>27.861080000000001</v>
      </c>
      <c r="EA104">
        <v>-1.9929999999999999E-4</v>
      </c>
      <c r="EB104">
        <v>0.23</v>
      </c>
      <c r="EC104">
        <v>3.1309999999999998</v>
      </c>
      <c r="EE104" t="s">
        <v>236</v>
      </c>
      <c r="EF104" s="10">
        <f>EH104*$C$31^2+EI104*$C$31+EJ104+$C$42</f>
        <v>33.809000000000005</v>
      </c>
      <c r="EH104">
        <v>-3.3500000000000001E-4</v>
      </c>
      <c r="EI104">
        <v>0.28050000000000003</v>
      </c>
      <c r="EJ104">
        <v>4.9729999999999999</v>
      </c>
    </row>
    <row r="105" spans="2:140">
      <c r="B105" t="s">
        <v>237</v>
      </c>
      <c r="C105">
        <f>C104-15</f>
        <v>29.624385645117577</v>
      </c>
      <c r="I105" t="s">
        <v>237</v>
      </c>
      <c r="J105">
        <f>J104-15</f>
        <v>32.324378035162297</v>
      </c>
      <c r="P105" t="s">
        <v>237</v>
      </c>
      <c r="Q105">
        <f>Q104-15</f>
        <v>35.849045758435203</v>
      </c>
      <c r="W105" t="s">
        <v>237</v>
      </c>
      <c r="X105">
        <f>X104-15</f>
        <v>42.550311762368828</v>
      </c>
      <c r="AD105" t="s">
        <v>237</v>
      </c>
      <c r="AE105">
        <f>AE104-15</f>
        <v>49.000499187956777</v>
      </c>
      <c r="AK105" t="s">
        <v>237</v>
      </c>
      <c r="AL105">
        <f>AL104-15</f>
        <v>58.188414400367336</v>
      </c>
      <c r="AR105" t="s">
        <v>237</v>
      </c>
      <c r="AS105">
        <f>AS104-15</f>
        <v>65.900915210724321</v>
      </c>
      <c r="AY105" s="338" t="s">
        <v>237</v>
      </c>
      <c r="AZ105">
        <f>AZ104-15</f>
        <v>12.236665253230967</v>
      </c>
      <c r="BF105" t="s">
        <v>237</v>
      </c>
      <c r="BG105">
        <f>BG104-15</f>
        <v>16.95019927811208</v>
      </c>
      <c r="BM105" t="s">
        <v>237</v>
      </c>
      <c r="BN105">
        <f>BN104-15</f>
        <v>22.018599999999999</v>
      </c>
      <c r="BT105" t="s">
        <v>237</v>
      </c>
      <c r="BU105">
        <f>BU104-15</f>
        <v>25.753959999999999</v>
      </c>
      <c r="CA105" t="s">
        <v>237</v>
      </c>
      <c r="CB105">
        <f>CB104-15</f>
        <v>31.013359999999999</v>
      </c>
      <c r="CH105" t="s">
        <v>237</v>
      </c>
      <c r="CI105">
        <f>CI104-15</f>
        <v>39.000800000000012</v>
      </c>
      <c r="CO105" t="s">
        <v>237</v>
      </c>
      <c r="CP105">
        <f>CP104-15</f>
        <v>45.135999999999996</v>
      </c>
      <c r="CV105" s="338" t="s">
        <v>237</v>
      </c>
      <c r="CW105">
        <f>CW104-15</f>
        <v>-6.627325662835986</v>
      </c>
      <c r="DC105" t="s">
        <v>237</v>
      </c>
      <c r="DD105">
        <f>DD104-15</f>
        <v>-3.6993827521393676</v>
      </c>
      <c r="DJ105" t="s">
        <v>237</v>
      </c>
      <c r="DK105">
        <f>DK104-15</f>
        <v>7.173840000000002</v>
      </c>
      <c r="DQ105" t="s">
        <v>237</v>
      </c>
      <c r="DR105">
        <f>DR104-15</f>
        <v>9.1201799999999977</v>
      </c>
      <c r="DX105" t="s">
        <v>237</v>
      </c>
      <c r="DY105">
        <f>DY104-15</f>
        <v>12.861080000000001</v>
      </c>
      <c r="EE105" t="s">
        <v>237</v>
      </c>
      <c r="EF105">
        <f>EF104-15</f>
        <v>18.809000000000005</v>
      </c>
    </row>
    <row r="106" spans="2:140">
      <c r="AY106" s="338"/>
      <c r="CV106" s="338"/>
    </row>
    <row r="107" spans="2:140">
      <c r="B107" s="1" t="s">
        <v>238</v>
      </c>
      <c r="I107" s="1" t="s">
        <v>238</v>
      </c>
      <c r="P107" s="1" t="s">
        <v>238</v>
      </c>
      <c r="W107" s="1" t="s">
        <v>238</v>
      </c>
      <c r="AD107" s="1" t="s">
        <v>238</v>
      </c>
      <c r="AK107" s="1" t="s">
        <v>238</v>
      </c>
      <c r="AR107" s="1" t="s">
        <v>238</v>
      </c>
      <c r="AY107" s="348" t="s">
        <v>238</v>
      </c>
      <c r="CV107" s="338"/>
    </row>
    <row r="108" spans="2:140">
      <c r="B108" t="s">
        <v>239</v>
      </c>
      <c r="C108" s="10">
        <f>E108*$C$31^2+F108*$C$31+G108</f>
        <v>5.1741200000000012</v>
      </c>
      <c r="E108" s="13">
        <v>-9.0199999999999997E-5</v>
      </c>
      <c r="F108" s="13">
        <v>5.7700000000000001E-2</v>
      </c>
      <c r="G108" s="13">
        <v>-0.45100000000000001</v>
      </c>
      <c r="I108" t="s">
        <v>239</v>
      </c>
      <c r="J108" s="10">
        <f>L108*$C$31^2+M108*$C$31+N108</f>
        <v>5.1741200000000012</v>
      </c>
      <c r="L108" s="13">
        <v>-9.0199999999999997E-5</v>
      </c>
      <c r="M108" s="13">
        <v>5.7700000000000001E-2</v>
      </c>
      <c r="N108" s="13">
        <v>-0.45100000000000001</v>
      </c>
      <c r="P108" t="s">
        <v>239</v>
      </c>
      <c r="Q108" s="10">
        <f>S108*$C$31^2+T108*$C$31+U108</f>
        <v>5.1741200000000012</v>
      </c>
      <c r="S108" s="13">
        <v>-9.0199999999999997E-5</v>
      </c>
      <c r="T108" s="13">
        <v>5.7700000000000001E-2</v>
      </c>
      <c r="U108" s="13">
        <v>-0.45100000000000001</v>
      </c>
      <c r="W108" t="s">
        <v>239</v>
      </c>
      <c r="X108" s="10">
        <f>Z108*$C$31^2+AA108*$C$31+AB108</f>
        <v>5.1741200000000012</v>
      </c>
      <c r="Z108" s="13">
        <v>-9.0199999999999997E-5</v>
      </c>
      <c r="AA108" s="13">
        <v>5.7700000000000001E-2</v>
      </c>
      <c r="AB108" s="13">
        <v>-0.45100000000000001</v>
      </c>
      <c r="AD108" t="s">
        <v>239</v>
      </c>
      <c r="AE108" s="10">
        <f>AG108*$C$31^2+AH108*$C$31+AI108</f>
        <v>5.1741200000000012</v>
      </c>
      <c r="AG108" s="13">
        <v>-9.0199999999999997E-5</v>
      </c>
      <c r="AH108" s="13">
        <v>5.7700000000000001E-2</v>
      </c>
      <c r="AI108" s="13">
        <v>-0.45100000000000001</v>
      </c>
      <c r="AK108" t="s">
        <v>239</v>
      </c>
      <c r="AL108" s="10">
        <f>AN108*$C$31^2+AO108*$C$31+AP108</f>
        <v>5.1741200000000012</v>
      </c>
      <c r="AN108" s="13">
        <v>-9.0199999999999997E-5</v>
      </c>
      <c r="AO108" s="13">
        <v>5.7700000000000001E-2</v>
      </c>
      <c r="AP108" s="13">
        <v>-0.45100000000000001</v>
      </c>
      <c r="AR108" t="s">
        <v>239</v>
      </c>
      <c r="AS108" s="10">
        <f>AU108*$C$31^2+AV108*$C$31+AW108</f>
        <v>5.1741200000000012</v>
      </c>
      <c r="AU108" s="13">
        <v>-9.0199999999999997E-5</v>
      </c>
      <c r="AV108" s="13">
        <v>5.7700000000000001E-2</v>
      </c>
      <c r="AW108" s="13">
        <v>-0.45100000000000001</v>
      </c>
      <c r="AY108" s="338" t="s">
        <v>239</v>
      </c>
      <c r="AZ108" s="10">
        <f>BB108*$C$31^2+BC108*$C$31+BD108</f>
        <v>5.1741200000000012</v>
      </c>
      <c r="BB108" s="13">
        <v>-9.0199999999999997E-5</v>
      </c>
      <c r="BC108" s="13">
        <v>5.7700000000000001E-2</v>
      </c>
      <c r="BD108" s="13">
        <v>-0.45100000000000001</v>
      </c>
      <c r="BF108" t="s">
        <v>239</v>
      </c>
      <c r="BG108" s="10">
        <f>BI108*$C$31^2+BJ108*$C$31+BK108</f>
        <v>5.1741200000000012</v>
      </c>
      <c r="BI108" s="13">
        <v>-9.0199999999999997E-5</v>
      </c>
      <c r="BJ108" s="13">
        <v>5.7700000000000001E-2</v>
      </c>
      <c r="BK108" s="13">
        <v>-0.45100000000000001</v>
      </c>
      <c r="BM108" t="s">
        <v>239</v>
      </c>
      <c r="BN108" s="10">
        <f>BP108*$C$31^2+BQ108*$C$31+BR108</f>
        <v>5.1741200000000012</v>
      </c>
      <c r="BP108" s="13">
        <v>-9.0199999999999997E-5</v>
      </c>
      <c r="BQ108" s="13">
        <v>5.7700000000000001E-2</v>
      </c>
      <c r="BR108" s="13">
        <v>-0.45100000000000001</v>
      </c>
      <c r="BT108" t="s">
        <v>239</v>
      </c>
      <c r="BU108" s="10">
        <f>BW108*$C$31^2+BX108*$C$31+BY108</f>
        <v>5.1741200000000012</v>
      </c>
      <c r="BW108" s="13">
        <v>-9.0199999999999997E-5</v>
      </c>
      <c r="BX108" s="13">
        <v>5.7700000000000001E-2</v>
      </c>
      <c r="BY108" s="13">
        <v>-0.45100000000000001</v>
      </c>
      <c r="CA108" t="s">
        <v>239</v>
      </c>
      <c r="CB108" s="10">
        <f>CD108*$C$31^2+CE108*$C$31+CF108</f>
        <v>5.1741200000000012</v>
      </c>
      <c r="CD108" s="13">
        <v>-9.0199999999999997E-5</v>
      </c>
      <c r="CE108" s="13">
        <v>5.7700000000000001E-2</v>
      </c>
      <c r="CF108" s="13">
        <v>-0.45100000000000001</v>
      </c>
      <c r="CH108" t="s">
        <v>239</v>
      </c>
      <c r="CI108" s="10">
        <f>CK108*$C$31^2+CL108*$C$31+CM108</f>
        <v>5.1741200000000012</v>
      </c>
      <c r="CK108" s="13">
        <v>-9.0199999999999997E-5</v>
      </c>
      <c r="CL108" s="13">
        <v>5.7700000000000001E-2</v>
      </c>
      <c r="CM108" s="13">
        <v>-0.45100000000000001</v>
      </c>
      <c r="CO108" t="s">
        <v>239</v>
      </c>
      <c r="CP108" s="10">
        <f>CR108*$C$31^2+CS108*$C$31+CT108</f>
        <v>5.1741200000000012</v>
      </c>
      <c r="CR108" s="13">
        <v>-9.0199999999999997E-5</v>
      </c>
      <c r="CS108" s="13">
        <v>5.7700000000000001E-2</v>
      </c>
      <c r="CT108" s="13">
        <v>-0.45100000000000001</v>
      </c>
      <c r="CV108" s="338" t="s">
        <v>239</v>
      </c>
      <c r="CW108" s="10">
        <f>CY108*$C$31^2+CZ108*$C$31+DA108</f>
        <v>2.769628</v>
      </c>
      <c r="CY108" s="13">
        <v>-1.5630000000000001E-5</v>
      </c>
      <c r="CZ108" s="13">
        <v>2.3210000000000001E-2</v>
      </c>
      <c r="DA108" s="13">
        <v>0.20949999999999999</v>
      </c>
      <c r="DC108" t="s">
        <v>239</v>
      </c>
      <c r="DD108" s="10">
        <f>DF108*$C$31^2+DG108*$C$31+DH108</f>
        <v>2.769628</v>
      </c>
      <c r="DF108" s="13">
        <v>-1.5630000000000001E-5</v>
      </c>
      <c r="DG108" s="13">
        <v>2.3210000000000001E-2</v>
      </c>
      <c r="DH108" s="13">
        <v>0.20949999999999999</v>
      </c>
      <c r="DJ108" t="s">
        <v>239</v>
      </c>
      <c r="DK108" s="10">
        <f>DM108*$C$31^2+DN108*$C$31+DO108</f>
        <v>2.769628</v>
      </c>
      <c r="DM108" s="13">
        <v>-1.5630000000000001E-5</v>
      </c>
      <c r="DN108" s="13">
        <v>2.3210000000000001E-2</v>
      </c>
      <c r="DO108" s="13">
        <v>0.20949999999999999</v>
      </c>
      <c r="DQ108" t="s">
        <v>239</v>
      </c>
      <c r="DR108" s="10">
        <f>DT108*$C$31^2+DU108*$C$31+DV108</f>
        <v>2.769628</v>
      </c>
      <c r="DT108" s="13">
        <v>-1.5630000000000001E-5</v>
      </c>
      <c r="DU108" s="13">
        <v>2.3210000000000001E-2</v>
      </c>
      <c r="DV108" s="13">
        <v>0.20949999999999999</v>
      </c>
      <c r="DX108" t="s">
        <v>239</v>
      </c>
      <c r="DY108" s="10">
        <f>EA108*$C$31^2+EB108*$C$31+EC108</f>
        <v>2.769628</v>
      </c>
      <c r="EA108" s="13">
        <v>-1.5630000000000001E-5</v>
      </c>
      <c r="EB108" s="13">
        <v>2.3210000000000001E-2</v>
      </c>
      <c r="EC108" s="13">
        <v>0.20949999999999999</v>
      </c>
      <c r="EE108" t="s">
        <v>239</v>
      </c>
      <c r="EF108" s="10">
        <f>EH108*$C$31^2+EI108*$C$31+EJ108</f>
        <v>2.769628</v>
      </c>
      <c r="EH108" s="13">
        <v>-1.5630000000000001E-5</v>
      </c>
      <c r="EI108" s="13">
        <v>2.3210000000000001E-2</v>
      </c>
      <c r="EJ108" s="13">
        <v>0.20949999999999999</v>
      </c>
    </row>
    <row r="109" spans="2:140">
      <c r="B109" t="s">
        <v>240</v>
      </c>
      <c r="C109" s="10">
        <f>0.0333*C108+2.1</f>
        <v>2.2722981959999999</v>
      </c>
      <c r="F109" s="13"/>
      <c r="I109" t="s">
        <v>240</v>
      </c>
      <c r="J109" s="10">
        <f>0.0333*J108+2.1</f>
        <v>2.2722981959999999</v>
      </c>
      <c r="M109" s="13"/>
      <c r="P109" t="s">
        <v>240</v>
      </c>
      <c r="Q109" s="10">
        <f>0.0333*Q108+2.1</f>
        <v>2.2722981959999999</v>
      </c>
      <c r="T109" s="13"/>
      <c r="W109" t="s">
        <v>240</v>
      </c>
      <c r="X109" s="10">
        <f>0.0333*X108+2.1</f>
        <v>2.2722981959999999</v>
      </c>
      <c r="AA109" s="13"/>
      <c r="AD109" t="s">
        <v>240</v>
      </c>
      <c r="AE109" s="10">
        <f>0.0333*AE108+2.1</f>
        <v>2.2722981959999999</v>
      </c>
      <c r="AH109" s="13"/>
      <c r="AK109" t="s">
        <v>240</v>
      </c>
      <c r="AL109" s="10">
        <f>0.0333*AL108+2.1</f>
        <v>2.2722981959999999</v>
      </c>
      <c r="AO109" s="13"/>
      <c r="AR109" t="s">
        <v>240</v>
      </c>
      <c r="AS109" s="10">
        <f>0.0333*AS108+2.1</f>
        <v>2.2722981959999999</v>
      </c>
      <c r="AV109" s="13"/>
      <c r="AY109" s="338" t="s">
        <v>240</v>
      </c>
      <c r="AZ109" s="10">
        <f>0.0333*AZ108+2.2</f>
        <v>2.372298196</v>
      </c>
      <c r="BC109" s="13"/>
      <c r="BF109" t="s">
        <v>241</v>
      </c>
      <c r="BG109" s="10">
        <f>BG108*BJ109+BK109</f>
        <v>2.372298196</v>
      </c>
      <c r="BJ109" s="13">
        <v>3.3300000000000003E-2</v>
      </c>
      <c r="BK109">
        <v>2.2000000000000002</v>
      </c>
      <c r="BM109" t="s">
        <v>241</v>
      </c>
      <c r="BN109" s="10">
        <f>BN108*BQ109+BR109</f>
        <v>2.372298196</v>
      </c>
      <c r="BQ109" s="13">
        <v>3.3300000000000003E-2</v>
      </c>
      <c r="BR109">
        <v>2.2000000000000002</v>
      </c>
      <c r="BT109" t="s">
        <v>241</v>
      </c>
      <c r="BU109" s="10">
        <f>BU108*BX109+BY109</f>
        <v>2.372298196</v>
      </c>
      <c r="BX109" s="13">
        <v>3.3300000000000003E-2</v>
      </c>
      <c r="BY109">
        <v>2.2000000000000002</v>
      </c>
      <c r="CA109" t="s">
        <v>241</v>
      </c>
      <c r="CB109" s="10">
        <f>CB108*CE109+CF109</f>
        <v>2.372298196</v>
      </c>
      <c r="CE109" s="13">
        <v>3.3300000000000003E-2</v>
      </c>
      <c r="CF109">
        <v>2.2000000000000002</v>
      </c>
      <c r="CH109" t="s">
        <v>241</v>
      </c>
      <c r="CI109" s="10">
        <f>CI108*CL109+CM109</f>
        <v>2.372298196</v>
      </c>
      <c r="CL109" s="13">
        <v>3.3300000000000003E-2</v>
      </c>
      <c r="CM109">
        <v>2.2000000000000002</v>
      </c>
      <c r="CO109" t="s">
        <v>241</v>
      </c>
      <c r="CP109" s="10">
        <f>CP108*CS109+CT109</f>
        <v>2.372298196</v>
      </c>
      <c r="CS109" s="13">
        <v>3.3300000000000003E-2</v>
      </c>
      <c r="CT109">
        <v>2.2000000000000002</v>
      </c>
      <c r="CV109" s="338" t="s">
        <v>241</v>
      </c>
      <c r="CW109" s="10">
        <f>CW108*CZ109+DA109</f>
        <v>2.3922286123999998</v>
      </c>
      <c r="CZ109" s="13">
        <v>3.3300000000000003E-2</v>
      </c>
      <c r="DA109">
        <v>2.2999999999999998</v>
      </c>
      <c r="DC109" t="s">
        <v>241</v>
      </c>
      <c r="DD109" s="10">
        <f>DD108*DG109+DH109</f>
        <v>2.3922286123999998</v>
      </c>
      <c r="DG109" s="13">
        <v>3.3300000000000003E-2</v>
      </c>
      <c r="DH109">
        <v>2.2999999999999998</v>
      </c>
      <c r="DJ109" t="s">
        <v>241</v>
      </c>
      <c r="DK109" s="10">
        <f>DK108*DN109+DO109</f>
        <v>2.3922286123999998</v>
      </c>
      <c r="DN109" s="13">
        <v>3.3300000000000003E-2</v>
      </c>
      <c r="DO109">
        <v>2.2999999999999998</v>
      </c>
      <c r="DQ109" t="s">
        <v>241</v>
      </c>
      <c r="DR109" s="10">
        <f>DR108*DU109+DV109</f>
        <v>2.3922286123999998</v>
      </c>
      <c r="DU109" s="13">
        <v>3.3300000000000003E-2</v>
      </c>
      <c r="DV109">
        <v>2.2999999999999998</v>
      </c>
      <c r="DX109" t="s">
        <v>241</v>
      </c>
      <c r="DY109" s="10">
        <f>DY108*EB109+EC109</f>
        <v>2.3922286123999998</v>
      </c>
      <c r="EB109" s="13">
        <v>3.3300000000000003E-2</v>
      </c>
      <c r="EC109">
        <v>2.2999999999999998</v>
      </c>
      <c r="EE109" t="s">
        <v>241</v>
      </c>
      <c r="EF109" s="10">
        <f>EF108*EI109+EJ109</f>
        <v>2.3922286123999998</v>
      </c>
      <c r="EI109" s="13">
        <v>3.3300000000000003E-2</v>
      </c>
      <c r="EJ109">
        <v>2.2999999999999998</v>
      </c>
    </row>
    <row r="110" spans="2:140">
      <c r="B110" t="s">
        <v>149</v>
      </c>
      <c r="F110" s="13"/>
      <c r="G110" s="13"/>
      <c r="I110" t="s">
        <v>149</v>
      </c>
      <c r="M110" s="13"/>
      <c r="N110" s="13"/>
      <c r="AY110" s="338" t="s">
        <v>149</v>
      </c>
      <c r="BC110" s="13"/>
      <c r="BD110" s="13"/>
      <c r="BF110" t="s">
        <v>149</v>
      </c>
      <c r="BJ110" s="13"/>
      <c r="BK110" s="13"/>
      <c r="BM110" t="s">
        <v>149</v>
      </c>
      <c r="BQ110" s="13"/>
      <c r="BR110" s="13"/>
      <c r="BT110" t="s">
        <v>149</v>
      </c>
      <c r="BX110" s="13"/>
      <c r="BY110" s="13"/>
      <c r="CA110" t="s">
        <v>149</v>
      </c>
      <c r="CE110" s="13"/>
      <c r="CF110" s="13"/>
      <c r="CH110" t="s">
        <v>149</v>
      </c>
      <c r="CL110" s="13"/>
      <c r="CM110" s="13"/>
      <c r="CO110" t="s">
        <v>149</v>
      </c>
      <c r="CS110" s="13"/>
      <c r="CT110" s="13"/>
      <c r="CV110" s="338" t="s">
        <v>149</v>
      </c>
      <c r="CZ110" s="13"/>
      <c r="DA110" s="13"/>
      <c r="DC110" t="s">
        <v>149</v>
      </c>
      <c r="DG110" s="13"/>
      <c r="DH110" s="13"/>
      <c r="DJ110" t="s">
        <v>149</v>
      </c>
      <c r="DN110" s="13"/>
      <c r="DO110" s="13"/>
      <c r="DQ110" t="s">
        <v>149</v>
      </c>
      <c r="DU110" s="13"/>
      <c r="DV110" s="13"/>
      <c r="DX110" t="s">
        <v>149</v>
      </c>
      <c r="EB110" s="13"/>
      <c r="EC110" s="13"/>
      <c r="EE110" t="s">
        <v>149</v>
      </c>
      <c r="EI110" s="13"/>
      <c r="EJ110" s="13"/>
    </row>
    <row r="111" spans="2:140">
      <c r="B111" t="s">
        <v>241</v>
      </c>
      <c r="C111" s="351">
        <v>0.95</v>
      </c>
      <c r="D111" s="10">
        <f>D112+0.1</f>
        <v>2.372298196</v>
      </c>
      <c r="I111" t="s">
        <v>241</v>
      </c>
      <c r="J111" s="351">
        <v>0.95</v>
      </c>
      <c r="K111" s="10">
        <f>K112+0.1</f>
        <v>2.372298196</v>
      </c>
      <c r="P111" t="s">
        <v>241</v>
      </c>
      <c r="Q111" s="351">
        <v>0.95</v>
      </c>
      <c r="R111" s="10">
        <f>R112+0.1</f>
        <v>2.372298196</v>
      </c>
      <c r="W111" t="s">
        <v>241</v>
      </c>
      <c r="X111" s="351">
        <v>0.95</v>
      </c>
      <c r="Y111" s="10">
        <f>Y112+0.1</f>
        <v>2.372298196</v>
      </c>
      <c r="AD111" t="s">
        <v>241</v>
      </c>
      <c r="AE111" s="351">
        <v>0.95</v>
      </c>
      <c r="AF111" s="10">
        <f>AF112+0.1</f>
        <v>2.372298196</v>
      </c>
      <c r="AK111" t="s">
        <v>241</v>
      </c>
      <c r="AL111" s="351">
        <v>0.95</v>
      </c>
      <c r="AM111" s="10">
        <f>AM112+0.1</f>
        <v>2.372298196</v>
      </c>
      <c r="AR111" t="s">
        <v>241</v>
      </c>
      <c r="AS111" s="351">
        <v>0.95</v>
      </c>
      <c r="AT111" s="10">
        <f>AT112+0.1</f>
        <v>2.372298196</v>
      </c>
      <c r="AY111" t="s">
        <v>241</v>
      </c>
      <c r="AZ111" s="351">
        <v>0.95</v>
      </c>
      <c r="BA111" s="10">
        <f>BA112+0.1</f>
        <v>2.4722981960000001</v>
      </c>
      <c r="BF111" t="s">
        <v>241</v>
      </c>
      <c r="BG111" s="351">
        <v>0.95</v>
      </c>
      <c r="BH111" s="10">
        <f>BH112+0.1</f>
        <v>2.4722981960000001</v>
      </c>
      <c r="BM111" t="s">
        <v>241</v>
      </c>
      <c r="BN111" s="351">
        <v>0.95</v>
      </c>
      <c r="BO111" s="10">
        <f>BO112+0.1</f>
        <v>2.4722981960000001</v>
      </c>
      <c r="BT111" t="s">
        <v>241</v>
      </c>
      <c r="BU111" s="351">
        <v>0.95</v>
      </c>
      <c r="BV111" s="10">
        <f>BV112+0.1</f>
        <v>2.4722981960000001</v>
      </c>
      <c r="CA111" t="s">
        <v>241</v>
      </c>
      <c r="CB111" s="351">
        <v>0.95</v>
      </c>
      <c r="CC111" s="10">
        <f>CC112+0.1</f>
        <v>2.4722981960000001</v>
      </c>
      <c r="CH111" t="s">
        <v>241</v>
      </c>
      <c r="CI111" s="351">
        <v>0.95</v>
      </c>
      <c r="CJ111" s="10">
        <f>CJ112+0.1</f>
        <v>2.4722981960000001</v>
      </c>
      <c r="CO111" t="s">
        <v>241</v>
      </c>
      <c r="CP111" s="351">
        <v>0.95</v>
      </c>
      <c r="CQ111" s="10">
        <f>CQ112+0.1</f>
        <v>2.4722981960000001</v>
      </c>
      <c r="CV111" t="s">
        <v>241</v>
      </c>
      <c r="CW111" s="351">
        <v>0.95</v>
      </c>
      <c r="CX111" s="10">
        <f>CX112+0.1</f>
        <v>2.4922286123999999</v>
      </c>
      <c r="DC111" t="s">
        <v>241</v>
      </c>
      <c r="DD111" s="351">
        <v>0.95</v>
      </c>
      <c r="DE111" s="10">
        <f>DE112+0.1</f>
        <v>2.4922286123999999</v>
      </c>
      <c r="DJ111" t="s">
        <v>241</v>
      </c>
      <c r="DK111" s="351">
        <v>0.95</v>
      </c>
      <c r="DL111" s="10">
        <f>DL112+0.1</f>
        <v>2.4922286123999999</v>
      </c>
      <c r="DQ111" t="s">
        <v>241</v>
      </c>
      <c r="DR111" s="351">
        <v>0.95</v>
      </c>
      <c r="DS111" s="10">
        <f>DS112+0.1</f>
        <v>2.4922286123999999</v>
      </c>
      <c r="DX111" t="s">
        <v>241</v>
      </c>
      <c r="DY111" s="351">
        <v>0.95</v>
      </c>
      <c r="DZ111" s="10">
        <f>DZ112+0.1</f>
        <v>2.4922286123999999</v>
      </c>
      <c r="EE111" t="s">
        <v>241</v>
      </c>
      <c r="EF111" s="351">
        <v>0.95</v>
      </c>
      <c r="EG111" s="10">
        <f>EG112+0.1</f>
        <v>2.4922286123999999</v>
      </c>
    </row>
    <row r="112" spans="2:140">
      <c r="C112" s="351">
        <v>0.9</v>
      </c>
      <c r="D112" s="10">
        <f>C109</f>
        <v>2.2722981959999999</v>
      </c>
      <c r="J112" s="351">
        <v>0.9</v>
      </c>
      <c r="K112" s="10">
        <f>J109</f>
        <v>2.2722981959999999</v>
      </c>
      <c r="Q112" s="351">
        <v>0.9</v>
      </c>
      <c r="R112" s="10">
        <f>Q109</f>
        <v>2.2722981959999999</v>
      </c>
      <c r="X112" s="351">
        <v>0.9</v>
      </c>
      <c r="Y112" s="10">
        <f>X109</f>
        <v>2.2722981959999999</v>
      </c>
      <c r="AE112" s="351">
        <v>0.9</v>
      </c>
      <c r="AF112" s="10">
        <f>AE109</f>
        <v>2.2722981959999999</v>
      </c>
      <c r="AL112" s="351">
        <v>0.9</v>
      </c>
      <c r="AM112" s="10">
        <f>AL109</f>
        <v>2.2722981959999999</v>
      </c>
      <c r="AS112" s="351">
        <v>0.9</v>
      </c>
      <c r="AT112" s="10">
        <f>AS109</f>
        <v>2.2722981959999999</v>
      </c>
      <c r="AZ112" s="351">
        <v>0.9</v>
      </c>
      <c r="BA112" s="10">
        <f>AZ109</f>
        <v>2.372298196</v>
      </c>
      <c r="BG112" s="351">
        <v>0.9</v>
      </c>
      <c r="BH112" s="10">
        <f>BG109</f>
        <v>2.372298196</v>
      </c>
      <c r="BN112" s="351">
        <v>0.9</v>
      </c>
      <c r="BO112" s="10">
        <f>BN109</f>
        <v>2.372298196</v>
      </c>
      <c r="BU112" s="351">
        <v>0.9</v>
      </c>
      <c r="BV112" s="10">
        <f>BU109</f>
        <v>2.372298196</v>
      </c>
      <c r="CB112" s="351">
        <v>0.9</v>
      </c>
      <c r="CC112" s="10">
        <f>CB109</f>
        <v>2.372298196</v>
      </c>
      <c r="CI112" s="351">
        <v>0.9</v>
      </c>
      <c r="CJ112" s="10">
        <f>CI109</f>
        <v>2.372298196</v>
      </c>
      <c r="CP112" s="351">
        <v>0.9</v>
      </c>
      <c r="CQ112" s="10">
        <f>CP109</f>
        <v>2.372298196</v>
      </c>
      <c r="CW112" s="351">
        <v>0.9</v>
      </c>
      <c r="CX112" s="10">
        <f>CW109</f>
        <v>2.3922286123999998</v>
      </c>
      <c r="DD112" s="351">
        <v>0.9</v>
      </c>
      <c r="DE112" s="10">
        <f>DD109</f>
        <v>2.3922286123999998</v>
      </c>
      <c r="DK112" s="351">
        <v>0.9</v>
      </c>
      <c r="DL112" s="10">
        <f>DK109</f>
        <v>2.3922286123999998</v>
      </c>
      <c r="DR112" s="351">
        <v>0.9</v>
      </c>
      <c r="DS112" s="10">
        <f>DR109</f>
        <v>2.3922286123999998</v>
      </c>
      <c r="DY112" s="351">
        <v>0.9</v>
      </c>
      <c r="DZ112" s="10">
        <f>DY109</f>
        <v>2.3922286123999998</v>
      </c>
      <c r="EF112" s="351">
        <v>0.9</v>
      </c>
      <c r="EG112" s="10">
        <f>EF109</f>
        <v>2.3922286123999998</v>
      </c>
    </row>
    <row r="113" spans="2:144">
      <c r="C113" s="351">
        <v>0.85</v>
      </c>
      <c r="D113" s="10">
        <f>D112-0.05</f>
        <v>2.2222981960000001</v>
      </c>
      <c r="J113" s="351">
        <v>0.85</v>
      </c>
      <c r="K113" s="10">
        <f>K112-0.05</f>
        <v>2.2222981960000001</v>
      </c>
      <c r="Q113" s="351">
        <v>0.85</v>
      </c>
      <c r="R113" s="10">
        <f>R112-0.05</f>
        <v>2.2222981960000001</v>
      </c>
      <c r="X113" s="351">
        <v>0.85</v>
      </c>
      <c r="Y113" s="10">
        <f>Y112-0.05</f>
        <v>2.2222981960000001</v>
      </c>
      <c r="AE113" s="351">
        <v>0.85</v>
      </c>
      <c r="AF113" s="10">
        <f>AF112-0.05</f>
        <v>2.2222981960000001</v>
      </c>
      <c r="AL113" s="351">
        <v>0.85</v>
      </c>
      <c r="AM113" s="10">
        <f>AM112-0.05</f>
        <v>2.2222981960000001</v>
      </c>
      <c r="AS113" s="351">
        <v>0.85</v>
      </c>
      <c r="AT113" s="10">
        <f>AT112-0.05</f>
        <v>2.2222981960000001</v>
      </c>
      <c r="AZ113" s="351">
        <v>0.85</v>
      </c>
      <c r="BA113" s="10">
        <f>BA112-0.05</f>
        <v>2.3222981960000002</v>
      </c>
      <c r="BG113" s="351">
        <v>0.85</v>
      </c>
      <c r="BH113" s="10">
        <f>BH112-0.05</f>
        <v>2.3222981960000002</v>
      </c>
      <c r="BN113" s="351">
        <v>0.85</v>
      </c>
      <c r="BO113" s="10">
        <f>BO112-0.05</f>
        <v>2.3222981960000002</v>
      </c>
      <c r="BU113" s="351">
        <v>0.85</v>
      </c>
      <c r="BV113" s="10">
        <f>BV112-0.05</f>
        <v>2.3222981960000002</v>
      </c>
      <c r="CB113" s="351">
        <v>0.85</v>
      </c>
      <c r="CC113" s="10">
        <f>CC112-0.05</f>
        <v>2.3222981960000002</v>
      </c>
      <c r="CI113" s="351">
        <v>0.85</v>
      </c>
      <c r="CJ113" s="10">
        <f>CJ112-0.05</f>
        <v>2.3222981960000002</v>
      </c>
      <c r="CP113" s="351">
        <v>0.85</v>
      </c>
      <c r="CQ113" s="10">
        <f>CQ112-0.05</f>
        <v>2.3222981960000002</v>
      </c>
      <c r="CW113" s="351">
        <v>0.85</v>
      </c>
      <c r="CX113" s="10">
        <f>CX112-0.05</f>
        <v>2.3422286124</v>
      </c>
      <c r="DD113" s="351">
        <v>0.85</v>
      </c>
      <c r="DE113" s="10">
        <f>DE112-0.05</f>
        <v>2.3422286124</v>
      </c>
      <c r="DK113" s="351">
        <v>0.85</v>
      </c>
      <c r="DL113" s="10">
        <f>DL112-0.05</f>
        <v>2.3422286124</v>
      </c>
      <c r="DR113" s="351">
        <v>0.85</v>
      </c>
      <c r="DS113" s="10">
        <f>DS112-0.05</f>
        <v>2.3422286124</v>
      </c>
      <c r="DY113" s="351">
        <v>0.85</v>
      </c>
      <c r="DZ113" s="10">
        <f>DZ112-0.05</f>
        <v>2.3422286124</v>
      </c>
      <c r="EF113" s="351">
        <v>0.85</v>
      </c>
      <c r="EG113" s="10">
        <f>EG112-0.05</f>
        <v>2.3422286124</v>
      </c>
    </row>
    <row r="114" spans="2:144">
      <c r="C114" s="351">
        <v>0.8</v>
      </c>
      <c r="D114" s="10">
        <f>D112-0.1</f>
        <v>2.1722981959999998</v>
      </c>
      <c r="J114" s="351">
        <v>0.8</v>
      </c>
      <c r="K114" s="10">
        <f>K112-0.1</f>
        <v>2.1722981959999998</v>
      </c>
      <c r="Q114" s="351">
        <v>0.8</v>
      </c>
      <c r="R114" s="10">
        <f>R112-0.1</f>
        <v>2.1722981959999998</v>
      </c>
      <c r="X114" s="351">
        <v>0.8</v>
      </c>
      <c r="Y114" s="10">
        <f>Y112-0.1</f>
        <v>2.1722981959999998</v>
      </c>
      <c r="AE114" s="351">
        <v>0.8</v>
      </c>
      <c r="AF114" s="10">
        <f>AF112-0.1</f>
        <v>2.1722981959999998</v>
      </c>
      <c r="AL114" s="351">
        <v>0.8</v>
      </c>
      <c r="AM114" s="10">
        <f>AM112-0.1</f>
        <v>2.1722981959999998</v>
      </c>
      <c r="AS114" s="351">
        <v>0.8</v>
      </c>
      <c r="AT114" s="10">
        <f>AT112-0.1</f>
        <v>2.1722981959999998</v>
      </c>
      <c r="AZ114" s="351">
        <v>0.8</v>
      </c>
      <c r="BA114" s="10">
        <f>BA112-0.1</f>
        <v>2.2722981959999999</v>
      </c>
      <c r="BG114" s="351">
        <v>0.8</v>
      </c>
      <c r="BH114" s="10">
        <f>BH112-0.1</f>
        <v>2.2722981959999999</v>
      </c>
      <c r="BN114" s="351">
        <v>0.8</v>
      </c>
      <c r="BO114" s="10">
        <f>BO112-0.1</f>
        <v>2.2722981959999999</v>
      </c>
      <c r="BU114" s="351">
        <v>0.8</v>
      </c>
      <c r="BV114" s="10">
        <f>BV112-0.1</f>
        <v>2.2722981959999999</v>
      </c>
      <c r="CB114" s="351">
        <v>0.8</v>
      </c>
      <c r="CC114" s="10">
        <f>CC112-0.1</f>
        <v>2.2722981959999999</v>
      </c>
      <c r="CI114" s="351">
        <v>0.8</v>
      </c>
      <c r="CJ114" s="10">
        <f>CJ112-0.1</f>
        <v>2.2722981959999999</v>
      </c>
      <c r="CP114" s="351">
        <v>0.8</v>
      </c>
      <c r="CQ114" s="10">
        <f>CQ112-0.1</f>
        <v>2.2722981959999999</v>
      </c>
      <c r="CW114" s="351">
        <v>0.8</v>
      </c>
      <c r="CX114" s="10">
        <f>CX112-0.1</f>
        <v>2.2922286123999998</v>
      </c>
      <c r="DD114" s="351">
        <v>0.8</v>
      </c>
      <c r="DE114" s="10">
        <f>DE112-0.1</f>
        <v>2.2922286123999998</v>
      </c>
      <c r="DK114" s="351">
        <v>0.8</v>
      </c>
      <c r="DL114" s="10">
        <f>DL112-0.1</f>
        <v>2.2922286123999998</v>
      </c>
      <c r="DR114" s="351">
        <v>0.8</v>
      </c>
      <c r="DS114" s="10">
        <f>DS112-0.1</f>
        <v>2.2922286123999998</v>
      </c>
      <c r="DY114" s="351">
        <v>0.8</v>
      </c>
      <c r="DZ114" s="10">
        <f>DZ112-0.1</f>
        <v>2.2922286123999998</v>
      </c>
      <c r="EF114" s="351">
        <v>0.8</v>
      </c>
      <c r="EG114" s="10">
        <f>EG112-0.1</f>
        <v>2.2922286123999998</v>
      </c>
      <c r="EN114" s="10"/>
    </row>
    <row r="115" spans="2:144">
      <c r="C115" s="367">
        <v>0.7</v>
      </c>
      <c r="D115" s="368">
        <f>D112-0.2</f>
        <v>2.0722981959999998</v>
      </c>
      <c r="J115" s="367">
        <v>0.7</v>
      </c>
      <c r="K115" s="368">
        <f>K112-0.2</f>
        <v>2.0722981959999998</v>
      </c>
      <c r="Q115" s="367">
        <v>0.7</v>
      </c>
      <c r="R115" s="368">
        <f>R112-0.2</f>
        <v>2.0722981959999998</v>
      </c>
      <c r="X115" s="367">
        <v>0.7</v>
      </c>
      <c r="Y115" s="368">
        <f>Y112-0.2</f>
        <v>2.0722981959999998</v>
      </c>
      <c r="AE115" s="367">
        <v>0.7</v>
      </c>
      <c r="AF115" s="368">
        <f>AF112-0.2</f>
        <v>2.0722981959999998</v>
      </c>
      <c r="AL115" s="367">
        <v>0.7</v>
      </c>
      <c r="AM115" s="368">
        <f>AM112-0.2</f>
        <v>2.0722981959999998</v>
      </c>
      <c r="AS115" s="367">
        <v>0.7</v>
      </c>
      <c r="AT115" s="368">
        <f>AT112-0.2</f>
        <v>2.0722981959999998</v>
      </c>
      <c r="AZ115" s="367">
        <v>0.7</v>
      </c>
      <c r="BA115" s="368">
        <f>BA112-0.2</f>
        <v>2.1722981959999998</v>
      </c>
      <c r="BG115" s="367">
        <v>0.7</v>
      </c>
      <c r="BH115" s="368">
        <f>BH112-0.2</f>
        <v>2.1722981959999998</v>
      </c>
      <c r="BN115" s="367">
        <v>0.7</v>
      </c>
      <c r="BO115" s="368">
        <f>BO112-0.2</f>
        <v>2.1722981959999998</v>
      </c>
      <c r="BU115" s="367">
        <v>0.7</v>
      </c>
      <c r="BV115" s="368">
        <f>BV112-0.2</f>
        <v>2.1722981959999998</v>
      </c>
      <c r="CB115" s="367">
        <v>0.7</v>
      </c>
      <c r="CC115" s="368">
        <f>CC112-0.2</f>
        <v>2.1722981959999998</v>
      </c>
      <c r="CI115" s="367">
        <v>0.7</v>
      </c>
      <c r="CJ115" s="368">
        <f>CJ112-0.2</f>
        <v>2.1722981959999998</v>
      </c>
      <c r="CP115" s="367">
        <v>0.7</v>
      </c>
      <c r="CQ115" s="368">
        <f>CQ112-0.2</f>
        <v>2.1722981959999998</v>
      </c>
      <c r="CW115" s="367">
        <v>0.7</v>
      </c>
      <c r="CX115" s="368">
        <f>CX112-0.2</f>
        <v>2.1922286123999997</v>
      </c>
      <c r="DD115" s="367">
        <v>0.7</v>
      </c>
      <c r="DE115" s="368">
        <f>DE112-0.2</f>
        <v>2.1922286123999997</v>
      </c>
      <c r="DK115" s="367">
        <v>0.7</v>
      </c>
      <c r="DL115" s="368">
        <f>DL112-0.2</f>
        <v>2.1922286123999997</v>
      </c>
      <c r="DR115" s="367">
        <v>0.7</v>
      </c>
      <c r="DS115" s="368">
        <f>DS112-0.2</f>
        <v>2.1922286123999997</v>
      </c>
      <c r="DY115" s="367">
        <v>0.7</v>
      </c>
      <c r="DZ115" s="368">
        <f>DZ112-0.2</f>
        <v>2.1922286123999997</v>
      </c>
      <c r="EF115" s="367">
        <v>0.7</v>
      </c>
      <c r="EG115" s="368">
        <f>EG112-0.2</f>
        <v>2.1922286123999997</v>
      </c>
      <c r="EN115" s="10"/>
    </row>
    <row r="116" spans="2:144">
      <c r="B116" t="s">
        <v>238</v>
      </c>
      <c r="C116" s="10">
        <f>D116*$C$49</f>
        <v>2.2722981959999999</v>
      </c>
      <c r="D116" s="10">
        <f>VLOOKUP($C$20,C111:D115,2,0)</f>
        <v>2.2722981959999999</v>
      </c>
      <c r="E116" s="13"/>
      <c r="F116" s="13"/>
      <c r="G116" s="13"/>
      <c r="I116" t="s">
        <v>238</v>
      </c>
      <c r="J116" s="10">
        <f>K116*$C$49</f>
        <v>2.2722981959999999</v>
      </c>
      <c r="K116" s="10">
        <f>VLOOKUP($C$20,J111:K115,2,0)</f>
        <v>2.2722981959999999</v>
      </c>
      <c r="L116" s="13"/>
      <c r="M116" s="13"/>
      <c r="N116" s="13"/>
      <c r="P116" t="s">
        <v>238</v>
      </c>
      <c r="Q116" s="10">
        <f>R116*$C$49</f>
        <v>2.2722981959999999</v>
      </c>
      <c r="R116" s="10">
        <f>VLOOKUP($C$20,Q111:R115,2,0)</f>
        <v>2.2722981959999999</v>
      </c>
      <c r="S116" s="13"/>
      <c r="T116" s="13"/>
      <c r="U116" s="13"/>
      <c r="W116" t="s">
        <v>238</v>
      </c>
      <c r="X116" s="10">
        <f>Y116*$C$49</f>
        <v>2.2722981959999999</v>
      </c>
      <c r="Y116" s="10">
        <f>VLOOKUP($C$20,X111:Y115,2,0)</f>
        <v>2.2722981959999999</v>
      </c>
      <c r="Z116" s="13"/>
      <c r="AA116" s="13"/>
      <c r="AB116" s="13"/>
      <c r="AD116" t="s">
        <v>238</v>
      </c>
      <c r="AE116" s="10">
        <f>AF116*$C$49</f>
        <v>2.2722981959999999</v>
      </c>
      <c r="AF116" s="10">
        <f>VLOOKUP($C$20,AE111:AF115,2,0)</f>
        <v>2.2722981959999999</v>
      </c>
      <c r="AG116" s="13"/>
      <c r="AH116" s="13"/>
      <c r="AI116" s="13"/>
      <c r="AK116" t="s">
        <v>238</v>
      </c>
      <c r="AL116" s="10">
        <f>AM116*$C$49</f>
        <v>2.2722981959999999</v>
      </c>
      <c r="AM116" s="10">
        <f>VLOOKUP($C$20,AL111:AM115,2,0)</f>
        <v>2.2722981959999999</v>
      </c>
      <c r="AN116" s="13"/>
      <c r="AO116" s="13"/>
      <c r="AP116" s="13"/>
      <c r="AR116" t="s">
        <v>238</v>
      </c>
      <c r="AS116" s="10">
        <f>AT116*$C$49</f>
        <v>2.2722981959999999</v>
      </c>
      <c r="AT116" s="10">
        <f>VLOOKUP($C$20,AS111:AT115,2,0)</f>
        <v>2.2722981959999999</v>
      </c>
      <c r="AU116" s="13"/>
      <c r="AV116" s="13"/>
      <c r="AW116" s="13"/>
      <c r="AY116" t="s">
        <v>238</v>
      </c>
      <c r="AZ116" s="10">
        <f>BA116*$C$49</f>
        <v>2.372298196</v>
      </c>
      <c r="BA116" s="10">
        <f>VLOOKUP($C$20,AZ111:BA115,2,0)</f>
        <v>2.372298196</v>
      </c>
      <c r="BB116" s="13"/>
      <c r="BC116" s="13"/>
      <c r="BD116" s="13"/>
      <c r="BF116" t="s">
        <v>238</v>
      </c>
      <c r="BG116" s="10">
        <f>BH116*$C$49</f>
        <v>2.372298196</v>
      </c>
      <c r="BH116" s="10">
        <f>VLOOKUP($C$20,BG111:BH115,2,0)</f>
        <v>2.372298196</v>
      </c>
      <c r="BI116" s="13"/>
      <c r="BJ116" s="13"/>
      <c r="BK116" s="13"/>
      <c r="BM116" t="s">
        <v>238</v>
      </c>
      <c r="BN116" s="10">
        <f>BO116*$C$49</f>
        <v>2.372298196</v>
      </c>
      <c r="BO116" s="10">
        <f>VLOOKUP($C$20,BN111:BO115,2,0)</f>
        <v>2.372298196</v>
      </c>
      <c r="BP116" s="13"/>
      <c r="BQ116" s="13"/>
      <c r="BR116" s="13"/>
      <c r="BT116" t="s">
        <v>238</v>
      </c>
      <c r="BU116" s="10">
        <f>BV116*$C$49</f>
        <v>2.372298196</v>
      </c>
      <c r="BV116" s="10">
        <f>VLOOKUP($C$20,BU111:BV115,2,0)</f>
        <v>2.372298196</v>
      </c>
      <c r="BW116" s="13"/>
      <c r="BX116" s="13"/>
      <c r="BY116" s="13"/>
      <c r="CA116" t="s">
        <v>238</v>
      </c>
      <c r="CB116" s="10">
        <f>CC116*$C$49</f>
        <v>2.372298196</v>
      </c>
      <c r="CC116" s="10">
        <f>VLOOKUP($C$20,CB111:CC115,2,0)</f>
        <v>2.372298196</v>
      </c>
      <c r="CD116" s="13"/>
      <c r="CE116" s="13"/>
      <c r="CF116" s="13"/>
      <c r="CH116" t="s">
        <v>238</v>
      </c>
      <c r="CI116" s="10">
        <f>CJ116*$C$49</f>
        <v>2.372298196</v>
      </c>
      <c r="CJ116" s="10">
        <f>VLOOKUP($C$20,CI111:CJ115,2,0)</f>
        <v>2.372298196</v>
      </c>
      <c r="CK116" s="13"/>
      <c r="CL116" s="13"/>
      <c r="CM116" s="13"/>
      <c r="CO116" t="s">
        <v>238</v>
      </c>
      <c r="CP116" s="10">
        <f>CQ116*$C$49</f>
        <v>2.372298196</v>
      </c>
      <c r="CQ116" s="10">
        <f>VLOOKUP($C$20,CP111:CQ115,2,0)</f>
        <v>2.372298196</v>
      </c>
      <c r="CR116" s="13"/>
      <c r="CS116" s="13"/>
      <c r="CT116" s="13"/>
      <c r="CV116" t="s">
        <v>238</v>
      </c>
      <c r="CW116" s="10">
        <f>CX116*$C$49</f>
        <v>2.3922286123999998</v>
      </c>
      <c r="CX116" s="10">
        <f>VLOOKUP($C$20,CW111:CX115,2,0)</f>
        <v>2.3922286123999998</v>
      </c>
      <c r="CY116" s="13"/>
      <c r="CZ116" s="13"/>
      <c r="DA116" s="13"/>
      <c r="DC116" t="s">
        <v>238</v>
      </c>
      <c r="DD116" s="10">
        <f>DE116*$C$49</f>
        <v>2.3922286123999998</v>
      </c>
      <c r="DE116" s="10">
        <f>VLOOKUP($C$20,DD111:DE115,2,0)</f>
        <v>2.3922286123999998</v>
      </c>
      <c r="DF116" s="13"/>
      <c r="DG116" s="13"/>
      <c r="DH116" s="13"/>
      <c r="DJ116" t="s">
        <v>238</v>
      </c>
      <c r="DK116" s="10">
        <f>DL116*$C$49</f>
        <v>2.3922286123999998</v>
      </c>
      <c r="DL116" s="10">
        <f>VLOOKUP($C$20,DK111:DL115,2,0)</f>
        <v>2.3922286123999998</v>
      </c>
      <c r="DM116" s="13"/>
      <c r="DN116" s="13"/>
      <c r="DO116" s="13"/>
      <c r="DQ116" t="s">
        <v>238</v>
      </c>
      <c r="DR116" s="10">
        <f>DS116*$C$49</f>
        <v>2.3922286123999998</v>
      </c>
      <c r="DS116" s="10">
        <f>VLOOKUP($C$20,DR111:DS115,2,0)</f>
        <v>2.3922286123999998</v>
      </c>
      <c r="DT116" s="13"/>
      <c r="DU116" s="13"/>
      <c r="DV116" s="13"/>
      <c r="DX116" t="s">
        <v>238</v>
      </c>
      <c r="DY116" s="10">
        <f>DZ116*$C$49</f>
        <v>2.3922286123999998</v>
      </c>
      <c r="DZ116" s="10">
        <f>VLOOKUP($C$20,DY111:DZ115,2,0)</f>
        <v>2.3922286123999998</v>
      </c>
      <c r="EA116" s="13"/>
      <c r="EB116" s="13"/>
      <c r="EC116" s="13"/>
      <c r="EE116" t="s">
        <v>238</v>
      </c>
      <c r="EF116" s="10">
        <f>EG116*$C$49</f>
        <v>2.3922286123999998</v>
      </c>
      <c r="EG116" s="10">
        <f>VLOOKUP($C$20,EF111:EG115,2,0)</f>
        <v>2.3922286123999998</v>
      </c>
      <c r="EH116" s="13"/>
      <c r="EI116" s="13"/>
      <c r="EJ116" s="13"/>
    </row>
    <row r="117" spans="2:144">
      <c r="C117" s="10"/>
      <c r="D117" s="10"/>
      <c r="E117" s="13"/>
      <c r="F117" s="13"/>
      <c r="G117" s="13"/>
      <c r="AY117" s="338"/>
      <c r="AZ117" s="10"/>
      <c r="BA117" s="10"/>
      <c r="BB117" s="13"/>
      <c r="BC117" s="13"/>
      <c r="BD117" s="13"/>
      <c r="BG117" s="10"/>
      <c r="BH117" s="10"/>
      <c r="BI117" s="13"/>
      <c r="BJ117" s="13"/>
      <c r="BK117" s="13"/>
      <c r="BN117" s="10"/>
      <c r="BO117" s="10"/>
      <c r="BP117" s="13"/>
      <c r="BQ117" s="13"/>
      <c r="BR117" s="13"/>
      <c r="BU117" s="10"/>
      <c r="BV117" s="10"/>
      <c r="BW117" s="13"/>
      <c r="BX117" s="13"/>
      <c r="BY117" s="13"/>
      <c r="CB117" s="10"/>
      <c r="CC117" s="10"/>
      <c r="CD117" s="13"/>
      <c r="CE117" s="13"/>
      <c r="CF117" s="13"/>
      <c r="CI117" s="10"/>
      <c r="CJ117" s="10"/>
      <c r="CK117" s="13"/>
      <c r="CL117" s="13"/>
      <c r="CM117" s="13"/>
      <c r="CP117" s="10"/>
      <c r="CQ117" s="10"/>
      <c r="CV117" s="338"/>
      <c r="CW117" s="10"/>
      <c r="CX117" s="10"/>
      <c r="CY117" s="13"/>
      <c r="CZ117" s="13"/>
      <c r="DA117" s="13"/>
      <c r="DD117" s="10"/>
      <c r="DE117" s="10"/>
      <c r="DF117" s="13"/>
      <c r="DG117" s="13"/>
      <c r="DH117" s="13"/>
      <c r="DK117" s="10"/>
      <c r="DL117" s="10"/>
      <c r="DM117" s="13"/>
      <c r="DN117" s="13"/>
      <c r="DO117" s="13"/>
      <c r="DR117" s="10"/>
      <c r="DS117" s="10"/>
      <c r="DT117" s="13"/>
      <c r="DU117" s="13"/>
      <c r="DV117" s="13"/>
      <c r="DY117" s="10"/>
      <c r="DZ117" s="10"/>
      <c r="EA117" s="13"/>
      <c r="EB117" s="13"/>
      <c r="EC117" s="13"/>
      <c r="EF117" s="10"/>
      <c r="EG117" s="10"/>
      <c r="EH117" s="13"/>
      <c r="EI117" s="13"/>
      <c r="EJ117" s="13"/>
    </row>
    <row r="118" spans="2:144">
      <c r="B118" s="1" t="s">
        <v>242</v>
      </c>
      <c r="I118" s="1" t="s">
        <v>242</v>
      </c>
      <c r="P118" s="1" t="s">
        <v>242</v>
      </c>
      <c r="W118" s="1" t="s">
        <v>242</v>
      </c>
      <c r="AD118" s="1" t="s">
        <v>242</v>
      </c>
      <c r="AK118" s="1" t="s">
        <v>242</v>
      </c>
      <c r="AR118" s="1" t="s">
        <v>242</v>
      </c>
      <c r="AY118" s="348" t="s">
        <v>242</v>
      </c>
      <c r="BF118" s="1" t="s">
        <v>242</v>
      </c>
      <c r="BM118" s="1" t="s">
        <v>242</v>
      </c>
      <c r="BT118" s="1" t="s">
        <v>242</v>
      </c>
      <c r="CA118" s="1" t="s">
        <v>242</v>
      </c>
      <c r="CH118" s="1" t="s">
        <v>242</v>
      </c>
      <c r="CO118" s="1" t="s">
        <v>242</v>
      </c>
      <c r="CV118" s="348" t="s">
        <v>242</v>
      </c>
      <c r="DC118" s="1" t="s">
        <v>242</v>
      </c>
      <c r="DJ118" s="1" t="s">
        <v>242</v>
      </c>
      <c r="DQ118" s="1" t="s">
        <v>242</v>
      </c>
      <c r="DX118" s="1" t="s">
        <v>242</v>
      </c>
      <c r="EE118" s="1" t="s">
        <v>242</v>
      </c>
      <c r="EN118" s="10"/>
    </row>
    <row r="119" spans="2:144">
      <c r="B119" t="s">
        <v>243</v>
      </c>
      <c r="C119">
        <f>C96</f>
        <v>110</v>
      </c>
      <c r="I119" t="s">
        <v>243</v>
      </c>
      <c r="J119">
        <f>J96</f>
        <v>96.11</v>
      </c>
      <c r="P119" t="s">
        <v>243</v>
      </c>
      <c r="Q119">
        <f>Q96</f>
        <v>78.844999999999999</v>
      </c>
      <c r="W119" t="s">
        <v>243</v>
      </c>
      <c r="X119">
        <f>X96</f>
        <v>61.005000000000003</v>
      </c>
      <c r="AD119" t="s">
        <v>243</v>
      </c>
      <c r="AE119">
        <f>AE96</f>
        <v>44.89</v>
      </c>
      <c r="AK119" t="s">
        <v>243</v>
      </c>
      <c r="AL119">
        <f>AL96</f>
        <v>31.08</v>
      </c>
      <c r="AR119" t="s">
        <v>243</v>
      </c>
      <c r="AS119">
        <f>AS96</f>
        <v>21.87</v>
      </c>
      <c r="AY119" s="338" t="s">
        <v>243</v>
      </c>
      <c r="AZ119">
        <f>AZ96</f>
        <v>221</v>
      </c>
      <c r="BF119" t="s">
        <v>243</v>
      </c>
      <c r="BG119">
        <f>BG96</f>
        <v>192.22</v>
      </c>
      <c r="BM119" t="s">
        <v>243</v>
      </c>
      <c r="BN119">
        <f>BN96</f>
        <v>157.69</v>
      </c>
      <c r="BT119" t="s">
        <v>243</v>
      </c>
      <c r="BU119">
        <f>BU96</f>
        <v>122.01</v>
      </c>
      <c r="CA119" t="s">
        <v>243</v>
      </c>
      <c r="CB119">
        <f>CB96</f>
        <v>89.78</v>
      </c>
      <c r="CH119" t="s">
        <v>243</v>
      </c>
      <c r="CI119">
        <f>CI96</f>
        <v>62.16</v>
      </c>
      <c r="CO119" t="s">
        <v>243</v>
      </c>
      <c r="CP119">
        <f>CP96</f>
        <v>43.74</v>
      </c>
      <c r="CV119" s="338" t="s">
        <v>243</v>
      </c>
      <c r="CW119">
        <f>CW96</f>
        <v>440</v>
      </c>
      <c r="DC119" t="s">
        <v>243</v>
      </c>
      <c r="DD119">
        <f>DD96</f>
        <v>398</v>
      </c>
      <c r="DJ119" t="s">
        <v>243</v>
      </c>
      <c r="DK119">
        <f>DK96</f>
        <v>358</v>
      </c>
      <c r="DQ119" t="s">
        <v>243</v>
      </c>
      <c r="DR119">
        <f>DR96</f>
        <v>295</v>
      </c>
      <c r="DX119" t="s">
        <v>243</v>
      </c>
      <c r="DY119">
        <f>DY96</f>
        <v>220</v>
      </c>
      <c r="EE119" t="s">
        <v>243</v>
      </c>
      <c r="EF119">
        <f>EF96</f>
        <v>151</v>
      </c>
      <c r="EN119" s="10"/>
    </row>
    <row r="120" spans="2:144">
      <c r="B120" t="s">
        <v>227</v>
      </c>
      <c r="C120">
        <f>C119*0.3</f>
        <v>33</v>
      </c>
      <c r="I120" t="s">
        <v>227</v>
      </c>
      <c r="J120">
        <f>J119*0.3</f>
        <v>28.832999999999998</v>
      </c>
      <c r="P120" t="s">
        <v>227</v>
      </c>
      <c r="Q120">
        <f>Q119*0.3</f>
        <v>23.653499999999998</v>
      </c>
      <c r="W120" t="s">
        <v>227</v>
      </c>
      <c r="X120">
        <f>X119*0.3</f>
        <v>18.301500000000001</v>
      </c>
      <c r="AD120" t="s">
        <v>227</v>
      </c>
      <c r="AE120">
        <f>AE119*0.3</f>
        <v>13.467000000000001</v>
      </c>
      <c r="AK120" t="s">
        <v>227</v>
      </c>
      <c r="AL120">
        <f>AL119*0.3</f>
        <v>9.3239999999999998</v>
      </c>
      <c r="AR120" t="s">
        <v>227</v>
      </c>
      <c r="AS120">
        <f>AS119*0.3</f>
        <v>6.5609999999999999</v>
      </c>
      <c r="AY120" s="338" t="s">
        <v>227</v>
      </c>
      <c r="AZ120">
        <f>AZ119*0.3</f>
        <v>66.3</v>
      </c>
      <c r="BF120" t="s">
        <v>227</v>
      </c>
      <c r="BG120">
        <f>BG119*0.3</f>
        <v>57.665999999999997</v>
      </c>
      <c r="BM120" t="s">
        <v>227</v>
      </c>
      <c r="BN120">
        <f>BN119*0.3</f>
        <v>47.306999999999995</v>
      </c>
      <c r="BT120" t="s">
        <v>227</v>
      </c>
      <c r="BU120">
        <f>BU119*0.3</f>
        <v>36.603000000000002</v>
      </c>
      <c r="CA120" t="s">
        <v>227</v>
      </c>
      <c r="CB120">
        <f>CB119*0.3</f>
        <v>26.934000000000001</v>
      </c>
      <c r="CH120" t="s">
        <v>227</v>
      </c>
      <c r="CI120">
        <f>CI119*0.3</f>
        <v>18.648</v>
      </c>
      <c r="CO120" t="s">
        <v>227</v>
      </c>
      <c r="CP120">
        <f>CP119*0.3</f>
        <v>13.122</v>
      </c>
      <c r="CV120" s="338" t="s">
        <v>227</v>
      </c>
      <c r="CW120">
        <f>CW119*0.3</f>
        <v>132</v>
      </c>
      <c r="DC120" t="s">
        <v>227</v>
      </c>
      <c r="DD120">
        <f>DD119*0.3</f>
        <v>119.39999999999999</v>
      </c>
      <c r="DJ120" t="s">
        <v>227</v>
      </c>
      <c r="DK120">
        <f>DK119*0.3</f>
        <v>107.39999999999999</v>
      </c>
      <c r="DQ120" t="s">
        <v>227</v>
      </c>
      <c r="DR120">
        <f>DR119*0.3</f>
        <v>88.5</v>
      </c>
      <c r="DX120" t="s">
        <v>227</v>
      </c>
      <c r="DY120">
        <f>DY119*0.3</f>
        <v>66</v>
      </c>
      <c r="EE120" t="s">
        <v>227</v>
      </c>
      <c r="EF120">
        <f>EF119*0.3</f>
        <v>45.3</v>
      </c>
      <c r="EN120" s="10"/>
    </row>
    <row r="121" spans="2:144">
      <c r="AY121" s="338"/>
      <c r="CV121" s="338"/>
      <c r="EN121" s="10"/>
    </row>
    <row r="122" spans="2:144" s="391" customFormat="1">
      <c r="B122" s="390" t="s">
        <v>244</v>
      </c>
      <c r="I122" s="390" t="s">
        <v>244</v>
      </c>
      <c r="P122" s="390" t="s">
        <v>244</v>
      </c>
      <c r="W122" s="390" t="s">
        <v>244</v>
      </c>
      <c r="AD122" s="390" t="s">
        <v>244</v>
      </c>
      <c r="AK122" s="390" t="s">
        <v>244</v>
      </c>
      <c r="AR122" s="390" t="s">
        <v>244</v>
      </c>
      <c r="AY122" s="393" t="s">
        <v>244</v>
      </c>
      <c r="BF122" s="390" t="s">
        <v>244</v>
      </c>
      <c r="BM122" s="390" t="s">
        <v>244</v>
      </c>
      <c r="BT122" s="390" t="s">
        <v>244</v>
      </c>
      <c r="CA122" s="390" t="s">
        <v>244</v>
      </c>
      <c r="CH122" s="390" t="s">
        <v>244</v>
      </c>
      <c r="CO122" s="390" t="s">
        <v>244</v>
      </c>
      <c r="CV122" s="393" t="s">
        <v>244</v>
      </c>
      <c r="DC122" s="390" t="s">
        <v>244</v>
      </c>
      <c r="DJ122" s="390" t="s">
        <v>244</v>
      </c>
      <c r="DQ122" s="390" t="s">
        <v>244</v>
      </c>
      <c r="DX122" s="390" t="s">
        <v>244</v>
      </c>
      <c r="EE122" s="390" t="s">
        <v>244</v>
      </c>
      <c r="EN122" s="392"/>
    </row>
    <row r="123" spans="2:144" s="391" customFormat="1">
      <c r="B123" s="391" t="s">
        <v>245</v>
      </c>
      <c r="C123" s="391">
        <f>TREND($C$63:$C$64,C119:C120,$C$31,1)</f>
        <v>15.45129796985977</v>
      </c>
      <c r="I123" s="391" t="s">
        <v>245</v>
      </c>
      <c r="J123" s="391">
        <f>TREND($C$63:$C$64,J119:J120,$C$31,1)</f>
        <v>14.550382217211631</v>
      </c>
      <c r="P123" s="391" t="s">
        <v>245</v>
      </c>
      <c r="Q123" s="391">
        <f>TREND($C$63:$C$64,Q119:Q120,$C$31,1)</f>
        <v>12.988072819083097</v>
      </c>
      <c r="W123" s="391" t="s">
        <v>245</v>
      </c>
      <c r="X123" s="391">
        <f>TREND($C$63:$C$64,X119:X120,$C$31,1)</f>
        <v>10.444767740806796</v>
      </c>
      <c r="AD123" s="391" t="s">
        <v>245</v>
      </c>
      <c r="AE123" s="391">
        <f>TREND($C$63:$C$64,AE119:AE120,$C$31,1)</f>
        <v>6.4096290128421867</v>
      </c>
      <c r="AK123" s="391" t="s">
        <v>245</v>
      </c>
      <c r="AL123" s="391">
        <f>TREND($C$63:$C$64,AL119:AL120,$C$31,1)</f>
        <v>-0.37781500211034569</v>
      </c>
      <c r="AR123" s="391" t="s">
        <v>245</v>
      </c>
      <c r="AS123" s="391">
        <f>TREND($C$63:$C$64,AS119:AS120,$C$31,1)</f>
        <v>-9.6690412245534922</v>
      </c>
      <c r="AY123" s="394" t="s">
        <v>245</v>
      </c>
      <c r="AZ123" s="391">
        <f>TREND($C$63:$C$64,AZ119:AZ120,$C$31,1)</f>
        <v>18.582284630258197</v>
      </c>
      <c r="BF123" s="391" t="s">
        <v>245</v>
      </c>
      <c r="BG123" s="391">
        <f>TREND($C$63:$C$64,BG119:BG120,$C$31,1)</f>
        <v>18.117723210418816</v>
      </c>
      <c r="BM123" s="391" t="s">
        <v>245</v>
      </c>
      <c r="BN123" s="391">
        <f>TREND($C$63:$C$64,BN119:BN120,$C$31,1)</f>
        <v>17.33656851135455</v>
      </c>
      <c r="BT123" s="391" t="s">
        <v>245</v>
      </c>
      <c r="BU123" s="391">
        <f>TREND($C$63:$C$64,BU119:BU120,$C$31,1)</f>
        <v>16.064915972216401</v>
      </c>
      <c r="CA123" s="391" t="s">
        <v>245</v>
      </c>
      <c r="CB123" s="391">
        <f>TREND($C$63:$C$64,CB119:CB120,$C$31,1)</f>
        <v>14.047346608234097</v>
      </c>
      <c r="CH123" s="391" t="s">
        <v>245</v>
      </c>
      <c r="CI123" s="391">
        <f>TREND($C$63:$C$64,CI119:CI120,$C$31,1)</f>
        <v>10.65362460075783</v>
      </c>
      <c r="CO123" s="391" t="s">
        <v>245</v>
      </c>
      <c r="CP123" s="391">
        <f>TREND($C$63:$C$64,CP119:CP120,$C$31,1)</f>
        <v>6.0080114895362566</v>
      </c>
      <c r="CV123" s="394" t="s">
        <v>245</v>
      </c>
      <c r="CW123" s="391">
        <f>TREND($C$63:$C$64,CW119:CW120,$C$31,1)</f>
        <v>20.126622645184444</v>
      </c>
      <c r="DC123" s="391" t="s">
        <v>245</v>
      </c>
      <c r="DD123" s="391">
        <f>TREND($C$63:$C$64,DD119:DD120,$C$31,1)</f>
        <v>19.962163988263477</v>
      </c>
      <c r="DJ123" s="391" t="s">
        <v>245</v>
      </c>
      <c r="DK123" s="391">
        <f>TREND($C$63:$C$64,DK119:DK120,$C$31,1)</f>
        <v>19.769661170904534</v>
      </c>
      <c r="DQ123" s="391" t="s">
        <v>245</v>
      </c>
      <c r="DR123" s="391">
        <f>TREND($C$63:$C$64,DR119:DR120,$C$31,1)</f>
        <v>19.360608997814868</v>
      </c>
      <c r="DX123" s="391" t="s">
        <v>245</v>
      </c>
      <c r="DY123" s="391">
        <f>TREND($C$63:$C$64,DY119:DY120,$C$31,1)</f>
        <v>18.568181086742886</v>
      </c>
      <c r="EE123" s="391" t="s">
        <v>245</v>
      </c>
      <c r="EF123" s="391">
        <f>TREND($C$63:$C$64,EF119:EF120,$C$31,1)</f>
        <v>17.143909993597624</v>
      </c>
      <c r="EN123" s="392"/>
    </row>
    <row r="124" spans="2:144" s="391" customFormat="1">
      <c r="B124" s="391" t="s">
        <v>246</v>
      </c>
      <c r="C124" s="390">
        <f>IFERROR(SQRT($C$31/C123)*$C$50,"")</f>
        <v>2.7868149980757178</v>
      </c>
      <c r="I124" s="391" t="s">
        <v>246</v>
      </c>
      <c r="J124" s="390">
        <f>IFERROR(SQRT($C$31/J123)*$C$50,"")</f>
        <v>2.8717949148064781</v>
      </c>
      <c r="P124" s="391" t="s">
        <v>246</v>
      </c>
      <c r="Q124" s="390">
        <f>IFERROR(SQRT($C$31/Q123)*$C$50,"")</f>
        <v>3.0396128062977845</v>
      </c>
      <c r="W124" s="391" t="s">
        <v>246</v>
      </c>
      <c r="X124" s="390">
        <f>IFERROR(SQRT($C$31/X123)*$C$50,"")</f>
        <v>3.3895436377928196</v>
      </c>
      <c r="AD124" s="391" t="s">
        <v>246</v>
      </c>
      <c r="AE124" s="390">
        <f>IFERROR(SQRT($C$31/AE123)*$C$50,"")</f>
        <v>4.3268732799284884</v>
      </c>
      <c r="AK124" s="391" t="s">
        <v>246</v>
      </c>
      <c r="AL124" s="390" t="str">
        <f>IFERROR(SQRT($C$31/AL123)*$C$50,"")</f>
        <v/>
      </c>
      <c r="AR124" s="391" t="s">
        <v>246</v>
      </c>
      <c r="AS124" s="390" t="str">
        <f>IFERROR(SQRT($C$31/AS123)*$C$50,"")</f>
        <v/>
      </c>
      <c r="AY124" s="394" t="s">
        <v>246</v>
      </c>
      <c r="AZ124" s="390">
        <f>IFERROR(SQRT($C$31/AZ123)*$C$50,"")</f>
        <v>2.5412130037784197</v>
      </c>
      <c r="BF124" s="391" t="s">
        <v>246</v>
      </c>
      <c r="BG124" s="390">
        <f>IFERROR(SQRT($C$31/BG123)*$C$50,"")</f>
        <v>2.5735867547645199</v>
      </c>
      <c r="BM124" s="391" t="s">
        <v>246</v>
      </c>
      <c r="BN124" s="390">
        <f>IFERROR(SQRT($C$31/BN123)*$C$50,"")</f>
        <v>2.6309285446975617</v>
      </c>
      <c r="BT124" s="391" t="s">
        <v>246</v>
      </c>
      <c r="BU124" s="390">
        <f>IFERROR(SQRT($C$31/BU123)*$C$50,"")</f>
        <v>2.7330740199668839</v>
      </c>
      <c r="CA124" s="391" t="s">
        <v>246</v>
      </c>
      <c r="CB124" s="390">
        <f>IFERROR(SQRT($C$31/CB123)*$C$50,"")</f>
        <v>2.9227621448322187</v>
      </c>
      <c r="CH124" s="391" t="s">
        <v>246</v>
      </c>
      <c r="CI124" s="390">
        <f>IFERROR(SQRT($C$31/CI123)*$C$50,"")</f>
        <v>3.3561543681720627</v>
      </c>
      <c r="CO124" s="391" t="s">
        <v>246</v>
      </c>
      <c r="CP124" s="390">
        <f>IFERROR(SQRT($C$31/CP123)*$C$50,"")</f>
        <v>4.4691532358030397</v>
      </c>
      <c r="CV124" s="394" t="s">
        <v>246</v>
      </c>
      <c r="CW124" s="390">
        <f>IFERROR(SQRT($C$31/CW123)*$C$50,"")</f>
        <v>2.4417723466376868</v>
      </c>
      <c r="DC124" s="391" t="s">
        <v>246</v>
      </c>
      <c r="DD124" s="390">
        <f>IFERROR(SQRT($C$31/DD123)*$C$50,"")</f>
        <v>2.4518100084790855</v>
      </c>
      <c r="DJ124" s="391" t="s">
        <v>246</v>
      </c>
      <c r="DK124" s="390">
        <f>IFERROR(SQRT($C$31/DK123)*$C$50,"")</f>
        <v>2.4637180765664053</v>
      </c>
      <c r="DQ124" s="391" t="s">
        <v>246</v>
      </c>
      <c r="DR124" s="390">
        <f>IFERROR(SQRT($C$31/DR123)*$C$50,"")</f>
        <v>2.4896088317792855</v>
      </c>
      <c r="DX124" s="391" t="s">
        <v>246</v>
      </c>
      <c r="DY124" s="390">
        <f>IFERROR(SQRT($C$31/DY123)*$C$50,"")</f>
        <v>2.5421779153378385</v>
      </c>
      <c r="EE124" s="391" t="s">
        <v>246</v>
      </c>
      <c r="EF124" s="390">
        <f>IFERROR(SQRT($C$31/EF123)*$C$50,"")</f>
        <v>2.6456700686876551</v>
      </c>
      <c r="EN124" s="392"/>
    </row>
    <row r="125" spans="2:144">
      <c r="C125" s="1"/>
      <c r="J125" s="1"/>
      <c r="Q125" s="1"/>
      <c r="X125" s="1"/>
      <c r="AE125" s="1"/>
      <c r="AL125" s="1"/>
      <c r="AS125" s="1"/>
      <c r="AY125" s="338"/>
      <c r="AZ125" s="1"/>
      <c r="BG125" s="1"/>
      <c r="BN125" s="1"/>
      <c r="BU125" s="1"/>
      <c r="CB125" s="1"/>
      <c r="CI125" s="1"/>
      <c r="CP125" s="1"/>
      <c r="CV125" s="338"/>
      <c r="CW125" s="1"/>
      <c r="DD125" s="1"/>
      <c r="DK125" s="1"/>
      <c r="DR125" s="1"/>
      <c r="DY125" s="1"/>
      <c r="EF125" s="1"/>
      <c r="EN125" s="10"/>
    </row>
    <row r="126" spans="2:144">
      <c r="B126" s="1" t="s">
        <v>247</v>
      </c>
      <c r="I126" s="1" t="s">
        <v>248</v>
      </c>
      <c r="P126" s="1" t="s">
        <v>248</v>
      </c>
      <c r="W126" s="1" t="s">
        <v>248</v>
      </c>
      <c r="AD126" s="1" t="s">
        <v>248</v>
      </c>
      <c r="AK126" s="1" t="s">
        <v>248</v>
      </c>
      <c r="AR126" s="1" t="s">
        <v>248</v>
      </c>
      <c r="AY126" s="1" t="s">
        <v>248</v>
      </c>
      <c r="BF126" s="1" t="s">
        <v>248</v>
      </c>
      <c r="BM126" s="1" t="s">
        <v>248</v>
      </c>
      <c r="BT126" s="1" t="s">
        <v>248</v>
      </c>
      <c r="CA126" s="1" t="s">
        <v>248</v>
      </c>
      <c r="CH126" s="1" t="s">
        <v>248</v>
      </c>
      <c r="CO126" s="1" t="s">
        <v>248</v>
      </c>
      <c r="CV126" s="1" t="s">
        <v>248</v>
      </c>
      <c r="DC126" s="1" t="s">
        <v>248</v>
      </c>
      <c r="DJ126" s="1" t="s">
        <v>248</v>
      </c>
      <c r="DQ126" s="1" t="s">
        <v>248</v>
      </c>
      <c r="DX126" s="1" t="s">
        <v>248</v>
      </c>
      <c r="EE126" s="1" t="s">
        <v>248</v>
      </c>
      <c r="EN126" s="10"/>
    </row>
    <row r="127" spans="2:144">
      <c r="B127" t="s">
        <v>249</v>
      </c>
      <c r="C127">
        <f>TREND($C$63:$C$64,C119:C120,$C$31,1)</f>
        <v>15.45129796985977</v>
      </c>
      <c r="I127" t="s">
        <v>249</v>
      </c>
      <c r="J127">
        <f>TREND($C$63:$C$64,J119:J120,$C$31,1)</f>
        <v>14.550382217211631</v>
      </c>
      <c r="P127" t="s">
        <v>249</v>
      </c>
      <c r="Q127">
        <f>TREND($C$63:$C$64,Q119:Q120,$C$31,1)</f>
        <v>12.988072819083097</v>
      </c>
      <c r="W127" t="s">
        <v>249</v>
      </c>
      <c r="X127">
        <f>TREND($C$63:$C$64,X119:X120,$C$31,1)</f>
        <v>10.444767740806796</v>
      </c>
      <c r="AD127" t="s">
        <v>249</v>
      </c>
      <c r="AE127">
        <f>TREND($C$63:$C$64,AE119:AE120,$C$31,1)</f>
        <v>6.4096290128421867</v>
      </c>
      <c r="AK127" t="s">
        <v>249</v>
      </c>
      <c r="AL127">
        <f>TREND($C$63:$C$64,AL119:AL120,$C$31,1)</f>
        <v>-0.37781500211034569</v>
      </c>
      <c r="AR127" t="s">
        <v>249</v>
      </c>
      <c r="AS127">
        <f>TREND($C$63:$C$64,AS119:AS120,$C$31,1)</f>
        <v>-9.6690412245534922</v>
      </c>
      <c r="AY127" t="s">
        <v>249</v>
      </c>
      <c r="AZ127">
        <f>TREND($C$63:$C$64,AZ119:AZ120,$C$31,1)</f>
        <v>18.582284630258197</v>
      </c>
      <c r="BF127" t="s">
        <v>249</v>
      </c>
      <c r="BG127">
        <f>TREND($C$63:$C$64,BG119:BG120,$C$31,1)</f>
        <v>18.117723210418816</v>
      </c>
      <c r="BM127" t="s">
        <v>249</v>
      </c>
      <c r="BN127">
        <f>TREND($C$63:$C$64,BN119:BN120,$C$31,1)</f>
        <v>17.33656851135455</v>
      </c>
      <c r="BT127" t="s">
        <v>249</v>
      </c>
      <c r="BU127">
        <f>TREND($C$63:$C$64,BU119:BU120,$C$31,1)</f>
        <v>16.064915972216401</v>
      </c>
      <c r="CA127" t="s">
        <v>249</v>
      </c>
      <c r="CB127">
        <f>TREND($C$63:$C$64,CB119:CB120,$C$31,1)</f>
        <v>14.047346608234097</v>
      </c>
      <c r="CH127" t="s">
        <v>249</v>
      </c>
      <c r="CI127">
        <f>TREND($C$63:$C$64,CI119:CI120,$C$31,1)</f>
        <v>10.65362460075783</v>
      </c>
      <c r="CO127" t="s">
        <v>249</v>
      </c>
      <c r="CP127">
        <f>TREND($C$63:$C$64,CP119:CP120,$C$31,1)</f>
        <v>6.0080114895362566</v>
      </c>
      <c r="CV127" t="s">
        <v>249</v>
      </c>
      <c r="CW127">
        <f>TREND($C$63:$C$64,CW119:CW120,$C$31,1)</f>
        <v>20.126622645184444</v>
      </c>
      <c r="DC127" t="s">
        <v>249</v>
      </c>
      <c r="DD127">
        <f>TREND($C$63:$C$64,DD119:DD120,$C$31,1)</f>
        <v>19.962163988263477</v>
      </c>
      <c r="DJ127" t="s">
        <v>249</v>
      </c>
      <c r="DK127">
        <f>TREND($C$63:$C$64,DK119:DK120,$C$31,1)</f>
        <v>19.769661170904534</v>
      </c>
      <c r="DQ127" t="s">
        <v>249</v>
      </c>
      <c r="DR127">
        <f>TREND($C$63:$C$64,DR119:DR120,$C$31,1)</f>
        <v>19.360608997814868</v>
      </c>
      <c r="DX127" t="s">
        <v>249</v>
      </c>
      <c r="DY127">
        <f>TREND($C$63:$C$64,DY119:DY120,$C$31,1)</f>
        <v>18.568181086742886</v>
      </c>
      <c r="EE127" t="s">
        <v>249</v>
      </c>
      <c r="EF127">
        <f>TREND($C$63:$C$64,EF119:EF120,$C$31,1)</f>
        <v>17.143909993597624</v>
      </c>
      <c r="EN127" s="10"/>
    </row>
    <row r="128" spans="2:144">
      <c r="B128" t="s">
        <v>248</v>
      </c>
      <c r="C128" s="1">
        <f>IFERROR($C$88*SQRT($C$13/C127)*$C$50,"")</f>
        <v>1.3934074990378589</v>
      </c>
      <c r="D128">
        <f>C128*2</f>
        <v>2.7868149980757178</v>
      </c>
      <c r="I128" t="s">
        <v>248</v>
      </c>
      <c r="J128" s="1">
        <f>IFERROR($C$88*SQRT($C$13/J127)*$C$50,"")</f>
        <v>1.435897457403239</v>
      </c>
      <c r="P128" t="s">
        <v>248</v>
      </c>
      <c r="Q128" s="1">
        <f>IFERROR($C$88*SQRT($C$13/Q127)*$C$50,"")</f>
        <v>1.5198064031488923</v>
      </c>
      <c r="W128" t="s">
        <v>248</v>
      </c>
      <c r="X128" s="1">
        <f>IFERROR($C$88*SQRT($C$13/X127)*$C$50,"")</f>
        <v>1.6947718188964098</v>
      </c>
      <c r="AD128" t="s">
        <v>248</v>
      </c>
      <c r="AE128" s="1">
        <f>IFERROR($C$88*SQRT($C$13/AE127)*$C$50,"")</f>
        <v>2.1634366399642442</v>
      </c>
      <c r="AK128" t="s">
        <v>248</v>
      </c>
      <c r="AL128" s="1" t="str">
        <f>IFERROR($C$88*SQRT($C$13/AL127)*$C$50,"")</f>
        <v/>
      </c>
      <c r="AR128" t="s">
        <v>248</v>
      </c>
      <c r="AS128" s="1" t="str">
        <f>IFERROR($C$88*SQRT($C$13/AS127)*$C$50,"")</f>
        <v/>
      </c>
      <c r="AY128" t="s">
        <v>248</v>
      </c>
      <c r="AZ128" s="1">
        <f>IFERROR($C$88*SQRT($C$13/AZ127)*$C$50,"")</f>
        <v>1.2706065018892099</v>
      </c>
      <c r="BF128" t="s">
        <v>248</v>
      </c>
      <c r="BG128" s="1">
        <f>IFERROR($C$88*SQRT($C$13/BG127)*$C$50,"")</f>
        <v>1.28679337738226</v>
      </c>
      <c r="BM128" t="s">
        <v>248</v>
      </c>
      <c r="BN128" s="1">
        <f>IFERROR($C$88*SQRT($C$13/BN127)*$C$50,"")</f>
        <v>1.3154642723487808</v>
      </c>
      <c r="BT128" t="s">
        <v>248</v>
      </c>
      <c r="BU128" s="1">
        <f>IFERROR($C$88*SQRT($C$13/BU127)*$C$50,"")</f>
        <v>1.366537009983442</v>
      </c>
      <c r="CA128" t="s">
        <v>248</v>
      </c>
      <c r="CB128" s="1">
        <f>IFERROR($C$88*SQRT($C$13/CB127)*$C$50,"")</f>
        <v>1.4613810724161094</v>
      </c>
      <c r="CH128" t="s">
        <v>248</v>
      </c>
      <c r="CI128" s="1">
        <f>IFERROR($C$88*SQRT($C$13/CI127)*$C$50,"")</f>
        <v>1.6780771840860313</v>
      </c>
      <c r="CO128" t="s">
        <v>248</v>
      </c>
      <c r="CP128" s="1">
        <f>IFERROR($C$88*SQRT($C$13/CP127)*$C$50,"")</f>
        <v>2.2345766179015198</v>
      </c>
      <c r="CV128" t="s">
        <v>248</v>
      </c>
      <c r="CW128" s="1">
        <f>IFERROR($C$88*SQRT($C$13/CW127)*$C$50,"")</f>
        <v>1.2208861733188434</v>
      </c>
      <c r="DC128" t="s">
        <v>248</v>
      </c>
      <c r="DD128" s="1">
        <f>IFERROR($C$88*SQRT($C$13/DD127)*$C$50,"")</f>
        <v>1.2259050042395427</v>
      </c>
      <c r="DJ128" t="s">
        <v>248</v>
      </c>
      <c r="DK128" s="1">
        <f>IFERROR($C$88*SQRT($C$13/DK127)*$C$50,"")</f>
        <v>1.2318590382832026</v>
      </c>
      <c r="DQ128" t="s">
        <v>248</v>
      </c>
      <c r="DR128" s="1">
        <f>IFERROR($C$88*SQRT($C$13/DR127)*$C$50,"")</f>
        <v>1.2448044158896427</v>
      </c>
      <c r="DX128" t="s">
        <v>248</v>
      </c>
      <c r="DY128" s="1">
        <f>IFERROR($C$88*SQRT($C$13/DY127)*$C$50,"")</f>
        <v>1.2710889576689193</v>
      </c>
      <c r="EE128" t="s">
        <v>248</v>
      </c>
      <c r="EF128" s="1">
        <f>IFERROR($C$88*SQRT($C$13/EF127)*$C$50,"")</f>
        <v>1.3228350343438275</v>
      </c>
      <c r="EN128" s="10"/>
    </row>
    <row r="129" spans="2:144">
      <c r="B129" t="s">
        <v>250</v>
      </c>
      <c r="C129" s="1">
        <f>C128*$C$90</f>
        <v>2.7868149980757178</v>
      </c>
      <c r="I129" t="s">
        <v>250</v>
      </c>
      <c r="J129" s="1">
        <f>J128*$C$90</f>
        <v>2.8717949148064781</v>
      </c>
      <c r="P129" t="s">
        <v>250</v>
      </c>
      <c r="Q129" s="1">
        <f>Q128*$C$90</f>
        <v>3.0396128062977845</v>
      </c>
      <c r="W129" t="s">
        <v>250</v>
      </c>
      <c r="X129" s="1">
        <f>X128*$C$90</f>
        <v>3.3895436377928196</v>
      </c>
      <c r="AD129" t="s">
        <v>250</v>
      </c>
      <c r="AE129" s="1">
        <f>AE128*$C$90</f>
        <v>4.3268732799284884</v>
      </c>
      <c r="AK129" t="s">
        <v>250</v>
      </c>
      <c r="AL129" s="1" t="e">
        <f>AL128*$C$90</f>
        <v>#VALUE!</v>
      </c>
      <c r="AR129" t="s">
        <v>250</v>
      </c>
      <c r="AS129" s="1" t="e">
        <f>AS128*$C$90</f>
        <v>#VALUE!</v>
      </c>
      <c r="AY129" t="s">
        <v>250</v>
      </c>
      <c r="AZ129" s="1">
        <f>AZ128*$C$90</f>
        <v>2.5412130037784197</v>
      </c>
      <c r="BF129" t="s">
        <v>250</v>
      </c>
      <c r="BG129" s="1">
        <f>BG128*$C$90</f>
        <v>2.5735867547645199</v>
      </c>
      <c r="BM129" t="s">
        <v>250</v>
      </c>
      <c r="BN129" s="1">
        <f>BN128*$C$90</f>
        <v>2.6309285446975617</v>
      </c>
      <c r="BT129" t="s">
        <v>250</v>
      </c>
      <c r="BU129" s="1">
        <f>BU128*$C$90</f>
        <v>2.7330740199668839</v>
      </c>
      <c r="CA129" t="s">
        <v>250</v>
      </c>
      <c r="CB129" s="1">
        <f>CB128*$C$90</f>
        <v>2.9227621448322187</v>
      </c>
      <c r="CH129" t="s">
        <v>250</v>
      </c>
      <c r="CI129" s="1">
        <f>CI128*$C$90</f>
        <v>3.3561543681720627</v>
      </c>
      <c r="CO129" t="s">
        <v>250</v>
      </c>
      <c r="CP129" s="1">
        <f>CP128*$C$90</f>
        <v>4.4691532358030397</v>
      </c>
      <c r="CV129" t="s">
        <v>250</v>
      </c>
      <c r="CW129" s="1">
        <f>CW128*$C$90</f>
        <v>2.4417723466376868</v>
      </c>
      <c r="DC129" t="s">
        <v>250</v>
      </c>
      <c r="DD129" s="1">
        <f>DD128*$C$90</f>
        <v>2.4518100084790855</v>
      </c>
      <c r="DJ129" t="s">
        <v>250</v>
      </c>
      <c r="DK129" s="1">
        <f>DK128*$C$90</f>
        <v>2.4637180765664053</v>
      </c>
      <c r="DQ129" t="s">
        <v>250</v>
      </c>
      <c r="DR129" s="1">
        <f>DR128*$C$90</f>
        <v>2.4896088317792855</v>
      </c>
      <c r="DX129" t="s">
        <v>250</v>
      </c>
      <c r="DY129" s="1">
        <f>DY128*$C$90</f>
        <v>2.5421779153378385</v>
      </c>
      <c r="EE129" t="s">
        <v>250</v>
      </c>
      <c r="EF129" s="1">
        <f>EF128*$C$90</f>
        <v>2.6456700686876551</v>
      </c>
      <c r="EN129" s="10"/>
    </row>
    <row r="130" spans="2:144">
      <c r="C130" s="1"/>
      <c r="J130" s="1"/>
      <c r="Q130" s="1"/>
      <c r="X130" s="1"/>
      <c r="AE130" s="1"/>
      <c r="AL130" s="1"/>
      <c r="AS130" s="1"/>
      <c r="AY130" s="338"/>
      <c r="AZ130" s="1"/>
      <c r="BG130" s="1"/>
      <c r="BN130" s="1"/>
      <c r="BU130" s="1"/>
      <c r="CB130" s="1"/>
      <c r="CI130" s="1"/>
      <c r="CP130" s="1"/>
      <c r="CV130" s="338"/>
      <c r="CW130" s="1"/>
      <c r="DD130" s="1"/>
      <c r="DK130" s="1"/>
      <c r="DR130" s="1"/>
      <c r="DY130" s="1"/>
      <c r="EF130" s="1"/>
      <c r="EN130" s="10"/>
    </row>
    <row r="131" spans="2:144" s="391" customFormat="1">
      <c r="B131" s="390" t="s">
        <v>251</v>
      </c>
      <c r="C131" s="392"/>
      <c r="E131" s="395"/>
      <c r="F131" s="395"/>
      <c r="G131" s="395"/>
      <c r="I131" s="390" t="s">
        <v>251</v>
      </c>
      <c r="J131" s="392"/>
      <c r="L131" s="395"/>
      <c r="M131" s="395"/>
      <c r="N131" s="395"/>
      <c r="P131" s="390" t="s">
        <v>251</v>
      </c>
      <c r="Q131" s="392"/>
      <c r="S131" s="395"/>
      <c r="T131" s="395"/>
      <c r="U131" s="395"/>
      <c r="W131" s="390" t="s">
        <v>251</v>
      </c>
      <c r="X131" s="392"/>
      <c r="Z131" s="395"/>
      <c r="AA131" s="395"/>
      <c r="AB131" s="395"/>
      <c r="AD131" s="390" t="s">
        <v>251</v>
      </c>
      <c r="AE131" s="392"/>
      <c r="AG131" s="395"/>
      <c r="AH131" s="395"/>
      <c r="AI131" s="395"/>
      <c r="AK131" s="390" t="s">
        <v>251</v>
      </c>
      <c r="AL131" s="392"/>
      <c r="AN131" s="395"/>
      <c r="AO131" s="395"/>
      <c r="AP131" s="395"/>
      <c r="AR131" s="390" t="s">
        <v>251</v>
      </c>
      <c r="AS131" s="392"/>
      <c r="AU131" s="395"/>
      <c r="AV131" s="395"/>
      <c r="AW131" s="395"/>
      <c r="AY131" s="393" t="s">
        <v>251</v>
      </c>
      <c r="AZ131" s="392"/>
      <c r="BB131" s="395"/>
      <c r="BC131" s="395"/>
      <c r="BD131" s="395"/>
      <c r="BF131" s="390" t="s">
        <v>251</v>
      </c>
      <c r="BG131" s="392"/>
      <c r="BI131" s="395"/>
      <c r="BJ131" s="395"/>
      <c r="BK131" s="395"/>
      <c r="BM131" s="390" t="s">
        <v>251</v>
      </c>
      <c r="BN131" s="392"/>
      <c r="BP131" s="395"/>
      <c r="BQ131" s="395"/>
      <c r="BR131" s="395"/>
      <c r="BT131" s="390" t="s">
        <v>251</v>
      </c>
      <c r="BU131" s="392"/>
      <c r="BW131" s="395"/>
      <c r="BX131" s="395"/>
      <c r="BY131" s="395"/>
      <c r="CA131" s="390" t="s">
        <v>251</v>
      </c>
      <c r="CB131" s="392"/>
      <c r="CD131" s="395"/>
      <c r="CE131" s="395"/>
      <c r="CF131" s="395"/>
      <c r="CH131" s="390" t="s">
        <v>251</v>
      </c>
      <c r="CI131" s="392"/>
      <c r="CK131" s="395"/>
      <c r="CL131" s="395"/>
      <c r="CM131" s="395"/>
      <c r="CO131" s="390" t="s">
        <v>251</v>
      </c>
      <c r="CP131" s="392"/>
      <c r="CR131" s="395"/>
      <c r="CS131" s="395"/>
      <c r="CT131" s="395"/>
      <c r="CV131" s="393" t="s">
        <v>251</v>
      </c>
      <c r="CW131" s="392"/>
      <c r="CY131" s="395"/>
      <c r="CZ131" s="395"/>
      <c r="DA131" s="395"/>
      <c r="DC131" s="390" t="s">
        <v>251</v>
      </c>
      <c r="DD131" s="392"/>
      <c r="DF131" s="395"/>
      <c r="DG131" s="395"/>
      <c r="DH131" s="395"/>
      <c r="DJ131" s="390" t="s">
        <v>251</v>
      </c>
      <c r="DK131" s="392"/>
      <c r="DM131" s="395"/>
      <c r="DN131" s="395"/>
      <c r="DO131" s="395"/>
      <c r="DQ131" s="390" t="s">
        <v>251</v>
      </c>
      <c r="DR131" s="392"/>
      <c r="DT131" s="395"/>
      <c r="DU131" s="395"/>
      <c r="DV131" s="395"/>
      <c r="DX131" s="390" t="s">
        <v>251</v>
      </c>
      <c r="DY131" s="392"/>
      <c r="EA131" s="395"/>
      <c r="EB131" s="395"/>
      <c r="EC131" s="395"/>
      <c r="EE131" s="390" t="s">
        <v>251</v>
      </c>
      <c r="EF131" s="392"/>
      <c r="EH131" s="395"/>
      <c r="EI131" s="395"/>
      <c r="EJ131" s="395"/>
    </row>
    <row r="132" spans="2:144" s="391" customFormat="1">
      <c r="B132" s="390" t="s">
        <v>252</v>
      </c>
      <c r="C132" s="392"/>
      <c r="E132" s="395"/>
      <c r="F132" s="395"/>
      <c r="G132" s="395"/>
      <c r="I132" s="390"/>
      <c r="J132" s="392"/>
      <c r="L132" s="395"/>
      <c r="M132" s="395"/>
      <c r="N132" s="395"/>
      <c r="P132" s="390"/>
      <c r="Q132" s="392"/>
      <c r="S132" s="395"/>
      <c r="T132" s="395"/>
      <c r="U132" s="395"/>
      <c r="W132" s="390"/>
      <c r="X132" s="392"/>
      <c r="Z132" s="395"/>
      <c r="AA132" s="395"/>
      <c r="AB132" s="395"/>
      <c r="AD132" s="390"/>
      <c r="AE132" s="392"/>
      <c r="AG132" s="395"/>
      <c r="AH132" s="395"/>
      <c r="AI132" s="395"/>
      <c r="AK132" s="390"/>
      <c r="AL132" s="392"/>
      <c r="AN132" s="395"/>
      <c r="AO132" s="395"/>
      <c r="AP132" s="395"/>
      <c r="AR132" s="390"/>
      <c r="AS132" s="392"/>
      <c r="AU132" s="395"/>
      <c r="AV132" s="395"/>
      <c r="AW132" s="395"/>
      <c r="AY132" s="393"/>
      <c r="AZ132" s="392"/>
      <c r="BB132" s="395"/>
      <c r="BC132" s="395"/>
      <c r="BD132" s="395"/>
      <c r="BF132" s="390"/>
      <c r="BG132" s="392"/>
      <c r="BI132" s="395"/>
      <c r="BJ132" s="395"/>
      <c r="BK132" s="395"/>
      <c r="BM132" s="390"/>
      <c r="BN132" s="392"/>
      <c r="BP132" s="395"/>
      <c r="BQ132" s="395"/>
      <c r="BR132" s="395"/>
      <c r="BT132" s="390"/>
      <c r="BU132" s="392"/>
      <c r="BW132" s="395"/>
      <c r="BX132" s="395"/>
      <c r="BY132" s="395"/>
      <c r="CA132" s="390"/>
      <c r="CB132" s="392"/>
      <c r="CD132" s="395"/>
      <c r="CE132" s="395"/>
      <c r="CF132" s="395"/>
      <c r="CH132" s="390"/>
      <c r="CI132" s="392"/>
      <c r="CK132" s="395"/>
      <c r="CL132" s="395"/>
      <c r="CM132" s="395"/>
      <c r="CO132" s="390"/>
      <c r="CP132" s="392"/>
      <c r="CR132" s="395"/>
      <c r="CS132" s="395"/>
      <c r="CT132" s="395"/>
      <c r="CV132" s="393"/>
      <c r="CW132" s="392"/>
      <c r="CY132" s="395"/>
      <c r="CZ132" s="395"/>
      <c r="DA132" s="395"/>
      <c r="DC132" s="390"/>
      <c r="DD132" s="392"/>
      <c r="DF132" s="395"/>
      <c r="DG132" s="395"/>
      <c r="DH132" s="395"/>
      <c r="DJ132" s="390"/>
      <c r="DK132" s="392"/>
      <c r="DM132" s="395"/>
      <c r="DN132" s="395"/>
      <c r="DO132" s="395"/>
      <c r="DQ132" s="390"/>
      <c r="DR132" s="392"/>
      <c r="DT132" s="395"/>
      <c r="DU132" s="395"/>
      <c r="DV132" s="395"/>
      <c r="DX132" s="390"/>
      <c r="DY132" s="392"/>
      <c r="EA132" s="395"/>
      <c r="EB132" s="395"/>
      <c r="EC132" s="395"/>
      <c r="EE132" s="390"/>
      <c r="EF132" s="392"/>
      <c r="EH132" s="395"/>
      <c r="EI132" s="395"/>
      <c r="EJ132" s="395"/>
    </row>
    <row r="133" spans="2:144" s="391" customFormat="1">
      <c r="B133" s="391" t="s">
        <v>245</v>
      </c>
      <c r="C133" s="390">
        <f>TREND($C$74:$C$75,C119:C120,$C$45,1)</f>
        <v>0.71753246753246747</v>
      </c>
      <c r="I133" s="391" t="s">
        <v>245</v>
      </c>
      <c r="J133" s="390">
        <f>TREND($C$74:$C$75,J119:J120,$C$45,1)</f>
        <v>0.66122523299195879</v>
      </c>
      <c r="P133" s="391" t="s">
        <v>245</v>
      </c>
      <c r="Q133" s="390">
        <f>TREND($C$74:$C$75,Q119:Q120,$C$45,1)</f>
        <v>0.56358089560892544</v>
      </c>
      <c r="W133" s="391" t="s">
        <v>245</v>
      </c>
      <c r="X133" s="390">
        <f>TREND($C$74:$C$75,X119:X120,$C$45,1)</f>
        <v>0.40462432821665661</v>
      </c>
      <c r="AD133" s="391" t="s">
        <v>245</v>
      </c>
      <c r="AE133" s="390">
        <f>TREND($C$74:$C$75,AE119:AE120,$C$45,1)</f>
        <v>0.15242815771886853</v>
      </c>
      <c r="AK133" s="391" t="s">
        <v>245</v>
      </c>
      <c r="AL133" s="390">
        <f>TREND($C$74:$C$75,AL119:AL120,$C$45,1)</f>
        <v>-0.27178709321566474</v>
      </c>
      <c r="AR133" s="391" t="s">
        <v>245</v>
      </c>
      <c r="AS133" s="390">
        <f>TREND($C$74:$C$75,AS119:AS120,$C$45,1)</f>
        <v>-0.8524887321183614</v>
      </c>
      <c r="AY133" s="394" t="s">
        <v>245</v>
      </c>
      <c r="AZ133" s="390">
        <f>TREND($C$74:$C$75,AZ119:AZ120,$C$45,1)</f>
        <v>0.91321913380736919</v>
      </c>
      <c r="BF133" s="391" t="s">
        <v>245</v>
      </c>
      <c r="BG133" s="390">
        <f>TREND($C$74:$C$75,BG119:BG120,$C$45,1)</f>
        <v>0.884184045067408</v>
      </c>
      <c r="BM133" s="391" t="s">
        <v>245</v>
      </c>
      <c r="BN133" s="390">
        <f>TREND($C$74:$C$75,BN119:BN120,$C$45,1)</f>
        <v>0.83536187637589132</v>
      </c>
      <c r="BT133" s="391" t="s">
        <v>245</v>
      </c>
      <c r="BU133" s="390">
        <f>TREND($C$74:$C$75,BU119:BU120,$C$45,1)</f>
        <v>0.75588359267975691</v>
      </c>
      <c r="CA133" s="391" t="s">
        <v>245</v>
      </c>
      <c r="CB133" s="390">
        <f>TREND($C$74:$C$75,CB119:CB120,$C$45,1)</f>
        <v>0.62978550743086292</v>
      </c>
      <c r="CH133" s="391" t="s">
        <v>245</v>
      </c>
      <c r="CI133" s="390">
        <f>TREND($C$74:$C$75,CI119:CI120,$C$45,1)</f>
        <v>0.41767788196359623</v>
      </c>
      <c r="CO133" s="391" t="s">
        <v>245</v>
      </c>
      <c r="CP133" s="390">
        <f>TREND($C$74:$C$75,CP119:CP120,$C$45,1)</f>
        <v>0.1273270625122479</v>
      </c>
      <c r="CV133" s="394" t="s">
        <v>245</v>
      </c>
      <c r="CW133" s="390">
        <f>TREND($C$74:$C$75,CW119:CW120,$C$45,1)</f>
        <v>1.0097402597402596</v>
      </c>
      <c r="DC133" s="391" t="s">
        <v>245</v>
      </c>
      <c r="DD133" s="390">
        <f>TREND($C$74:$C$75,DD119:DD120,$C$45,1)</f>
        <v>0.99946159368269927</v>
      </c>
      <c r="DJ133" s="391" t="s">
        <v>245</v>
      </c>
      <c r="DK133" s="390">
        <f>TREND($C$74:$C$75,DK119:DK120,$C$45,1)</f>
        <v>0.98743016759776525</v>
      </c>
      <c r="DQ133" s="391" t="s">
        <v>245</v>
      </c>
      <c r="DR133" s="390">
        <f>TREND($C$74:$C$75,DR119:DR120,$C$45,1)</f>
        <v>0.96186440677966112</v>
      </c>
      <c r="DX133" s="391" t="s">
        <v>245</v>
      </c>
      <c r="DY133" s="390">
        <f>TREND($C$74:$C$75,DY119:DY120,$C$45,1)</f>
        <v>0.91233766233766223</v>
      </c>
      <c r="EE133" s="391" t="s">
        <v>245</v>
      </c>
      <c r="EF133" s="390">
        <f>TREND($C$74:$C$75,EF119:EF120,$C$45,1)</f>
        <v>0.82332071901608339</v>
      </c>
    </row>
    <row r="134" spans="2:144" s="391" customFormat="1">
      <c r="B134" s="391" t="s">
        <v>253</v>
      </c>
      <c r="C134" s="390">
        <f>TREND($F$74:$F$75,C119:C120,$C$45,1)</f>
        <v>6.1298701298701301</v>
      </c>
      <c r="I134" s="391" t="s">
        <v>253</v>
      </c>
      <c r="J134" s="390">
        <f>TREND($F$74:$F$75,J119:J120,$C$45,1)</f>
        <v>6.3550990680321648</v>
      </c>
      <c r="P134" s="391" t="s">
        <v>253</v>
      </c>
      <c r="Q134" s="390">
        <f>TREND($F$74:$F$75,Q119:Q120,$C$45,1)</f>
        <v>6.7456764175642983</v>
      </c>
      <c r="W134" s="391" t="s">
        <v>253</v>
      </c>
      <c r="X134" s="390">
        <f>TREND($F$74:$F$75,X119:X120,$C$45,1)</f>
        <v>7.3815026871333735</v>
      </c>
      <c r="AD134" s="391" t="s">
        <v>253</v>
      </c>
      <c r="AE134" s="390">
        <f>TREND($F$74:$F$75,AE119:AE120,$C$45,1)</f>
        <v>8.3902873691245254</v>
      </c>
      <c r="AK134" s="391" t="s">
        <v>253</v>
      </c>
      <c r="AL134" s="390">
        <f>TREND($F$74:$F$75,AL119:AL120,$C$45,1)</f>
        <v>10.087148372862659</v>
      </c>
      <c r="AR134" s="391" t="s">
        <v>253</v>
      </c>
      <c r="AS134" s="390">
        <f>TREND($F$74:$F$75,AS119:AS120,$C$45,1)</f>
        <v>12.409954928473447</v>
      </c>
      <c r="AY134" s="394" t="s">
        <v>253</v>
      </c>
      <c r="AZ134" s="390">
        <f>TREND($F$74:$F$75,AZ119:AZ120,$C$45,1)</f>
        <v>5.3471234647705232</v>
      </c>
      <c r="BF134" s="391" t="s">
        <v>253</v>
      </c>
      <c r="BG134" s="390">
        <f>TREND($F$74:$F$75,BG119:BG120,$C$45,1)</f>
        <v>5.4632638197303685</v>
      </c>
      <c r="BM134" s="391" t="s">
        <v>253</v>
      </c>
      <c r="BN134" s="390">
        <f>TREND($F$74:$F$75,BN119:BN120,$C$45,1)</f>
        <v>5.6585524944964352</v>
      </c>
      <c r="BT134" s="391" t="s">
        <v>253</v>
      </c>
      <c r="BU134" s="390">
        <f>TREND($F$74:$F$75,BU119:BU120,$C$45,1)</f>
        <v>5.9764656292809724</v>
      </c>
      <c r="CA134" s="391" t="s">
        <v>253</v>
      </c>
      <c r="CB134" s="390">
        <f>TREND($F$74:$F$75,CB119:CB120,$C$45,1)</f>
        <v>6.4808579702765483</v>
      </c>
      <c r="CH134" s="391" t="s">
        <v>253</v>
      </c>
      <c r="CI134" s="390">
        <f>TREND($F$74:$F$75,CI119:CI120,$C$45,1)</f>
        <v>7.3292884721456151</v>
      </c>
      <c r="CO134" s="391" t="s">
        <v>253</v>
      </c>
      <c r="CP134" s="390">
        <f>TREND($F$74:$F$75,CP119:CP120,$C$45,1)</f>
        <v>8.4906917499510079</v>
      </c>
      <c r="CV134" s="394" t="s">
        <v>253</v>
      </c>
      <c r="CW134" s="390">
        <f>TREND($F$74:$F$75,CW119:CW120,$C$45,1)</f>
        <v>4.9610389610389616</v>
      </c>
      <c r="DC134" s="391" t="s">
        <v>253</v>
      </c>
      <c r="DD134" s="390">
        <f>TREND($F$74:$F$75,DD119:DD120,$C$45,1)</f>
        <v>5.0021536252692034</v>
      </c>
      <c r="DJ134" s="391" t="s">
        <v>253</v>
      </c>
      <c r="DK134" s="390">
        <f>TREND($F$74:$F$75,DK119:DK120,$C$45,1)</f>
        <v>5.050279329608939</v>
      </c>
      <c r="DQ134" s="391" t="s">
        <v>253</v>
      </c>
      <c r="DR134" s="390">
        <f>TREND($F$74:$F$75,DR119:DR120,$C$45,1)</f>
        <v>5.1525423728813555</v>
      </c>
      <c r="DX134" s="391" t="s">
        <v>253</v>
      </c>
      <c r="DY134" s="390">
        <f>TREND($F$74:$F$75,DY119:DY120,$C$45,1)</f>
        <v>5.3506493506493511</v>
      </c>
      <c r="EE134" s="391" t="s">
        <v>253</v>
      </c>
      <c r="EF134" s="390">
        <f>TREND($F$74:$F$75,EF119:EF120,$C$45,1)</f>
        <v>5.7067171239356664</v>
      </c>
    </row>
    <row r="135" spans="2:144" s="391" customFormat="1">
      <c r="AY135" s="394"/>
      <c r="CV135" s="394"/>
    </row>
    <row r="136" spans="2:144" s="391" customFormat="1">
      <c r="B136" s="391" t="s">
        <v>254</v>
      </c>
      <c r="C136" s="391">
        <f>SQRT($C$45/C133)*SQRT(2.7/$C$35)</f>
        <v>12.932123530361318</v>
      </c>
      <c r="I136" s="391" t="s">
        <v>255</v>
      </c>
      <c r="J136" s="391">
        <f>SQRT($C$45/J133)*SQRT(2.7/$C$35)</f>
        <v>13.471498710317769</v>
      </c>
      <c r="P136" s="391" t="s">
        <v>256</v>
      </c>
      <c r="Q136" s="391">
        <f>SQRT($C$45/Q133)*SQRT(2.7/$C$35)</f>
        <v>14.591921734008022</v>
      </c>
      <c r="W136" s="391" t="s">
        <v>257</v>
      </c>
      <c r="X136" s="391">
        <f>SQRT($C$45/X133)*SQRT(2.7/$C$35)</f>
        <v>17.221248252279086</v>
      </c>
      <c r="AD136" s="391" t="s">
        <v>258</v>
      </c>
      <c r="AE136" s="391">
        <f>SQRT($C$45/AE133)*SQRT(2.7/$C$35)</f>
        <v>28.058084750018828</v>
      </c>
      <c r="AK136" s="391" t="s">
        <v>259</v>
      </c>
      <c r="AL136" s="391" t="e">
        <f>SQRT($C$45/AL133)*SQRT(2.7/$C$35)</f>
        <v>#NUM!</v>
      </c>
      <c r="AR136" s="391" t="s">
        <v>260</v>
      </c>
      <c r="AS136" s="391" t="e">
        <f>SQRT($C$45/AS133)*SQRT(2.7/$C$35)</f>
        <v>#NUM!</v>
      </c>
      <c r="AY136" s="394" t="s">
        <v>261</v>
      </c>
      <c r="AZ136" s="391">
        <f>SQRT($C$45/AZ133)*SQRT(2.7/$C$35)</f>
        <v>11.463127472589678</v>
      </c>
      <c r="BF136" s="391" t="s">
        <v>262</v>
      </c>
      <c r="BG136" s="391">
        <f>SQRT($C$45/BG133)*SQRT(2.7/$C$35)</f>
        <v>11.64982190195863</v>
      </c>
      <c r="BM136" s="391" t="s">
        <v>263</v>
      </c>
      <c r="BN136" s="391">
        <f>SQRT($C$45/BN133)*SQRT(2.7/$C$35)</f>
        <v>11.985421101232163</v>
      </c>
      <c r="BT136" s="391" t="s">
        <v>264</v>
      </c>
      <c r="BU136" s="391">
        <f>SQRT($C$45/BU133)*SQRT(2.7/$C$35)</f>
        <v>12.599785848833228</v>
      </c>
      <c r="CA136" s="391" t="s">
        <v>265</v>
      </c>
      <c r="CB136" s="391">
        <f>SQRT($C$45/CB133)*SQRT(2.7/$C$35)</f>
        <v>13.803661214474527</v>
      </c>
      <c r="CH136" s="391" t="s">
        <v>266</v>
      </c>
      <c r="CI136" s="391">
        <f>SQRT($C$45/CI133)*SQRT(2.7/$C$35)</f>
        <v>16.950007084903437</v>
      </c>
      <c r="CO136" s="391" t="s">
        <v>267</v>
      </c>
      <c r="CP136" s="391">
        <f>SQRT($C$45/CP133)*SQRT(2.7/$C$35)</f>
        <v>30.699426546825944</v>
      </c>
      <c r="CV136" s="394" t="s">
        <v>268</v>
      </c>
      <c r="CW136" s="391">
        <f>SQRT($C$45/CW133)*SQRT(2.7/$C$35)</f>
        <v>10.90148814290524</v>
      </c>
      <c r="DC136" s="391" t="s">
        <v>269</v>
      </c>
      <c r="DD136" s="391">
        <f>SQRT($C$45/DD133)*SQRT(2.7/$C$35)</f>
        <v>10.957401314297956</v>
      </c>
      <c r="DJ136" s="391" t="s">
        <v>270</v>
      </c>
      <c r="DK136" s="391">
        <f>SQRT($C$45/DK133)*SQRT(2.7/$C$35)</f>
        <v>11.023954886045278</v>
      </c>
      <c r="DQ136" s="391" t="s">
        <v>271</v>
      </c>
      <c r="DR136" s="391">
        <f>SQRT($C$45/DR133)*SQRT(2.7/$C$35)</f>
        <v>11.169499059989276</v>
      </c>
      <c r="DX136" s="391" t="s">
        <v>272</v>
      </c>
      <c r="DY136" s="391">
        <f>SQRT($C$45/DY133)*SQRT(2.7/$C$35)</f>
        <v>11.468663789226726</v>
      </c>
      <c r="EE136" s="391" t="s">
        <v>273</v>
      </c>
      <c r="EF136" s="391">
        <f>SQRT($C$45/EF133)*SQRT(2.7/$C$35)</f>
        <v>12.072747032615675</v>
      </c>
    </row>
    <row r="137" spans="2:144" s="391" customFormat="1">
      <c r="B137" s="391" t="s">
        <v>274</v>
      </c>
      <c r="C137" s="391">
        <f>C134*$C$35</f>
        <v>16.550649350649351</v>
      </c>
      <c r="I137" s="391" t="s">
        <v>274</v>
      </c>
      <c r="J137" s="391">
        <f>J134*$C$35</f>
        <v>17.158767483686844</v>
      </c>
      <c r="P137" s="391" t="s">
        <v>274</v>
      </c>
      <c r="Q137" s="391">
        <f>Q134*$C$35</f>
        <v>18.213326327423605</v>
      </c>
      <c r="W137" s="391" t="s">
        <v>274</v>
      </c>
      <c r="X137" s="391">
        <f>X134*$C$35</f>
        <v>19.93005725526011</v>
      </c>
      <c r="AD137" s="391" t="s">
        <v>274</v>
      </c>
      <c r="AE137" s="391">
        <f>AE134*$C$35</f>
        <v>22.653775896636219</v>
      </c>
      <c r="AK137" s="391" t="s">
        <v>274</v>
      </c>
      <c r="AL137" s="391">
        <f>AL134*$C$35</f>
        <v>27.235300606729179</v>
      </c>
      <c r="AR137" s="391" t="s">
        <v>274</v>
      </c>
      <c r="AS137" s="391">
        <f>AS134*$C$35</f>
        <v>33.506878306878306</v>
      </c>
      <c r="AY137" s="394" t="s">
        <v>274</v>
      </c>
      <c r="AZ137" s="391">
        <f>AZ134*$C$35</f>
        <v>14.437233354880414</v>
      </c>
      <c r="BF137" s="391" t="s">
        <v>274</v>
      </c>
      <c r="BG137" s="391">
        <f>BG134*$C$35</f>
        <v>14.750812313271997</v>
      </c>
      <c r="BM137" s="391" t="s">
        <v>274</v>
      </c>
      <c r="BN137" s="391">
        <f>BN134*$C$35</f>
        <v>15.278091735140375</v>
      </c>
      <c r="BT137" s="391" t="s">
        <v>274</v>
      </c>
      <c r="BU137" s="391">
        <f>BU134*$C$35</f>
        <v>16.136457199058626</v>
      </c>
      <c r="CA137" s="391" t="s">
        <v>274</v>
      </c>
      <c r="CB137" s="391">
        <f>CB134*$C$35</f>
        <v>17.49831651974668</v>
      </c>
      <c r="CH137" s="391" t="s">
        <v>274</v>
      </c>
      <c r="CI137" s="391">
        <f>CI134*$C$35</f>
        <v>19.789078874793162</v>
      </c>
      <c r="CO137" s="391" t="s">
        <v>274</v>
      </c>
      <c r="CP137" s="391">
        <f>CP134*$C$35</f>
        <v>22.924867724867724</v>
      </c>
      <c r="CV137" s="394" t="s">
        <v>274</v>
      </c>
      <c r="CW137" s="391">
        <f>CW134*$C$35</f>
        <v>13.394805194805198</v>
      </c>
      <c r="DC137" s="391" t="s">
        <v>274</v>
      </c>
      <c r="DD137" s="391">
        <f>DD134*$C$35</f>
        <v>13.50581478822685</v>
      </c>
      <c r="DJ137" s="391" t="s">
        <v>274</v>
      </c>
      <c r="DK137" s="391">
        <f>DK134*$C$35</f>
        <v>13.635754189944135</v>
      </c>
      <c r="DQ137" s="391" t="s">
        <v>274</v>
      </c>
      <c r="DR137" s="391">
        <f>DR134*$C$35</f>
        <v>13.91186440677966</v>
      </c>
      <c r="DX137" s="391" t="s">
        <v>274</v>
      </c>
      <c r="DY137" s="391">
        <f>DY134*$C$35</f>
        <v>14.446753246753248</v>
      </c>
      <c r="EE137" s="391" t="s">
        <v>274</v>
      </c>
      <c r="EF137" s="391">
        <f>EF134*$C$35</f>
        <v>15.4081362346263</v>
      </c>
    </row>
    <row r="138" spans="2:144" s="391" customFormat="1">
      <c r="B138" s="391" t="s">
        <v>275</v>
      </c>
      <c r="C138" s="390">
        <f>MIN(C136,C137)*$C$51*SQRT(12/$C$34)</f>
        <v>12.932123530361318</v>
      </c>
      <c r="D138" s="391" t="s">
        <v>276</v>
      </c>
      <c r="I138" s="391" t="s">
        <v>275</v>
      </c>
      <c r="J138" s="390">
        <f>MIN(J136,J137)*$C$51*SQRT(12/$C$34)</f>
        <v>13.471498710317769</v>
      </c>
      <c r="K138" s="391" t="s">
        <v>276</v>
      </c>
      <c r="P138" s="391" t="s">
        <v>275</v>
      </c>
      <c r="Q138" s="390">
        <f>MIN(Q136,Q137)*$C$51*SQRT(12/$C$34)</f>
        <v>14.591921734008022</v>
      </c>
      <c r="R138" s="391" t="s">
        <v>276</v>
      </c>
      <c r="W138" s="391" t="s">
        <v>275</v>
      </c>
      <c r="X138" s="390">
        <f>MIN(X136,X137)*$C$51*SQRT(12/$C$34)</f>
        <v>17.221248252279086</v>
      </c>
      <c r="Y138" s="391" t="s">
        <v>276</v>
      </c>
      <c r="AD138" s="391" t="s">
        <v>275</v>
      </c>
      <c r="AE138" s="390">
        <f>MIN(AE136,AE137)*$C$51*SQRT(12/$C$34)</f>
        <v>22.653775896636219</v>
      </c>
      <c r="AF138" s="391" t="s">
        <v>276</v>
      </c>
      <c r="AK138" s="391" t="s">
        <v>275</v>
      </c>
      <c r="AL138" s="390" t="e">
        <f>MIN(AL136,AL137)*$C$51*SQRT(12/$C$34)</f>
        <v>#NUM!</v>
      </c>
      <c r="AM138" s="391" t="s">
        <v>276</v>
      </c>
      <c r="AR138" s="391" t="s">
        <v>275</v>
      </c>
      <c r="AS138" s="390" t="e">
        <f>MIN(AS136,AS137)*$C$51*SQRT(12/$C$34)</f>
        <v>#NUM!</v>
      </c>
      <c r="AT138" s="391" t="s">
        <v>276</v>
      </c>
      <c r="AY138" s="394" t="s">
        <v>275</v>
      </c>
      <c r="AZ138" s="390">
        <f>MIN(AZ136,AZ137)*$C$51*SQRT(12/$C$34)</f>
        <v>11.463127472589678</v>
      </c>
      <c r="BA138" s="391" t="s">
        <v>276</v>
      </c>
      <c r="BF138" s="391" t="s">
        <v>275</v>
      </c>
      <c r="BG138" s="390">
        <f>MIN(BG136,BG137)*$C$51*SQRT(12/$C$34)</f>
        <v>11.64982190195863</v>
      </c>
      <c r="BH138" s="391" t="s">
        <v>276</v>
      </c>
      <c r="BM138" s="391" t="s">
        <v>275</v>
      </c>
      <c r="BN138" s="390">
        <f>MIN(BN136,BN137)*$C$51*SQRT(12/$C$34)</f>
        <v>11.985421101232163</v>
      </c>
      <c r="BO138" s="391" t="s">
        <v>276</v>
      </c>
      <c r="BT138" s="391" t="s">
        <v>275</v>
      </c>
      <c r="BU138" s="390">
        <f>MIN(BU136,BU137)*$C$51*SQRT(12/$C$34)</f>
        <v>12.599785848833228</v>
      </c>
      <c r="BV138" s="391" t="s">
        <v>276</v>
      </c>
      <c r="CA138" s="391" t="s">
        <v>275</v>
      </c>
      <c r="CB138" s="390">
        <f>MIN(CB136,CB137)*$C$51*SQRT(12/$C$34)</f>
        <v>13.803661214474527</v>
      </c>
      <c r="CC138" s="391" t="s">
        <v>276</v>
      </c>
      <c r="CH138" s="391" t="s">
        <v>275</v>
      </c>
      <c r="CI138" s="390">
        <f>MIN(CI136,CI137)*$C$51*SQRT(12/$C$34)</f>
        <v>16.950007084903437</v>
      </c>
      <c r="CJ138" s="391" t="s">
        <v>276</v>
      </c>
      <c r="CO138" s="391" t="s">
        <v>275</v>
      </c>
      <c r="CP138" s="390">
        <f>MIN(CP136,CP137)*$C$51*SQRT(12/$C$34)</f>
        <v>22.924867724867724</v>
      </c>
      <c r="CQ138" s="391" t="s">
        <v>276</v>
      </c>
      <c r="CV138" s="394" t="s">
        <v>275</v>
      </c>
      <c r="CW138" s="390">
        <f>MIN(CW136,CW137)*$C$51*SQRT(12/$C$34)</f>
        <v>10.90148814290524</v>
      </c>
      <c r="CX138" s="391" t="s">
        <v>276</v>
      </c>
      <c r="DC138" s="391" t="s">
        <v>275</v>
      </c>
      <c r="DD138" s="390">
        <f>MIN(DD136,DD137)*$C$51*SQRT(12/$C$34)</f>
        <v>10.957401314297956</v>
      </c>
      <c r="DE138" s="391" t="s">
        <v>276</v>
      </c>
      <c r="DJ138" s="391" t="s">
        <v>275</v>
      </c>
      <c r="DK138" s="390">
        <f>MIN(DK136,DK137)*$C$51*SQRT(12/$C$34)</f>
        <v>11.023954886045278</v>
      </c>
      <c r="DL138" s="391" t="s">
        <v>276</v>
      </c>
      <c r="DQ138" s="391" t="s">
        <v>275</v>
      </c>
      <c r="DR138" s="390">
        <f>MIN(DR136,DR137)*$C$51*SQRT(12/$C$34)</f>
        <v>11.169499059989276</v>
      </c>
      <c r="DS138" s="391" t="s">
        <v>276</v>
      </c>
      <c r="DX138" s="391" t="s">
        <v>275</v>
      </c>
      <c r="DY138" s="390">
        <f>MIN(DY136,DY137)*$C$51*SQRT(12/$C$34)</f>
        <v>11.468663789226726</v>
      </c>
      <c r="DZ138" s="391" t="s">
        <v>276</v>
      </c>
      <c r="EE138" s="391" t="s">
        <v>275</v>
      </c>
      <c r="EF138" s="390">
        <f>MIN(EF136,EF137)*$C$51*SQRT(12/$C$34)</f>
        <v>12.072747032615675</v>
      </c>
      <c r="EG138" s="391" t="s">
        <v>276</v>
      </c>
    </row>
    <row r="139" spans="2:144">
      <c r="C139" s="1"/>
      <c r="J139" s="1"/>
      <c r="Q139" s="1"/>
      <c r="X139" s="1"/>
      <c r="AE139" s="1"/>
      <c r="AL139" s="1"/>
      <c r="AS139" s="1"/>
      <c r="AY139" s="338"/>
      <c r="AZ139" s="1"/>
      <c r="BG139" s="1"/>
      <c r="BN139" s="1"/>
      <c r="BU139" s="1"/>
      <c r="CB139" s="1"/>
      <c r="CI139" s="1"/>
      <c r="CP139" s="1"/>
      <c r="CV139" s="338"/>
      <c r="CW139" s="1"/>
      <c r="DD139" s="1"/>
      <c r="DK139" s="1"/>
      <c r="DR139" s="1"/>
      <c r="DY139" s="1"/>
      <c r="EF139" s="1"/>
    </row>
    <row r="140" spans="2:144">
      <c r="B140" s="1" t="s">
        <v>277</v>
      </c>
      <c r="C140" s="1"/>
      <c r="I140" s="1" t="s">
        <v>278</v>
      </c>
      <c r="J140" s="1"/>
      <c r="P140" s="1" t="s">
        <v>278</v>
      </c>
      <c r="Q140" s="1"/>
      <c r="W140" s="1" t="s">
        <v>278</v>
      </c>
      <c r="X140" s="1"/>
      <c r="AD140" s="1" t="s">
        <v>278</v>
      </c>
      <c r="AE140" s="1"/>
      <c r="AK140" s="1" t="s">
        <v>278</v>
      </c>
      <c r="AL140" s="1"/>
      <c r="AR140" s="1" t="s">
        <v>278</v>
      </c>
      <c r="AS140" s="1"/>
      <c r="AY140" s="1" t="s">
        <v>278</v>
      </c>
      <c r="AZ140" s="1"/>
      <c r="BF140" s="1" t="s">
        <v>278</v>
      </c>
      <c r="BG140" s="1"/>
      <c r="BM140" s="1" t="s">
        <v>278</v>
      </c>
      <c r="BN140" s="1"/>
      <c r="BT140" s="1" t="s">
        <v>278</v>
      </c>
      <c r="BU140" s="1"/>
      <c r="CA140" s="1" t="s">
        <v>278</v>
      </c>
      <c r="CB140" s="1"/>
      <c r="CH140" s="1" t="s">
        <v>278</v>
      </c>
      <c r="CI140" s="1"/>
      <c r="CO140" s="1" t="s">
        <v>278</v>
      </c>
      <c r="CP140" s="1"/>
      <c r="CV140" s="1" t="s">
        <v>278</v>
      </c>
      <c r="CW140" s="1"/>
      <c r="DC140" s="1" t="s">
        <v>278</v>
      </c>
      <c r="DD140" s="1"/>
      <c r="DJ140" s="1" t="s">
        <v>278</v>
      </c>
      <c r="DK140" s="1"/>
      <c r="DQ140" s="1" t="s">
        <v>278</v>
      </c>
      <c r="DR140" s="1"/>
      <c r="DX140" s="1" t="s">
        <v>278</v>
      </c>
      <c r="DY140" s="1"/>
      <c r="EE140" s="1" t="s">
        <v>278</v>
      </c>
      <c r="EF140" s="1"/>
    </row>
    <row r="141" spans="2:144">
      <c r="B141" t="s">
        <v>245</v>
      </c>
      <c r="C141">
        <f>TREND($C$74:$C$75,C119:C120,$C$45,1)</f>
        <v>0.71753246753246747</v>
      </c>
      <c r="D141" t="s">
        <v>279</v>
      </c>
      <c r="I141" t="s">
        <v>245</v>
      </c>
      <c r="J141">
        <f>TREND($C$74:$C$75,J119:J120,$C$45,1)</f>
        <v>0.66122523299195879</v>
      </c>
      <c r="P141" t="s">
        <v>245</v>
      </c>
      <c r="Q141">
        <f>TREND($C$74:$C$75,Q119:Q120,$C$45,1)</f>
        <v>0.56358089560892544</v>
      </c>
      <c r="W141" t="s">
        <v>245</v>
      </c>
      <c r="X141">
        <f>TREND($C$74:$C$75,X119:X120,$C$45,1)</f>
        <v>0.40462432821665661</v>
      </c>
      <c r="AD141" t="s">
        <v>245</v>
      </c>
      <c r="AE141">
        <f>TREND($C$74:$C$75,AE119:AE120,$C$45,1)</f>
        <v>0.15242815771886853</v>
      </c>
      <c r="AK141" t="s">
        <v>245</v>
      </c>
      <c r="AL141">
        <f>TREND($C$74:$C$75,AL119:AL120,$C$45,1)</f>
        <v>-0.27178709321566474</v>
      </c>
      <c r="AR141" t="s">
        <v>245</v>
      </c>
      <c r="AS141">
        <f>TREND($C$74:$C$75,AS119:AS120,$C$45,1)</f>
        <v>-0.8524887321183614</v>
      </c>
      <c r="AY141" t="s">
        <v>245</v>
      </c>
      <c r="AZ141">
        <f>TREND($C$74:$C$75,AZ119:AZ120,$C$45,1)</f>
        <v>0.91321913380736919</v>
      </c>
      <c r="BF141" t="s">
        <v>245</v>
      </c>
      <c r="BG141">
        <f>TREND($C$74:$C$75,BG119:BG120,$C$45,1)</f>
        <v>0.884184045067408</v>
      </c>
      <c r="BM141" t="s">
        <v>245</v>
      </c>
      <c r="BN141">
        <f>TREND($C$74:$C$75,BN119:BN120,$C$45,1)</f>
        <v>0.83536187637589132</v>
      </c>
      <c r="BT141" t="s">
        <v>245</v>
      </c>
      <c r="BU141">
        <f>TREND($C$74:$C$75,BU119:BU120,$C$45,1)</f>
        <v>0.75588359267975691</v>
      </c>
      <c r="CA141" t="s">
        <v>245</v>
      </c>
      <c r="CB141">
        <f>TREND($C$74:$C$75,CB119:CB120,$C$45,1)</f>
        <v>0.62978550743086292</v>
      </c>
      <c r="CH141" t="s">
        <v>245</v>
      </c>
      <c r="CI141">
        <f>TREND($C$74:$C$75,CI119:CI120,$C$45,1)</f>
        <v>0.41767788196359623</v>
      </c>
      <c r="CO141" t="s">
        <v>245</v>
      </c>
      <c r="CP141">
        <f>TREND($C$74:$C$75,CP119:CP120,$C$45,1)</f>
        <v>0.1273270625122479</v>
      </c>
      <c r="CV141" t="s">
        <v>245</v>
      </c>
      <c r="CW141">
        <f>TREND($C$74:$C$75,CW119:CW120,$C$45,1)</f>
        <v>1.0097402597402596</v>
      </c>
      <c r="DC141" t="s">
        <v>245</v>
      </c>
      <c r="DD141">
        <f>TREND($C$74:$C$75,DD119:DD120,$C$45,1)</f>
        <v>0.99946159368269927</v>
      </c>
      <c r="DJ141" t="s">
        <v>245</v>
      </c>
      <c r="DK141">
        <f>TREND($C$74:$C$75,DK119:DK120,$C$45,1)</f>
        <v>0.98743016759776525</v>
      </c>
      <c r="DQ141" t="s">
        <v>245</v>
      </c>
      <c r="DR141">
        <f>TREND($C$74:$C$75,DR119:DR120,$C$45,1)</f>
        <v>0.96186440677966112</v>
      </c>
      <c r="DX141" t="s">
        <v>245</v>
      </c>
      <c r="DY141">
        <f>TREND($C$74:$C$75,DY119:DY120,$C$45,1)</f>
        <v>0.91233766233766223</v>
      </c>
      <c r="EE141" t="s">
        <v>245</v>
      </c>
      <c r="EF141">
        <f>TREND($C$74:$C$75,EF119:EF120,$C$45,1)</f>
        <v>0.82332071901608339</v>
      </c>
    </row>
    <row r="142" spans="2:144">
      <c r="B142" t="s">
        <v>253</v>
      </c>
      <c r="C142">
        <f>TREND($F$74:$F$75,C119:C120,$C$45,1)</f>
        <v>6.1298701298701301</v>
      </c>
      <c r="I142" t="s">
        <v>253</v>
      </c>
      <c r="J142">
        <f>TREND($F$74:$F$75,J119:J120,$C$45,1)</f>
        <v>6.3550990680321648</v>
      </c>
      <c r="P142" t="s">
        <v>253</v>
      </c>
      <c r="Q142">
        <f>TREND($F$74:$F$75,Q119:Q120,$C$45,1)</f>
        <v>6.7456764175642983</v>
      </c>
      <c r="W142" t="s">
        <v>253</v>
      </c>
      <c r="X142">
        <f>TREND($F$74:$F$75,X119:X120,$C$45,1)</f>
        <v>7.3815026871333735</v>
      </c>
      <c r="AD142" t="s">
        <v>253</v>
      </c>
      <c r="AE142">
        <f>TREND($F$74:$F$75,AE119:AE120,$C$45,1)</f>
        <v>8.3902873691245254</v>
      </c>
      <c r="AK142" t="s">
        <v>253</v>
      </c>
      <c r="AL142">
        <f>TREND($F$74:$F$75,AL119:AL120,$C$45,1)</f>
        <v>10.087148372862659</v>
      </c>
      <c r="AR142" t="s">
        <v>253</v>
      </c>
      <c r="AS142">
        <f>TREND($F$74:$F$75,AS119:AS120,$C$45,1)</f>
        <v>12.409954928473447</v>
      </c>
      <c r="AY142" t="s">
        <v>253</v>
      </c>
      <c r="AZ142">
        <f>TREND($F$74:$F$75,AZ119:AZ120,$C$45,1)</f>
        <v>5.3471234647705232</v>
      </c>
      <c r="BF142" t="s">
        <v>253</v>
      </c>
      <c r="BG142">
        <f>TREND($F$74:$F$75,BG119:BG120,$C$45,1)</f>
        <v>5.4632638197303685</v>
      </c>
      <c r="BM142" t="s">
        <v>253</v>
      </c>
      <c r="BN142">
        <f>TREND($F$74:$F$75,BN119:BN120,$C$45,1)</f>
        <v>5.6585524944964352</v>
      </c>
      <c r="BT142" t="s">
        <v>253</v>
      </c>
      <c r="BU142">
        <f>TREND($F$74:$F$75,BU119:BU120,$C$45,1)</f>
        <v>5.9764656292809724</v>
      </c>
      <c r="CA142" t="s">
        <v>253</v>
      </c>
      <c r="CB142">
        <f>TREND($F$74:$F$75,CB119:CB120,$C$45,1)</f>
        <v>6.4808579702765483</v>
      </c>
      <c r="CH142" t="s">
        <v>253</v>
      </c>
      <c r="CI142">
        <f>TREND($F$74:$F$75,CI119:CI120,$C$45,1)</f>
        <v>7.3292884721456151</v>
      </c>
      <c r="CO142" t="s">
        <v>253</v>
      </c>
      <c r="CP142">
        <f>TREND($F$74:$F$75,CP119:CP120,$C$45,1)</f>
        <v>8.4906917499510079</v>
      </c>
      <c r="CV142" t="s">
        <v>253</v>
      </c>
      <c r="CW142">
        <f>TREND($F$74:$F$75,CW119:CW120,$C$45,1)</f>
        <v>4.9610389610389616</v>
      </c>
      <c r="DC142" t="s">
        <v>253</v>
      </c>
      <c r="DD142">
        <f>TREND($F$74:$F$75,DD119:DD120,$C$45,1)</f>
        <v>5.0021536252692034</v>
      </c>
      <c r="DJ142" t="s">
        <v>253</v>
      </c>
      <c r="DK142">
        <f>TREND($F$74:$F$75,DK119:DK120,$C$45,1)</f>
        <v>5.050279329608939</v>
      </c>
      <c r="DQ142" t="s">
        <v>253</v>
      </c>
      <c r="DR142">
        <f>TREND($F$74:$F$75,DR119:DR120,$C$45,1)</f>
        <v>5.1525423728813555</v>
      </c>
      <c r="DX142" t="s">
        <v>253</v>
      </c>
      <c r="DY142">
        <f>TREND($F$74:$F$75,DY119:DY120,$C$45,1)</f>
        <v>5.3506493506493511</v>
      </c>
      <c r="EE142" t="s">
        <v>253</v>
      </c>
      <c r="EF142">
        <f>TREND($F$74:$F$75,EF119:EF120,$C$45,1)</f>
        <v>5.7067171239356664</v>
      </c>
    </row>
    <row r="143" spans="2:144">
      <c r="C143" s="1"/>
      <c r="J143" s="1"/>
      <c r="Q143" s="1"/>
      <c r="X143" s="1"/>
      <c r="AE143" s="1"/>
      <c r="AL143" s="1"/>
      <c r="AS143" s="1"/>
      <c r="AZ143" s="1"/>
      <c r="BG143" s="1"/>
      <c r="BN143" s="1"/>
      <c r="BU143" s="1"/>
      <c r="CB143" s="1"/>
      <c r="CI143" s="1"/>
      <c r="CP143" s="1"/>
      <c r="CW143" s="1"/>
      <c r="DD143" s="1"/>
      <c r="DK143" s="1"/>
      <c r="DR143" s="1"/>
      <c r="DY143" s="1"/>
      <c r="EF143" s="1"/>
    </row>
    <row r="144" spans="2:144">
      <c r="B144" t="s">
        <v>280</v>
      </c>
      <c r="C144">
        <f>$C$88*SQRT($C$44/C141)*SQRT(2.7/$C$35)</f>
        <v>6.4660617651806591</v>
      </c>
      <c r="D144">
        <f>C144*2</f>
        <v>12.932123530361318</v>
      </c>
      <c r="I144" t="s">
        <v>281</v>
      </c>
      <c r="J144">
        <f>$C$88*SQRT($C$44/J141)*SQRT(2.7/$C$35)</f>
        <v>6.7357493551588847</v>
      </c>
      <c r="P144" t="s">
        <v>282</v>
      </c>
      <c r="Q144">
        <f>$C$88*SQRT($C$44/Q141)*SQRT(2.7/$C$35)</f>
        <v>7.2959608670040108</v>
      </c>
      <c r="W144" t="s">
        <v>283</v>
      </c>
      <c r="X144">
        <f>$C$88*SQRT($C$44/X141)*SQRT(2.7/$C$35)</f>
        <v>8.6106241261395429</v>
      </c>
      <c r="AD144" t="s">
        <v>284</v>
      </c>
      <c r="AE144">
        <f>$C$88*SQRT($C$44/AE141)*SQRT(2.7/$C$35)</f>
        <v>14.029042375009414</v>
      </c>
      <c r="AK144" t="s">
        <v>285</v>
      </c>
      <c r="AL144" t="e">
        <f>$C$88*SQRT($C$44/AL141)*SQRT(2.7/$C$35)</f>
        <v>#NUM!</v>
      </c>
      <c r="AR144" t="s">
        <v>286</v>
      </c>
      <c r="AS144" t="e">
        <f>$C$88*SQRT($C$44/AS141)*SQRT(2.7/$C$35)</f>
        <v>#NUM!</v>
      </c>
      <c r="AY144" t="s">
        <v>287</v>
      </c>
      <c r="AZ144">
        <f>$C$88*SQRT($C$44/AZ141)*SQRT(2.7/$C$35)</f>
        <v>5.7315637362948388</v>
      </c>
      <c r="BF144" t="s">
        <v>288</v>
      </c>
      <c r="BG144">
        <f>$C$88*SQRT($C$44/BG141)*SQRT(2.7/$C$35)</f>
        <v>5.8249109509793149</v>
      </c>
      <c r="BM144" t="s">
        <v>289</v>
      </c>
      <c r="BN144">
        <f>$C$88*SQRT($C$44/BN141)*SQRT(2.7/$C$35)</f>
        <v>5.9927105506160814</v>
      </c>
      <c r="BT144" t="s">
        <v>290</v>
      </c>
      <c r="BU144">
        <f>$C$88*SQRT($C$44/BU141)*SQRT(2.7/$C$35)</f>
        <v>6.2998929244166142</v>
      </c>
      <c r="CA144" t="s">
        <v>291</v>
      </c>
      <c r="CB144">
        <f>$C$88*SQRT($C$44/CB141)*SQRT(2.7/$C$35)</f>
        <v>6.9018306072372635</v>
      </c>
      <c r="CH144" t="s">
        <v>292</v>
      </c>
      <c r="CI144">
        <f>$C$88*SQRT($C$44/CI141)*SQRT(2.7/$C$35)</f>
        <v>8.4750035424517183</v>
      </c>
      <c r="CO144" t="s">
        <v>293</v>
      </c>
      <c r="CP144">
        <f>$C$88*SQRT($C$44/CP141)*SQRT(2.7/$C$35)</f>
        <v>15.349713273412972</v>
      </c>
      <c r="CV144" t="s">
        <v>294</v>
      </c>
      <c r="CW144">
        <f>$C$88*SQRT($C$44/CW141)*SQRT(2.7/$C$35)</f>
        <v>5.4507440714526201</v>
      </c>
      <c r="DC144" t="s">
        <v>295</v>
      </c>
      <c r="DD144">
        <f>$C$88*SQRT($C$44/DD141)*SQRT(2.7/$C$35)</f>
        <v>5.4787006571489778</v>
      </c>
      <c r="DJ144" t="s">
        <v>296</v>
      </c>
      <c r="DK144">
        <f>$C$88*SQRT($C$44/DK141)*SQRT(2.7/$C$35)</f>
        <v>5.5119774430226389</v>
      </c>
      <c r="DQ144" t="s">
        <v>297</v>
      </c>
      <c r="DR144">
        <f>$C$88*SQRT($C$44/DR141)*SQRT(2.7/$C$35)</f>
        <v>5.5847495299946379</v>
      </c>
      <c r="DX144" t="s">
        <v>298</v>
      </c>
      <c r="DY144">
        <f>$C$88*SQRT($C$44/DY141)*SQRT(2.7/$C$35)</f>
        <v>5.734331894613363</v>
      </c>
      <c r="EE144" t="s">
        <v>299</v>
      </c>
      <c r="EF144">
        <f>$C$88*SQRT($C$44/EF141)*SQRT(2.7/$C$35)</f>
        <v>6.0363735163078376</v>
      </c>
    </row>
    <row r="145" spans="2:137">
      <c r="B145" t="s">
        <v>300</v>
      </c>
      <c r="C145" s="1">
        <f>C142*$C$35/2</f>
        <v>8.2753246753246756</v>
      </c>
      <c r="D145">
        <f>C145*2</f>
        <v>16.550649350649351</v>
      </c>
      <c r="I145" t="s">
        <v>300</v>
      </c>
      <c r="J145" s="1">
        <f>J142*$C$35/2</f>
        <v>8.5793837418434222</v>
      </c>
      <c r="P145" t="s">
        <v>300</v>
      </c>
      <c r="Q145" s="1">
        <f>Q142*$C$35/2</f>
        <v>9.1066631637118025</v>
      </c>
      <c r="W145" t="s">
        <v>300</v>
      </c>
      <c r="X145" s="1">
        <f>X142*$C$35/2</f>
        <v>9.9650286276300548</v>
      </c>
      <c r="AD145" t="s">
        <v>300</v>
      </c>
      <c r="AE145" s="1">
        <f>AE142*$C$35/2</f>
        <v>11.32688794831811</v>
      </c>
      <c r="AK145" t="s">
        <v>300</v>
      </c>
      <c r="AL145" s="1">
        <f>AL142*$C$35/2</f>
        <v>13.61765030336459</v>
      </c>
      <c r="AR145" t="s">
        <v>300</v>
      </c>
      <c r="AS145" s="1">
        <f>AS142*$C$35/2</f>
        <v>16.753439153439153</v>
      </c>
      <c r="AY145" t="s">
        <v>300</v>
      </c>
      <c r="AZ145" s="1">
        <f>AZ142*$C$35/2</f>
        <v>7.218616677440207</v>
      </c>
      <c r="BF145" t="s">
        <v>300</v>
      </c>
      <c r="BG145" s="1">
        <f>BG142*$C$35/2</f>
        <v>7.3754061566359983</v>
      </c>
      <c r="BM145" t="s">
        <v>300</v>
      </c>
      <c r="BN145" s="1">
        <f>BN142*$C$35/2</f>
        <v>7.6390458675701876</v>
      </c>
      <c r="BT145" t="s">
        <v>300</v>
      </c>
      <c r="BU145" s="1">
        <f>BU142*$C$35/2</f>
        <v>8.0682285995293128</v>
      </c>
      <c r="CA145" t="s">
        <v>300</v>
      </c>
      <c r="CB145" s="1">
        <f>CB142*$C$35/2</f>
        <v>8.7491582598733402</v>
      </c>
      <c r="CH145" t="s">
        <v>300</v>
      </c>
      <c r="CI145" s="1">
        <f>CI142*$C$35/2</f>
        <v>9.8945394373965811</v>
      </c>
      <c r="CO145" t="s">
        <v>300</v>
      </c>
      <c r="CP145" s="1">
        <f>CP142*$C$35/2</f>
        <v>11.462433862433862</v>
      </c>
      <c r="CV145" t="s">
        <v>300</v>
      </c>
      <c r="CW145" s="1">
        <f>CW142*$C$35/2</f>
        <v>6.6974025974025988</v>
      </c>
      <c r="DC145" t="s">
        <v>300</v>
      </c>
      <c r="DD145" s="1">
        <f>DD142*$C$35/2</f>
        <v>6.752907394113425</v>
      </c>
      <c r="DJ145" t="s">
        <v>300</v>
      </c>
      <c r="DK145" s="1">
        <f>DK142*$C$35/2</f>
        <v>6.8178770949720677</v>
      </c>
      <c r="DQ145" t="s">
        <v>300</v>
      </c>
      <c r="DR145" s="1">
        <f>DR142*$C$35/2</f>
        <v>6.9559322033898301</v>
      </c>
      <c r="DX145" t="s">
        <v>300</v>
      </c>
      <c r="DY145" s="1">
        <f>DY142*$C$35/2</f>
        <v>7.2233766233766241</v>
      </c>
      <c r="EE145" t="s">
        <v>300</v>
      </c>
      <c r="EF145" s="1">
        <f>EF142*$C$35/2</f>
        <v>7.7040681173131498</v>
      </c>
    </row>
    <row r="146" spans="2:137">
      <c r="B146" t="s">
        <v>301</v>
      </c>
      <c r="C146" s="1">
        <f>MIN(C144,C145)*$C$51*SQRT(12/$C$34)</f>
        <v>6.4660617651806591</v>
      </c>
      <c r="D146">
        <f>C146*2</f>
        <v>12.932123530361318</v>
      </c>
      <c r="I146" t="s">
        <v>301</v>
      </c>
      <c r="J146" s="1">
        <f>MIN(J144,J145)*$C$51*SQRT(12/$C$34)</f>
        <v>6.7357493551588847</v>
      </c>
      <c r="P146" t="s">
        <v>301</v>
      </c>
      <c r="Q146" s="1">
        <f>MIN(Q144,Q145)*$C$51*SQRT(12/$C$34)</f>
        <v>7.2959608670040108</v>
      </c>
      <c r="W146" t="s">
        <v>301</v>
      </c>
      <c r="X146" s="1">
        <f>MIN(X144,X145)*$C$51*SQRT(12/$C$34)</f>
        <v>8.6106241261395429</v>
      </c>
      <c r="AD146" t="s">
        <v>301</v>
      </c>
      <c r="AE146" s="1">
        <f>MIN(AE144,AE145)*$C$51*SQRT(12/$C$34)</f>
        <v>11.32688794831811</v>
      </c>
      <c r="AK146" t="s">
        <v>301</v>
      </c>
      <c r="AL146" s="1" t="e">
        <f>MIN(AL144,AL145)*$C$51*SQRT(12/$C$34)</f>
        <v>#NUM!</v>
      </c>
      <c r="AR146" t="s">
        <v>301</v>
      </c>
      <c r="AS146" s="1" t="e">
        <f>MIN(AS144,AS145)*$C$51*SQRT(12/$C$34)</f>
        <v>#NUM!</v>
      </c>
      <c r="AY146" t="s">
        <v>301</v>
      </c>
      <c r="AZ146" s="1">
        <f>MIN(AZ144,AZ145)*$C$51*SQRT(12/$C$34)</f>
        <v>5.7315637362948388</v>
      </c>
      <c r="BF146" t="s">
        <v>301</v>
      </c>
      <c r="BG146" s="1">
        <f>MIN(BG144,BG145)*$C$51*SQRT(12/$C$34)</f>
        <v>5.8249109509793149</v>
      </c>
      <c r="BM146" t="s">
        <v>301</v>
      </c>
      <c r="BN146" s="1">
        <f>MIN(BN144,BN145)*$C$51*SQRT(12/$C$34)</f>
        <v>5.9927105506160814</v>
      </c>
      <c r="BT146" t="s">
        <v>301</v>
      </c>
      <c r="BU146" s="1">
        <f>MIN(BU144,BU145)*$C$51*SQRT(12/$C$34)</f>
        <v>6.2998929244166142</v>
      </c>
      <c r="CA146" t="s">
        <v>301</v>
      </c>
      <c r="CB146" s="1">
        <f>MIN(CB144,CB145)*$C$51*SQRT(12/$C$34)</f>
        <v>6.9018306072372635</v>
      </c>
      <c r="CH146" t="s">
        <v>301</v>
      </c>
      <c r="CI146" s="1">
        <f>MIN(CI144,CI145)*$C$51*SQRT(12/$C$34)</f>
        <v>8.4750035424517183</v>
      </c>
      <c r="CO146" t="s">
        <v>301</v>
      </c>
      <c r="CP146" s="1">
        <f>MIN(CP144,CP145)*$C$51*SQRT(12/$C$34)</f>
        <v>11.462433862433862</v>
      </c>
      <c r="CV146" t="s">
        <v>301</v>
      </c>
      <c r="CW146" s="1">
        <f>MIN(CW144,CW145)*$C$51*SQRT(12/$C$34)</f>
        <v>5.4507440714526201</v>
      </c>
      <c r="DC146" t="s">
        <v>301</v>
      </c>
      <c r="DD146" s="1">
        <f>MIN(DD144,DD145)*$C$51*SQRT(12/$C$34)</f>
        <v>5.4787006571489778</v>
      </c>
      <c r="DJ146" t="s">
        <v>301</v>
      </c>
      <c r="DK146" s="1">
        <f>MIN(DK144,DK145)*$C$51*SQRT(12/$C$34)</f>
        <v>5.5119774430226389</v>
      </c>
      <c r="DQ146" t="s">
        <v>301</v>
      </c>
      <c r="DR146" s="1">
        <f>MIN(DR144,DR145)*$C$51*SQRT(12/$C$34)</f>
        <v>5.5847495299946379</v>
      </c>
      <c r="DX146" t="s">
        <v>301</v>
      </c>
      <c r="DY146" s="1">
        <f>MIN(DY144,DY145)*$C$51*SQRT(12/$C$34)</f>
        <v>5.734331894613363</v>
      </c>
      <c r="EE146" t="s">
        <v>301</v>
      </c>
      <c r="EF146" s="1">
        <f>MIN(EF144,EF145)*$C$51*SQRT(12/$C$34)</f>
        <v>6.0363735163078376</v>
      </c>
    </row>
    <row r="147" spans="2:137">
      <c r="B147" t="s">
        <v>302</v>
      </c>
      <c r="C147" s="1">
        <f>C146*$C$90</f>
        <v>12.932123530361318</v>
      </c>
      <c r="I147" t="s">
        <v>302</v>
      </c>
      <c r="J147" s="1">
        <f>J146*$C$90</f>
        <v>13.471498710317769</v>
      </c>
      <c r="P147" t="s">
        <v>302</v>
      </c>
      <c r="Q147" s="1">
        <f>Q146*$C$90</f>
        <v>14.591921734008022</v>
      </c>
      <c r="W147" t="s">
        <v>302</v>
      </c>
      <c r="X147" s="1">
        <f>X146*$C$90</f>
        <v>17.221248252279086</v>
      </c>
      <c r="AD147" t="s">
        <v>302</v>
      </c>
      <c r="AE147" s="1">
        <f>AE146*$C$90</f>
        <v>22.653775896636219</v>
      </c>
      <c r="AK147" t="s">
        <v>302</v>
      </c>
      <c r="AL147" s="1" t="e">
        <f>AL146*$C$90</f>
        <v>#NUM!</v>
      </c>
      <c r="AR147" t="s">
        <v>302</v>
      </c>
      <c r="AS147" s="1" t="e">
        <f>AS146*$C$90</f>
        <v>#NUM!</v>
      </c>
      <c r="AY147" t="s">
        <v>302</v>
      </c>
      <c r="AZ147" s="1">
        <f>AZ146*$C$90</f>
        <v>11.463127472589678</v>
      </c>
      <c r="BF147" t="s">
        <v>302</v>
      </c>
      <c r="BG147" s="1">
        <f>BG146*$C$90</f>
        <v>11.64982190195863</v>
      </c>
      <c r="BM147" t="s">
        <v>302</v>
      </c>
      <c r="BN147" s="1">
        <f>BN146*$C$90</f>
        <v>11.985421101232163</v>
      </c>
      <c r="BT147" t="s">
        <v>302</v>
      </c>
      <c r="BU147" s="1">
        <f>BU146*$C$90</f>
        <v>12.599785848833228</v>
      </c>
      <c r="CA147" t="s">
        <v>302</v>
      </c>
      <c r="CB147" s="1">
        <f>CB146*$C$90</f>
        <v>13.803661214474527</v>
      </c>
      <c r="CH147" t="s">
        <v>302</v>
      </c>
      <c r="CI147" s="1">
        <f>CI146*$C$90</f>
        <v>16.950007084903437</v>
      </c>
      <c r="CO147" t="s">
        <v>302</v>
      </c>
      <c r="CP147" s="1">
        <f>CP146*$C$90</f>
        <v>22.924867724867724</v>
      </c>
      <c r="CV147" t="s">
        <v>302</v>
      </c>
      <c r="CW147" s="1">
        <f>CW146*$C$90</f>
        <v>10.90148814290524</v>
      </c>
      <c r="DC147" t="s">
        <v>302</v>
      </c>
      <c r="DD147" s="1">
        <f>DD146*$C$90</f>
        <v>10.957401314297956</v>
      </c>
      <c r="DJ147" t="s">
        <v>302</v>
      </c>
      <c r="DK147" s="1">
        <f>DK146*$C$90</f>
        <v>11.023954886045278</v>
      </c>
      <c r="DQ147" t="s">
        <v>302</v>
      </c>
      <c r="DR147" s="1">
        <f>DR146*$C$90</f>
        <v>11.169499059989276</v>
      </c>
      <c r="DX147" t="s">
        <v>302</v>
      </c>
      <c r="DY147" s="1">
        <f>DY146*$C$90</f>
        <v>11.468663789226726</v>
      </c>
      <c r="EE147" t="s">
        <v>302</v>
      </c>
      <c r="EF147" s="1">
        <f>EF146*$C$90</f>
        <v>12.072747032615675</v>
      </c>
    </row>
    <row r="148" spans="2:137">
      <c r="C148" s="1"/>
      <c r="J148" s="1"/>
      <c r="Q148" s="1"/>
      <c r="X148" s="1"/>
      <c r="AE148" s="1"/>
      <c r="AL148" s="1"/>
      <c r="AS148" s="1"/>
      <c r="AZ148" s="1"/>
      <c r="BG148" s="1"/>
      <c r="BN148" s="1"/>
      <c r="BU148" s="1"/>
      <c r="CB148" s="1"/>
      <c r="CI148" s="1"/>
      <c r="CP148" s="1"/>
      <c r="CW148" s="1"/>
      <c r="DD148" s="1"/>
      <c r="DK148" s="1"/>
      <c r="DR148" s="1"/>
      <c r="DY148" s="1"/>
      <c r="EF148" s="1"/>
    </row>
    <row r="149" spans="2:137" s="391" customFormat="1">
      <c r="B149" s="390" t="s">
        <v>303</v>
      </c>
      <c r="C149" s="390"/>
      <c r="I149" s="390" t="s">
        <v>303</v>
      </c>
      <c r="J149" s="390"/>
      <c r="P149" s="390" t="s">
        <v>303</v>
      </c>
      <c r="Q149" s="390"/>
      <c r="W149" s="390" t="s">
        <v>303</v>
      </c>
      <c r="X149" s="390"/>
      <c r="AD149" s="390" t="s">
        <v>303</v>
      </c>
      <c r="AE149" s="390"/>
      <c r="AK149" s="390" t="s">
        <v>303</v>
      </c>
      <c r="AL149" s="390"/>
      <c r="AR149" s="390" t="s">
        <v>303</v>
      </c>
      <c r="AS149" s="390"/>
      <c r="AY149" s="390" t="s">
        <v>303</v>
      </c>
      <c r="AZ149" s="390"/>
      <c r="BF149" s="390" t="s">
        <v>303</v>
      </c>
      <c r="BG149" s="390"/>
      <c r="BM149" s="390" t="s">
        <v>303</v>
      </c>
      <c r="BN149" s="390"/>
      <c r="BT149" s="390" t="s">
        <v>303</v>
      </c>
      <c r="BU149" s="390"/>
      <c r="CA149" s="390" t="s">
        <v>303</v>
      </c>
      <c r="CB149" s="390"/>
      <c r="CH149" s="390" t="s">
        <v>303</v>
      </c>
      <c r="CI149" s="390"/>
      <c r="CO149" s="390" t="s">
        <v>303</v>
      </c>
      <c r="CP149" s="390"/>
      <c r="CV149" s="390" t="s">
        <v>303</v>
      </c>
      <c r="CW149" s="390"/>
      <c r="DC149" s="390" t="s">
        <v>303</v>
      </c>
      <c r="DD149" s="390"/>
      <c r="DJ149" s="390" t="s">
        <v>303</v>
      </c>
      <c r="DK149" s="390"/>
      <c r="DQ149" s="390" t="s">
        <v>303</v>
      </c>
      <c r="DR149" s="390"/>
      <c r="DX149" s="390" t="s">
        <v>303</v>
      </c>
      <c r="DY149" s="390"/>
      <c r="EE149" s="390" t="s">
        <v>303</v>
      </c>
      <c r="EF149" s="390"/>
    </row>
    <row r="150" spans="2:137" s="391" customFormat="1">
      <c r="B150" s="391" t="s">
        <v>245</v>
      </c>
      <c r="C150" s="390">
        <f>TREND($C$84:$C$85,C119:C120,$C$45,1)</f>
        <v>0.58155808441558343</v>
      </c>
      <c r="I150" s="391" t="s">
        <v>245</v>
      </c>
      <c r="J150" s="390">
        <f>TREND($C$84:$C$85,J119:J120,$C$45,1)</f>
        <v>0.53636420875633473</v>
      </c>
      <c r="P150" s="391" t="s">
        <v>245</v>
      </c>
      <c r="Q150" s="390">
        <f>TREND($C$84:$C$85,Q119:Q120,$C$45,1)</f>
        <v>0.45799193424259071</v>
      </c>
      <c r="W150" s="391" t="s">
        <v>245</v>
      </c>
      <c r="X150" s="390">
        <f>TREND($C$84:$C$85,X119:X120,$C$45,1)</f>
        <v>0.33040862455653408</v>
      </c>
      <c r="AD150" s="391" t="s">
        <v>245</v>
      </c>
      <c r="AE150" s="390">
        <f>TREND($C$84:$C$85,AE119:AE120,$C$45,1)</f>
        <v>0.12798841222989388</v>
      </c>
      <c r="AK150" s="391" t="s">
        <v>245</v>
      </c>
      <c r="AL150" s="390">
        <f>TREND($C$84:$C$85,AL119:AL120,$C$45,1)</f>
        <v>-0.21249947462769048</v>
      </c>
      <c r="AR150" s="391" t="s">
        <v>245</v>
      </c>
      <c r="AS150" s="390">
        <f>TREND($C$84:$C$85,AS119:AS120,$C$45,1)</f>
        <v>-0.67858803106016274</v>
      </c>
      <c r="AY150" s="391" t="s">
        <v>245</v>
      </c>
      <c r="AZ150" s="390">
        <f>TREND($C$84:$C$85,AZ119:AZ120,$C$45,1)</f>
        <v>0.73862207336780783</v>
      </c>
      <c r="BF150" s="391" t="s">
        <v>245</v>
      </c>
      <c r="BG150" s="390">
        <f>TREND($C$84:$C$85,BG119:BG120,$C$45,1)</f>
        <v>0.71531764009245269</v>
      </c>
      <c r="BM150" s="391" t="s">
        <v>245</v>
      </c>
      <c r="BN150" s="390">
        <f>TREND($C$84:$C$85,BN119:BN120,$C$45,1)</f>
        <v>0.67613150283558066</v>
      </c>
      <c r="BT150" s="391" t="s">
        <v>245</v>
      </c>
      <c r="BU150" s="390">
        <f>TREND($C$84:$C$85,BU119:BU120,$C$45,1)</f>
        <v>0.61233984799255237</v>
      </c>
      <c r="CA150" s="391" t="s">
        <v>245</v>
      </c>
      <c r="CB150" s="390">
        <f>TREND($C$84:$C$85,CB119:CB120,$C$45,1)</f>
        <v>0.51112974182923232</v>
      </c>
      <c r="CH150" s="391" t="s">
        <v>245</v>
      </c>
      <c r="CI150" s="390">
        <f>TREND($C$84:$C$85,CI119:CI120,$C$45,1)</f>
        <v>0.34088579840044009</v>
      </c>
      <c r="CO150" s="391" t="s">
        <v>245</v>
      </c>
      <c r="CP150" s="390">
        <f>TREND($C$84:$C$85,CP119:CP120,$C$45,1)</f>
        <v>0.10784152018420401</v>
      </c>
      <c r="CV150" s="391" t="s">
        <v>245</v>
      </c>
      <c r="CW150" s="390">
        <f>TREND($C$84:$C$85,CW119:CW120,$C$45,1)</f>
        <v>0.81609282467532385</v>
      </c>
      <c r="DC150" s="391" t="s">
        <v>245</v>
      </c>
      <c r="DD150" s="390">
        <f>TREND($C$84:$C$85,DD119:DD120,$C$45,1)</f>
        <v>0.80784285893754404</v>
      </c>
      <c r="DJ150" s="391" t="s">
        <v>245</v>
      </c>
      <c r="DK150" s="390">
        <f>TREND($C$84:$C$85,DK119:DK120,$C$45,1)</f>
        <v>0.79818607541899356</v>
      </c>
      <c r="DQ150" s="391" t="s">
        <v>245</v>
      </c>
      <c r="DR150" s="390">
        <f>TREND($C$84:$C$85,DR119:DR120,$C$45,1)</f>
        <v>0.77766622881355851</v>
      </c>
      <c r="DX150" s="391" t="s">
        <v>245</v>
      </c>
      <c r="DY150" s="390">
        <f>TREND($C$84:$C$85,DY119:DY120,$C$45,1)</f>
        <v>0.73791457792207704</v>
      </c>
      <c r="EE150" s="391" t="s">
        <v>245</v>
      </c>
      <c r="EF150" s="390">
        <f>TREND($C$84:$C$85,EF119:EF120,$C$45,1)</f>
        <v>0.66646690870387804</v>
      </c>
    </row>
    <row r="151" spans="2:137" s="391" customFormat="1">
      <c r="B151" s="391" t="s">
        <v>253</v>
      </c>
      <c r="C151" s="390">
        <f>TREND($F$84:$F$85,C119:C120,$C$45,1)</f>
        <v>6.1298701298701301</v>
      </c>
      <c r="I151" s="391" t="s">
        <v>253</v>
      </c>
      <c r="J151" s="390">
        <f>TREND($F$84:$F$85,J119:J120,$C$45,1)</f>
        <v>6.3550990680321648</v>
      </c>
      <c r="P151" s="391" t="s">
        <v>253</v>
      </c>
      <c r="Q151" s="390">
        <f>TREND($F$84:$F$85,Q119:Q120,$C$45,1)</f>
        <v>6.7456764175642983</v>
      </c>
      <c r="W151" s="391" t="s">
        <v>253</v>
      </c>
      <c r="X151" s="390">
        <f>TREND($F$84:$F$85,X119:X120,$C$45,1)</f>
        <v>7.3815026871333735</v>
      </c>
      <c r="AD151" s="391" t="s">
        <v>253</v>
      </c>
      <c r="AE151" s="390">
        <f>TREND($F$84:$F$85,AE119:AE120,$C$45,1)</f>
        <v>8.3902873691245254</v>
      </c>
      <c r="AK151" s="391" t="s">
        <v>253</v>
      </c>
      <c r="AL151" s="390">
        <f>TREND($F$84:$F$85,AL119:AL120,$C$45,1)</f>
        <v>10.087148372862659</v>
      </c>
      <c r="AR151" s="391" t="s">
        <v>253</v>
      </c>
      <c r="AS151" s="390">
        <f>TREND($F$84:$F$85,AS119:AS120,$C$45,1)</f>
        <v>12.409954928473447</v>
      </c>
      <c r="AY151" s="391" t="s">
        <v>253</v>
      </c>
      <c r="AZ151" s="390">
        <f>TREND($F$84:$F$85,AZ119:AZ120,$C$45,1)</f>
        <v>5.3471234647705232</v>
      </c>
      <c r="BF151" s="391" t="s">
        <v>253</v>
      </c>
      <c r="BG151" s="390">
        <f>TREND($F$84:$F$85,BG119:BG120,$C$45,1)</f>
        <v>5.4632638197303685</v>
      </c>
      <c r="BM151" s="391" t="s">
        <v>253</v>
      </c>
      <c r="BN151" s="390">
        <f>TREND($F$84:$F$85,BN119:BN120,$C$45,1)</f>
        <v>5.6585524944964352</v>
      </c>
      <c r="BT151" s="391" t="s">
        <v>253</v>
      </c>
      <c r="BU151" s="390">
        <f>TREND($F$84:$F$85,BU119:BU120,$C$45,1)</f>
        <v>5.9764656292809724</v>
      </c>
      <c r="CA151" s="391" t="s">
        <v>253</v>
      </c>
      <c r="CB151" s="390">
        <f>TREND($F$84:$F$85,CB119:CB120,$C$45,1)</f>
        <v>6.4808579702765483</v>
      </c>
      <c r="CH151" s="391" t="s">
        <v>253</v>
      </c>
      <c r="CI151" s="390">
        <f>TREND($F$84:$F$85,CI119:CI120,$C$45,1)</f>
        <v>7.3292884721456151</v>
      </c>
      <c r="CO151" s="391" t="s">
        <v>253</v>
      </c>
      <c r="CP151" s="390">
        <f>TREND($F$84:$F$85,CP119:CP120,$C$45,1)</f>
        <v>8.4906917499510079</v>
      </c>
      <c r="CV151" s="391" t="s">
        <v>253</v>
      </c>
      <c r="CW151" s="390">
        <f>TREND($F$84:$F$85,CW119:CW120,$C$45,1)</f>
        <v>4.9610389610389616</v>
      </c>
      <c r="DC151" s="391" t="s">
        <v>253</v>
      </c>
      <c r="DD151" s="390">
        <f>TREND($F$84:$F$85,DD119:DD120,$C$45,1)</f>
        <v>5.0021536252692034</v>
      </c>
      <c r="DJ151" s="391" t="s">
        <v>253</v>
      </c>
      <c r="DK151" s="390">
        <f>TREND($F$84:$F$85,DK119:DK120,$C$45,1)</f>
        <v>5.050279329608939</v>
      </c>
      <c r="DQ151" s="391" t="s">
        <v>253</v>
      </c>
      <c r="DR151" s="390">
        <f>TREND($F$84:$F$85,DR119:DR120,$C$45,1)</f>
        <v>5.1525423728813555</v>
      </c>
      <c r="DX151" s="391" t="s">
        <v>253</v>
      </c>
      <c r="DY151" s="390">
        <f>TREND($F$84:$F$85,DY119:DY120,$C$45,1)</f>
        <v>5.3506493506493511</v>
      </c>
      <c r="EE151" s="391" t="s">
        <v>253</v>
      </c>
      <c r="EF151" s="390">
        <f>TREND($F$84:$F$85,EF119:EF120,$C$45,1)</f>
        <v>5.7067171239356664</v>
      </c>
    </row>
    <row r="152" spans="2:137" s="391" customFormat="1"/>
    <row r="153" spans="2:137" s="391" customFormat="1">
      <c r="B153" s="391" t="s">
        <v>254</v>
      </c>
      <c r="C153" s="391">
        <f>SQRT($C$45/C150)*SQRT(2.7/$C$35)</f>
        <v>14.364617771944767</v>
      </c>
      <c r="I153" s="391" t="s">
        <v>255</v>
      </c>
      <c r="J153" s="391">
        <f>SQRT($C$45/J150)*SQRT(2.7/$C$35)</f>
        <v>14.957559119129908</v>
      </c>
      <c r="P153" s="391" t="s">
        <v>256</v>
      </c>
      <c r="Q153" s="391">
        <f>SQRT($C$45/Q150)*SQRT(2.7/$C$35)</f>
        <v>16.186826368853762</v>
      </c>
      <c r="W153" s="391" t="s">
        <v>257</v>
      </c>
      <c r="X153" s="391">
        <f>SQRT($C$45/X150)*SQRT(2.7/$C$35)</f>
        <v>19.057456428107376</v>
      </c>
      <c r="AD153" s="391" t="s">
        <v>258</v>
      </c>
      <c r="AE153" s="391">
        <f>SQRT($C$45/AE150)*SQRT(2.7/$C$35)</f>
        <v>30.620007822453861</v>
      </c>
      <c r="AK153" s="391" t="s">
        <v>259</v>
      </c>
      <c r="AL153" s="391" t="e">
        <f>SQRT($C$45/AL150)*SQRT(2.7/$C$35)</f>
        <v>#NUM!</v>
      </c>
      <c r="AR153" s="391" t="s">
        <v>260</v>
      </c>
      <c r="AS153" s="391" t="e">
        <f>SQRT($C$45/AS150)*SQRT(2.7/$C$35)</f>
        <v>#NUM!</v>
      </c>
      <c r="AY153" s="391" t="s">
        <v>304</v>
      </c>
      <c r="AZ153" s="391">
        <f>SQRT($C$45/AZ150)*SQRT(2.7/$C$35)</f>
        <v>12.746163408544648</v>
      </c>
      <c r="BF153" s="391" t="s">
        <v>305</v>
      </c>
      <c r="BG153" s="391">
        <f>SQRT($C$45/BG150)*SQRT(2.7/$C$35)</f>
        <v>12.952128828308378</v>
      </c>
      <c r="BM153" s="391" t="s">
        <v>306</v>
      </c>
      <c r="BN153" s="391">
        <f>SQRT($C$45/BN150)*SQRT(2.7/$C$35)</f>
        <v>13.322172027004582</v>
      </c>
      <c r="BT153" s="391" t="s">
        <v>307</v>
      </c>
      <c r="BU153" s="391">
        <f>SQRT($C$45/BU150)*SQRT(2.7/$C$35)</f>
        <v>13.998914530871883</v>
      </c>
      <c r="CA153" s="391" t="s">
        <v>308</v>
      </c>
      <c r="CB153" s="391">
        <f>SQRT($C$45/CB150)*SQRT(2.7/$C$35)</f>
        <v>15.322338295822751</v>
      </c>
      <c r="CH153" s="391" t="s">
        <v>309</v>
      </c>
      <c r="CI153" s="391">
        <f>SQRT($C$45/CI150)*SQRT(2.7/$C$35)</f>
        <v>18.762304014564414</v>
      </c>
      <c r="CO153" s="391" t="s">
        <v>310</v>
      </c>
      <c r="CP153" s="391">
        <f>SQRT($C$45/CP150)*SQRT(2.7/$C$35)</f>
        <v>33.357817043980134</v>
      </c>
      <c r="CV153" s="391" t="s">
        <v>311</v>
      </c>
      <c r="CW153" s="391">
        <f>SQRT($C$45/CW150)*SQRT(2.7/$C$35)</f>
        <v>12.126091565233663</v>
      </c>
      <c r="DC153" s="391" t="s">
        <v>312</v>
      </c>
      <c r="DD153" s="391">
        <f>SQRT($C$45/DD150)*SQRT(2.7/$C$35)</f>
        <v>12.187852169128822</v>
      </c>
      <c r="DJ153" s="391" t="s">
        <v>313</v>
      </c>
      <c r="DK153" s="391">
        <f>SQRT($C$45/DK150)*SQRT(2.7/$C$35)</f>
        <v>12.261357338434241</v>
      </c>
      <c r="DQ153" s="391" t="s">
        <v>314</v>
      </c>
      <c r="DR153" s="391">
        <f>SQRT($C$45/DR150)*SQRT(2.7/$C$35)</f>
        <v>12.422070887408761</v>
      </c>
      <c r="DX153" s="391" t="s">
        <v>315</v>
      </c>
      <c r="DY153" s="391">
        <f>SQRT($C$45/DY150)*SQRT(2.7/$C$35)</f>
        <v>12.752272308097698</v>
      </c>
      <c r="EE153" s="391" t="s">
        <v>316</v>
      </c>
      <c r="EF153" s="391">
        <f>SQRT($C$45/EF150)*SQRT(2.7/$C$35)</f>
        <v>13.418418342547323</v>
      </c>
    </row>
    <row r="154" spans="2:137" s="391" customFormat="1">
      <c r="B154" s="391" t="s">
        <v>274</v>
      </c>
      <c r="C154" s="391">
        <f>C151*$C$35</f>
        <v>16.550649350649351</v>
      </c>
      <c r="I154" s="391" t="s">
        <v>274</v>
      </c>
      <c r="J154" s="391">
        <f>J151*$C$35</f>
        <v>17.158767483686844</v>
      </c>
      <c r="P154" s="391" t="s">
        <v>274</v>
      </c>
      <c r="Q154" s="391">
        <f>Q151*$C$35</f>
        <v>18.213326327423605</v>
      </c>
      <c r="W154" s="391" t="s">
        <v>274</v>
      </c>
      <c r="X154" s="391">
        <f>X151*$C$35</f>
        <v>19.93005725526011</v>
      </c>
      <c r="AD154" s="391" t="s">
        <v>274</v>
      </c>
      <c r="AE154" s="391">
        <f>AE151*$C$35</f>
        <v>22.653775896636219</v>
      </c>
      <c r="AK154" s="391" t="s">
        <v>274</v>
      </c>
      <c r="AL154" s="391">
        <f>AL151*$C$35</f>
        <v>27.235300606729179</v>
      </c>
      <c r="AR154" s="391" t="s">
        <v>274</v>
      </c>
      <c r="AS154" s="391">
        <f>AS151*$C$35</f>
        <v>33.506878306878306</v>
      </c>
      <c r="AY154" s="391" t="s">
        <v>274</v>
      </c>
      <c r="AZ154" s="391">
        <f>AZ151*$C$35</f>
        <v>14.437233354880414</v>
      </c>
      <c r="BF154" s="391" t="s">
        <v>274</v>
      </c>
      <c r="BG154" s="391">
        <f>BG151*$C$35</f>
        <v>14.750812313271997</v>
      </c>
      <c r="BM154" s="391" t="s">
        <v>274</v>
      </c>
      <c r="BN154" s="391">
        <f>BN151*$C$35</f>
        <v>15.278091735140375</v>
      </c>
      <c r="BT154" s="391" t="s">
        <v>274</v>
      </c>
      <c r="BU154" s="391">
        <f>BU151*$C$35</f>
        <v>16.136457199058626</v>
      </c>
      <c r="CA154" s="391" t="s">
        <v>274</v>
      </c>
      <c r="CB154" s="391">
        <f>CB151*$C$35</f>
        <v>17.49831651974668</v>
      </c>
      <c r="CH154" s="391" t="s">
        <v>274</v>
      </c>
      <c r="CI154" s="391">
        <f>CI151*$C$35</f>
        <v>19.789078874793162</v>
      </c>
      <c r="CO154" s="391" t="s">
        <v>274</v>
      </c>
      <c r="CP154" s="391">
        <f>CP151*$C$35</f>
        <v>22.924867724867724</v>
      </c>
      <c r="CV154" s="391" t="s">
        <v>274</v>
      </c>
      <c r="CW154" s="391">
        <f>CW151*$C$35</f>
        <v>13.394805194805198</v>
      </c>
      <c r="DC154" s="391" t="s">
        <v>274</v>
      </c>
      <c r="DD154" s="391">
        <f>DD151*$C$35</f>
        <v>13.50581478822685</v>
      </c>
      <c r="DJ154" s="391" t="s">
        <v>274</v>
      </c>
      <c r="DK154" s="391">
        <f>DK151*$C$35</f>
        <v>13.635754189944135</v>
      </c>
      <c r="DQ154" s="391" t="s">
        <v>274</v>
      </c>
      <c r="DR154" s="391">
        <f>DR151*$C$35</f>
        <v>13.91186440677966</v>
      </c>
      <c r="DX154" s="391" t="s">
        <v>274</v>
      </c>
      <c r="DY154" s="391">
        <f>DY151*$C$35</f>
        <v>14.446753246753248</v>
      </c>
      <c r="EE154" s="391" t="s">
        <v>274</v>
      </c>
      <c r="EF154" s="391">
        <f>EF151*$C$35</f>
        <v>15.4081362346263</v>
      </c>
    </row>
    <row r="155" spans="2:137" s="391" customFormat="1">
      <c r="B155" s="391" t="s">
        <v>275</v>
      </c>
      <c r="C155" s="390">
        <f>MIN(C153,C154)*$C$51*SQRT(12/$C$34)</f>
        <v>14.364617771944767</v>
      </c>
      <c r="D155" s="391" t="s">
        <v>276</v>
      </c>
      <c r="I155" s="391" t="s">
        <v>275</v>
      </c>
      <c r="J155" s="390">
        <f>MIN(J153,J154)*$C$51*SQRT(12/$C$34)</f>
        <v>14.957559119129908</v>
      </c>
      <c r="K155" s="391" t="s">
        <v>276</v>
      </c>
      <c r="P155" s="391" t="s">
        <v>275</v>
      </c>
      <c r="Q155" s="390">
        <f>MIN(Q153,Q154)*$C$51*SQRT(12/$C$34)</f>
        <v>16.186826368853762</v>
      </c>
      <c r="R155" s="391" t="s">
        <v>276</v>
      </c>
      <c r="W155" s="391" t="s">
        <v>275</v>
      </c>
      <c r="X155" s="390">
        <f>MIN(X153,X154)*$C$51*SQRT(12/$C$34)</f>
        <v>19.057456428107376</v>
      </c>
      <c r="Y155" s="391" t="s">
        <v>276</v>
      </c>
      <c r="AD155" s="391" t="s">
        <v>275</v>
      </c>
      <c r="AE155" s="390">
        <f>MIN(AE153,AE154)*$C$51*SQRT(12/$C$34)</f>
        <v>22.653775896636219</v>
      </c>
      <c r="AF155" s="391" t="s">
        <v>276</v>
      </c>
      <c r="AK155" s="391" t="s">
        <v>275</v>
      </c>
      <c r="AL155" s="390" t="e">
        <f>MIN(AL153,AL154)*$C$51*SQRT(12/$C$34)</f>
        <v>#NUM!</v>
      </c>
      <c r="AM155" s="391" t="s">
        <v>276</v>
      </c>
      <c r="AR155" s="391" t="s">
        <v>275</v>
      </c>
      <c r="AS155" s="390" t="e">
        <f>MIN(AS153,AS154)*$C$51*SQRT(12/$C$34)</f>
        <v>#NUM!</v>
      </c>
      <c r="AT155" s="391" t="s">
        <v>276</v>
      </c>
      <c r="AY155" s="391" t="s">
        <v>275</v>
      </c>
      <c r="AZ155" s="390">
        <f>MIN(AZ153,AZ154)*$C$51*SQRT(12/$C$34)</f>
        <v>12.746163408544648</v>
      </c>
      <c r="BA155" s="391" t="s">
        <v>276</v>
      </c>
      <c r="BF155" s="391" t="s">
        <v>275</v>
      </c>
      <c r="BG155" s="390">
        <f>MIN(BG153,BG154)*$C$51*SQRT(12/$C$34)</f>
        <v>12.952128828308378</v>
      </c>
      <c r="BH155" s="391" t="s">
        <v>276</v>
      </c>
      <c r="BM155" s="391" t="s">
        <v>275</v>
      </c>
      <c r="BN155" s="390">
        <f>MIN(BN153,BN154)*$C$51*SQRT(12/$C$34)</f>
        <v>13.322172027004582</v>
      </c>
      <c r="BO155" s="391" t="s">
        <v>276</v>
      </c>
      <c r="BT155" s="391" t="s">
        <v>275</v>
      </c>
      <c r="BU155" s="390">
        <f>MIN(BU153,BU154)*$C$51*SQRT(12/$C$34)</f>
        <v>13.998914530871883</v>
      </c>
      <c r="BV155" s="391" t="s">
        <v>276</v>
      </c>
      <c r="CA155" s="391" t="s">
        <v>275</v>
      </c>
      <c r="CB155" s="390">
        <f>MIN(CB153,CB154)*$C$51*SQRT(12/$C$34)</f>
        <v>15.322338295822751</v>
      </c>
      <c r="CC155" s="391" t="s">
        <v>276</v>
      </c>
      <c r="CH155" s="391" t="s">
        <v>275</v>
      </c>
      <c r="CI155" s="390">
        <f>MIN(CI153,CI154)*$C$51*SQRT(12/$C$34)</f>
        <v>18.762304014564414</v>
      </c>
      <c r="CJ155" s="391" t="s">
        <v>276</v>
      </c>
      <c r="CO155" s="391" t="s">
        <v>275</v>
      </c>
      <c r="CP155" s="390">
        <f>MIN(CP153,CP154)*$C$51*SQRT(12/$C$34)</f>
        <v>22.924867724867724</v>
      </c>
      <c r="CQ155" s="391" t="s">
        <v>276</v>
      </c>
      <c r="CV155" s="391" t="s">
        <v>275</v>
      </c>
      <c r="CW155" s="390">
        <f>MIN(CW153,CW154)*$C$51*SQRT(12/$C$34)</f>
        <v>12.126091565233663</v>
      </c>
      <c r="CX155" s="391" t="s">
        <v>276</v>
      </c>
      <c r="DC155" s="391" t="s">
        <v>275</v>
      </c>
      <c r="DD155" s="390">
        <f>MIN(DD153,DD154)*$C$51*SQRT(12/$C$34)</f>
        <v>12.187852169128822</v>
      </c>
      <c r="DE155" s="391" t="s">
        <v>276</v>
      </c>
      <c r="DJ155" s="391" t="s">
        <v>275</v>
      </c>
      <c r="DK155" s="390">
        <f>MIN(DK153,DK154)*$C$51*SQRT(12/$C$34)</f>
        <v>12.261357338434241</v>
      </c>
      <c r="DL155" s="391" t="s">
        <v>276</v>
      </c>
      <c r="DQ155" s="391" t="s">
        <v>275</v>
      </c>
      <c r="DR155" s="390">
        <f>MIN(DR153,DR154)*$C$51*SQRT(12/$C$34)</f>
        <v>12.422070887408761</v>
      </c>
      <c r="DS155" s="391" t="s">
        <v>276</v>
      </c>
      <c r="DX155" s="391" t="s">
        <v>275</v>
      </c>
      <c r="DY155" s="390">
        <f>MIN(DY153,DY154)*$C$51*SQRT(12/$C$34)</f>
        <v>12.752272308097698</v>
      </c>
      <c r="DZ155" s="391" t="s">
        <v>276</v>
      </c>
      <c r="EE155" s="391" t="s">
        <v>275</v>
      </c>
      <c r="EF155" s="390">
        <f>MIN(EF153,EF154)*$C$51*SQRT(12/$C$34)</f>
        <v>13.418418342547323</v>
      </c>
      <c r="EG155" s="391" t="s">
        <v>276</v>
      </c>
    </row>
    <row r="156" spans="2:137">
      <c r="AY156" s="338"/>
      <c r="CV156" s="338"/>
    </row>
    <row r="157" spans="2:137">
      <c r="B157" s="1" t="s">
        <v>317</v>
      </c>
      <c r="I157" s="1" t="s">
        <v>318</v>
      </c>
      <c r="P157" s="1" t="s">
        <v>318</v>
      </c>
      <c r="W157" s="1" t="s">
        <v>318</v>
      </c>
      <c r="AD157" s="1" t="s">
        <v>318</v>
      </c>
      <c r="AK157" s="1" t="s">
        <v>318</v>
      </c>
      <c r="AR157" s="1" t="s">
        <v>318</v>
      </c>
      <c r="AY157" s="1" t="s">
        <v>318</v>
      </c>
      <c r="BF157" s="1" t="s">
        <v>318</v>
      </c>
      <c r="BM157" s="1" t="s">
        <v>318</v>
      </c>
      <c r="BT157" s="1" t="s">
        <v>318</v>
      </c>
      <c r="CA157" s="1" t="s">
        <v>318</v>
      </c>
      <c r="CH157" s="1" t="s">
        <v>318</v>
      </c>
      <c r="CO157" s="1" t="s">
        <v>318</v>
      </c>
      <c r="CV157" s="1" t="s">
        <v>318</v>
      </c>
      <c r="DC157" s="1" t="s">
        <v>318</v>
      </c>
      <c r="DJ157" s="1" t="s">
        <v>318</v>
      </c>
      <c r="DQ157" s="1" t="s">
        <v>318</v>
      </c>
      <c r="DX157" s="1" t="s">
        <v>318</v>
      </c>
      <c r="EE157" s="1" t="s">
        <v>318</v>
      </c>
    </row>
    <row r="158" spans="2:137">
      <c r="B158" t="s">
        <v>245</v>
      </c>
      <c r="C158">
        <f>TREND($C$84:$C$85,C119:C120,$C$45,1)</f>
        <v>0.58155808441558343</v>
      </c>
      <c r="I158" t="s">
        <v>245</v>
      </c>
      <c r="J158">
        <f>TREND($C$84:$C$85,J119:J120,$C$45,1)</f>
        <v>0.53636420875633473</v>
      </c>
      <c r="P158" t="s">
        <v>245</v>
      </c>
      <c r="Q158">
        <f>TREND($C$84:$C$85,Q119:Q120,$C$45,1)</f>
        <v>0.45799193424259071</v>
      </c>
      <c r="W158" t="s">
        <v>245</v>
      </c>
      <c r="X158">
        <f>TREND($C$84:$C$85,X119:X120,$C$45,1)</f>
        <v>0.33040862455653408</v>
      </c>
      <c r="AD158" t="s">
        <v>245</v>
      </c>
      <c r="AE158">
        <f>TREND($C$84:$C$85,AE119:AE120,$C$45,1)</f>
        <v>0.12798841222989388</v>
      </c>
      <c r="AK158" t="s">
        <v>245</v>
      </c>
      <c r="AL158">
        <f>TREND($C$84:$C$85,AL119:AL120,$C$45,1)</f>
        <v>-0.21249947462769048</v>
      </c>
      <c r="AR158" t="s">
        <v>245</v>
      </c>
      <c r="AS158">
        <f>TREND($C$84:$C$85,AS119:AS120,$C$45,1)</f>
        <v>-0.67858803106016274</v>
      </c>
      <c r="AY158" t="s">
        <v>245</v>
      </c>
      <c r="AZ158">
        <f>TREND($C$84:$C$85,AZ119:AZ120,$C$45,1)</f>
        <v>0.73862207336780783</v>
      </c>
      <c r="BF158" t="s">
        <v>245</v>
      </c>
      <c r="BG158">
        <f>TREND($C$84:$C$85,BG119:BG120,$C$45,1)</f>
        <v>0.71531764009245269</v>
      </c>
      <c r="BM158" t="s">
        <v>245</v>
      </c>
      <c r="BN158">
        <f>TREND($C$84:$C$85,BN119:BN120,$C$45,1)</f>
        <v>0.67613150283558066</v>
      </c>
      <c r="BT158" t="s">
        <v>245</v>
      </c>
      <c r="BU158">
        <f>TREND($C$84:$C$85,BU119:BU120,$C$45,1)</f>
        <v>0.61233984799255237</v>
      </c>
      <c r="CA158" t="s">
        <v>245</v>
      </c>
      <c r="CB158">
        <f>TREND($C$84:$C$85,CB119:CB120,$C$45,1)</f>
        <v>0.51112974182923232</v>
      </c>
      <c r="CH158" t="s">
        <v>245</v>
      </c>
      <c r="CI158">
        <f>TREND($C$84:$C$85,CI119:CI120,$C$45,1)</f>
        <v>0.34088579840044009</v>
      </c>
      <c r="CO158" t="s">
        <v>245</v>
      </c>
      <c r="CP158">
        <f>TREND($C$84:$C$85,CP119:CP120,$C$45,1)</f>
        <v>0.10784152018420401</v>
      </c>
      <c r="CV158" t="s">
        <v>245</v>
      </c>
      <c r="CW158">
        <f>TREND($C$84:$C$85,CW119:CW120,$C$45,1)</f>
        <v>0.81609282467532385</v>
      </c>
      <c r="DC158" t="s">
        <v>245</v>
      </c>
      <c r="DD158">
        <f>TREND($C$84:$C$85,DD119:DD120,$C$45,1)</f>
        <v>0.80784285893754404</v>
      </c>
      <c r="DJ158" t="s">
        <v>245</v>
      </c>
      <c r="DK158">
        <f>TREND($C$84:$C$85,DK119:DK120,$C$45,1)</f>
        <v>0.79818607541899356</v>
      </c>
      <c r="DQ158" t="s">
        <v>245</v>
      </c>
      <c r="DR158">
        <f>TREND($C$84:$C$85,DR119:DR120,$C$45,1)</f>
        <v>0.77766622881355851</v>
      </c>
      <c r="DX158" t="s">
        <v>245</v>
      </c>
      <c r="DY158">
        <f>TREND($C$84:$C$85,DY119:DY120,$C$45,1)</f>
        <v>0.73791457792207704</v>
      </c>
      <c r="EE158" t="s">
        <v>245</v>
      </c>
      <c r="EF158">
        <f>TREND($C$84:$C$85,EF119:EF120,$C$45,1)</f>
        <v>0.66646690870387804</v>
      </c>
    </row>
    <row r="159" spans="2:137">
      <c r="B159" t="s">
        <v>319</v>
      </c>
      <c r="C159">
        <f>TREND($F$84:$F$85,C119:C120,$C$45,1)</f>
        <v>6.1298701298701301</v>
      </c>
      <c r="I159" t="s">
        <v>319</v>
      </c>
      <c r="J159">
        <f>TREND($F$84:$F$85,J119:J120,$C$45,1)</f>
        <v>6.3550990680321648</v>
      </c>
      <c r="P159" t="s">
        <v>319</v>
      </c>
      <c r="Q159">
        <f>TREND($F$84:$F$85,Q119:Q120,$C$45,1)</f>
        <v>6.7456764175642983</v>
      </c>
      <c r="W159" t="s">
        <v>319</v>
      </c>
      <c r="X159">
        <f>TREND($F$84:$F$85,X119:X120,$C$45,1)</f>
        <v>7.3815026871333735</v>
      </c>
      <c r="AD159" t="s">
        <v>319</v>
      </c>
      <c r="AE159">
        <f>TREND($F$84:$F$85,AE119:AE120,$C$45,1)</f>
        <v>8.3902873691245254</v>
      </c>
      <c r="AK159" t="s">
        <v>319</v>
      </c>
      <c r="AL159">
        <f>TREND($F$84:$F$85,AL119:AL120,$C$45,1)</f>
        <v>10.087148372862659</v>
      </c>
      <c r="AR159" t="s">
        <v>319</v>
      </c>
      <c r="AS159">
        <f>TREND($F$84:$F$85,AS119:AS120,$C$45,1)</f>
        <v>12.409954928473447</v>
      </c>
      <c r="AY159" t="s">
        <v>319</v>
      </c>
      <c r="AZ159">
        <f>TREND($F$84:$F$85,AZ119:AZ120,$C$45,1)</f>
        <v>5.3471234647705232</v>
      </c>
      <c r="BF159" t="s">
        <v>319</v>
      </c>
      <c r="BG159">
        <f>TREND($F$84:$F$85,BG119:BG120,$C$45,1)</f>
        <v>5.4632638197303685</v>
      </c>
      <c r="BM159" t="s">
        <v>319</v>
      </c>
      <c r="BN159">
        <f>TREND($F$84:$F$85,BN119:BN120,$C$45,1)</f>
        <v>5.6585524944964352</v>
      </c>
      <c r="BT159" t="s">
        <v>319</v>
      </c>
      <c r="BU159">
        <f>TREND($F$84:$F$85,BU119:BU120,$C$45,1)</f>
        <v>5.9764656292809724</v>
      </c>
      <c r="CA159" t="s">
        <v>319</v>
      </c>
      <c r="CB159">
        <f>TREND($F$84:$F$85,CB119:CB120,$C$45,1)</f>
        <v>6.4808579702765483</v>
      </c>
      <c r="CH159" t="s">
        <v>319</v>
      </c>
      <c r="CI159">
        <f>TREND($F$84:$F$85,CI119:CI120,$C$45,1)</f>
        <v>7.3292884721456151</v>
      </c>
      <c r="CO159" t="s">
        <v>319</v>
      </c>
      <c r="CP159">
        <f>TREND($F$84:$F$85,CP119:CP120,$C$45,1)</f>
        <v>8.4906917499510079</v>
      </c>
      <c r="CV159" t="s">
        <v>319</v>
      </c>
      <c r="CW159">
        <f>TREND($F$84:$F$85,CW119:CW120,$C$45,1)</f>
        <v>4.9610389610389616</v>
      </c>
      <c r="DC159" t="s">
        <v>319</v>
      </c>
      <c r="DD159">
        <f>TREND($F$84:$F$85,DD119:DD120,$C$45,1)</f>
        <v>5.0021536252692034</v>
      </c>
      <c r="DJ159" t="s">
        <v>319</v>
      </c>
      <c r="DK159">
        <f>TREND($F$84:$F$85,DK119:DK120,$C$45,1)</f>
        <v>5.050279329608939</v>
      </c>
      <c r="DQ159" t="s">
        <v>319</v>
      </c>
      <c r="DR159">
        <f>TREND($F$84:$F$85,DR119:DR120,$C$45,1)</f>
        <v>5.1525423728813555</v>
      </c>
      <c r="DX159" t="s">
        <v>319</v>
      </c>
      <c r="DY159">
        <f>TREND($F$84:$F$85,DY119:DY120,$C$45,1)</f>
        <v>5.3506493506493511</v>
      </c>
      <c r="EE159" t="s">
        <v>319</v>
      </c>
      <c r="EF159">
        <f>TREND($F$84:$F$85,EF119:EF120,$C$45,1)</f>
        <v>5.7067171239356664</v>
      </c>
    </row>
    <row r="161" spans="2:143">
      <c r="B161" t="s">
        <v>320</v>
      </c>
      <c r="C161">
        <f>$C$88*SQRT($C$44/C158)*SQRT(2.7/$C$35)</f>
        <v>7.1823088859723834</v>
      </c>
      <c r="D161">
        <f>C161*2</f>
        <v>14.364617771944767</v>
      </c>
      <c r="I161" t="s">
        <v>321</v>
      </c>
      <c r="J161">
        <f>$C$88*SQRT($C$44/J158)*SQRT(2.7/$C$35)</f>
        <v>7.4787795595649538</v>
      </c>
      <c r="P161" t="s">
        <v>322</v>
      </c>
      <c r="Q161">
        <f>$C$88*SQRT($C$44/Q158)*SQRT(2.7/$C$35)</f>
        <v>8.0934131844268808</v>
      </c>
      <c r="W161" t="s">
        <v>323</v>
      </c>
      <c r="X161">
        <f>$C$88*SQRT($C$44/X158)*SQRT(2.7/$C$35)</f>
        <v>9.5287282140536878</v>
      </c>
      <c r="AD161" t="s">
        <v>324</v>
      </c>
      <c r="AE161">
        <f>$C$88*SQRT($C$44/AE158)*SQRT(2.7/$C$35)</f>
        <v>15.31000391122693</v>
      </c>
      <c r="AK161" t="s">
        <v>325</v>
      </c>
      <c r="AL161" t="e">
        <f>$C$88*SQRT($C$44/AL158)*SQRT(2.7/$C$35)</f>
        <v>#NUM!</v>
      </c>
      <c r="AR161" t="s">
        <v>326</v>
      </c>
      <c r="AS161" t="e">
        <f>$C$88*SQRT($C$44/AS158)*SQRT(2.7/$C$35)</f>
        <v>#NUM!</v>
      </c>
      <c r="AY161" t="s">
        <v>327</v>
      </c>
      <c r="AZ161">
        <f>$C$88*SQRT($C$44/AZ158)*SQRT(2.7/$C$35)</f>
        <v>6.373081704272324</v>
      </c>
      <c r="BF161" t="s">
        <v>328</v>
      </c>
      <c r="BG161">
        <f>$C$88*SQRT($C$44/BG158)*SQRT(2.7/$C$35)</f>
        <v>6.4760644141541892</v>
      </c>
      <c r="BM161" t="s">
        <v>329</v>
      </c>
      <c r="BN161">
        <f>$C$88*SQRT($C$44/BN158)*SQRT(2.7/$C$35)</f>
        <v>6.6610860135022909</v>
      </c>
      <c r="BT161" t="s">
        <v>330</v>
      </c>
      <c r="BU161">
        <f>$C$88*SQRT($C$44/BU158)*SQRT(2.7/$C$35)</f>
        <v>6.9994572654359413</v>
      </c>
      <c r="CA161" t="s">
        <v>331</v>
      </c>
      <c r="CB161">
        <f>$C$88*SQRT($C$44/CB158)*SQRT(2.7/$C$35)</f>
        <v>7.6611691479113757</v>
      </c>
      <c r="CH161" t="s">
        <v>332</v>
      </c>
      <c r="CI161">
        <f>$C$88*SQRT($C$44/CI158)*SQRT(2.7/$C$35)</f>
        <v>9.381152007282207</v>
      </c>
      <c r="CO161" t="s">
        <v>333</v>
      </c>
      <c r="CP161">
        <f>$C$88*SQRT($C$44/CP158)*SQRT(2.7/$C$35)</f>
        <v>16.678908521990067</v>
      </c>
      <c r="CV161" t="s">
        <v>334</v>
      </c>
      <c r="CW161">
        <f>$C$88*SQRT($C$44/CW158)*SQRT(2.7/$C$35)</f>
        <v>6.0630457826168316</v>
      </c>
      <c r="DC161" t="s">
        <v>335</v>
      </c>
      <c r="DD161">
        <f>$C$88*SQRT($C$44/DD158)*SQRT(2.7/$C$35)</f>
        <v>6.0939260845644112</v>
      </c>
      <c r="DJ161" t="s">
        <v>336</v>
      </c>
      <c r="DK161">
        <f>$C$88*SQRT($C$44/DK158)*SQRT(2.7/$C$35)</f>
        <v>6.1306786692171205</v>
      </c>
      <c r="DQ161" t="s">
        <v>337</v>
      </c>
      <c r="DR161">
        <f>$C$88*SQRT($C$44/DR158)*SQRT(2.7/$C$35)</f>
        <v>6.2110354437043807</v>
      </c>
      <c r="DX161" t="s">
        <v>338</v>
      </c>
      <c r="DY161">
        <f>$C$88*SQRT($C$44/DY158)*SQRT(2.7/$C$35)</f>
        <v>6.376136154048849</v>
      </c>
      <c r="EE161" t="s">
        <v>339</v>
      </c>
      <c r="EF161">
        <f>$C$88*SQRT($C$44/EF158)*SQRT(2.7/$C$35)</f>
        <v>6.7092091712736615</v>
      </c>
    </row>
    <row r="162" spans="2:143">
      <c r="B162" t="s">
        <v>300</v>
      </c>
      <c r="C162" s="1">
        <f>C159*$C$35/2</f>
        <v>8.2753246753246756</v>
      </c>
      <c r="D162">
        <f>C162*2</f>
        <v>16.550649350649351</v>
      </c>
      <c r="I162" t="s">
        <v>300</v>
      </c>
      <c r="J162" s="1">
        <f>J159*$C$35/2</f>
        <v>8.5793837418434222</v>
      </c>
      <c r="P162" t="s">
        <v>300</v>
      </c>
      <c r="Q162" s="1">
        <f>Q159*$C$35/2</f>
        <v>9.1066631637118025</v>
      </c>
      <c r="W162" t="s">
        <v>300</v>
      </c>
      <c r="X162" s="1">
        <f>X159*$C$35/2</f>
        <v>9.9650286276300548</v>
      </c>
      <c r="AD162" t="s">
        <v>300</v>
      </c>
      <c r="AE162" s="1">
        <f>AE159*$C$35/2</f>
        <v>11.32688794831811</v>
      </c>
      <c r="AK162" t="s">
        <v>300</v>
      </c>
      <c r="AL162" s="1">
        <f>AL159*$C$35/2</f>
        <v>13.61765030336459</v>
      </c>
      <c r="AR162" t="s">
        <v>300</v>
      </c>
      <c r="AS162" s="1">
        <f>AS159*$C$35/2</f>
        <v>16.753439153439153</v>
      </c>
      <c r="AY162" t="s">
        <v>300</v>
      </c>
      <c r="AZ162" s="1">
        <f>AZ159*$C$35/2</f>
        <v>7.218616677440207</v>
      </c>
      <c r="BF162" t="s">
        <v>300</v>
      </c>
      <c r="BG162" s="1">
        <f>BG159*$C$35/2</f>
        <v>7.3754061566359983</v>
      </c>
      <c r="BM162" t="s">
        <v>300</v>
      </c>
      <c r="BN162" s="1">
        <f>BN159*$C$35/2</f>
        <v>7.6390458675701876</v>
      </c>
      <c r="BT162" t="s">
        <v>300</v>
      </c>
      <c r="BU162" s="1">
        <f>BU159*$C$35/2</f>
        <v>8.0682285995293128</v>
      </c>
      <c r="CA162" t="s">
        <v>300</v>
      </c>
      <c r="CB162" s="1">
        <f>CB159*$C$35/2</f>
        <v>8.7491582598733402</v>
      </c>
      <c r="CH162" t="s">
        <v>300</v>
      </c>
      <c r="CI162" s="1">
        <f>CI159*$C$35/2</f>
        <v>9.8945394373965811</v>
      </c>
      <c r="CO162" t="s">
        <v>300</v>
      </c>
      <c r="CP162" s="1">
        <f>CP159*$C$35/2</f>
        <v>11.462433862433862</v>
      </c>
      <c r="CV162" t="s">
        <v>300</v>
      </c>
      <c r="CW162" s="1">
        <f>CW159*$C$35/2</f>
        <v>6.6974025974025988</v>
      </c>
      <c r="DC162" t="s">
        <v>300</v>
      </c>
      <c r="DD162" s="1">
        <f>DD159*$C$35/2</f>
        <v>6.752907394113425</v>
      </c>
      <c r="DJ162" t="s">
        <v>300</v>
      </c>
      <c r="DK162" s="1">
        <f>DK159*$C$35/2</f>
        <v>6.8178770949720677</v>
      </c>
      <c r="DQ162" t="s">
        <v>300</v>
      </c>
      <c r="DR162" s="1">
        <f>DR159*$C$35/2</f>
        <v>6.9559322033898301</v>
      </c>
      <c r="DX162" t="s">
        <v>300</v>
      </c>
      <c r="DY162" s="1">
        <f>DY159*$C$35/2</f>
        <v>7.2233766233766241</v>
      </c>
      <c r="EE162" t="s">
        <v>300</v>
      </c>
      <c r="EF162" s="1">
        <f>EF159*$C$35/2</f>
        <v>7.7040681173131498</v>
      </c>
    </row>
    <row r="163" spans="2:143">
      <c r="B163" t="s">
        <v>301</v>
      </c>
      <c r="C163" s="1">
        <f>MIN(C161,C162)*$C$51*SQRT(12/$C$34)</f>
        <v>7.1823088859723834</v>
      </c>
      <c r="D163">
        <f>C163*2</f>
        <v>14.364617771944767</v>
      </c>
      <c r="I163" t="s">
        <v>301</v>
      </c>
      <c r="J163" s="1">
        <f>MIN(J161,J162)*$C$51*SQRT(12/$C$34)</f>
        <v>7.4787795595649538</v>
      </c>
      <c r="P163" t="s">
        <v>301</v>
      </c>
      <c r="Q163" s="1">
        <f>MIN(Q161,Q162)*$C$51*SQRT(12/$C$34)</f>
        <v>8.0934131844268808</v>
      </c>
      <c r="W163" t="s">
        <v>301</v>
      </c>
      <c r="X163" s="1">
        <f>MIN(X161,X162)*$C$51*SQRT(12/$C$34)</f>
        <v>9.5287282140536878</v>
      </c>
      <c r="AD163" t="s">
        <v>301</v>
      </c>
      <c r="AE163" s="1">
        <f>MIN(AE161,AE162)*$C$51*SQRT(12/$C$34)</f>
        <v>11.32688794831811</v>
      </c>
      <c r="AK163" t="s">
        <v>301</v>
      </c>
      <c r="AL163" s="1" t="e">
        <f>MIN(AL161,AL162)*$C$51*SQRT(12/$C$34)</f>
        <v>#NUM!</v>
      </c>
      <c r="AR163" t="s">
        <v>301</v>
      </c>
      <c r="AS163" s="1" t="e">
        <f>MIN(AS161,AS162)*$C$51*SQRT(12/$C$34)</f>
        <v>#NUM!</v>
      </c>
      <c r="AY163" t="s">
        <v>301</v>
      </c>
      <c r="AZ163" s="1">
        <f>MIN(AZ161,AZ162)*$C$51*SQRT(12/$C$34)</f>
        <v>6.373081704272324</v>
      </c>
      <c r="BF163" t="s">
        <v>301</v>
      </c>
      <c r="BG163" s="1">
        <f>MIN(BG161,BG162)*$C$51*SQRT(12/$C$34)</f>
        <v>6.4760644141541892</v>
      </c>
      <c r="BM163" t="s">
        <v>301</v>
      </c>
      <c r="BN163" s="1">
        <f>MIN(BN161,BN162)*$C$51*SQRT(12/$C$34)</f>
        <v>6.6610860135022909</v>
      </c>
      <c r="BT163" t="s">
        <v>301</v>
      </c>
      <c r="BU163" s="1">
        <f>MIN(BU161,BU162)*$C$51*SQRT(12/$C$34)</f>
        <v>6.9994572654359413</v>
      </c>
      <c r="CA163" t="s">
        <v>301</v>
      </c>
      <c r="CB163" s="1">
        <f>MIN(CB161,CB162)*$C$51*SQRT(12/$C$34)</f>
        <v>7.6611691479113757</v>
      </c>
      <c r="CH163" t="s">
        <v>301</v>
      </c>
      <c r="CI163" s="1">
        <f>MIN(CI161,CI162)*$C$51*SQRT(12/$C$34)</f>
        <v>9.381152007282207</v>
      </c>
      <c r="CO163" t="s">
        <v>301</v>
      </c>
      <c r="CP163" s="1">
        <f>MIN(CP161,CP162)*$C$51*SQRT(12/$C$34)</f>
        <v>11.462433862433862</v>
      </c>
      <c r="CV163" t="s">
        <v>301</v>
      </c>
      <c r="CW163" s="1">
        <f>MIN(CW161,CW162)*$C$51*SQRT(12/$C$34)</f>
        <v>6.0630457826168316</v>
      </c>
      <c r="DC163" t="s">
        <v>301</v>
      </c>
      <c r="DD163" s="1">
        <f>MIN(DD161,DD162)*$C$51*SQRT(12/$C$34)</f>
        <v>6.0939260845644112</v>
      </c>
      <c r="DJ163" t="s">
        <v>301</v>
      </c>
      <c r="DK163" s="1">
        <f>MIN(DK161,DK162)*$C$51*SQRT(12/$C$34)</f>
        <v>6.1306786692171205</v>
      </c>
      <c r="DQ163" t="s">
        <v>301</v>
      </c>
      <c r="DR163" s="1">
        <f>MIN(DR161,DR162)*$C$51*SQRT(12/$C$34)</f>
        <v>6.2110354437043807</v>
      </c>
      <c r="DX163" t="s">
        <v>301</v>
      </c>
      <c r="DY163" s="1">
        <f>MIN(DY161,DY162)*$C$51*SQRT(12/$C$34)</f>
        <v>6.376136154048849</v>
      </c>
      <c r="EE163" t="s">
        <v>301</v>
      </c>
      <c r="EF163" s="1">
        <f>MIN(EF161,EF162)*$C$51*SQRT(12/$C$34)</f>
        <v>6.7092091712736615</v>
      </c>
    </row>
    <row r="164" spans="2:143">
      <c r="B164" t="s">
        <v>302</v>
      </c>
      <c r="C164" s="1">
        <f>C163*$C$90</f>
        <v>14.364617771944767</v>
      </c>
      <c r="I164" t="s">
        <v>302</v>
      </c>
      <c r="J164" s="1">
        <f>J163*$C$90</f>
        <v>14.957559119129908</v>
      </c>
      <c r="P164" t="s">
        <v>302</v>
      </c>
      <c r="Q164" s="1">
        <f>Q163*$C$90</f>
        <v>16.186826368853762</v>
      </c>
      <c r="W164" t="s">
        <v>302</v>
      </c>
      <c r="X164" s="1">
        <f>X163*$C$90</f>
        <v>19.057456428107376</v>
      </c>
      <c r="AD164" t="s">
        <v>302</v>
      </c>
      <c r="AE164" s="1">
        <f>AE163*$C$90</f>
        <v>22.653775896636219</v>
      </c>
      <c r="AK164" t="s">
        <v>302</v>
      </c>
      <c r="AL164" s="1" t="e">
        <f>AL163*$C$90</f>
        <v>#NUM!</v>
      </c>
      <c r="AR164" t="s">
        <v>302</v>
      </c>
      <c r="AS164" s="1" t="e">
        <f>AS163*$C$90</f>
        <v>#NUM!</v>
      </c>
      <c r="AY164" t="s">
        <v>302</v>
      </c>
      <c r="AZ164" s="1">
        <f>AZ163*$C$90</f>
        <v>12.746163408544648</v>
      </c>
      <c r="BF164" t="s">
        <v>302</v>
      </c>
      <c r="BG164" s="1">
        <f>BG163*$C$90</f>
        <v>12.952128828308378</v>
      </c>
      <c r="BM164" t="s">
        <v>302</v>
      </c>
      <c r="BN164" s="1">
        <f>BN163*$C$90</f>
        <v>13.322172027004582</v>
      </c>
      <c r="BT164" t="s">
        <v>302</v>
      </c>
      <c r="BU164" s="1">
        <f>BU163*$C$90</f>
        <v>13.998914530871883</v>
      </c>
      <c r="CA164" t="s">
        <v>302</v>
      </c>
      <c r="CB164" s="1">
        <f>CB163*$C$90</f>
        <v>15.322338295822751</v>
      </c>
      <c r="CH164" t="s">
        <v>302</v>
      </c>
      <c r="CI164" s="1">
        <f>CI163*$C$90</f>
        <v>18.762304014564414</v>
      </c>
      <c r="CO164" t="s">
        <v>302</v>
      </c>
      <c r="CP164" s="1">
        <f>CP163*$C$90</f>
        <v>22.924867724867724</v>
      </c>
      <c r="CV164" t="s">
        <v>302</v>
      </c>
      <c r="CW164" s="1">
        <f>CW163*$C$90</f>
        <v>12.126091565233663</v>
      </c>
      <c r="DC164" t="s">
        <v>302</v>
      </c>
      <c r="DD164" s="1">
        <f>DD163*$C$90</f>
        <v>12.187852169128822</v>
      </c>
      <c r="DJ164" t="s">
        <v>302</v>
      </c>
      <c r="DK164" s="1">
        <f>DK163*$C$90</f>
        <v>12.261357338434241</v>
      </c>
      <c r="DQ164" t="s">
        <v>302</v>
      </c>
      <c r="DR164" s="1">
        <f>DR163*$C$90</f>
        <v>12.422070887408761</v>
      </c>
      <c r="DX164" t="s">
        <v>302</v>
      </c>
      <c r="DY164" s="1">
        <f>DY163*$C$90</f>
        <v>12.752272308097698</v>
      </c>
      <c r="EE164" t="s">
        <v>302</v>
      </c>
      <c r="EF164" s="1">
        <f>EF163*$C$90</f>
        <v>13.418418342547323</v>
      </c>
    </row>
    <row r="165" spans="2:143">
      <c r="AY165" s="338"/>
      <c r="CV165" s="338"/>
    </row>
    <row r="166" spans="2:143">
      <c r="B166" s="1" t="s">
        <v>77</v>
      </c>
      <c r="I166" s="1" t="s">
        <v>77</v>
      </c>
      <c r="P166" s="1" t="s">
        <v>77</v>
      </c>
      <c r="W166" s="1" t="s">
        <v>77</v>
      </c>
      <c r="AD166" s="1" t="s">
        <v>77</v>
      </c>
      <c r="AK166" s="1" t="s">
        <v>77</v>
      </c>
      <c r="AR166" s="1" t="s">
        <v>77</v>
      </c>
      <c r="AY166" s="348" t="s">
        <v>77</v>
      </c>
      <c r="BF166" s="1" t="s">
        <v>77</v>
      </c>
      <c r="BM166" s="1" t="s">
        <v>77</v>
      </c>
      <c r="BT166" s="1" t="s">
        <v>77</v>
      </c>
      <c r="CA166" s="1" t="s">
        <v>77</v>
      </c>
      <c r="CH166" s="1" t="s">
        <v>77</v>
      </c>
      <c r="CO166" s="1" t="s">
        <v>77</v>
      </c>
      <c r="CV166" s="348" t="s">
        <v>77</v>
      </c>
      <c r="DC166" s="1" t="s">
        <v>77</v>
      </c>
      <c r="DJ166" s="1" t="s">
        <v>77</v>
      </c>
      <c r="DQ166" s="1" t="s">
        <v>77</v>
      </c>
      <c r="DX166" s="1" t="s">
        <v>77</v>
      </c>
      <c r="EE166" s="1" t="s">
        <v>77</v>
      </c>
    </row>
    <row r="167" spans="2:143">
      <c r="B167" t="s">
        <v>340</v>
      </c>
      <c r="C167" s="10">
        <f>E167*$C$31^2+F167*$C$31+G167</f>
        <v>8.5111999999999988</v>
      </c>
      <c r="E167" s="13">
        <v>-1.4200000000000001E-4</v>
      </c>
      <c r="F167" s="13">
        <v>9.4799999999999995E-2</v>
      </c>
      <c r="G167" s="13">
        <v>-0.82</v>
      </c>
      <c r="I167" t="s">
        <v>340</v>
      </c>
      <c r="J167">
        <f>L167*$C$31^2+M167*$C$31+N167</f>
        <v>9.002799999999997</v>
      </c>
      <c r="L167">
        <v>-1.73E-4</v>
      </c>
      <c r="M167">
        <v>0.104</v>
      </c>
      <c r="N167">
        <v>-0.98599999999999999</v>
      </c>
      <c r="P167" t="s">
        <v>340</v>
      </c>
      <c r="Q167">
        <f>S167*$C$31^2+T167*$C$31+U167</f>
        <v>9.5584399999999992</v>
      </c>
      <c r="R167" s="13"/>
      <c r="S167" s="13">
        <v>-1.404E-4</v>
      </c>
      <c r="T167" s="13">
        <v>0.1011</v>
      </c>
      <c r="U167" s="13">
        <v>-0.55179999999999996</v>
      </c>
      <c r="W167" t="s">
        <v>340</v>
      </c>
      <c r="X167">
        <f>Z167*$C$31^2+AA167*$C$31+AB167</f>
        <v>10.597020000000001</v>
      </c>
      <c r="Z167" s="13">
        <v>-2.262E-4</v>
      </c>
      <c r="AA167" s="13">
        <v>0.12189999999999999</v>
      </c>
      <c r="AB167" s="13">
        <v>-0.77370000000000005</v>
      </c>
      <c r="AD167" t="s">
        <v>340</v>
      </c>
      <c r="AE167">
        <f>AG167*$C$31^2+AH167*$C$31+AI167</f>
        <v>11.4306</v>
      </c>
      <c r="AG167" s="13">
        <v>-4.0850000000000001E-4</v>
      </c>
      <c r="AH167" s="13">
        <v>0.15329999999999999</v>
      </c>
      <c r="AI167">
        <v>-1.083</v>
      </c>
      <c r="AK167" t="s">
        <v>340</v>
      </c>
      <c r="AL167">
        <f>AN167*$C$31^2+AO167*$C$31+AP167</f>
        <v>12.805079999999998</v>
      </c>
      <c r="AN167" s="13">
        <v>-3.6479999999999998E-4</v>
      </c>
      <c r="AO167" s="13">
        <v>0.1573</v>
      </c>
      <c r="AP167" s="13">
        <v>-0.81779999999999997</v>
      </c>
      <c r="AR167" t="s">
        <v>340</v>
      </c>
      <c r="AS167">
        <f>AU167*$C$31^2+AV167*$C$31+AW167</f>
        <v>13.767999999999999</v>
      </c>
      <c r="AU167" s="13">
        <v>-5.4750000000000003E-4</v>
      </c>
      <c r="AV167" s="13">
        <v>0.189</v>
      </c>
      <c r="AW167">
        <v>-1.028</v>
      </c>
      <c r="AY167" s="338" t="s">
        <v>340</v>
      </c>
      <c r="AZ167" s="10">
        <f>BB167*$C$31^2+BC167*$C$31+BD167</f>
        <v>6.1499199999999998</v>
      </c>
      <c r="BB167" s="13">
        <v>-6.8200000000000004E-5</v>
      </c>
      <c r="BC167" s="13">
        <v>6.6799999999999998E-2</v>
      </c>
      <c r="BD167" s="13">
        <v>-0.88400000000000001</v>
      </c>
      <c r="BF167" t="s">
        <v>340</v>
      </c>
      <c r="BG167" s="10">
        <f>BI167*$C$31^2+BJ167*$C$31+BK167</f>
        <v>6.4978400000000001</v>
      </c>
      <c r="BI167" s="13">
        <v>-8.14E-5</v>
      </c>
      <c r="BJ167" s="13">
        <v>7.22E-2</v>
      </c>
      <c r="BK167" s="13">
        <v>-0.99399999999999999</v>
      </c>
      <c r="BM167" t="s">
        <v>340</v>
      </c>
      <c r="BN167" s="10">
        <f>BP167*$C$31^2+BQ167*$C$31+BR167</f>
        <v>7.2291999999999987</v>
      </c>
      <c r="BP167" s="13">
        <v>-1.4200000000000001E-4</v>
      </c>
      <c r="BQ167" s="13">
        <v>8.8200000000000001E-2</v>
      </c>
      <c r="BR167" s="13">
        <v>-1.31</v>
      </c>
      <c r="BT167" t="s">
        <v>340</v>
      </c>
      <c r="BU167" s="10">
        <f>BW167*$C$31^2+BX167*$C$31+BY167</f>
        <v>8.0229999999999997</v>
      </c>
      <c r="BW167" s="13">
        <v>-1.15E-4</v>
      </c>
      <c r="BX167" s="13">
        <v>8.7300000000000003E-2</v>
      </c>
      <c r="BY167" s="13">
        <v>-0.79700000000000004</v>
      </c>
      <c r="CA167" t="s">
        <v>340</v>
      </c>
      <c r="CB167" s="10">
        <f>CD167*$C$31^2+CE167*$C$31+CF167</f>
        <v>9.002799999999997</v>
      </c>
      <c r="CD167" s="13">
        <v>-1.73E-4</v>
      </c>
      <c r="CE167" s="13">
        <v>0.104</v>
      </c>
      <c r="CF167" s="13">
        <v>-0.98599999999999999</v>
      </c>
      <c r="CH167" t="s">
        <v>340</v>
      </c>
      <c r="CI167" s="10">
        <f>CK167*$C$31^2+CL167*$C$31+CM167</f>
        <v>9.9725999999999981</v>
      </c>
      <c r="CK167" s="13">
        <v>-2.0100000000000001E-4</v>
      </c>
      <c r="CL167" s="13">
        <v>0.114</v>
      </c>
      <c r="CM167" s="13">
        <v>-0.81299999999999994</v>
      </c>
      <c r="CO167" t="s">
        <v>340</v>
      </c>
      <c r="CP167" s="10">
        <f>CR167*$C$31^2+CS167*$C$31+CT167</f>
        <v>11.158600000000002</v>
      </c>
      <c r="CR167" s="13">
        <v>-2.5599999999999999E-4</v>
      </c>
      <c r="CS167" s="13">
        <v>0.13</v>
      </c>
      <c r="CT167" s="13">
        <v>-0.755</v>
      </c>
      <c r="CV167" s="338" t="s">
        <v>340</v>
      </c>
      <c r="CW167" s="10">
        <f>CY167*$C$31^2+CZ167*$C$31+DA167</f>
        <v>4.5622000000000007</v>
      </c>
      <c r="CY167" s="13">
        <v>-1.7E-5</v>
      </c>
      <c r="CZ167" s="13">
        <v>3.7699999999999997E-2</v>
      </c>
      <c r="DA167" s="13">
        <v>0.28299999999999997</v>
      </c>
      <c r="DC167" t="s">
        <v>340</v>
      </c>
      <c r="DD167" s="10">
        <f>DF167*$C$31^2+DG167*$C$31+DH167</f>
        <v>4.8849599999999995</v>
      </c>
      <c r="DF167" s="13">
        <v>-2.6599999999999999E-5</v>
      </c>
      <c r="DG167" s="13">
        <v>4.5699999999999998E-2</v>
      </c>
      <c r="DH167" s="13">
        <v>-0.216</v>
      </c>
      <c r="DJ167" t="s">
        <v>340</v>
      </c>
      <c r="DK167" s="10">
        <f>DM167*$C$31^2+DN167*$C$31+DO167</f>
        <v>5.3586399999999994</v>
      </c>
      <c r="DM167" s="13">
        <v>-3.1900000000000003E-5</v>
      </c>
      <c r="DN167" s="13">
        <v>4.99E-2</v>
      </c>
      <c r="DO167" s="13">
        <v>-0.17</v>
      </c>
      <c r="DQ167" t="s">
        <v>340</v>
      </c>
      <c r="DR167" s="10">
        <f>DT167*$C$31^2+DU167*$C$31+DV167</f>
        <v>5.8282800000000003</v>
      </c>
      <c r="DT167" s="13">
        <v>-3.6300000000000001E-5</v>
      </c>
      <c r="DU167" s="13">
        <v>5.3600000000000002E-2</v>
      </c>
      <c r="DV167" s="13">
        <v>-8.1000000000000003E-2</v>
      </c>
      <c r="DX167" t="s">
        <v>340</v>
      </c>
      <c r="DY167" s="10">
        <f>EA167*$C$31^2+EB167*$C$31+EC167</f>
        <v>6.28756</v>
      </c>
      <c r="EA167" s="13">
        <v>-3.9100000000000002E-5</v>
      </c>
      <c r="EB167" s="13">
        <v>5.6399999999999999E-2</v>
      </c>
      <c r="EC167" s="13">
        <v>8.2600000000000007E-2</v>
      </c>
      <c r="EE167" t="s">
        <v>340</v>
      </c>
      <c r="EF167" s="10">
        <f>EH167*$C$31^2+EI167*$C$31+EJ167</f>
        <v>6.6744000000000003</v>
      </c>
      <c r="EH167" s="13">
        <v>-4.1499999999999999E-5</v>
      </c>
      <c r="EI167" s="13">
        <v>5.9400000000000001E-2</v>
      </c>
      <c r="EJ167" s="13">
        <v>0.14399999999999999</v>
      </c>
    </row>
    <row r="168" spans="2:143">
      <c r="B168" t="s">
        <v>341</v>
      </c>
      <c r="C168">
        <f>E168*$C$35^2+F168*$C$35+G168</f>
        <v>0.67328399999999977</v>
      </c>
      <c r="E168">
        <v>6.5600000000000006E-2</v>
      </c>
      <c r="F168">
        <v>-0.75819999999999999</v>
      </c>
      <c r="G168">
        <v>2.2422</v>
      </c>
      <c r="I168" t="s">
        <v>341</v>
      </c>
      <c r="J168">
        <f>L168*$C$35^2+M168*$C$35+N168</f>
        <v>0.67328399999999977</v>
      </c>
      <c r="L168">
        <v>6.5600000000000006E-2</v>
      </c>
      <c r="M168">
        <v>-0.75819999999999999</v>
      </c>
      <c r="N168">
        <v>2.2422</v>
      </c>
      <c r="P168" t="s">
        <v>341</v>
      </c>
      <c r="Q168">
        <f>S168*$C$35^2+T168*$C$35+U168</f>
        <v>0.67328399999999977</v>
      </c>
      <c r="S168">
        <v>6.5600000000000006E-2</v>
      </c>
      <c r="T168">
        <v>-0.75819999999999999</v>
      </c>
      <c r="U168">
        <v>2.2422</v>
      </c>
      <c r="W168" t="s">
        <v>341</v>
      </c>
      <c r="X168">
        <f>Z168*$C$35^2+AA168*$C$35+AB168</f>
        <v>0.67328399999999977</v>
      </c>
      <c r="Z168">
        <v>6.5600000000000006E-2</v>
      </c>
      <c r="AA168">
        <v>-0.75819999999999999</v>
      </c>
      <c r="AB168">
        <v>2.2422</v>
      </c>
      <c r="AD168" t="s">
        <v>341</v>
      </c>
      <c r="AE168">
        <f>AG168*$C$35^2+AH168*$C$35+AI168</f>
        <v>0.67328399999999977</v>
      </c>
      <c r="AG168">
        <v>6.5600000000000006E-2</v>
      </c>
      <c r="AH168">
        <v>-0.75819999999999999</v>
      </c>
      <c r="AI168">
        <v>2.2422</v>
      </c>
      <c r="AK168" t="s">
        <v>341</v>
      </c>
      <c r="AL168">
        <f>AN168*$C$35^2+AO168*$C$35+AP168</f>
        <v>0.67328399999999977</v>
      </c>
      <c r="AN168">
        <v>6.5600000000000006E-2</v>
      </c>
      <c r="AO168">
        <v>-0.75819999999999999</v>
      </c>
      <c r="AP168">
        <v>2.2422</v>
      </c>
      <c r="AR168" t="s">
        <v>341</v>
      </c>
      <c r="AS168">
        <f>AU168*$C$35^2+AV168*$C$35+AW168</f>
        <v>0.67328399999999977</v>
      </c>
      <c r="AU168">
        <v>6.5600000000000006E-2</v>
      </c>
      <c r="AV168">
        <v>-0.75819999999999999</v>
      </c>
      <c r="AW168">
        <v>2.2422</v>
      </c>
      <c r="AY168" s="338" t="s">
        <v>341</v>
      </c>
      <c r="AZ168">
        <f>BB168*$C$35^2+BC168*$C$35+BD168</f>
        <v>0.67328399999999977</v>
      </c>
      <c r="BB168">
        <v>6.5600000000000006E-2</v>
      </c>
      <c r="BC168">
        <v>-0.75819999999999999</v>
      </c>
      <c r="BD168">
        <v>2.2422</v>
      </c>
      <c r="BF168" t="s">
        <v>341</v>
      </c>
      <c r="BG168">
        <f>BI168*$C$35^2+BJ168*$C$35+BK168</f>
        <v>0.67328399999999977</v>
      </c>
      <c r="BI168">
        <v>6.5600000000000006E-2</v>
      </c>
      <c r="BJ168">
        <v>-0.75819999999999999</v>
      </c>
      <c r="BK168">
        <v>2.2422</v>
      </c>
      <c r="BM168" t="s">
        <v>341</v>
      </c>
      <c r="BN168">
        <f>BP168*$C$35^2+BQ168*$C$35+BR168</f>
        <v>0.67328399999999977</v>
      </c>
      <c r="BP168">
        <v>6.5600000000000006E-2</v>
      </c>
      <c r="BQ168">
        <v>-0.75819999999999999</v>
      </c>
      <c r="BR168">
        <v>2.2422</v>
      </c>
      <c r="BT168" t="s">
        <v>341</v>
      </c>
      <c r="BU168">
        <f>BW168*$C$35^2+BX168*$C$35+BY168</f>
        <v>0.67328399999999977</v>
      </c>
      <c r="BW168">
        <v>6.5600000000000006E-2</v>
      </c>
      <c r="BX168">
        <v>-0.75819999999999999</v>
      </c>
      <c r="BY168">
        <v>2.2422</v>
      </c>
      <c r="CA168" t="s">
        <v>341</v>
      </c>
      <c r="CB168">
        <f>CD168*$C$35^2+CE168*$C$35+CF168</f>
        <v>0.67328399999999977</v>
      </c>
      <c r="CD168">
        <v>6.5600000000000006E-2</v>
      </c>
      <c r="CE168">
        <v>-0.75819999999999999</v>
      </c>
      <c r="CF168">
        <v>2.2422</v>
      </c>
      <c r="CH168" t="s">
        <v>341</v>
      </c>
      <c r="CI168">
        <f>CK168*$C$35^2+CL168*$C$35+CM168</f>
        <v>0.67328399999999977</v>
      </c>
      <c r="CK168">
        <v>6.5600000000000006E-2</v>
      </c>
      <c r="CL168">
        <v>-0.75819999999999999</v>
      </c>
      <c r="CM168">
        <v>2.2422</v>
      </c>
      <c r="CO168" t="s">
        <v>341</v>
      </c>
      <c r="CP168">
        <f>CR168*$C$35^2+CS168*$C$35+CT168</f>
        <v>0.67328399999999977</v>
      </c>
      <c r="CR168">
        <v>6.5600000000000006E-2</v>
      </c>
      <c r="CS168">
        <v>-0.75819999999999999</v>
      </c>
      <c r="CT168">
        <v>2.2422</v>
      </c>
      <c r="CV168" s="338" t="s">
        <v>341</v>
      </c>
      <c r="CW168">
        <f>CY168*$C$35^2+CZ168*$C$35+DA168</f>
        <v>0.67486399999999991</v>
      </c>
      <c r="CY168">
        <v>7.46E-2</v>
      </c>
      <c r="CZ168">
        <v>-0.83109999999999995</v>
      </c>
      <c r="DA168">
        <v>2.375</v>
      </c>
      <c r="DC168" t="s">
        <v>341</v>
      </c>
      <c r="DD168">
        <f>DF168*$C$35^2+DG168*$C$35+DH168</f>
        <v>0.67486399999999991</v>
      </c>
      <c r="DF168">
        <v>7.46E-2</v>
      </c>
      <c r="DG168">
        <v>-0.83109999999999995</v>
      </c>
      <c r="DH168">
        <v>2.375</v>
      </c>
      <c r="DJ168" t="s">
        <v>341</v>
      </c>
      <c r="DK168">
        <f>DM168*$C$35^2+DN168*$C$35+DO168</f>
        <v>0.67486399999999991</v>
      </c>
      <c r="DM168">
        <v>7.46E-2</v>
      </c>
      <c r="DN168">
        <v>-0.83109999999999995</v>
      </c>
      <c r="DO168">
        <v>2.375</v>
      </c>
      <c r="DQ168" t="s">
        <v>341</v>
      </c>
      <c r="DR168">
        <f>DT168*$C$35^2+DU168*$C$35+DV168</f>
        <v>0.67486399999999991</v>
      </c>
      <c r="DT168">
        <v>7.46E-2</v>
      </c>
      <c r="DU168">
        <v>-0.83109999999999995</v>
      </c>
      <c r="DV168">
        <v>2.375</v>
      </c>
      <c r="DX168" t="s">
        <v>341</v>
      </c>
      <c r="DY168">
        <f>EA168*$C$35^2+EB168*$C$35+EC168</f>
        <v>0.67486399999999991</v>
      </c>
      <c r="EA168">
        <v>7.46E-2</v>
      </c>
      <c r="EB168">
        <v>-0.83109999999999995</v>
      </c>
      <c r="EC168">
        <v>2.375</v>
      </c>
      <c r="EE168" t="s">
        <v>341</v>
      </c>
      <c r="EF168">
        <f>EH168*$C$35^2+EI168*$C$35+EJ168</f>
        <v>0.67486399999999991</v>
      </c>
      <c r="EH168">
        <v>7.46E-2</v>
      </c>
      <c r="EI168">
        <v>-0.83109999999999995</v>
      </c>
      <c r="EJ168">
        <v>2.375</v>
      </c>
      <c r="EM168" s="9"/>
    </row>
    <row r="169" spans="2:143">
      <c r="B169" t="s">
        <v>342</v>
      </c>
      <c r="C169">
        <f>C168*C167</f>
        <v>5.730454780799997</v>
      </c>
      <c r="I169" t="s">
        <v>342</v>
      </c>
      <c r="J169">
        <f>J168*J167</f>
        <v>6.061441195199996</v>
      </c>
      <c r="P169" t="s">
        <v>342</v>
      </c>
      <c r="Q169">
        <f>Q168*Q167</f>
        <v>6.4355447169599973</v>
      </c>
      <c r="W169" t="s">
        <v>342</v>
      </c>
      <c r="X169">
        <f>X168*X167</f>
        <v>7.1348040136799984</v>
      </c>
      <c r="AD169" t="s">
        <v>342</v>
      </c>
      <c r="AE169">
        <f>AE168*AE167</f>
        <v>7.6960400903999977</v>
      </c>
      <c r="AK169" t="s">
        <v>342</v>
      </c>
      <c r="AL169">
        <f>AL168*AL167</f>
        <v>8.6214554827199965</v>
      </c>
      <c r="AR169" t="s">
        <v>342</v>
      </c>
      <c r="AS169">
        <f>AS168*AS167</f>
        <v>9.2697741119999968</v>
      </c>
      <c r="AY169" s="338" t="s">
        <v>342</v>
      </c>
      <c r="AZ169">
        <f>AZ168*AZ167</f>
        <v>4.1406427372799985</v>
      </c>
      <c r="BF169" t="s">
        <v>342</v>
      </c>
      <c r="BG169">
        <f>BG168*BG167</f>
        <v>4.3748917065599988</v>
      </c>
      <c r="BM169" t="s">
        <v>342</v>
      </c>
      <c r="BN169">
        <f>BN168*BN167</f>
        <v>4.8673046927999977</v>
      </c>
      <c r="BT169" t="s">
        <v>342</v>
      </c>
      <c r="BU169">
        <f>BU168*BU167</f>
        <v>5.4017575319999978</v>
      </c>
      <c r="CA169" t="s">
        <v>342</v>
      </c>
      <c r="CB169">
        <f>CB168*CB167</f>
        <v>6.061441195199996</v>
      </c>
      <c r="CH169" t="s">
        <v>342</v>
      </c>
      <c r="CI169">
        <f>CI168*CI167</f>
        <v>6.7143920183999963</v>
      </c>
      <c r="CO169" t="s">
        <v>342</v>
      </c>
      <c r="CP169">
        <f>CP168*CP167</f>
        <v>7.5129068423999987</v>
      </c>
      <c r="CV169" s="338" t="s">
        <v>342</v>
      </c>
      <c r="CW169">
        <f>CW168*CW167</f>
        <v>3.0788645408000002</v>
      </c>
      <c r="DC169" t="s">
        <v>342</v>
      </c>
      <c r="DD169">
        <f>DD168*DD167</f>
        <v>3.296683645439999</v>
      </c>
      <c r="DJ169" t="s">
        <v>342</v>
      </c>
      <c r="DK169">
        <f>DK168*DK167</f>
        <v>3.6163532249599992</v>
      </c>
      <c r="DQ169" t="s">
        <v>342</v>
      </c>
      <c r="DR169">
        <f>DR168*DR167</f>
        <v>3.9332963539199999</v>
      </c>
      <c r="DX169" t="s">
        <v>342</v>
      </c>
      <c r="DY169">
        <f>DY168*DY167</f>
        <v>4.2432478918399994</v>
      </c>
      <c r="EE169" t="s">
        <v>342</v>
      </c>
      <c r="EF169">
        <f>EF168*EF167</f>
        <v>4.5043122815999999</v>
      </c>
    </row>
    <row r="170" spans="2:143">
      <c r="B170" t="s">
        <v>343</v>
      </c>
      <c r="C170" s="10">
        <f>C169*F170</f>
        <v>12.721609613375994</v>
      </c>
      <c r="E170" s="13"/>
      <c r="F170" s="13">
        <v>2.2200000000000002</v>
      </c>
      <c r="G170" s="13">
        <v>0</v>
      </c>
      <c r="I170" t="s">
        <v>343</v>
      </c>
      <c r="J170" s="10">
        <f>J169*M170</f>
        <v>13.456399453343993</v>
      </c>
      <c r="L170" s="13"/>
      <c r="M170" s="13">
        <v>2.2200000000000002</v>
      </c>
      <c r="N170" s="13">
        <v>0</v>
      </c>
      <c r="P170" t="s">
        <v>343</v>
      </c>
      <c r="Q170" s="10">
        <f>Q169*T170</f>
        <v>14.286909271651195</v>
      </c>
      <c r="S170" s="13"/>
      <c r="T170" s="13">
        <v>2.2200000000000002</v>
      </c>
      <c r="U170" s="13">
        <v>0</v>
      </c>
      <c r="W170" t="s">
        <v>343</v>
      </c>
      <c r="X170" s="10">
        <f>X169*AA170</f>
        <v>15.839264910369598</v>
      </c>
      <c r="Z170" s="13"/>
      <c r="AA170" s="13">
        <v>2.2200000000000002</v>
      </c>
      <c r="AB170" s="13">
        <v>0</v>
      </c>
      <c r="AD170" t="s">
        <v>343</v>
      </c>
      <c r="AE170" s="10">
        <f>AE169*AH170</f>
        <v>17.085209000687996</v>
      </c>
      <c r="AG170" s="13"/>
      <c r="AH170" s="13">
        <v>2.2200000000000002</v>
      </c>
      <c r="AI170" s="13">
        <v>0</v>
      </c>
      <c r="AK170" t="s">
        <v>343</v>
      </c>
      <c r="AL170" s="10">
        <f>AL169*AO170</f>
        <v>19.139631171638396</v>
      </c>
      <c r="AN170" s="13"/>
      <c r="AO170" s="13">
        <v>2.2200000000000002</v>
      </c>
      <c r="AP170" s="13">
        <v>0</v>
      </c>
      <c r="AR170" t="s">
        <v>343</v>
      </c>
      <c r="AS170" s="10">
        <f>AS169*AV170</f>
        <v>20.578898528639996</v>
      </c>
      <c r="AU170" s="13"/>
      <c r="AV170" s="13">
        <v>2.2200000000000002</v>
      </c>
      <c r="AW170" s="13">
        <v>0</v>
      </c>
      <c r="AY170" s="338" t="s">
        <v>343</v>
      </c>
      <c r="AZ170" s="10">
        <f>AZ169*BC170</f>
        <v>9.1922268767615982</v>
      </c>
      <c r="BB170" s="13"/>
      <c r="BC170" s="13">
        <v>2.2200000000000002</v>
      </c>
      <c r="BD170" s="13">
        <v>0</v>
      </c>
      <c r="BF170" t="s">
        <v>343</v>
      </c>
      <c r="BG170" s="10">
        <f>BG169*BJ170</f>
        <v>9.7122595885631977</v>
      </c>
      <c r="BI170" s="13"/>
      <c r="BJ170" s="13">
        <v>2.2200000000000002</v>
      </c>
      <c r="BK170" s="13">
        <v>0</v>
      </c>
      <c r="BM170" t="s">
        <v>343</v>
      </c>
      <c r="BN170" s="10">
        <f>BN169*BQ170</f>
        <v>10.805416418015996</v>
      </c>
      <c r="BP170" s="13"/>
      <c r="BQ170" s="13">
        <v>2.2200000000000002</v>
      </c>
      <c r="BR170" s="13">
        <v>0</v>
      </c>
      <c r="BT170" t="s">
        <v>343</v>
      </c>
      <c r="BU170" s="10">
        <f>BU169*BX170</f>
        <v>11.991901721039996</v>
      </c>
      <c r="BW170" s="13"/>
      <c r="BX170" s="13">
        <v>2.2200000000000002</v>
      </c>
      <c r="BY170" s="13">
        <v>0</v>
      </c>
      <c r="CA170" t="s">
        <v>343</v>
      </c>
      <c r="CB170" s="10">
        <f>CB169*CE170</f>
        <v>13.456399453343993</v>
      </c>
      <c r="CD170" s="13"/>
      <c r="CE170" s="13">
        <v>2.2200000000000002</v>
      </c>
      <c r="CF170" s="13">
        <v>0</v>
      </c>
      <c r="CH170" t="s">
        <v>343</v>
      </c>
      <c r="CI170" s="10">
        <f>CI169*CL170</f>
        <v>14.905950280847993</v>
      </c>
      <c r="CK170" s="13"/>
      <c r="CL170" s="13">
        <v>2.2200000000000002</v>
      </c>
      <c r="CM170" s="13">
        <v>0</v>
      </c>
      <c r="CO170" t="s">
        <v>343</v>
      </c>
      <c r="CP170" s="10">
        <f>CP169*CS170</f>
        <v>16.678653190127999</v>
      </c>
      <c r="CR170" s="13"/>
      <c r="CS170" s="13">
        <v>2.2200000000000002</v>
      </c>
      <c r="CT170" s="13">
        <v>0</v>
      </c>
      <c r="CV170" s="338" t="s">
        <v>343</v>
      </c>
      <c r="CW170" s="10">
        <f>CW169*CZ170</f>
        <v>6.835079280576001</v>
      </c>
      <c r="CY170" s="13"/>
      <c r="CZ170" s="13">
        <v>2.2200000000000002</v>
      </c>
      <c r="DA170" s="13">
        <v>0</v>
      </c>
      <c r="DC170" t="s">
        <v>343</v>
      </c>
      <c r="DD170" s="10">
        <f>DD169*DG170</f>
        <v>7.3186376928767984</v>
      </c>
      <c r="DF170" s="13"/>
      <c r="DG170" s="13">
        <v>2.2200000000000002</v>
      </c>
      <c r="DH170" s="13">
        <v>0</v>
      </c>
      <c r="DJ170" t="s">
        <v>343</v>
      </c>
      <c r="DK170" s="10">
        <f>DK169*DN170</f>
        <v>8.0283041594111992</v>
      </c>
      <c r="DM170" s="13"/>
      <c r="DN170" s="13">
        <v>2.2200000000000002</v>
      </c>
      <c r="DO170" s="13">
        <v>0</v>
      </c>
      <c r="DQ170" t="s">
        <v>343</v>
      </c>
      <c r="DR170" s="10">
        <f>DR169*DU170</f>
        <v>8.7319179057024012</v>
      </c>
      <c r="DT170" s="13"/>
      <c r="DU170" s="13">
        <v>2.2200000000000002</v>
      </c>
      <c r="DV170" s="13">
        <v>0</v>
      </c>
      <c r="DX170" t="s">
        <v>343</v>
      </c>
      <c r="DY170" s="10">
        <f>DY169*EB170</f>
        <v>9.4200103198847991</v>
      </c>
      <c r="EA170" s="13"/>
      <c r="EB170" s="13">
        <v>2.2200000000000002</v>
      </c>
      <c r="EC170" s="13">
        <v>0</v>
      </c>
      <c r="EE170" t="s">
        <v>343</v>
      </c>
      <c r="EF170" s="10">
        <f>EF169*EI170</f>
        <v>9.9995732651519997</v>
      </c>
      <c r="EH170" s="13"/>
      <c r="EI170" s="13">
        <v>2.2200000000000002</v>
      </c>
      <c r="EJ170" s="13">
        <v>0</v>
      </c>
    </row>
    <row r="171" spans="2:143">
      <c r="B171" t="s">
        <v>344</v>
      </c>
      <c r="C171" s="8">
        <f>E171*$C$37^2+F171*$C$37+G171</f>
        <v>0.70353259999999995</v>
      </c>
      <c r="E171" s="13">
        <v>-5.0600000000000003E-3</v>
      </c>
      <c r="F171" s="13">
        <v>0.10100000000000001</v>
      </c>
      <c r="G171" s="13">
        <v>0.498</v>
      </c>
      <c r="I171" t="s">
        <v>344</v>
      </c>
      <c r="J171" s="8">
        <f>L171*$C$37^2+M171*$C$37+N171</f>
        <v>0.70353259999999995</v>
      </c>
      <c r="L171" s="13">
        <v>-5.0600000000000003E-3</v>
      </c>
      <c r="M171" s="13">
        <v>0.10100000000000001</v>
      </c>
      <c r="N171" s="13">
        <v>0.498</v>
      </c>
      <c r="P171" t="s">
        <v>344</v>
      </c>
      <c r="Q171" s="8">
        <f>S171*$C$37^2+T171*$C$37+U171</f>
        <v>0.70353259999999995</v>
      </c>
      <c r="S171" s="13">
        <v>-5.0600000000000003E-3</v>
      </c>
      <c r="T171" s="13">
        <v>0.10100000000000001</v>
      </c>
      <c r="U171" s="13">
        <v>0.498</v>
      </c>
      <c r="W171" t="s">
        <v>344</v>
      </c>
      <c r="X171" s="8">
        <f>Z171*$C$37^2+AA171*$C$37+AB171</f>
        <v>0.70353259999999995</v>
      </c>
      <c r="Z171" s="13">
        <v>-5.0600000000000003E-3</v>
      </c>
      <c r="AA171" s="13">
        <v>0.10100000000000001</v>
      </c>
      <c r="AB171" s="13">
        <v>0.498</v>
      </c>
      <c r="AD171" t="s">
        <v>344</v>
      </c>
      <c r="AE171" s="8">
        <f>AG171*$C$37^2+AH171*$C$37+AI171</f>
        <v>0.70353259999999995</v>
      </c>
      <c r="AG171" s="13">
        <v>-5.0600000000000003E-3</v>
      </c>
      <c r="AH171" s="13">
        <v>0.10100000000000001</v>
      </c>
      <c r="AI171" s="13">
        <v>0.498</v>
      </c>
      <c r="AK171" t="s">
        <v>344</v>
      </c>
      <c r="AL171" s="8">
        <f>AN171*$C$37^2+AO171*$C$37+AP171</f>
        <v>0.70353259999999995</v>
      </c>
      <c r="AN171" s="13">
        <v>-5.0600000000000003E-3</v>
      </c>
      <c r="AO171" s="13">
        <v>0.10100000000000001</v>
      </c>
      <c r="AP171" s="13">
        <v>0.498</v>
      </c>
      <c r="AR171" t="s">
        <v>344</v>
      </c>
      <c r="AS171" s="8">
        <f>AU171*$C$37^2+AV171*$C$37+AW171</f>
        <v>0.70353259999999995</v>
      </c>
      <c r="AU171" s="13">
        <v>-5.0600000000000003E-3</v>
      </c>
      <c r="AV171" s="13">
        <v>0.10100000000000001</v>
      </c>
      <c r="AW171" s="13">
        <v>0.498</v>
      </c>
      <c r="AY171" s="338" t="s">
        <v>344</v>
      </c>
      <c r="AZ171" s="8">
        <f>BB171*$C$37^2+BC171*$C$37+BD171</f>
        <v>0.70353259999999995</v>
      </c>
      <c r="BB171" s="13">
        <v>-5.0600000000000003E-3</v>
      </c>
      <c r="BC171" s="13">
        <v>0.10100000000000001</v>
      </c>
      <c r="BD171" s="13">
        <v>0.498</v>
      </c>
      <c r="BF171" t="s">
        <v>344</v>
      </c>
      <c r="BG171" s="10">
        <f>BI171*$C$37^2+BJ171*$C$37+BK171</f>
        <v>0.70353259999999995</v>
      </c>
      <c r="BI171" s="13">
        <v>-5.0600000000000003E-3</v>
      </c>
      <c r="BJ171" s="13">
        <v>0.10100000000000001</v>
      </c>
      <c r="BK171" s="13">
        <v>0.498</v>
      </c>
      <c r="BM171" t="s">
        <v>344</v>
      </c>
      <c r="BN171" s="10">
        <f>BP171*$C$37^2+BQ171*$C$37+BR171</f>
        <v>0.70353259999999995</v>
      </c>
      <c r="BP171" s="13">
        <v>-5.0600000000000003E-3</v>
      </c>
      <c r="BQ171" s="13">
        <v>0.10100000000000001</v>
      </c>
      <c r="BR171" s="13">
        <v>0.498</v>
      </c>
      <c r="BT171" t="s">
        <v>344</v>
      </c>
      <c r="BU171" s="10">
        <f>BW171*$C$37^2+BX171*$C$37+BY171</f>
        <v>0.70353259999999995</v>
      </c>
      <c r="BW171" s="13">
        <v>-5.0600000000000003E-3</v>
      </c>
      <c r="BX171" s="13">
        <v>0.10100000000000001</v>
      </c>
      <c r="BY171" s="13">
        <v>0.498</v>
      </c>
      <c r="CA171" t="s">
        <v>344</v>
      </c>
      <c r="CB171" s="10">
        <f>CD171*$C$37^2+CE171*$C$37+CF171</f>
        <v>0.70353259999999995</v>
      </c>
      <c r="CD171" s="13">
        <v>-5.0600000000000003E-3</v>
      </c>
      <c r="CE171" s="13">
        <v>0.10100000000000001</v>
      </c>
      <c r="CF171" s="13">
        <v>0.498</v>
      </c>
      <c r="CH171" t="s">
        <v>344</v>
      </c>
      <c r="CI171" s="10">
        <f>CK171*$C$37^2+CL171*$C$37+CM171</f>
        <v>0.70353259999999995</v>
      </c>
      <c r="CK171" s="13">
        <v>-5.0600000000000003E-3</v>
      </c>
      <c r="CL171" s="13">
        <v>0.10100000000000001</v>
      </c>
      <c r="CM171" s="13">
        <v>0.498</v>
      </c>
      <c r="CO171" t="s">
        <v>344</v>
      </c>
      <c r="CP171" s="10">
        <f>CR171*$C$37^2+CS171*$C$37+CT171</f>
        <v>0.70353259999999995</v>
      </c>
      <c r="CR171" s="13">
        <v>-5.0600000000000003E-3</v>
      </c>
      <c r="CS171" s="13">
        <v>0.10100000000000001</v>
      </c>
      <c r="CT171" s="13">
        <v>0.498</v>
      </c>
      <c r="CV171" s="338" t="s">
        <v>344</v>
      </c>
      <c r="CW171" s="10">
        <f>CY171*$C$37^2+CZ171*$C$37+DA171</f>
        <v>0.70353259999999995</v>
      </c>
      <c r="CY171" s="13">
        <v>-5.0600000000000003E-3</v>
      </c>
      <c r="CZ171" s="13">
        <v>0.10100000000000001</v>
      </c>
      <c r="DA171" s="13">
        <v>0.498</v>
      </c>
      <c r="DC171" t="s">
        <v>344</v>
      </c>
      <c r="DD171" s="10">
        <f>DF171*$C$37^2+DG171*$C$37+DH171</f>
        <v>0.70353259999999995</v>
      </c>
      <c r="DF171" s="13">
        <v>-5.0600000000000003E-3</v>
      </c>
      <c r="DG171" s="13">
        <v>0.10100000000000001</v>
      </c>
      <c r="DH171" s="13">
        <v>0.498</v>
      </c>
      <c r="DJ171" t="s">
        <v>344</v>
      </c>
      <c r="DK171" s="10">
        <f>DM171*$C$37^2+DN171*$C$37+DO171</f>
        <v>0.70353259999999995</v>
      </c>
      <c r="DM171" s="13">
        <v>-5.0600000000000003E-3</v>
      </c>
      <c r="DN171" s="13">
        <v>0.10100000000000001</v>
      </c>
      <c r="DO171" s="13">
        <v>0.498</v>
      </c>
      <c r="DQ171" t="s">
        <v>344</v>
      </c>
      <c r="DR171" s="10">
        <f>DT171*$C$37^2+DU171*$C$37+DV171</f>
        <v>0.70353259999999995</v>
      </c>
      <c r="DT171" s="13">
        <v>-5.0600000000000003E-3</v>
      </c>
      <c r="DU171" s="13">
        <v>0.10100000000000001</v>
      </c>
      <c r="DV171" s="13">
        <v>0.498</v>
      </c>
      <c r="DX171" t="s">
        <v>344</v>
      </c>
      <c r="DY171" s="10">
        <f>EA171*$C$37^2+EB171*$C$37+EC171</f>
        <v>0.70353259999999995</v>
      </c>
      <c r="EA171" s="13">
        <v>-5.0600000000000003E-3</v>
      </c>
      <c r="EB171" s="13">
        <v>0.10100000000000001</v>
      </c>
      <c r="EC171" s="13">
        <v>0.498</v>
      </c>
      <c r="EE171" t="s">
        <v>344</v>
      </c>
      <c r="EF171" s="10">
        <f>EH171*$C$37^2+EI171*$C$37+EJ171</f>
        <v>0.70353259999999995</v>
      </c>
      <c r="EH171" s="13">
        <v>-5.0600000000000003E-3</v>
      </c>
      <c r="EI171" s="13">
        <v>0.10100000000000001</v>
      </c>
      <c r="EJ171" s="13">
        <v>0.498</v>
      </c>
    </row>
    <row r="172" spans="2:143">
      <c r="B172" t="s">
        <v>345</v>
      </c>
      <c r="C172" s="10">
        <f>C171*C170*$C$48*$C$46</f>
        <v>8.9500670874834078</v>
      </c>
      <c r="E172" s="13"/>
      <c r="F172" s="13"/>
      <c r="G172" s="13"/>
      <c r="I172" t="s">
        <v>345</v>
      </c>
      <c r="J172" s="10">
        <f>J171*J170*$C$48*$C$46</f>
        <v>9.4670156940496781</v>
      </c>
      <c r="L172" s="13"/>
      <c r="M172" s="13"/>
      <c r="N172" s="13"/>
      <c r="P172" t="s">
        <v>345</v>
      </c>
      <c r="Q172" s="10">
        <f>Q171*Q170*$C$48*$C$46</f>
        <v>10.051306425848871</v>
      </c>
      <c r="S172" s="13"/>
      <c r="T172" s="13"/>
      <c r="U172" s="13"/>
      <c r="W172" t="s">
        <v>345</v>
      </c>
      <c r="X172" s="10">
        <f>X171*X170*$C$48*$C$46</f>
        <v>11.14343922448109</v>
      </c>
      <c r="AD172" t="s">
        <v>345</v>
      </c>
      <c r="AE172" s="10">
        <f>AE171*AE170*$C$48*$C$46</f>
        <v>12.020001509797426</v>
      </c>
      <c r="AK172" t="s">
        <v>345</v>
      </c>
      <c r="AL172" s="10">
        <f>AL171*AL170*$C$48*$C$46</f>
        <v>13.465354481223805</v>
      </c>
      <c r="AR172" t="s">
        <v>345</v>
      </c>
      <c r="AS172" s="10">
        <f>AS171*AS170*$C$48*$C$46</f>
        <v>14.47792598699027</v>
      </c>
      <c r="AY172" s="338" t="s">
        <v>345</v>
      </c>
      <c r="AZ172" s="10">
        <f>AZ171*AZ170*$C$48*$C$46</f>
        <v>6.4670312743979661</v>
      </c>
      <c r="BB172" s="13"/>
      <c r="BC172" s="13"/>
      <c r="BD172" s="13"/>
      <c r="BF172" t="s">
        <v>345</v>
      </c>
      <c r="BG172" s="10">
        <f>BG171*BG170*$C$48*$C$46</f>
        <v>6.8328912402167967</v>
      </c>
      <c r="BI172" s="13"/>
      <c r="BJ172" s="13"/>
      <c r="BK172" s="13"/>
      <c r="BM172" t="s">
        <v>345</v>
      </c>
      <c r="BN172" s="10">
        <f>BN171*BN170*$C$48*$C$46</f>
        <v>7.6019627066494797</v>
      </c>
      <c r="BP172" s="13"/>
      <c r="BQ172" s="13"/>
      <c r="BR172" s="13"/>
      <c r="BT172" t="s">
        <v>345</v>
      </c>
      <c r="BU172" s="10">
        <f>BU171*BU170*$C$48*$C$46</f>
        <v>8.4366937967477433</v>
      </c>
      <c r="BW172" s="13"/>
      <c r="BX172" s="13"/>
      <c r="BY172" s="13"/>
      <c r="CA172" t="s">
        <v>345</v>
      </c>
      <c r="CB172" s="10">
        <f>CB171*CB170*$C$48*$C$46</f>
        <v>9.4670156940496781</v>
      </c>
      <c r="CD172" s="13"/>
      <c r="CE172" s="13"/>
      <c r="CF172" s="13"/>
      <c r="CH172" t="s">
        <v>345</v>
      </c>
      <c r="CI172" s="10">
        <f>CI171*CI170*$C$48*$C$46</f>
        <v>10.486821956555717</v>
      </c>
      <c r="CK172" s="13"/>
      <c r="CL172" s="13"/>
      <c r="CM172" s="13"/>
      <c r="CO172" t="s">
        <v>345</v>
      </c>
      <c r="CP172" s="10">
        <f>CP171*CP170*$C$48*$C$46</f>
        <v>11.733976243349044</v>
      </c>
      <c r="CR172" s="13"/>
      <c r="CS172" s="13"/>
      <c r="CT172" s="13"/>
      <c r="CV172" s="338" t="s">
        <v>345</v>
      </c>
      <c r="CW172" s="10">
        <f>CW171*CW170*$C$48*$C$46</f>
        <v>4.808701097469763</v>
      </c>
      <c r="CY172" s="13"/>
      <c r="CZ172" s="13"/>
      <c r="DA172" s="13"/>
      <c r="DC172" t="s">
        <v>345</v>
      </c>
      <c r="DD172" s="10">
        <f>DD171*DD170*$C$48*$C$46</f>
        <v>5.1489002045276155</v>
      </c>
      <c r="DF172" s="13"/>
      <c r="DG172" s="13"/>
      <c r="DH172" s="13"/>
      <c r="DJ172" t="s">
        <v>345</v>
      </c>
      <c r="DK172" s="10">
        <f>DK171*DK170*$C$48*$C$46</f>
        <v>5.6481736988613749</v>
      </c>
      <c r="DM172" s="13"/>
      <c r="DN172" s="13"/>
      <c r="DO172" s="13"/>
      <c r="DQ172" t="s">
        <v>345</v>
      </c>
      <c r="DR172" s="10">
        <f>DR171*DR170*$C$48*$C$46</f>
        <v>6.1431889071853645</v>
      </c>
      <c r="DT172" s="13"/>
      <c r="DU172" s="13"/>
      <c r="DV172" s="13"/>
      <c r="DX172" t="s">
        <v>345</v>
      </c>
      <c r="DY172" s="10">
        <f>DY171*DY170*$C$48*$C$46</f>
        <v>6.6272843523753844</v>
      </c>
      <c r="EA172" s="13"/>
      <c r="EB172" s="13"/>
      <c r="EC172" s="13"/>
      <c r="EE172" t="s">
        <v>345</v>
      </c>
      <c r="EF172" s="10">
        <f>EF171*EF170*$C$48*$C$46</f>
        <v>7.0350257781228756</v>
      </c>
      <c r="EH172" s="13"/>
      <c r="EI172" s="13"/>
      <c r="EJ172" s="13"/>
    </row>
    <row r="173" spans="2:143">
      <c r="B173" t="s">
        <v>346</v>
      </c>
      <c r="C173" s="10">
        <f>C172*1.5</f>
        <v>13.425100631225112</v>
      </c>
      <c r="E173" s="13"/>
      <c r="F173" s="13"/>
      <c r="G173" s="13"/>
      <c r="I173" t="s">
        <v>346</v>
      </c>
      <c r="J173" s="10">
        <f>J172*1.5</f>
        <v>14.200523541074517</v>
      </c>
      <c r="L173" s="13"/>
      <c r="M173" s="13"/>
      <c r="N173" s="13"/>
      <c r="P173" t="s">
        <v>346</v>
      </c>
      <c r="Q173" s="10">
        <f>Q172*1.5</f>
        <v>15.076959638773307</v>
      </c>
      <c r="S173" s="13"/>
      <c r="T173" s="13"/>
      <c r="U173" s="13"/>
      <c r="W173" t="s">
        <v>346</v>
      </c>
      <c r="X173" s="10">
        <f>X172*1.5</f>
        <v>16.715158836721635</v>
      </c>
      <c r="AD173" t="s">
        <v>346</v>
      </c>
      <c r="AE173" s="10">
        <f>AE172*1.5</f>
        <v>18.03000226469614</v>
      </c>
      <c r="AK173" t="s">
        <v>346</v>
      </c>
      <c r="AL173" s="10">
        <f>AL172*1.5</f>
        <v>20.198031721835708</v>
      </c>
      <c r="AR173" t="s">
        <v>346</v>
      </c>
      <c r="AS173" s="10">
        <f>AS172*1.5</f>
        <v>21.716888980485404</v>
      </c>
      <c r="AY173" s="338" t="s">
        <v>346</v>
      </c>
      <c r="AZ173" s="10">
        <f>AZ172*1.5</f>
        <v>9.7005469115969483</v>
      </c>
      <c r="BB173" s="13"/>
      <c r="BC173" s="13"/>
      <c r="BD173" s="13"/>
      <c r="BF173" t="s">
        <v>346</v>
      </c>
      <c r="BG173" s="10">
        <f>BG172*1.5</f>
        <v>10.249336860325196</v>
      </c>
      <c r="BI173" s="13"/>
      <c r="BJ173" s="13"/>
      <c r="BK173" s="13"/>
      <c r="BM173" t="s">
        <v>346</v>
      </c>
      <c r="BN173" s="10">
        <f>BN172*1.5</f>
        <v>11.402944059974219</v>
      </c>
      <c r="BP173" s="13"/>
      <c r="BQ173" s="13"/>
      <c r="BR173" s="13"/>
      <c r="BT173" t="s">
        <v>346</v>
      </c>
      <c r="BU173" s="10">
        <f>BU172*1.5</f>
        <v>12.655040695121615</v>
      </c>
      <c r="BW173" s="13"/>
      <c r="BX173" s="13"/>
      <c r="BY173" s="13"/>
      <c r="CA173" t="s">
        <v>346</v>
      </c>
      <c r="CB173" s="10">
        <f>CB172*1.5</f>
        <v>14.200523541074517</v>
      </c>
      <c r="CD173" s="13"/>
      <c r="CE173" s="13"/>
      <c r="CF173" s="13"/>
      <c r="CH173" t="s">
        <v>346</v>
      </c>
      <c r="CI173" s="10">
        <f>CI172*1.5</f>
        <v>15.730232934833577</v>
      </c>
      <c r="CK173" s="13"/>
      <c r="CL173" s="13"/>
      <c r="CM173" s="13"/>
      <c r="CO173" t="s">
        <v>346</v>
      </c>
      <c r="CP173" s="10">
        <f>CP172*1.5</f>
        <v>17.600964365023565</v>
      </c>
      <c r="CR173" s="13"/>
      <c r="CS173" s="13"/>
      <c r="CT173" s="13"/>
      <c r="CV173" s="338" t="s">
        <v>346</v>
      </c>
      <c r="CW173" s="10">
        <f>CW172*1.5</f>
        <v>7.2130516462046446</v>
      </c>
      <c r="CY173" s="13"/>
      <c r="CZ173" s="13"/>
      <c r="DA173" s="13"/>
      <c r="DC173" t="s">
        <v>346</v>
      </c>
      <c r="DD173" s="10">
        <f>DD172*1.5</f>
        <v>7.7233503067914233</v>
      </c>
      <c r="DF173" s="13"/>
      <c r="DG173" s="13"/>
      <c r="DH173" s="13"/>
      <c r="DJ173" t="s">
        <v>346</v>
      </c>
      <c r="DK173" s="10">
        <f>DK172*1.5</f>
        <v>8.4722605482920628</v>
      </c>
      <c r="DM173" s="13"/>
      <c r="DN173" s="13"/>
      <c r="DO173" s="13"/>
      <c r="DQ173" t="s">
        <v>346</v>
      </c>
      <c r="DR173" s="10">
        <f>DR172*1.5</f>
        <v>9.2147833607780463</v>
      </c>
      <c r="DT173" s="13"/>
      <c r="DU173" s="13"/>
      <c r="DV173" s="13"/>
      <c r="DX173" t="s">
        <v>346</v>
      </c>
      <c r="DY173" s="10">
        <f>DY172*1.5</f>
        <v>9.940926528563077</v>
      </c>
      <c r="EA173" s="13"/>
      <c r="EB173" s="13"/>
      <c r="EC173" s="13"/>
      <c r="EE173" t="s">
        <v>346</v>
      </c>
      <c r="EF173" s="10">
        <f>EF172*1.5</f>
        <v>10.552538667184313</v>
      </c>
      <c r="EH173" s="13"/>
      <c r="EI173" s="13"/>
      <c r="EJ173" s="13"/>
    </row>
    <row r="174" spans="2:143">
      <c r="C174" s="10"/>
      <c r="E174" s="13"/>
      <c r="F174" s="13"/>
      <c r="G174" s="13"/>
      <c r="J174" s="10"/>
      <c r="L174" s="13"/>
      <c r="M174" s="13"/>
      <c r="N174" s="13"/>
      <c r="Q174" s="10"/>
      <c r="S174" s="13"/>
      <c r="T174" s="13"/>
      <c r="U174" s="13"/>
      <c r="X174" s="10"/>
      <c r="AE174" s="10"/>
      <c r="AL174" s="10"/>
      <c r="AS174" s="10"/>
      <c r="AY174" s="338"/>
      <c r="AZ174" s="10"/>
      <c r="BB174" s="13"/>
      <c r="BC174" s="13"/>
      <c r="BD174" s="13"/>
      <c r="BG174" s="10"/>
      <c r="BI174" s="13"/>
      <c r="BJ174" s="13"/>
      <c r="BK174" s="13"/>
      <c r="BN174" s="10"/>
      <c r="BP174" s="13"/>
      <c r="BQ174" s="13"/>
      <c r="BR174" s="13"/>
      <c r="BU174" s="10"/>
      <c r="BW174" s="13"/>
      <c r="BX174" s="13"/>
      <c r="BY174" s="13"/>
      <c r="CB174" s="10"/>
      <c r="CD174" s="13"/>
      <c r="CE174" s="13"/>
      <c r="CF174" s="13"/>
      <c r="CI174" s="10"/>
      <c r="CK174" s="13"/>
      <c r="CL174" s="13"/>
      <c r="CM174" s="13"/>
      <c r="CP174" s="10"/>
      <c r="CR174" s="13"/>
      <c r="CS174" s="13"/>
      <c r="CT174" s="13"/>
      <c r="CV174" s="338"/>
      <c r="CW174" s="10"/>
      <c r="CY174" s="13"/>
      <c r="CZ174" s="13"/>
      <c r="DA174" s="13"/>
      <c r="DD174" s="10"/>
      <c r="DF174" s="13"/>
      <c r="DG174" s="13"/>
      <c r="DH174" s="13"/>
      <c r="DK174" s="10"/>
      <c r="DM174" s="13"/>
      <c r="DN174" s="13"/>
      <c r="DO174" s="13"/>
      <c r="DR174" s="10"/>
      <c r="DT174" s="13"/>
      <c r="DU174" s="13"/>
      <c r="DV174" s="13"/>
      <c r="DY174" s="10"/>
      <c r="EA174" s="13"/>
      <c r="EB174" s="13"/>
      <c r="EC174" s="13"/>
      <c r="EF174" s="10"/>
      <c r="EH174" s="13"/>
      <c r="EI174" s="13"/>
      <c r="EJ174" s="13"/>
    </row>
    <row r="175" spans="2:143">
      <c r="AY175" s="338"/>
      <c r="BT175" s="4"/>
      <c r="CV175" s="338"/>
    </row>
    <row r="176" spans="2:143">
      <c r="B176" s="1" t="s">
        <v>91</v>
      </c>
      <c r="I176" s="1" t="s">
        <v>91</v>
      </c>
      <c r="P176" s="1" t="s">
        <v>91</v>
      </c>
      <c r="W176" s="1" t="s">
        <v>91</v>
      </c>
      <c r="AD176" s="1" t="s">
        <v>91</v>
      </c>
      <c r="AK176" s="1" t="s">
        <v>91</v>
      </c>
      <c r="AR176" s="1" t="s">
        <v>91</v>
      </c>
      <c r="AY176" s="348" t="s">
        <v>91</v>
      </c>
      <c r="BF176" s="1" t="s">
        <v>91</v>
      </c>
      <c r="BM176" s="1" t="s">
        <v>91</v>
      </c>
      <c r="BT176" s="1" t="s">
        <v>91</v>
      </c>
      <c r="CA176" s="1" t="s">
        <v>91</v>
      </c>
      <c r="CH176" s="1" t="s">
        <v>91</v>
      </c>
      <c r="CO176" s="1" t="s">
        <v>91</v>
      </c>
      <c r="CV176" s="348" t="s">
        <v>91</v>
      </c>
      <c r="DC176" s="1" t="s">
        <v>91</v>
      </c>
      <c r="DJ176" s="1" t="s">
        <v>91</v>
      </c>
      <c r="DQ176" s="1" t="s">
        <v>91</v>
      </c>
      <c r="DX176" s="1" t="s">
        <v>91</v>
      </c>
      <c r="EE176" s="1" t="s">
        <v>91</v>
      </c>
    </row>
    <row r="177" spans="2:149">
      <c r="B177" s="1"/>
      <c r="AY177" s="348"/>
      <c r="BF177" s="1"/>
      <c r="BM177" s="1"/>
      <c r="BT177" s="1"/>
      <c r="CA177" s="1"/>
      <c r="CH177" s="1"/>
      <c r="CO177" s="1"/>
      <c r="CV177" s="348"/>
      <c r="DC177" s="1"/>
      <c r="DJ177" s="1"/>
      <c r="DQ177" s="1"/>
      <c r="DX177" s="1"/>
      <c r="EE177" s="1"/>
    </row>
    <row r="178" spans="2:149">
      <c r="B178" s="1" t="s">
        <v>347</v>
      </c>
      <c r="I178" s="1" t="s">
        <v>347</v>
      </c>
      <c r="P178" s="1" t="s">
        <v>347</v>
      </c>
      <c r="W178" s="1" t="s">
        <v>347</v>
      </c>
      <c r="AD178" s="1" t="s">
        <v>347</v>
      </c>
      <c r="AK178" s="1" t="s">
        <v>347</v>
      </c>
      <c r="AR178" s="1" t="s">
        <v>347</v>
      </c>
      <c r="AY178" s="348" t="s">
        <v>347</v>
      </c>
      <c r="BF178" s="1" t="s">
        <v>347</v>
      </c>
      <c r="BM178" s="1" t="s">
        <v>347</v>
      </c>
      <c r="BT178" s="1" t="s">
        <v>347</v>
      </c>
      <c r="CA178" s="1" t="s">
        <v>347</v>
      </c>
      <c r="CH178" s="1" t="s">
        <v>347</v>
      </c>
      <c r="CO178" s="1" t="s">
        <v>347</v>
      </c>
      <c r="CV178" s="348" t="s">
        <v>347</v>
      </c>
      <c r="DC178" s="1" t="s">
        <v>347</v>
      </c>
      <c r="DJ178" s="1" t="s">
        <v>347</v>
      </c>
      <c r="DQ178" s="1" t="s">
        <v>347</v>
      </c>
      <c r="DX178" s="1" t="s">
        <v>347</v>
      </c>
      <c r="EE178" s="1" t="s">
        <v>347</v>
      </c>
    </row>
    <row r="179" spans="2:149">
      <c r="B179" t="s">
        <v>348</v>
      </c>
      <c r="C179" s="10">
        <f>(C119-$C$31)/(C119-C120)*($C$205/$C$65)</f>
        <v>-7.4675324675324659E-2</v>
      </c>
      <c r="E179" t="s">
        <v>349</v>
      </c>
      <c r="I179" t="s">
        <v>348</v>
      </c>
      <c r="J179" s="10">
        <f>(J119-$C$31)/(J119-J120)*($C$205/$C$65)</f>
        <v>-0.20418196411849515</v>
      </c>
      <c r="P179" t="s">
        <v>348</v>
      </c>
      <c r="Q179" s="10">
        <f>(Q119-$C$31)/(Q119-Q120)*($C$205/$C$65)</f>
        <v>-0.42876394009947177</v>
      </c>
      <c r="W179" t="s">
        <v>348</v>
      </c>
      <c r="X179" s="10">
        <f>(X119-$C$31)/(X119-X120)*($C$205/$C$65)</f>
        <v>-0.79436404510168934</v>
      </c>
      <c r="AD179" t="s">
        <v>348</v>
      </c>
      <c r="AE179" s="10">
        <f>(AE119-$C$31)/(AE119-AE120)*($C$205/$C$65)</f>
        <v>-1.3744152372466025</v>
      </c>
      <c r="AK179" t="s">
        <v>348</v>
      </c>
      <c r="AL179" s="10">
        <f>(AL119-$C$31)/(AL119-AL120)*($C$205/$C$65)</f>
        <v>-2.3501103143960287</v>
      </c>
      <c r="AR179" t="s">
        <v>348</v>
      </c>
      <c r="AS179" s="10">
        <f>(AS119-$C$31)/(AS119-AS120)*($C$205/$C$65)</f>
        <v>-3.6857240838722314</v>
      </c>
      <c r="AY179" t="s">
        <v>348</v>
      </c>
      <c r="AZ179" s="10">
        <f>(AZ119-$C$31)/(AZ119-AZ120)*($C$205/$C$65)</f>
        <v>0.37540400775694893</v>
      </c>
      <c r="BF179" t="s">
        <v>348</v>
      </c>
      <c r="BG179" s="10">
        <f>(BG119-$C$31)/(BG119-BG120)*($C$205/$C$65)</f>
        <v>0.30862330365503809</v>
      </c>
      <c r="BM179" t="s">
        <v>348</v>
      </c>
      <c r="BN179" s="10">
        <f>(BN119-$C$31)/(BN119-BN120)*($C$205/$C$65)</f>
        <v>0.19633231566454973</v>
      </c>
      <c r="BT179" t="s">
        <v>348</v>
      </c>
      <c r="BU179" s="10">
        <f>(BU119-$C$31)/(BU119-BU120)*($C$205/$C$65)</f>
        <v>1.3532263163440967E-2</v>
      </c>
      <c r="CA179" t="s">
        <v>348</v>
      </c>
      <c r="CB179" s="10">
        <f>(CB119-$C$31)/(CB119-CB120)*($C$205/$C$65)</f>
        <v>-0.27649333290901562</v>
      </c>
      <c r="CH179" t="s">
        <v>348</v>
      </c>
      <c r="CI179" s="10">
        <f>(CI119-$C$31)/(CI119-CI120)*($C$205/$C$65)</f>
        <v>-0.76434087148372865</v>
      </c>
      <c r="CO179" t="s">
        <v>348</v>
      </c>
      <c r="CP179" s="10">
        <f>(CP119-$C$31)/(CP119-CP120)*($C$205/$C$65)</f>
        <v>-1.4321477562218299</v>
      </c>
      <c r="CV179" t="s">
        <v>348</v>
      </c>
      <c r="CW179" s="10">
        <f>(CW119-$C$31)/(CW119-CW120)*($C$205/$C$65)</f>
        <v>0.59740259740259727</v>
      </c>
      <c r="DC179" t="s">
        <v>348</v>
      </c>
      <c r="DD179" s="10">
        <f>(DD119-$C$31)/(DD119-DD120)*($C$205/$C$65)</f>
        <v>0.57376166547020813</v>
      </c>
      <c r="DJ179" t="s">
        <v>348</v>
      </c>
      <c r="DK179" s="10">
        <f>(DK119-$C$31)/(DK119-DK120)*($C$205/$C$65)</f>
        <v>0.54608938547486019</v>
      </c>
      <c r="DQ179" t="s">
        <v>348</v>
      </c>
      <c r="DR179" s="10">
        <f>(DR119-$C$31)/(DR119-DR120)*($C$205/$C$65)</f>
        <v>0.48728813559322026</v>
      </c>
      <c r="DX179" t="s">
        <v>348</v>
      </c>
      <c r="DY179" s="10">
        <f>(DY119-$C$31)/(DY119-DY120)*($C$205/$C$65)</f>
        <v>0.37337662337662336</v>
      </c>
      <c r="EE179" t="s">
        <v>348</v>
      </c>
      <c r="EF179" s="10">
        <f>(EF119-$C$31)/(EF119-EF120)*($C$205/$C$65)</f>
        <v>0.16863765373699147</v>
      </c>
      <c r="ES179" t="s">
        <v>348</v>
      </c>
    </row>
    <row r="180" spans="2:149">
      <c r="B180" t="s">
        <v>350</v>
      </c>
      <c r="C180" s="10">
        <f>$C$205-C179</f>
        <v>2.3746753246753243</v>
      </c>
      <c r="D180" s="10"/>
      <c r="I180" t="s">
        <v>350</v>
      </c>
      <c r="J180" s="10">
        <f>$C$205-J179</f>
        <v>2.5041819641184948</v>
      </c>
      <c r="K180" s="10"/>
      <c r="P180" t="s">
        <v>350</v>
      </c>
      <c r="Q180" s="10">
        <f>$C$205-Q179</f>
        <v>2.7287639400994714</v>
      </c>
      <c r="R180" s="10"/>
      <c r="W180" t="s">
        <v>350</v>
      </c>
      <c r="X180" s="10">
        <f>$C$205-X179</f>
        <v>3.0943640451016892</v>
      </c>
      <c r="Y180" s="10"/>
      <c r="AD180" t="s">
        <v>350</v>
      </c>
      <c r="AE180" s="10">
        <f>$C$205-AE179</f>
        <v>3.6744152372466026</v>
      </c>
      <c r="AF180" s="10"/>
      <c r="AK180" t="s">
        <v>350</v>
      </c>
      <c r="AL180" s="10">
        <f>$C$205-AL179</f>
        <v>4.650110314396029</v>
      </c>
      <c r="AM180" s="10"/>
      <c r="AR180" t="s">
        <v>350</v>
      </c>
      <c r="AS180" s="10">
        <f>$C$205-AS179</f>
        <v>5.9857240838722312</v>
      </c>
      <c r="AT180" s="10"/>
      <c r="AY180" t="s">
        <v>350</v>
      </c>
      <c r="AZ180" s="10">
        <f>$C$205-AZ179</f>
        <v>1.9245959922430509</v>
      </c>
      <c r="BA180" s="10"/>
      <c r="BF180" t="s">
        <v>350</v>
      </c>
      <c r="BG180" s="10">
        <f>$C$205-BG179</f>
        <v>1.9913766963449617</v>
      </c>
      <c r="BH180" s="10"/>
      <c r="BM180" t="s">
        <v>350</v>
      </c>
      <c r="BN180" s="10">
        <f>$C$205-BN179</f>
        <v>2.1036676843354503</v>
      </c>
      <c r="BO180" s="10"/>
      <c r="BT180" t="s">
        <v>350</v>
      </c>
      <c r="BU180" s="10">
        <f>$C$205-BU179</f>
        <v>2.2864677368365589</v>
      </c>
      <c r="BV180" s="10"/>
      <c r="CA180" t="s">
        <v>350</v>
      </c>
      <c r="CB180" s="10">
        <f>$C$205-CB179</f>
        <v>2.5764933329090156</v>
      </c>
      <c r="CC180" s="10"/>
      <c r="CH180" t="s">
        <v>350</v>
      </c>
      <c r="CI180" s="10">
        <f>$C$205-CI179</f>
        <v>3.0643408714837284</v>
      </c>
      <c r="CJ180" s="10"/>
      <c r="CO180" t="s">
        <v>350</v>
      </c>
      <c r="CP180" s="10">
        <f>$C$205-CP179</f>
        <v>3.7321477562218295</v>
      </c>
      <c r="CQ180" s="10"/>
      <c r="CV180" t="s">
        <v>350</v>
      </c>
      <c r="CW180" s="10">
        <f>$C$205-CW179</f>
        <v>1.7025974025974024</v>
      </c>
      <c r="CX180" s="10"/>
      <c r="DC180" t="s">
        <v>350</v>
      </c>
      <c r="DD180" s="10">
        <f>$C$205-DD179</f>
        <v>1.7262383345297918</v>
      </c>
      <c r="DE180" s="10"/>
      <c r="DJ180" t="s">
        <v>350</v>
      </c>
      <c r="DK180" s="10">
        <f>$C$205-DK179</f>
        <v>1.7539106145251395</v>
      </c>
      <c r="DL180" s="10"/>
      <c r="DQ180" t="s">
        <v>350</v>
      </c>
      <c r="DR180" s="10">
        <f>$C$205-DR179</f>
        <v>1.8127118644067797</v>
      </c>
      <c r="DS180" s="10"/>
      <c r="DX180" t="s">
        <v>350</v>
      </c>
      <c r="DY180" s="10">
        <f>$C$205-DY179</f>
        <v>1.9266233766233765</v>
      </c>
      <c r="DZ180" s="10"/>
      <c r="EE180" t="s">
        <v>350</v>
      </c>
      <c r="EF180" s="10">
        <f>$C$205-EF179</f>
        <v>2.1313623462630082</v>
      </c>
      <c r="EG180" s="10"/>
    </row>
    <row r="181" spans="2:149">
      <c r="B181" t="s">
        <v>351</v>
      </c>
      <c r="C181" s="10">
        <f>C180*$C$34*$C$50^2</f>
        <v>28.496103896103889</v>
      </c>
      <c r="I181" t="s">
        <v>351</v>
      </c>
      <c r="J181" s="10">
        <f>J180*$C$34*$C$50^2</f>
        <v>30.050183569421939</v>
      </c>
      <c r="P181" t="s">
        <v>351</v>
      </c>
      <c r="Q181" s="10">
        <f>Q180*$C$34*$C$50^2</f>
        <v>32.745167281193659</v>
      </c>
      <c r="W181" t="s">
        <v>351</v>
      </c>
      <c r="X181" s="10">
        <f>X180*$C$34*$C$50^2</f>
        <v>37.132368541220274</v>
      </c>
      <c r="AD181" t="s">
        <v>351</v>
      </c>
      <c r="AE181" s="10">
        <f>AE180*$C$34*$C$50^2</f>
        <v>44.092982846959231</v>
      </c>
      <c r="AK181" t="s">
        <v>351</v>
      </c>
      <c r="AL181" s="10">
        <f>AL180*$C$34*$C$50^2</f>
        <v>55.801323772752347</v>
      </c>
      <c r="AR181" t="s">
        <v>351</v>
      </c>
      <c r="AS181" s="10">
        <f>AS180*$C$34*$C$50^2</f>
        <v>71.828689006466774</v>
      </c>
      <c r="AY181" t="s">
        <v>351</v>
      </c>
      <c r="AZ181" s="10">
        <f>AZ180*$C$34*$C$50^2</f>
        <v>23.095151906916612</v>
      </c>
      <c r="BF181" t="s">
        <v>351</v>
      </c>
      <c r="BG181" s="10">
        <f>BG180*$C$34*$C$50^2</f>
        <v>23.89652035613954</v>
      </c>
      <c r="BM181" t="s">
        <v>351</v>
      </c>
      <c r="BN181" s="10">
        <f>BN180*$C$34*$C$50^2</f>
        <v>25.244012212025403</v>
      </c>
      <c r="BT181" t="s">
        <v>351</v>
      </c>
      <c r="BU181" s="10">
        <f>BU180*$C$34*$C$50^2</f>
        <v>27.437612842038707</v>
      </c>
      <c r="CA181" t="s">
        <v>351</v>
      </c>
      <c r="CB181" s="10">
        <f>CB180*$C$34*$C$50^2</f>
        <v>30.917919994908189</v>
      </c>
      <c r="CH181" t="s">
        <v>351</v>
      </c>
      <c r="CI181" s="10">
        <f>CI180*$C$34*$C$50^2</f>
        <v>36.772090457804737</v>
      </c>
      <c r="CO181" t="s">
        <v>351</v>
      </c>
      <c r="CP181" s="10">
        <f>CP180*$C$34*$C$50^2</f>
        <v>44.785773074661954</v>
      </c>
      <c r="CV181" t="s">
        <v>351</v>
      </c>
      <c r="CW181" s="10">
        <f>CW180*$C$34*$C$50^2</f>
        <v>20.431168831168829</v>
      </c>
      <c r="DC181" t="s">
        <v>351</v>
      </c>
      <c r="DD181" s="10">
        <f>DD180*$C$34*$C$50^2</f>
        <v>20.714860014357502</v>
      </c>
      <c r="DJ181" t="s">
        <v>351</v>
      </c>
      <c r="DK181" s="10">
        <f>DK180*$C$34*$C$50^2</f>
        <v>21.046927374301674</v>
      </c>
      <c r="DQ181" t="s">
        <v>351</v>
      </c>
      <c r="DR181" s="10">
        <f>DR180*$C$34*$C$50^2</f>
        <v>21.752542372881358</v>
      </c>
      <c r="DX181" t="s">
        <v>351</v>
      </c>
      <c r="DY181" s="10">
        <f>DY180*$C$34*$C$50^2</f>
        <v>23.119480519480518</v>
      </c>
      <c r="EE181" t="s">
        <v>351</v>
      </c>
      <c r="EF181" s="10">
        <f>EF180*$C$34*$C$50^2</f>
        <v>25.576348155156097</v>
      </c>
    </row>
    <row r="182" spans="2:149">
      <c r="B182" s="1">
        <v>2.7</v>
      </c>
      <c r="C182" s="177">
        <v>2.4549999999999999E-2</v>
      </c>
      <c r="D182" s="177">
        <v>0.4405</v>
      </c>
      <c r="E182" s="159">
        <f>C182*C181^D182</f>
        <v>0.10737038313912817</v>
      </c>
      <c r="I182" s="1">
        <v>2.7</v>
      </c>
      <c r="J182" s="177">
        <v>2.46E-2</v>
      </c>
      <c r="K182" s="177">
        <v>0.441</v>
      </c>
      <c r="L182" s="159">
        <f>J182*J181^K182</f>
        <v>0.11032290552708732</v>
      </c>
      <c r="P182" s="1">
        <v>2.7</v>
      </c>
      <c r="Q182" s="177">
        <v>2.46E-2</v>
      </c>
      <c r="R182" s="177">
        <v>0.441</v>
      </c>
      <c r="S182" s="159">
        <f>Q182*Q181^R182</f>
        <v>0.11458163847585251</v>
      </c>
      <c r="W182" s="1">
        <v>2.7</v>
      </c>
      <c r="X182" s="177">
        <v>2.46E-2</v>
      </c>
      <c r="Y182" s="177">
        <v>0.441</v>
      </c>
      <c r="Z182" s="159">
        <f>X182*X181^Y182</f>
        <v>0.12111446824081937</v>
      </c>
      <c r="AD182" s="1">
        <v>2.7</v>
      </c>
      <c r="AE182" s="177">
        <v>2.46E-2</v>
      </c>
      <c r="AF182" s="177">
        <v>0.441</v>
      </c>
      <c r="AG182" s="159">
        <f>AE182*AE181^AF182</f>
        <v>0.13064778392298582</v>
      </c>
      <c r="AK182" s="1">
        <v>2.7</v>
      </c>
      <c r="AL182" s="177">
        <v>2.46E-2</v>
      </c>
      <c r="AM182" s="177">
        <v>0.441</v>
      </c>
      <c r="AN182" s="159">
        <f>AL182*AL181^AM182</f>
        <v>0.14494569880611241</v>
      </c>
      <c r="AR182" s="1">
        <v>2.7</v>
      </c>
      <c r="AS182" s="177">
        <v>2.46E-2</v>
      </c>
      <c r="AT182" s="177">
        <v>0.441</v>
      </c>
      <c r="AU182" s="159">
        <f>AS182*AS181^AT182</f>
        <v>0.16201771341445431</v>
      </c>
      <c r="AY182" s="348">
        <v>2.7</v>
      </c>
      <c r="AZ182" s="177">
        <v>2.4549999999999999E-2</v>
      </c>
      <c r="BA182" s="177">
        <v>0.4405</v>
      </c>
      <c r="BB182" s="159">
        <f>AZ182*AZ181^BA182</f>
        <v>9.7877398816504674E-2</v>
      </c>
      <c r="BF182" s="1">
        <v>2.7</v>
      </c>
      <c r="BG182" s="177">
        <v>2.4549999999999999E-2</v>
      </c>
      <c r="BH182" s="177">
        <v>0.4405</v>
      </c>
      <c r="BI182" s="159">
        <f>BG182*BG181^BH182</f>
        <v>9.9359161341873767E-2</v>
      </c>
      <c r="BM182" s="1">
        <v>2.7</v>
      </c>
      <c r="BN182" s="177">
        <v>2.4549999999999999E-2</v>
      </c>
      <c r="BO182" s="177">
        <v>0.4405</v>
      </c>
      <c r="BP182" s="159">
        <f>BN182*BN181^BO182</f>
        <v>0.10178933182839046</v>
      </c>
      <c r="BT182" s="1">
        <v>2.7</v>
      </c>
      <c r="BU182" s="177">
        <v>2.4549999999999999E-2</v>
      </c>
      <c r="BV182" s="177">
        <v>0.4405</v>
      </c>
      <c r="BW182" s="159">
        <f>BU182*BU181^BV182</f>
        <v>0.10559492645576023</v>
      </c>
      <c r="CA182" s="1">
        <v>2.7</v>
      </c>
      <c r="CB182" s="177">
        <v>2.4549999999999999E-2</v>
      </c>
      <c r="CC182" s="177">
        <v>0.4405</v>
      </c>
      <c r="CD182" s="159">
        <f>CB182*CB181^CC182</f>
        <v>0.11129845097497662</v>
      </c>
      <c r="CH182" s="1">
        <v>2.7</v>
      </c>
      <c r="CI182" s="177">
        <v>2.4549999999999999E-2</v>
      </c>
      <c r="CJ182" s="177">
        <v>0.4405</v>
      </c>
      <c r="CK182" s="159">
        <f>CI182*CI181^CJ182</f>
        <v>0.12013299827845389</v>
      </c>
      <c r="CO182" s="1">
        <v>2.7</v>
      </c>
      <c r="CP182" s="177">
        <v>2.4549999999999999E-2</v>
      </c>
      <c r="CQ182" s="177">
        <v>0.4405</v>
      </c>
      <c r="CR182" s="159">
        <f>CP182*CP181^CQ182</f>
        <v>0.13103240118722614</v>
      </c>
      <c r="CV182" s="348">
        <v>2.7</v>
      </c>
      <c r="CW182" s="177">
        <v>2.4549999999999999E-2</v>
      </c>
      <c r="CX182" s="177">
        <v>0.4405</v>
      </c>
      <c r="CY182" s="159">
        <f>CW182*CW181^CX182</f>
        <v>9.2733287565586534E-2</v>
      </c>
      <c r="DC182" s="1">
        <v>2.7</v>
      </c>
      <c r="DD182" s="177">
        <v>2.4549999999999999E-2</v>
      </c>
      <c r="DE182" s="177">
        <v>0.4405</v>
      </c>
      <c r="DF182" s="159">
        <f>DD182*DD181^DE182</f>
        <v>9.3298297466256355E-2</v>
      </c>
      <c r="DJ182" s="1">
        <v>2.7</v>
      </c>
      <c r="DK182" s="177">
        <v>2.4549999999999999E-2</v>
      </c>
      <c r="DL182" s="177">
        <v>0.4405</v>
      </c>
      <c r="DM182" s="159">
        <f>DK182*DK181^DL182</f>
        <v>9.395418289133152E-2</v>
      </c>
      <c r="DQ182" s="1">
        <v>2.7</v>
      </c>
      <c r="DR182" s="177">
        <v>2.4549999999999999E-2</v>
      </c>
      <c r="DS182" s="177">
        <v>0.4405</v>
      </c>
      <c r="DT182" s="159">
        <f>DR182*DR181^DS182</f>
        <v>9.5328917560349793E-2</v>
      </c>
      <c r="DX182" s="1">
        <v>2.7</v>
      </c>
      <c r="DY182" s="177">
        <v>2.4549999999999999E-2</v>
      </c>
      <c r="DZ182" s="177">
        <v>0.4405</v>
      </c>
      <c r="EA182" s="159">
        <f>DY182*DY181^DZ182</f>
        <v>9.7922803109708439E-2</v>
      </c>
      <c r="EE182" s="1">
        <v>2.7</v>
      </c>
      <c r="EF182" s="177">
        <v>2.4549999999999999E-2</v>
      </c>
      <c r="EG182" s="177">
        <v>0.4405</v>
      </c>
      <c r="EH182" s="159">
        <f>EF182*EF181^EG182</f>
        <v>0.10237746488632966</v>
      </c>
    </row>
    <row r="183" spans="2:149">
      <c r="B183" s="1">
        <v>4</v>
      </c>
      <c r="C183" s="177">
        <v>2.5100000000000001E-2</v>
      </c>
      <c r="D183" s="177">
        <v>0.44579999999999997</v>
      </c>
      <c r="E183" s="159">
        <f>C183*C181^D183</f>
        <v>0.11174216741727107</v>
      </c>
      <c r="I183" s="1">
        <v>4</v>
      </c>
      <c r="J183" s="177">
        <v>2.5100000000000001E-2</v>
      </c>
      <c r="K183" s="177">
        <v>0.44600000000000001</v>
      </c>
      <c r="L183" s="159">
        <f>J183*J181^K183</f>
        <v>0.11449685065867056</v>
      </c>
      <c r="P183" s="1">
        <v>4</v>
      </c>
      <c r="Q183" s="177">
        <v>2.5100000000000001E-2</v>
      </c>
      <c r="R183" s="177">
        <v>0.44600000000000001</v>
      </c>
      <c r="S183" s="159">
        <f>Q183*Q181^R183</f>
        <v>0.11896778579463795</v>
      </c>
      <c r="W183" s="1">
        <v>4</v>
      </c>
      <c r="X183" s="177">
        <v>2.5100000000000001E-2</v>
      </c>
      <c r="Y183" s="177">
        <v>0.44600000000000001</v>
      </c>
      <c r="Z183" s="159">
        <f>X183*X181^Y183</f>
        <v>0.12582977046127614</v>
      </c>
      <c r="AD183" s="1">
        <v>4</v>
      </c>
      <c r="AE183" s="177">
        <v>2.5100000000000001E-2</v>
      </c>
      <c r="AF183" s="177">
        <v>0.44600000000000001</v>
      </c>
      <c r="AG183" s="159">
        <f>AE183*AE181^AF183</f>
        <v>0.13585089667635061</v>
      </c>
      <c r="AK183" s="1">
        <v>4</v>
      </c>
      <c r="AL183" s="177">
        <v>2.5100000000000001E-2</v>
      </c>
      <c r="AM183" s="177">
        <v>0.44600000000000001</v>
      </c>
      <c r="AN183" s="159">
        <f>AL183*AL181^AM183</f>
        <v>0.15089580604595626</v>
      </c>
      <c r="AR183" s="1">
        <v>4</v>
      </c>
      <c r="AS183" s="177">
        <v>2.5100000000000001E-2</v>
      </c>
      <c r="AT183" s="177">
        <v>0.44600000000000001</v>
      </c>
      <c r="AU183" s="159">
        <f>AS183*AS181^AT183</f>
        <v>0.16888170414320283</v>
      </c>
      <c r="AY183" s="348">
        <v>4</v>
      </c>
      <c r="AZ183" s="177">
        <v>2.5100000000000001E-2</v>
      </c>
      <c r="BA183" s="177">
        <v>0.44579999999999997</v>
      </c>
      <c r="BB183" s="159">
        <f>AZ183*AZ181^BA183</f>
        <v>0.10174927055575894</v>
      </c>
      <c r="BF183" s="1">
        <v>4</v>
      </c>
      <c r="BG183" s="177">
        <v>2.5100000000000001E-2</v>
      </c>
      <c r="BH183" s="177">
        <v>0.44579999999999997</v>
      </c>
      <c r="BI183" s="159">
        <f>BG183*BG181^BH183</f>
        <v>0.10330832398694947</v>
      </c>
      <c r="BM183" s="1">
        <v>4</v>
      </c>
      <c r="BN183" s="177">
        <v>2.5100000000000001E-2</v>
      </c>
      <c r="BO183" s="177">
        <v>0.44579999999999997</v>
      </c>
      <c r="BP183" s="159">
        <f>BN183*BN181^BO183</f>
        <v>0.10586585954778972</v>
      </c>
      <c r="BT183" s="1">
        <v>4</v>
      </c>
      <c r="BU183" s="177">
        <v>2.5100000000000001E-2</v>
      </c>
      <c r="BV183" s="177">
        <v>0.44579999999999997</v>
      </c>
      <c r="BW183" s="159">
        <f>BU183*BU181^BV183</f>
        <v>0.10987237506728077</v>
      </c>
      <c r="CA183" s="1">
        <v>4</v>
      </c>
      <c r="CB183" s="177">
        <v>2.5100000000000001E-2</v>
      </c>
      <c r="CC183" s="177">
        <v>0.44579999999999997</v>
      </c>
      <c r="CD183" s="159">
        <f>CB183*CB181^CC183</f>
        <v>0.1158802595894773</v>
      </c>
      <c r="CH183" s="1">
        <v>4</v>
      </c>
      <c r="CI183" s="177">
        <v>2.5100000000000001E-2</v>
      </c>
      <c r="CJ183" s="177">
        <v>0.44579999999999997</v>
      </c>
      <c r="CK183" s="159">
        <f>CI183*CI181^CJ183</f>
        <v>0.12519350213111338</v>
      </c>
      <c r="CO183" s="1">
        <v>4</v>
      </c>
      <c r="CP183" s="177">
        <v>2.5100000000000001E-2</v>
      </c>
      <c r="CQ183" s="177">
        <v>0.44579999999999997</v>
      </c>
      <c r="CR183" s="159">
        <f>CP183*CP181^CQ183</f>
        <v>0.13669479153781675</v>
      </c>
      <c r="CV183" s="348">
        <v>4</v>
      </c>
      <c r="CW183" s="177">
        <v>2.5100000000000001E-2</v>
      </c>
      <c r="CX183" s="177">
        <v>0.44579999999999997</v>
      </c>
      <c r="CY183" s="159">
        <f>CW183*CW181^CX183</f>
        <v>9.6339066908640816E-2</v>
      </c>
      <c r="DC183" s="1">
        <v>4</v>
      </c>
      <c r="DD183" s="177">
        <v>2.5100000000000001E-2</v>
      </c>
      <c r="DE183" s="177">
        <v>0.44579999999999997</v>
      </c>
      <c r="DF183" s="159">
        <f>DD183*DD181^DE183</f>
        <v>9.6933130415929436E-2</v>
      </c>
      <c r="DJ183" s="1">
        <v>4</v>
      </c>
      <c r="DK183" s="177">
        <v>2.5100000000000001E-2</v>
      </c>
      <c r="DL183" s="177">
        <v>0.44579999999999997</v>
      </c>
      <c r="DM183" s="159">
        <f>DK183*DK181^DL183</f>
        <v>9.7622796669018366E-2</v>
      </c>
      <c r="DQ183" s="1">
        <v>4</v>
      </c>
      <c r="DR183" s="177">
        <v>2.5100000000000001E-2</v>
      </c>
      <c r="DS183" s="177">
        <v>0.44579999999999997</v>
      </c>
      <c r="DT183" s="159">
        <f>DR183*DR181^DS183</f>
        <v>9.9068523381936072E-2</v>
      </c>
      <c r="DX183" s="1">
        <v>4</v>
      </c>
      <c r="DY183" s="177">
        <v>2.5100000000000001E-2</v>
      </c>
      <c r="DZ183" s="177">
        <v>0.44579999999999997</v>
      </c>
      <c r="EA183" s="159">
        <f>DY183*DY181^DZ183</f>
        <v>0.10179703900781188</v>
      </c>
      <c r="EE183" s="1">
        <v>4</v>
      </c>
      <c r="EF183" s="177">
        <v>2.5100000000000001E-2</v>
      </c>
      <c r="EG183" s="177">
        <v>0.44579999999999997</v>
      </c>
      <c r="EH183" s="159">
        <f>EF183*EF181^EG183</f>
        <v>0.10648492771623248</v>
      </c>
    </row>
    <row r="184" spans="2:149">
      <c r="B184" s="1">
        <v>10</v>
      </c>
      <c r="C184" s="177">
        <v>2.7969999999999998E-2</v>
      </c>
      <c r="D184" s="177">
        <v>0.43909999999999999</v>
      </c>
      <c r="E184" s="159">
        <f>C184*C181^D184</f>
        <v>0.1217555517474761</v>
      </c>
      <c r="I184" s="1">
        <v>10</v>
      </c>
      <c r="J184" s="177">
        <v>2.8000000000000001E-2</v>
      </c>
      <c r="K184" s="177">
        <v>0.439</v>
      </c>
      <c r="L184" s="159">
        <f>J184*J181^K184</f>
        <v>0.12471908647314504</v>
      </c>
      <c r="P184" s="1">
        <v>10</v>
      </c>
      <c r="Q184" s="177">
        <v>2.8000000000000001E-2</v>
      </c>
      <c r="R184" s="177">
        <v>0.439</v>
      </c>
      <c r="S184" s="159">
        <f>Q184*Q181^R184</f>
        <v>0.12951129859637484</v>
      </c>
      <c r="W184" s="1">
        <v>10</v>
      </c>
      <c r="X184" s="177">
        <v>2.8000000000000001E-2</v>
      </c>
      <c r="Y184" s="177">
        <v>0.439</v>
      </c>
      <c r="Z184" s="159">
        <f>X184*X181^Y184</f>
        <v>0.13686091703646286</v>
      </c>
      <c r="AD184" s="1">
        <v>10</v>
      </c>
      <c r="AE184" s="177">
        <v>2.8000000000000001E-2</v>
      </c>
      <c r="AF184" s="177">
        <v>0.439</v>
      </c>
      <c r="AG184" s="159">
        <f>AE184*AE181^AF184</f>
        <v>0.14758296553057668</v>
      </c>
      <c r="AK184" s="1">
        <v>10</v>
      </c>
      <c r="AL184" s="177">
        <v>2.8000000000000001E-2</v>
      </c>
      <c r="AM184" s="177">
        <v>0.439</v>
      </c>
      <c r="AN184" s="159">
        <f>AL184*AL181^AM184</f>
        <v>0.16365714387010497</v>
      </c>
      <c r="AR184" s="1">
        <v>10</v>
      </c>
      <c r="AS184" s="177">
        <v>2.8000000000000001E-2</v>
      </c>
      <c r="AT184" s="177">
        <v>0.439</v>
      </c>
      <c r="AU184" s="159">
        <f>AS184*AS181^AT184</f>
        <v>0.18284067964747147</v>
      </c>
      <c r="AY184" s="348">
        <v>10</v>
      </c>
      <c r="AZ184" s="177">
        <v>2.7969999999999998E-2</v>
      </c>
      <c r="BA184" s="177">
        <v>0.43909999999999999</v>
      </c>
      <c r="BB184" s="159">
        <f>AZ184*AZ181^BA184</f>
        <v>0.11102338381826402</v>
      </c>
      <c r="BF184" s="1">
        <v>10</v>
      </c>
      <c r="BG184" s="177">
        <v>2.7969999999999998E-2</v>
      </c>
      <c r="BH184" s="177">
        <v>0.43909999999999999</v>
      </c>
      <c r="BI184" s="159">
        <f>BG184*BG181^BH184</f>
        <v>0.11269878098443749</v>
      </c>
      <c r="BM184" s="1">
        <v>10</v>
      </c>
      <c r="BN184" s="177">
        <v>2.7969999999999998E-2</v>
      </c>
      <c r="BO184" s="177">
        <v>0.43909999999999999</v>
      </c>
      <c r="BP184" s="159">
        <f>BN184*BN181^BO184</f>
        <v>0.11544635135466526</v>
      </c>
      <c r="BT184" s="1">
        <v>10</v>
      </c>
      <c r="BU184" s="177">
        <v>2.7969999999999998E-2</v>
      </c>
      <c r="BV184" s="177">
        <v>0.43909999999999999</v>
      </c>
      <c r="BW184" s="159">
        <f>BU184*BU181^BV184</f>
        <v>0.11974857033110774</v>
      </c>
      <c r="CA184" s="1">
        <v>10</v>
      </c>
      <c r="CB184" s="177">
        <v>2.7969999999999998E-2</v>
      </c>
      <c r="CC184" s="177">
        <v>0.43909999999999999</v>
      </c>
      <c r="CD184" s="159">
        <f>CB184*CB181^CC184</f>
        <v>0.12619547873305728</v>
      </c>
      <c r="CH184" s="1">
        <v>10</v>
      </c>
      <c r="CI184" s="177">
        <v>2.7969999999999998E-2</v>
      </c>
      <c r="CJ184" s="177">
        <v>0.43909999999999999</v>
      </c>
      <c r="CK184" s="159">
        <f>CI184*CI181^CJ184</f>
        <v>0.13617944522441075</v>
      </c>
      <c r="CO184" s="1">
        <v>10</v>
      </c>
      <c r="CP184" s="177">
        <v>2.7969999999999998E-2</v>
      </c>
      <c r="CQ184" s="177">
        <v>0.43909999999999999</v>
      </c>
      <c r="CR184" s="159">
        <f>CP184*CP181^CQ184</f>
        <v>0.14849371530452932</v>
      </c>
      <c r="CV184" s="348">
        <v>10</v>
      </c>
      <c r="CW184" s="177">
        <v>2.7969999999999998E-2</v>
      </c>
      <c r="CX184" s="177">
        <v>0.43909999999999999</v>
      </c>
      <c r="CY184" s="159">
        <f>CW184*CW181^CX184</f>
        <v>0.10520641357496531</v>
      </c>
      <c r="DC184" s="1">
        <v>10</v>
      </c>
      <c r="DD184" s="177">
        <v>2.7969999999999998E-2</v>
      </c>
      <c r="DE184" s="177">
        <v>0.43909999999999999</v>
      </c>
      <c r="DF184" s="159">
        <f>DD184*DD181^DE184</f>
        <v>0.10584537692059771</v>
      </c>
      <c r="DJ184" s="1">
        <v>10</v>
      </c>
      <c r="DK184" s="177">
        <v>2.7969999999999998E-2</v>
      </c>
      <c r="DL184" s="177">
        <v>0.43909999999999999</v>
      </c>
      <c r="DM184" s="159">
        <f>DK184*DK181^DL184</f>
        <v>0.10658709495607425</v>
      </c>
      <c r="DQ184" s="1">
        <v>10</v>
      </c>
      <c r="DR184" s="177">
        <v>2.7969999999999998E-2</v>
      </c>
      <c r="DS184" s="177">
        <v>0.43909999999999999</v>
      </c>
      <c r="DT184" s="159">
        <f>DR184*DR181^DS184</f>
        <v>0.10814168136334947</v>
      </c>
      <c r="DX184" s="1">
        <v>10</v>
      </c>
      <c r="DY184" s="177">
        <v>2.7969999999999998E-2</v>
      </c>
      <c r="DZ184" s="177">
        <v>0.43909999999999999</v>
      </c>
      <c r="EA184" s="159">
        <f>DY184*DY181^DZ184</f>
        <v>0.11107472267161811</v>
      </c>
      <c r="EE184" s="1">
        <v>10</v>
      </c>
      <c r="EF184" s="177">
        <v>2.7969999999999998E-2</v>
      </c>
      <c r="EG184" s="177">
        <v>0.43909999999999999</v>
      </c>
      <c r="EH184" s="159">
        <f>EF184*EF181^EG184</f>
        <v>0.11611126781405784</v>
      </c>
    </row>
    <row r="185" spans="2:149">
      <c r="B185" s="1" t="s">
        <v>352</v>
      </c>
      <c r="C185" t="s">
        <v>189</v>
      </c>
      <c r="D185" t="s">
        <v>187</v>
      </c>
      <c r="E185" s="239"/>
      <c r="I185" s="1" t="s">
        <v>352</v>
      </c>
      <c r="J185" t="s">
        <v>189</v>
      </c>
      <c r="K185" t="s">
        <v>187</v>
      </c>
      <c r="L185" s="239"/>
      <c r="P185" s="1" t="s">
        <v>352</v>
      </c>
      <c r="Q185" t="s">
        <v>189</v>
      </c>
      <c r="R185" t="s">
        <v>187</v>
      </c>
      <c r="S185" s="239"/>
      <c r="W185" s="1" t="s">
        <v>352</v>
      </c>
      <c r="X185" t="s">
        <v>189</v>
      </c>
      <c r="Y185" t="s">
        <v>187</v>
      </c>
      <c r="Z185" s="239"/>
      <c r="AD185" s="1" t="s">
        <v>352</v>
      </c>
      <c r="AE185" t="s">
        <v>189</v>
      </c>
      <c r="AF185" t="s">
        <v>187</v>
      </c>
      <c r="AG185" s="239"/>
      <c r="AK185" s="1" t="s">
        <v>352</v>
      </c>
      <c r="AL185" t="s">
        <v>189</v>
      </c>
      <c r="AM185" t="s">
        <v>187</v>
      </c>
      <c r="AN185" s="239"/>
      <c r="AR185" s="1" t="s">
        <v>352</v>
      </c>
      <c r="AS185" t="s">
        <v>189</v>
      </c>
      <c r="AT185" t="s">
        <v>187</v>
      </c>
      <c r="AU185" s="239"/>
      <c r="AY185" s="348" t="s">
        <v>352</v>
      </c>
      <c r="AZ185" t="s">
        <v>189</v>
      </c>
      <c r="BA185" t="s">
        <v>187</v>
      </c>
      <c r="BB185" s="239"/>
      <c r="BF185" s="1" t="s">
        <v>352</v>
      </c>
      <c r="BG185" t="s">
        <v>189</v>
      </c>
      <c r="BH185" t="s">
        <v>187</v>
      </c>
      <c r="BI185" s="239"/>
      <c r="BM185" s="1" t="s">
        <v>352</v>
      </c>
      <c r="BN185" t="s">
        <v>189</v>
      </c>
      <c r="BO185" t="s">
        <v>187</v>
      </c>
      <c r="BP185" s="239"/>
      <c r="BT185" s="1" t="s">
        <v>352</v>
      </c>
      <c r="BU185" t="s">
        <v>189</v>
      </c>
      <c r="BV185" t="s">
        <v>187</v>
      </c>
      <c r="BW185" s="239"/>
      <c r="CA185" s="1" t="s">
        <v>352</v>
      </c>
      <c r="CB185" t="s">
        <v>189</v>
      </c>
      <c r="CC185" t="s">
        <v>187</v>
      </c>
      <c r="CD185" s="239"/>
      <c r="CH185" s="1" t="s">
        <v>352</v>
      </c>
      <c r="CI185" t="s">
        <v>189</v>
      </c>
      <c r="CJ185" t="s">
        <v>187</v>
      </c>
      <c r="CK185" s="239"/>
      <c r="CO185" s="1" t="s">
        <v>352</v>
      </c>
      <c r="CP185" t="s">
        <v>189</v>
      </c>
      <c r="CQ185" t="s">
        <v>187</v>
      </c>
      <c r="CR185" s="239"/>
      <c r="CV185" s="348" t="s">
        <v>352</v>
      </c>
      <c r="CW185" t="s">
        <v>189</v>
      </c>
      <c r="CX185" t="s">
        <v>187</v>
      </c>
      <c r="CY185" s="239"/>
      <c r="DC185" s="1" t="s">
        <v>352</v>
      </c>
      <c r="DD185" t="s">
        <v>189</v>
      </c>
      <c r="DE185" t="s">
        <v>187</v>
      </c>
      <c r="DF185" s="239"/>
      <c r="DJ185" s="1" t="s">
        <v>352</v>
      </c>
      <c r="DK185" t="s">
        <v>189</v>
      </c>
      <c r="DL185" t="s">
        <v>187</v>
      </c>
      <c r="DM185" s="239"/>
      <c r="DQ185" s="1" t="s">
        <v>352</v>
      </c>
      <c r="DR185" t="s">
        <v>189</v>
      </c>
      <c r="DS185" t="s">
        <v>187</v>
      </c>
      <c r="DT185" s="239"/>
      <c r="DX185" s="1" t="s">
        <v>352</v>
      </c>
      <c r="DY185" t="s">
        <v>189</v>
      </c>
      <c r="DZ185" t="s">
        <v>187</v>
      </c>
      <c r="EA185" s="239"/>
      <c r="EE185" s="1" t="s">
        <v>352</v>
      </c>
      <c r="EF185" t="s">
        <v>189</v>
      </c>
      <c r="EG185" t="s">
        <v>187</v>
      </c>
      <c r="EH185" s="239"/>
    </row>
    <row r="186" spans="2:149">
      <c r="B186">
        <f>$C$35</f>
        <v>2.7</v>
      </c>
      <c r="C186">
        <f>EXP(INDEX(LINEST(LN(E182:E184),LN(B182:B184),,),1,2))</f>
        <v>9.7737127952464781E-2</v>
      </c>
      <c r="D186">
        <f>INDEX(LINEST(LN(E182:E184),LN(B182:B184),,),1)</f>
        <v>9.5608034225645525E-2</v>
      </c>
      <c r="E186" s="8">
        <f>MAX(C186*B186^D186, 0.05)</f>
        <v>0.10747350545981976</v>
      </c>
      <c r="F186" t="s">
        <v>353</v>
      </c>
      <c r="I186">
        <f>$C$35</f>
        <v>2.7</v>
      </c>
      <c r="J186">
        <f>EXP(INDEX(LINEST(LN(L182:L184),LN(I182:I184),,),1,2))</f>
        <v>0.10054141788497054</v>
      </c>
      <c r="K186">
        <f>INDEX(LINEST(LN(L182:L184),LN(I182:I184),,),1)</f>
        <v>9.3614100953853752E-2</v>
      </c>
      <c r="L186" s="8">
        <f>MAX(J186*I186^K186, 0.05)</f>
        <v>0.11033841384819509</v>
      </c>
      <c r="M186" t="s">
        <v>353</v>
      </c>
      <c r="P186">
        <f>$C$35</f>
        <v>2.7</v>
      </c>
      <c r="Q186">
        <f>EXP(INDEX(LINEST(LN(S182:S184),LN(P182:P184),,),1,2))</f>
        <v>0.104468065013714</v>
      </c>
      <c r="R186">
        <f>INDEX(LINEST(LN(S182:S184),LN(P182:P184),,),1)</f>
        <v>9.3389984455830882E-2</v>
      </c>
      <c r="S186" s="8">
        <f>MAX(Q186*P186^R186, 0.05)</f>
        <v>0.11462216464939623</v>
      </c>
      <c r="T186" t="s">
        <v>353</v>
      </c>
      <c r="W186">
        <f>$C$35</f>
        <v>2.7</v>
      </c>
      <c r="X186">
        <f>EXP(INDEX(LINEST(LN(Z182:Z184),LN(W182:W184),,),1,2))</f>
        <v>0.11049472367394149</v>
      </c>
      <c r="Y186">
        <f>INDEX(LINEST(LN(Z182:Z184),LN(W182:W184),,),1)</f>
        <v>9.3061889224128461E-2</v>
      </c>
      <c r="Z186" s="8">
        <f>MAX(X186*W186^Y186, 0.05)</f>
        <v>0.12119510157034778</v>
      </c>
      <c r="AA186" t="s">
        <v>353</v>
      </c>
      <c r="AD186">
        <f>$C$35</f>
        <v>2.7</v>
      </c>
      <c r="AE186">
        <f>EXP(INDEX(LINEST(LN(AG182:AG184),LN(AD182:AD184),,),1,2))</f>
        <v>0.11929604930726397</v>
      </c>
      <c r="AF186">
        <f>INDEX(LINEST(LN(AG182:AG184),LN(AD182:AD184),,),1)</f>
        <v>9.2613556132270874E-2</v>
      </c>
      <c r="AG186" s="8">
        <f>MAX(AE186*AD186^AF186, 0.05)</f>
        <v>0.13079049808507343</v>
      </c>
      <c r="AH186" t="s">
        <v>353</v>
      </c>
      <c r="AK186">
        <f>$C$35</f>
        <v>2.7</v>
      </c>
      <c r="AL186">
        <f>EXP(INDEX(LINEST(LN(AN182:AN184),LN(AK182:AK184),,),1,2))</f>
        <v>0.13250984488696407</v>
      </c>
      <c r="AM186">
        <f>INDEX(LINEST(LN(AN182:AN184),LN(AK182:AK184),,),1)</f>
        <v>9.1999039558396292E-2</v>
      </c>
      <c r="AN186" s="8">
        <f>MAX(AL186*AK186^AM186, 0.05)</f>
        <v>0.14518882735749106</v>
      </c>
      <c r="AO186" t="s">
        <v>353</v>
      </c>
      <c r="AR186">
        <f>$C$35</f>
        <v>2.7</v>
      </c>
      <c r="AS186">
        <f>EXP(INDEX(LINEST(LN(AU182:AU184),LN(AR182:AR184),,),1,2))</f>
        <v>0.14830696201034849</v>
      </c>
      <c r="AT186">
        <f>INDEX(LINEST(LN(AU182:AU184),LN(AR182:AR184),,),1)</f>
        <v>9.1340189982887871E-2</v>
      </c>
      <c r="AU186" s="8">
        <f>MAX(AS186*AR186^AT186, 0.05)</f>
        <v>0.16239116103798221</v>
      </c>
      <c r="AV186" t="s">
        <v>353</v>
      </c>
      <c r="AY186" s="338">
        <f>$C$35</f>
        <v>2.7</v>
      </c>
      <c r="AZ186">
        <f>EXP(INDEX(LINEST(LN(BB182:BB184),LN(AY182:AY184),,),1,2))</f>
        <v>8.9008018803453201E-2</v>
      </c>
      <c r="BA186">
        <f>INDEX(LINEST(LN(BB182:BB184),LN(AY182:AY184),,),1)</f>
        <v>9.606496419549336E-2</v>
      </c>
      <c r="BB186" s="8">
        <f>MAX(AZ186*AY186^BA186, 0.05)</f>
        <v>9.7919250115453285E-2</v>
      </c>
      <c r="BC186" t="s">
        <v>353</v>
      </c>
      <c r="BF186">
        <f>$C$35</f>
        <v>2.7</v>
      </c>
      <c r="BG186">
        <f>EXP(INDEX(LINEST(LN(BI182:BI184),LN(BF182:BF184),,),1,2))</f>
        <v>9.0369974939598946E-2</v>
      </c>
      <c r="BH186">
        <f>INDEX(LINEST(LN(BI182:BI184),LN(BF182:BF184),,),1)</f>
        <v>9.5990796506895765E-2</v>
      </c>
      <c r="BI186" s="8">
        <f>MAX(BG186*BF186^BH186, 0.05)</f>
        <v>9.9410237908700544E-2</v>
      </c>
      <c r="BJ186" t="s">
        <v>353</v>
      </c>
      <c r="BM186">
        <f>$C$35</f>
        <v>2.7</v>
      </c>
      <c r="BN186">
        <f>EXP(INDEX(LINEST(LN(BP182:BP184),LN(BM182:BM184),,),1,2))</f>
        <v>9.2604123602902946E-2</v>
      </c>
      <c r="BO186">
        <f>INDEX(LINEST(LN(BP182:BP184),LN(BM182:BM184),,),1)</f>
        <v>9.5871519570208369E-2</v>
      </c>
      <c r="BP186" s="8">
        <f>MAX(BN186*BM186^BO186, 0.05)</f>
        <v>0.1018558143883983</v>
      </c>
      <c r="BQ186" t="s">
        <v>353</v>
      </c>
      <c r="BT186">
        <f>$C$35</f>
        <v>2.7</v>
      </c>
      <c r="BU186">
        <f>EXP(INDEX(LINEST(LN(BW182:BW184),LN(BT182:BT184),,),1,2))</f>
        <v>9.6103889387708932E-2</v>
      </c>
      <c r="BV186">
        <f>INDEX(LINEST(LN(BW182:BW184),LN(BT182:BT184),,),1)</f>
        <v>9.5690339309872419E-2</v>
      </c>
      <c r="BW186" s="8">
        <f>MAX(BU186*BT186^BV186, 0.05)</f>
        <v>0.10568620639023371</v>
      </c>
      <c r="BX186" t="s">
        <v>353</v>
      </c>
      <c r="CA186">
        <f>$C$35</f>
        <v>2.7</v>
      </c>
      <c r="CB186">
        <f>EXP(INDEX(LINEST(LN(CD182:CD184),LN(CA182:CA184),,),1,2))</f>
        <v>0.10135156470709043</v>
      </c>
      <c r="CC186">
        <f>INDEX(LINEST(LN(CD182:CD184),LN(CA182:CA184),,),1)</f>
        <v>9.5430674831285048E-2</v>
      </c>
      <c r="CD186" s="8">
        <f>MAX(CB186*CA186^CC186, 0.05)</f>
        <v>0.11142837395229017</v>
      </c>
      <c r="CE186" t="s">
        <v>353</v>
      </c>
      <c r="CH186">
        <f>$C$35</f>
        <v>2.7</v>
      </c>
      <c r="CI186">
        <f>EXP(INDEX(LINEST(LN(CK182:CK184),LN(CH182:CH184),,),1,2))</f>
        <v>0.10948562855494638</v>
      </c>
      <c r="CJ186">
        <f>INDEX(LINEST(LN(CK182:CK184),LN(CH182:CH184),,),1)</f>
        <v>9.5053633987104397E-2</v>
      </c>
      <c r="CK186" s="8">
        <f>MAX(CI186*CH186^CJ186, 0.05)</f>
        <v>0.12032609133694569</v>
      </c>
      <c r="CL186" t="s">
        <v>353</v>
      </c>
      <c r="CO186">
        <f>$C$35</f>
        <v>2.7</v>
      </c>
      <c r="CP186">
        <f>EXP(INDEX(LINEST(LN(CR182:CR184),LN(CO182:CO184),,),1,2))</f>
        <v>0.11952957321400065</v>
      </c>
      <c r="CQ186">
        <f>INDEX(LINEST(LN(CR182:CR184),LN(CO182:CO184),,),1)</f>
        <v>9.4624956061825374E-2</v>
      </c>
      <c r="CR186" s="8">
        <f>MAX(CP186*CO186^CQ186, 0.05)</f>
        <v>0.13130859247693435</v>
      </c>
      <c r="CS186" t="s">
        <v>353</v>
      </c>
      <c r="CV186" s="338">
        <f>$C$35</f>
        <v>2.7</v>
      </c>
      <c r="CW186">
        <f>EXP(INDEX(LINEST(LN(CY182:CY184),LN(CV182:CV184),,),1,2))</f>
        <v>8.4281556149576539E-2</v>
      </c>
      <c r="CX186">
        <f>INDEX(LINEST(LN(CY182:CY184),LN(CV182:CV184),,),1)</f>
        <v>9.6331456064861015E-2</v>
      </c>
      <c r="CY186" s="8">
        <f>MAX(CW186*CV186^CX186, 0.05)</f>
        <v>9.2744132899826665E-2</v>
      </c>
      <c r="CZ186" t="s">
        <v>353</v>
      </c>
      <c r="DC186">
        <f>$C$35</f>
        <v>2.7</v>
      </c>
      <c r="DD186">
        <f>EXP(INDEX(LINEST(LN(DF182:DF184),LN(DC182:DC184),,),1,2))</f>
        <v>8.4800559261524258E-2</v>
      </c>
      <c r="DE186">
        <f>INDEX(LINEST(LN(DF182:DF184),LN(DC182:DC184),,),1)</f>
        <v>9.6301472304807775E-2</v>
      </c>
      <c r="DF186" s="8">
        <f>MAX(DD186*DC186^DE186, 0.05)</f>
        <v>9.3312469267728806E-2</v>
      </c>
      <c r="DG186" t="s">
        <v>353</v>
      </c>
      <c r="DJ186">
        <f>$C$35</f>
        <v>2.7</v>
      </c>
      <c r="DK186">
        <f>EXP(INDEX(LINEST(LN(DM182:DM184),LN(DJ182:DJ184),,),1,2))</f>
        <v>8.5403080210704627E-2</v>
      </c>
      <c r="DL186">
        <f>INDEX(LINEST(LN(DM182:DM184),LN(DJ182:DJ184),,),1)</f>
        <v>9.626689289600715E-2</v>
      </c>
      <c r="DM186" s="8">
        <f>MAX(DK186*DJ186^DL186, 0.05)</f>
        <v>9.3972241008368679E-2</v>
      </c>
      <c r="DN186" t="s">
        <v>353</v>
      </c>
      <c r="DQ186">
        <f>$C$35</f>
        <v>2.7</v>
      </c>
      <c r="DR186">
        <f>EXP(INDEX(LINEST(LN(DT182:DT184),LN(DQ182:DQ184),,),1,2))</f>
        <v>8.6666108088876828E-2</v>
      </c>
      <c r="DS186">
        <f>INDEX(LINEST(LN(DT182:DT184),LN(DQ182:DQ184),,),1)</f>
        <v>9.61951910945473E-2</v>
      </c>
      <c r="DT186" s="8">
        <f>MAX(DR186*DQ186^DS186, 0.05)</f>
        <v>9.5355207135270972E-2</v>
      </c>
      <c r="DU186" t="s">
        <v>353</v>
      </c>
      <c r="DX186">
        <f>$C$35</f>
        <v>2.7</v>
      </c>
      <c r="DY186">
        <f>EXP(INDEX(LINEST(LN(EA182:EA184),LN(DX182:DX184),,),1,2))</f>
        <v>8.9049748733249556E-2</v>
      </c>
      <c r="DZ186">
        <f>INDEX(LINEST(LN(EA182:EA184),LN(DX182:DX184),,),1)</f>
        <v>9.6062674914098783E-2</v>
      </c>
      <c r="EA186" s="8">
        <f>MAX(DY186*DX186^DZ186, 0.05)</f>
        <v>9.7964935171758416E-2</v>
      </c>
      <c r="EB186" t="s">
        <v>353</v>
      </c>
      <c r="EE186">
        <f>$C$35</f>
        <v>2.7</v>
      </c>
      <c r="EF186">
        <f>EXP(INDEX(LINEST(LN(EH182:EH184),LN(EE182:EE184),,),1,2))</f>
        <v>9.3144902757442721E-2</v>
      </c>
      <c r="EG186">
        <f>INDEX(LINEST(LN(EH182:EH184),LN(EE182:EE184),,),1)</f>
        <v>9.584308104542634E-2</v>
      </c>
      <c r="EH186" s="8">
        <f>MAX(EF186*EE186^EG186, 0.05)</f>
        <v>0.10244772668473939</v>
      </c>
      <c r="EI186" t="s">
        <v>353</v>
      </c>
    </row>
    <row r="187" spans="2:149">
      <c r="B187" s="1" t="s">
        <v>354</v>
      </c>
      <c r="C187" s="8">
        <f>E186</f>
        <v>0.10747350545981976</v>
      </c>
      <c r="E187" s="8"/>
      <c r="I187" s="1" t="s">
        <v>354</v>
      </c>
      <c r="J187" s="8">
        <f>L186</f>
        <v>0.11033841384819509</v>
      </c>
      <c r="L187" s="8"/>
      <c r="P187" s="1" t="s">
        <v>354</v>
      </c>
      <c r="Q187" s="8">
        <f>S186</f>
        <v>0.11462216464939623</v>
      </c>
      <c r="S187" s="8"/>
      <c r="W187" s="1" t="s">
        <v>354</v>
      </c>
      <c r="X187" s="8">
        <f>Z186</f>
        <v>0.12119510157034778</v>
      </c>
      <c r="Z187" s="8"/>
      <c r="AD187" s="1" t="s">
        <v>354</v>
      </c>
      <c r="AE187" s="8">
        <f>AG186</f>
        <v>0.13079049808507343</v>
      </c>
      <c r="AG187" s="8"/>
      <c r="AK187" s="1" t="s">
        <v>354</v>
      </c>
      <c r="AL187" s="8">
        <f>AN186</f>
        <v>0.14518882735749106</v>
      </c>
      <c r="AN187" s="8"/>
      <c r="AR187" s="1" t="s">
        <v>354</v>
      </c>
      <c r="AS187" s="8">
        <f>AU186</f>
        <v>0.16239116103798221</v>
      </c>
      <c r="AU187" s="8"/>
      <c r="AY187" s="348" t="s">
        <v>354</v>
      </c>
      <c r="AZ187" s="8">
        <f>BB186</f>
        <v>9.7919250115453285E-2</v>
      </c>
      <c r="BB187" s="8"/>
      <c r="BF187" s="1" t="s">
        <v>354</v>
      </c>
      <c r="BG187" s="8">
        <f>BI186</f>
        <v>9.9410237908700544E-2</v>
      </c>
      <c r="BI187" s="8"/>
      <c r="BM187" s="1" t="s">
        <v>354</v>
      </c>
      <c r="BN187" s="8">
        <f>BP186</f>
        <v>0.1018558143883983</v>
      </c>
      <c r="BP187" s="8"/>
      <c r="BT187" s="1" t="s">
        <v>354</v>
      </c>
      <c r="BU187" s="8">
        <f>BW186</f>
        <v>0.10568620639023371</v>
      </c>
      <c r="BW187" s="8"/>
      <c r="CA187" s="1" t="s">
        <v>354</v>
      </c>
      <c r="CB187" s="8">
        <f>CD186</f>
        <v>0.11142837395229017</v>
      </c>
      <c r="CD187" s="8"/>
      <c r="CH187" s="1" t="s">
        <v>354</v>
      </c>
      <c r="CI187" s="8">
        <f>CK186</f>
        <v>0.12032609133694569</v>
      </c>
      <c r="CK187" s="8"/>
      <c r="CO187" s="1" t="s">
        <v>354</v>
      </c>
      <c r="CP187" s="8">
        <f>CR186</f>
        <v>0.13130859247693435</v>
      </c>
      <c r="CR187" s="8"/>
      <c r="CV187" s="348" t="s">
        <v>354</v>
      </c>
      <c r="CW187" s="8">
        <f>CY186</f>
        <v>9.2744132899826665E-2</v>
      </c>
      <c r="CY187" s="8"/>
      <c r="DC187" s="1" t="s">
        <v>354</v>
      </c>
      <c r="DD187" s="8">
        <f>DF186</f>
        <v>9.3312469267728806E-2</v>
      </c>
      <c r="DF187" s="8"/>
      <c r="DJ187" s="1" t="s">
        <v>354</v>
      </c>
      <c r="DK187" s="8">
        <f>DM186</f>
        <v>9.3972241008368679E-2</v>
      </c>
      <c r="DM187" s="8"/>
      <c r="DQ187" s="1" t="s">
        <v>354</v>
      </c>
      <c r="DR187" s="8">
        <f>DT186</f>
        <v>9.5355207135270972E-2</v>
      </c>
      <c r="DT187" s="8"/>
      <c r="DX187" s="1" t="s">
        <v>354</v>
      </c>
      <c r="DY187" s="8">
        <f>EA186</f>
        <v>9.7964935171758416E-2</v>
      </c>
      <c r="EA187" s="8"/>
      <c r="EE187" s="1" t="s">
        <v>354</v>
      </c>
      <c r="EF187" s="8">
        <f>EH186</f>
        <v>0.10244772668473939</v>
      </c>
      <c r="EH187" s="8"/>
    </row>
    <row r="188" spans="2:149">
      <c r="B188" s="1" t="s">
        <v>355</v>
      </c>
      <c r="C188" s="151">
        <f>(34-$C$24)*(E186-0.05)^0.62*(0.37*E186*40+3.14)/100</f>
        <v>8.8548172383068322E-2</v>
      </c>
      <c r="D188" s="177"/>
      <c r="G188" s="12"/>
      <c r="H188" s="12"/>
      <c r="I188" s="1" t="s">
        <v>355</v>
      </c>
      <c r="J188" s="151">
        <f>(34-$C$24)*(L186-0.05)^0.62*(0.37*L186*40+3.14)/100</f>
        <v>9.2077412526564609E-2</v>
      </c>
      <c r="K188" s="177"/>
      <c r="N188" s="12"/>
      <c r="P188" s="1" t="s">
        <v>355</v>
      </c>
      <c r="Q188" s="151">
        <f>(34-$C$24)*(S186-0.05)^0.62*(0.37*S186*40+3.14)/100</f>
        <v>9.7353630151516449E-2</v>
      </c>
      <c r="R188" s="177"/>
      <c r="U188" s="12"/>
      <c r="W188" s="1" t="s">
        <v>355</v>
      </c>
      <c r="X188" s="151">
        <f>(34-$C$24)*(Z186-0.05)^0.62*(0.37*Z186*40+3.14)/100</f>
        <v>0.10545893807910404</v>
      </c>
      <c r="Y188" s="177"/>
      <c r="AB188" s="12"/>
      <c r="AD188" s="1" t="s">
        <v>355</v>
      </c>
      <c r="AE188" s="151">
        <f>(34-$C$24)*(AG186-0.05)^0.62*(0.37*AG186*40+3.14)/100</f>
        <v>0.11734158592987916</v>
      </c>
      <c r="AF188" s="177"/>
      <c r="AI188" s="12"/>
      <c r="AK188" s="1" t="s">
        <v>355</v>
      </c>
      <c r="AL188" s="151">
        <f>(34-$C$24)*(AN186-0.05)^0.62*(0.37*AN186*40+3.14)/100</f>
        <v>0.13535449882433997</v>
      </c>
      <c r="AM188" s="177"/>
      <c r="AP188" s="12"/>
      <c r="AR188" s="1" t="s">
        <v>355</v>
      </c>
      <c r="AS188" s="151">
        <f>(34-$C$24)*(AU186-0.05)^0.62*(0.37*AU186*40+3.14)/100</f>
        <v>0.15726134762712493</v>
      </c>
      <c r="AT188" s="177"/>
      <c r="AW188" s="12"/>
      <c r="AY188" s="348" t="s">
        <v>355</v>
      </c>
      <c r="AZ188" s="151">
        <f>(34-$C$24)*(BB186-0.05)^0.62*(0.37*BB186*40+3.14)/100</f>
        <v>7.674433763230229E-2</v>
      </c>
      <c r="BA188" s="177"/>
      <c r="BD188" s="12"/>
      <c r="BE188" s="12"/>
      <c r="BF188" s="1" t="s">
        <v>355</v>
      </c>
      <c r="BG188" s="151">
        <f>(34-$C$24)*(BI186-0.05)^0.62*(0.37*BI186*40+3.14)/100</f>
        <v>7.8592279661521283E-2</v>
      </c>
      <c r="BH188" s="177"/>
      <c r="BK188" s="12"/>
      <c r="BL188" s="12"/>
      <c r="BM188" s="1" t="s">
        <v>355</v>
      </c>
      <c r="BN188" s="151">
        <f>(34-$C$24)*(BP186-0.05)^0.62*(0.37*BP186*40+3.14)/100</f>
        <v>8.1617509046292155E-2</v>
      </c>
      <c r="BO188" s="177"/>
      <c r="BR188" s="12"/>
      <c r="BS188" s="12"/>
      <c r="BT188" s="1" t="s">
        <v>355</v>
      </c>
      <c r="BU188" s="151">
        <f>(34-$C$24)*(BW186-0.05)^0.62*(0.37*BW186*40+3.14)/100</f>
        <v>8.634514426373982E-2</v>
      </c>
      <c r="BV188" s="177"/>
      <c r="BY188" s="12"/>
      <c r="BZ188" s="12"/>
      <c r="CA188" s="1" t="s">
        <v>355</v>
      </c>
      <c r="CB188" s="151">
        <f>(34-$C$24)*(CD186-0.05)^0.62*(0.37*CD186*40+3.14)/100</f>
        <v>9.3419815262249059E-2</v>
      </c>
      <c r="CC188" s="177"/>
      <c r="CF188" s="12"/>
      <c r="CG188" s="12"/>
      <c r="CH188" s="1" t="s">
        <v>355</v>
      </c>
      <c r="CI188" s="151">
        <f>(34-$C$24)*(CK186-0.05)^0.62*(0.37*CK186*40+3.14)/100</f>
        <v>0.10438616080844153</v>
      </c>
      <c r="CJ188" s="177"/>
      <c r="CM188" s="12"/>
      <c r="CN188" s="12"/>
      <c r="CO188" s="1" t="s">
        <v>355</v>
      </c>
      <c r="CP188" s="151">
        <f>(34-$C$24)*(CR186-0.05)^0.62*(0.37*CR186*40+3.14)/100</f>
        <v>0.11798553320610862</v>
      </c>
      <c r="CQ188" s="177"/>
      <c r="CT188" s="12"/>
      <c r="CU188" s="12"/>
      <c r="CV188" s="348" t="s">
        <v>355</v>
      </c>
      <c r="CW188" s="151">
        <f>(34-$C$24)*(CY186-0.05)^0.62*(0.37*CY186*40+3.14)/100</f>
        <v>7.0301441240887413E-2</v>
      </c>
      <c r="CX188" s="177"/>
      <c r="DA188" s="12"/>
      <c r="DB188" s="12"/>
      <c r="DC188" s="1" t="s">
        <v>355</v>
      </c>
      <c r="DD188" s="151">
        <f>(34-$C$24)*(DF186-0.05)^0.62*(0.37*DF186*40+3.14)/100</f>
        <v>7.1011645310910365E-2</v>
      </c>
      <c r="DE188" s="177"/>
      <c r="DH188" s="12"/>
      <c r="DI188" s="12"/>
      <c r="DJ188" s="1" t="s">
        <v>355</v>
      </c>
      <c r="DK188" s="151">
        <f>(34-$C$24)*(DM186-0.05)^0.62*(0.37*DM186*40+3.14)/100</f>
        <v>7.1835194233595245E-2</v>
      </c>
      <c r="DL188" s="177"/>
      <c r="DO188" s="12"/>
      <c r="DP188" s="12"/>
      <c r="DQ188" s="1" t="s">
        <v>355</v>
      </c>
      <c r="DR188" s="151">
        <f>(34-$C$24)*(DT186-0.05)^0.62*(0.37*DT186*40+3.14)/100</f>
        <v>7.3558503840704947E-2</v>
      </c>
      <c r="DS188" s="177"/>
      <c r="DV188" s="12"/>
      <c r="DW188" s="12"/>
      <c r="DX188" s="1" t="s">
        <v>355</v>
      </c>
      <c r="DY188" s="151">
        <f>(34-$C$24)*(EA186-0.05)^0.62*(0.37*EA186*40+3.14)/100</f>
        <v>7.6801006076159598E-2</v>
      </c>
      <c r="DZ188" s="177"/>
      <c r="EC188" s="12"/>
      <c r="ED188" s="12"/>
      <c r="EE188" s="1" t="s">
        <v>355</v>
      </c>
      <c r="EF188" s="151">
        <f>(34-$C$24)*(EH186-0.05)^0.62*(0.37*EH186*40+3.14)/100</f>
        <v>8.2348805592252272E-2</v>
      </c>
      <c r="EG188" s="177"/>
      <c r="EJ188" s="12"/>
      <c r="EK188" s="12"/>
    </row>
    <row r="189" spans="2:149">
      <c r="B189" s="1" t="s">
        <v>356</v>
      </c>
      <c r="C189" s="151">
        <f>0.5*C188^2+0.25*C188+0.03</f>
        <v>5.6057432511957869E-2</v>
      </c>
      <c r="G189" s="12"/>
      <c r="H189" s="12"/>
      <c r="I189" s="1" t="s">
        <v>356</v>
      </c>
      <c r="J189" s="151">
        <f>0.5*J188^2+0.25*J188+0.03</f>
        <v>5.725847808043473E-2</v>
      </c>
      <c r="N189" s="12"/>
      <c r="P189" s="1" t="s">
        <v>356</v>
      </c>
      <c r="Q189" s="151">
        <f>0.5*Q188^2+0.25*Q188+0.03</f>
        <v>5.9077272189718241E-2</v>
      </c>
      <c r="U189" s="12"/>
      <c r="W189" s="1" t="s">
        <v>356</v>
      </c>
      <c r="X189" s="151">
        <f>0.5*X188^2+0.25*X188+0.03</f>
        <v>6.1925528330162162E-2</v>
      </c>
      <c r="AB189" s="12"/>
      <c r="AD189" s="1" t="s">
        <v>356</v>
      </c>
      <c r="AE189" s="151">
        <f>0.5*AE188^2+0.25*AE188+0.03</f>
        <v>6.6219920376739405E-2</v>
      </c>
      <c r="AI189" s="12"/>
      <c r="AK189" s="1" t="s">
        <v>356</v>
      </c>
      <c r="AL189" s="151">
        <f>0.5*AL188^2+0.25*AL188+0.03</f>
        <v>7.2999044882079117E-2</v>
      </c>
      <c r="AP189" s="12"/>
      <c r="AR189" s="1" t="s">
        <v>356</v>
      </c>
      <c r="AS189" s="151">
        <f>0.5*AS188^2+0.25*AS188+0.03</f>
        <v>8.1680902635530947E-2</v>
      </c>
      <c r="AW189" s="12"/>
      <c r="AY189" s="348" t="s">
        <v>356</v>
      </c>
      <c r="AZ189" s="151">
        <f>0.5*AZ188^2+0.25*AZ188+0.03</f>
        <v>5.2130931087385979E-2</v>
      </c>
      <c r="BD189" s="12"/>
      <c r="BE189" s="12"/>
      <c r="BF189" s="1" t="s">
        <v>356</v>
      </c>
      <c r="BG189" s="151">
        <f>0.5*BG188^2+0.25*BG188+0.03</f>
        <v>5.2736443126577708E-2</v>
      </c>
      <c r="BK189" s="12"/>
      <c r="BL189" s="12"/>
      <c r="BM189" s="1" t="s">
        <v>356</v>
      </c>
      <c r="BN189" s="151">
        <f>0.5*BN188^2+0.25*BN188+0.03</f>
        <v>5.373508615303383E-2</v>
      </c>
      <c r="BR189" s="12"/>
      <c r="BS189" s="12"/>
      <c r="BT189" s="1" t="s">
        <v>356</v>
      </c>
      <c r="BU189" s="151">
        <f>0.5*BU188^2+0.25*BU188+0.03</f>
        <v>5.5314028034897975E-2</v>
      </c>
      <c r="BY189" s="12"/>
      <c r="BZ189" s="12"/>
      <c r="CA189" s="1" t="s">
        <v>356</v>
      </c>
      <c r="CB189" s="151">
        <f>0.5*CB188^2+0.25*CB188+0.03</f>
        <v>5.7718584757378635E-2</v>
      </c>
      <c r="CF189" s="12"/>
      <c r="CG189" s="12"/>
      <c r="CH189" s="1" t="s">
        <v>356</v>
      </c>
      <c r="CI189" s="151">
        <f>0.5*CI188^2+0.25*CI188+0.03</f>
        <v>6.1544775486273288E-2</v>
      </c>
      <c r="CM189" s="12"/>
      <c r="CN189" s="12"/>
      <c r="CO189" s="1" t="s">
        <v>356</v>
      </c>
      <c r="CP189" s="151">
        <f>0.5*CP188^2+0.25*CP188+0.03</f>
        <v>6.6456676324492037E-2</v>
      </c>
      <c r="CT189" s="12"/>
      <c r="CU189" s="12"/>
      <c r="CV189" s="348" t="s">
        <v>356</v>
      </c>
      <c r="CW189" s="151">
        <f>0.5*CW188^2+0.25*CW188+0.03</f>
        <v>5.0046506630494828E-2</v>
      </c>
      <c r="DA189" s="12"/>
      <c r="DB189" s="12"/>
      <c r="DC189" s="1" t="s">
        <v>356</v>
      </c>
      <c r="DD189" s="151">
        <f>0.5*DD188^2+0.25*DD188+0.03</f>
        <v>5.027423821260886E-2</v>
      </c>
      <c r="DH189" s="12"/>
      <c r="DI189" s="12"/>
      <c r="DJ189" s="1" t="s">
        <v>356</v>
      </c>
      <c r="DK189" s="151">
        <f>0.5*DK188^2+0.25*DK188+0.03</f>
        <v>5.0538946123687992E-2</v>
      </c>
      <c r="DO189" s="12"/>
      <c r="DP189" s="12"/>
      <c r="DQ189" s="1" t="s">
        <v>356</v>
      </c>
      <c r="DR189" s="151">
        <f>0.5*DR188^2+0.25*DR188+0.03</f>
        <v>5.1095052703817742E-2</v>
      </c>
      <c r="DV189" s="12"/>
      <c r="DW189" s="12"/>
      <c r="DX189" s="1" t="s">
        <v>356</v>
      </c>
      <c r="DY189" s="151">
        <f>0.5*DY188^2+0.25*DY188+0.03</f>
        <v>5.2149448786195055E-2</v>
      </c>
      <c r="EC189" s="12"/>
      <c r="ED189" s="12"/>
      <c r="EE189" s="1" t="s">
        <v>356</v>
      </c>
      <c r="EF189" s="151">
        <f>0.5*EF188^2+0.25*EF188+0.03</f>
        <v>5.397786428929835E-2</v>
      </c>
      <c r="EJ189" s="12"/>
      <c r="EK189" s="12"/>
    </row>
    <row r="190" spans="2:149">
      <c r="B190" s="1" t="s">
        <v>357</v>
      </c>
      <c r="C190" t="str">
        <f>IF(C188&lt;10%,"A",IF(C188&lt;20%,"B",IF(C188&lt;30%,"C"," -")))</f>
        <v>A</v>
      </c>
      <c r="I190" s="1" t="s">
        <v>357</v>
      </c>
      <c r="J190" t="str">
        <f>IF(J188&lt;10%,"A",IF(J188&lt;20%,"B",IF(J188&lt;30%,"C"," -")))</f>
        <v>A</v>
      </c>
      <c r="P190" s="1" t="s">
        <v>357</v>
      </c>
      <c r="Q190" t="str">
        <f>IF(Q188&lt;10%,"A",IF(Q188&lt;20%,"B",IF(Q188&lt;30%,"C"," -")))</f>
        <v>A</v>
      </c>
      <c r="W190" s="1" t="s">
        <v>357</v>
      </c>
      <c r="X190" t="str">
        <f>IF(X188&lt;10%,"A",IF(X188&lt;20%,"B",IF(X188&lt;30%,"C"," -")))</f>
        <v>B</v>
      </c>
      <c r="AD190" s="1" t="s">
        <v>357</v>
      </c>
      <c r="AE190" t="str">
        <f>IF(AE188&lt;10%,"A",IF(AE188&lt;20%,"B",IF(AE188&lt;30%,"C"," -")))</f>
        <v>B</v>
      </c>
      <c r="AK190" s="1" t="s">
        <v>357</v>
      </c>
      <c r="AL190" t="str">
        <f>IF(AL188&lt;10%,"A",IF(AL188&lt;20%,"B",IF(AL188&lt;30%,"C"," -")))</f>
        <v>B</v>
      </c>
      <c r="AR190" s="1" t="s">
        <v>357</v>
      </c>
      <c r="AS190" t="str">
        <f>IF(AS188&lt;10%,"A",IF(AS188&lt;20%,"B",IF(AS188&lt;30%,"C"," -")))</f>
        <v>B</v>
      </c>
      <c r="AY190" s="348" t="s">
        <v>357</v>
      </c>
      <c r="AZ190" t="str">
        <f>IF(AZ188&lt;10%,"A",IF(AZ188&lt;20%,"B",IF(AZ188&lt;30%,"C"," -")))</f>
        <v>A</v>
      </c>
      <c r="BF190" s="1" t="s">
        <v>357</v>
      </c>
      <c r="BG190" t="str">
        <f>IF(BG188&lt;10%,"A",IF(BG188&lt;20%,"B",IF(BG188&lt;30%,"C"," -")))</f>
        <v>A</v>
      </c>
      <c r="BM190" s="1" t="s">
        <v>357</v>
      </c>
      <c r="BN190" t="str">
        <f>IF(BN188&lt;10%,"A",IF(BN188&lt;20%,"B",IF(BN188&lt;30%,"C"," -")))</f>
        <v>A</v>
      </c>
      <c r="BT190" s="1" t="s">
        <v>357</v>
      </c>
      <c r="BU190" t="str">
        <f>IF(BU188&lt;10%,"A",IF(BU188&lt;20%,"B",IF(BU188&lt;30%,"C"," -")))</f>
        <v>A</v>
      </c>
      <c r="CA190" s="1" t="s">
        <v>357</v>
      </c>
      <c r="CB190" t="str">
        <f>IF(CB188&lt;10%,"A",IF(CB188&lt;20%,"B",IF(CB188&lt;30%,"C"," -")))</f>
        <v>A</v>
      </c>
      <c r="CH190" s="1" t="s">
        <v>357</v>
      </c>
      <c r="CI190" t="str">
        <f>IF(CI188&lt;10%,"A",IF(CI188&lt;20%,"B",IF(CI188&lt;30%,"C"," -")))</f>
        <v>B</v>
      </c>
      <c r="CO190" s="1" t="s">
        <v>357</v>
      </c>
      <c r="CP190" t="str">
        <f>IF(CP188&lt;10%,"A",IF(CP188&lt;20%,"B",IF(CP188&lt;30%,"C"," -")))</f>
        <v>B</v>
      </c>
      <c r="CV190" s="348" t="s">
        <v>357</v>
      </c>
      <c r="CW190" t="str">
        <f>IF(CW188&lt;10%,"A",IF(CW188&lt;20%,"B",IF(CW188&lt;30%,"C"," -")))</f>
        <v>A</v>
      </c>
      <c r="DC190" s="1" t="s">
        <v>357</v>
      </c>
      <c r="DD190" t="str">
        <f>IF(DD188&lt;10%,"A",IF(DD188&lt;20%,"B",IF(DD188&lt;30%,"C"," -")))</f>
        <v>A</v>
      </c>
      <c r="DJ190" s="1" t="s">
        <v>357</v>
      </c>
      <c r="DK190" t="str">
        <f>IF(DK188&lt;10%,"A",IF(DK188&lt;20%,"B",IF(DK188&lt;30%,"C"," -")))</f>
        <v>A</v>
      </c>
      <c r="DQ190" s="1" t="s">
        <v>357</v>
      </c>
      <c r="DR190" t="str">
        <f>IF(DR188&lt;10%,"A",IF(DR188&lt;20%,"B",IF(DR188&lt;30%,"C"," -")))</f>
        <v>A</v>
      </c>
      <c r="DX190" s="1" t="s">
        <v>357</v>
      </c>
      <c r="DY190" t="str">
        <f>IF(DY188&lt;10%,"A",IF(DY188&lt;20%,"B",IF(DY188&lt;30%,"C"," -")))</f>
        <v>A</v>
      </c>
      <c r="EE190" s="1" t="s">
        <v>357</v>
      </c>
      <c r="EF190" t="str">
        <f>IF(EF188&lt;10%,"A",IF(EF188&lt;20%,"B",IF(EF188&lt;30%,"C"," -")))</f>
        <v>A</v>
      </c>
    </row>
    <row r="191" spans="2:149">
      <c r="B191" s="1" t="s">
        <v>358</v>
      </c>
      <c r="C191" s="10">
        <f>ABS(0.4527*LN(C188)+1.2387)</f>
        <v>0.14126078744829007</v>
      </c>
      <c r="G191" s="12"/>
      <c r="H191" s="12"/>
      <c r="I191" s="1" t="s">
        <v>358</v>
      </c>
      <c r="J191" s="10">
        <f>ABS(0.4527*LN(J188)+1.2387)</f>
        <v>0.15895363398105045</v>
      </c>
      <c r="N191" s="12"/>
      <c r="P191" s="1" t="s">
        <v>358</v>
      </c>
      <c r="Q191" s="10">
        <f>ABS(0.4527*LN(Q188)+1.2387)</f>
        <v>0.18417823962772251</v>
      </c>
      <c r="U191" s="12"/>
      <c r="W191" s="1" t="s">
        <v>358</v>
      </c>
      <c r="X191" s="10">
        <f>ABS(0.4527*LN(X188)+1.2387)</f>
        <v>0.22038140278411289</v>
      </c>
      <c r="AB191" s="12"/>
      <c r="AD191" s="1" t="s">
        <v>358</v>
      </c>
      <c r="AE191" s="10">
        <f>ABS(0.4527*LN(AE188)+1.2387)</f>
        <v>0.26871507468514333</v>
      </c>
      <c r="AI191" s="12"/>
      <c r="AK191" s="1" t="s">
        <v>358</v>
      </c>
      <c r="AL191" s="10">
        <f>ABS(0.4527*LN(AL188)+1.2387)</f>
        <v>0.33336427207198227</v>
      </c>
      <c r="AP191" s="12"/>
      <c r="AR191" s="1" t="s">
        <v>358</v>
      </c>
      <c r="AS191" s="10">
        <f>ABS(0.4527*LN(AS188)+1.2387)</f>
        <v>0.40127461483222682</v>
      </c>
      <c r="AW191" s="12"/>
      <c r="AY191" s="348" t="s">
        <v>358</v>
      </c>
      <c r="AZ191" s="10">
        <f>ABS(0.4527*LN(AZ188)+1.2387)</f>
        <v>7.6494303279130316E-2</v>
      </c>
      <c r="BD191" s="12"/>
      <c r="BE191" s="12"/>
      <c r="BF191" s="1" t="s">
        <v>358</v>
      </c>
      <c r="BG191" s="10">
        <f>ABS(0.4527*LN(BG188)+1.2387)</f>
        <v>8.7265785741560187E-2</v>
      </c>
      <c r="BK191" s="12"/>
      <c r="BL191" s="12"/>
      <c r="BM191" s="1" t="s">
        <v>358</v>
      </c>
      <c r="BN191" s="10">
        <f>ABS(0.4527*LN(BN188)+1.2387)</f>
        <v>0.10436441826277076</v>
      </c>
      <c r="BR191" s="12"/>
      <c r="BS191" s="12"/>
      <c r="BT191" s="1" t="s">
        <v>358</v>
      </c>
      <c r="BU191" s="10">
        <f>ABS(0.4527*LN(BU188)+1.2387)</f>
        <v>0.12985539356140663</v>
      </c>
      <c r="BY191" s="12"/>
      <c r="BZ191" s="12"/>
      <c r="CA191" s="1" t="s">
        <v>358</v>
      </c>
      <c r="CB191" s="10">
        <f>ABS(0.4527*LN(CB188)+1.2387)</f>
        <v>0.16550592950308296</v>
      </c>
      <c r="CF191" s="12"/>
      <c r="CG191" s="12"/>
      <c r="CH191" s="1" t="s">
        <v>358</v>
      </c>
      <c r="CI191" s="10">
        <f>ABS(0.4527*LN(CI188)+1.2387)</f>
        <v>0.21575274570469438</v>
      </c>
      <c r="CM191" s="12"/>
      <c r="CN191" s="12"/>
      <c r="CO191" s="1" t="s">
        <v>358</v>
      </c>
      <c r="CP191" s="10">
        <f>ABS(0.4527*LN(CP188)+1.2387)</f>
        <v>0.27119261030134056</v>
      </c>
      <c r="CT191" s="12"/>
      <c r="CU191" s="12"/>
      <c r="CV191" s="348" t="s">
        <v>358</v>
      </c>
      <c r="CW191" s="10">
        <f>ABS(0.4527*LN(CW188)+1.2387)</f>
        <v>3.679825936920933E-2</v>
      </c>
      <c r="DA191" s="12"/>
      <c r="DB191" s="12"/>
      <c r="DC191" s="1" t="s">
        <v>358</v>
      </c>
      <c r="DD191" s="10">
        <f>ABS(0.4527*LN(DD188)+1.2387)</f>
        <v>4.1348610611213754E-2</v>
      </c>
      <c r="DH191" s="12"/>
      <c r="DI191" s="12"/>
      <c r="DJ191" s="1" t="s">
        <v>358</v>
      </c>
      <c r="DK191" s="10">
        <f>ABS(0.4527*LN(DK188)+1.2387)</f>
        <v>4.6568533280829882E-2</v>
      </c>
      <c r="DO191" s="12"/>
      <c r="DP191" s="12"/>
      <c r="DQ191" s="1" t="s">
        <v>358</v>
      </c>
      <c r="DR191" s="10">
        <f>ABS(0.4527*LN(DR188)+1.2387)</f>
        <v>5.7300481168196749E-2</v>
      </c>
      <c r="DV191" s="12"/>
      <c r="DW191" s="12"/>
      <c r="DX191" s="1" t="s">
        <v>358</v>
      </c>
      <c r="DY191" s="10">
        <f>ABS(0.4527*LN(DY188)+1.2387)</f>
        <v>7.6828456110852539E-2</v>
      </c>
      <c r="EC191" s="12"/>
      <c r="ED191" s="12"/>
      <c r="EE191" s="1" t="s">
        <v>358</v>
      </c>
      <c r="EF191" s="10">
        <f>ABS(0.4527*LN(EF188)+1.2387)</f>
        <v>0.10840256649149205</v>
      </c>
      <c r="EJ191" s="12"/>
      <c r="EK191" s="12"/>
    </row>
    <row r="192" spans="2:149">
      <c r="B192" s="1" t="s">
        <v>359</v>
      </c>
      <c r="C192" s="10">
        <f>IFERROR(MAX(ROUND(C191,1),0.2),0.2)</f>
        <v>0.2</v>
      </c>
      <c r="G192" s="12"/>
      <c r="H192" s="12"/>
      <c r="I192" s="1" t="s">
        <v>359</v>
      </c>
      <c r="J192" s="10">
        <f>IFERROR(MAX(ROUND(J191,1),0.2),0.2)</f>
        <v>0.2</v>
      </c>
      <c r="N192" s="12"/>
      <c r="P192" s="1" t="s">
        <v>359</v>
      </c>
      <c r="Q192" s="10">
        <f>IFERROR(MAX(ROUND(Q191,1),0.2),0.2)</f>
        <v>0.2</v>
      </c>
      <c r="U192" s="12"/>
      <c r="W192" s="1" t="s">
        <v>359</v>
      </c>
      <c r="X192" s="10">
        <f>IFERROR(MAX(ROUND(X191,1),0.2),0.2)</f>
        <v>0.2</v>
      </c>
      <c r="AB192" s="12"/>
      <c r="AD192" s="1" t="s">
        <v>359</v>
      </c>
      <c r="AE192" s="10">
        <f>IFERROR(MAX(ROUND(AE191,1),0.2),0.2)</f>
        <v>0.3</v>
      </c>
      <c r="AI192" s="12"/>
      <c r="AK192" s="1" t="s">
        <v>359</v>
      </c>
      <c r="AL192" s="10">
        <f>IFERROR(MAX(ROUND(AL191,1),0.2),0.2)</f>
        <v>0.3</v>
      </c>
      <c r="AP192" s="12"/>
      <c r="AR192" s="1" t="s">
        <v>359</v>
      </c>
      <c r="AS192" s="10">
        <f>IFERROR(MAX(ROUND(AS191,1),0.2),0.2)</f>
        <v>0.4</v>
      </c>
      <c r="AW192" s="12"/>
      <c r="AY192" s="348"/>
      <c r="AZ192" s="10">
        <f>IFERROR(MAX(ROUND(AZ191,1),0.2),0.2)</f>
        <v>0.2</v>
      </c>
      <c r="BD192" s="12"/>
      <c r="BE192" s="12"/>
      <c r="BF192" s="1"/>
      <c r="BG192" s="10">
        <f>IFERROR(MAX(ROUND(BG191,1),0.2),0.2)</f>
        <v>0.2</v>
      </c>
      <c r="BK192" s="12"/>
      <c r="BL192" s="12"/>
      <c r="BM192" s="1"/>
      <c r="BN192" s="10">
        <f>IFERROR(MAX(ROUND(BN191,1),0.2),0.2)</f>
        <v>0.2</v>
      </c>
      <c r="BR192" s="12"/>
      <c r="BS192" s="12"/>
      <c r="BT192" s="1"/>
      <c r="BU192" s="10">
        <f>IFERROR(MAX(ROUND(BU191,1),0.2),0.2)</f>
        <v>0.2</v>
      </c>
      <c r="BY192" s="12"/>
      <c r="BZ192" s="12"/>
      <c r="CA192" s="1"/>
      <c r="CB192" s="10">
        <f>IFERROR(MAX(ROUND(CB191,1),0.2),0.2)</f>
        <v>0.2</v>
      </c>
      <c r="CF192" s="12"/>
      <c r="CG192" s="12"/>
      <c r="CH192" s="1"/>
      <c r="CI192" s="10">
        <f>IFERROR(MAX(ROUND(CI191,1),0.2),0.2)</f>
        <v>0.2</v>
      </c>
      <c r="CM192" s="12"/>
      <c r="CN192" s="12"/>
      <c r="CO192" s="1"/>
      <c r="CP192" s="10">
        <f>IFERROR(MAX(ROUND(CP191,1),0.2),0.2)</f>
        <v>0.3</v>
      </c>
      <c r="CT192" s="12"/>
      <c r="CU192" s="12"/>
      <c r="CV192" s="348"/>
      <c r="CW192" s="10">
        <f>IFERROR(MAX(ROUND(CW191,1),0.2),0.2)</f>
        <v>0.2</v>
      </c>
      <c r="DA192" s="12"/>
      <c r="DB192" s="12"/>
      <c r="DC192" s="1"/>
      <c r="DD192" s="10">
        <f>IFERROR(MAX(ROUND(DD191,1),0.2),0.2)</f>
        <v>0.2</v>
      </c>
      <c r="DH192" s="12"/>
      <c r="DI192" s="12"/>
      <c r="DJ192" s="1"/>
      <c r="DK192" s="10">
        <f>IFERROR(MAX(ROUND(DK191,1),0.2),0.2)</f>
        <v>0.2</v>
      </c>
      <c r="DO192" s="12"/>
      <c r="DP192" s="12"/>
      <c r="DQ192" s="1"/>
      <c r="DR192" s="10">
        <f>IFERROR(MAX(ROUND(DR191,1),0.2),0.2)</f>
        <v>0.2</v>
      </c>
      <c r="DV192" s="12"/>
      <c r="DW192" s="12"/>
      <c r="DX192" s="1"/>
      <c r="DY192" s="10">
        <f>IFERROR(MAX(ROUND(DY191,1),0.2),0.2)</f>
        <v>0.2</v>
      </c>
      <c r="EC192" s="12"/>
      <c r="ED192" s="12"/>
      <c r="EE192" s="1"/>
      <c r="EF192" s="10">
        <f>IFERROR(MAX(ROUND(EF191,1),0.2),0.2)</f>
        <v>0.2</v>
      </c>
      <c r="EJ192" s="12"/>
      <c r="EK192" s="12"/>
    </row>
    <row r="193" spans="2:100">
      <c r="AY193" s="338"/>
      <c r="CV193" s="338"/>
    </row>
    <row r="195" spans="2:100">
      <c r="B195" s="1" t="s">
        <v>360</v>
      </c>
      <c r="C195" s="5">
        <v>0</v>
      </c>
      <c r="D195" s="5">
        <v>1</v>
      </c>
      <c r="E195" s="5">
        <v>2</v>
      </c>
      <c r="F195" s="5">
        <v>3</v>
      </c>
      <c r="G195" s="5">
        <v>4</v>
      </c>
      <c r="H195" s="5">
        <v>5</v>
      </c>
      <c r="I195" s="5">
        <v>6</v>
      </c>
    </row>
    <row r="196" spans="2:100">
      <c r="B196" s="1" t="s">
        <v>251</v>
      </c>
      <c r="C196">
        <f>IFERROR(C285,"")</f>
        <v>11.5</v>
      </c>
      <c r="D196">
        <f t="shared" ref="D196:I197" si="0">IFERROR(D285,"")</f>
        <v>11.6</v>
      </c>
      <c r="E196">
        <f t="shared" si="0"/>
        <v>12</v>
      </c>
      <c r="F196">
        <f t="shared" si="0"/>
        <v>12.6</v>
      </c>
      <c r="G196">
        <f t="shared" si="0"/>
        <v>13.8</v>
      </c>
      <c r="H196">
        <f t="shared" si="0"/>
        <v>17</v>
      </c>
      <c r="I196">
        <f t="shared" si="0"/>
        <v>22.9</v>
      </c>
    </row>
    <row r="197" spans="2:100">
      <c r="B197" s="1" t="s">
        <v>244</v>
      </c>
      <c r="C197">
        <f>IFERROR(C286,"")</f>
        <v>2.5</v>
      </c>
      <c r="D197">
        <f t="shared" si="0"/>
        <v>2.6</v>
      </c>
      <c r="E197">
        <f t="shared" si="0"/>
        <v>2.6</v>
      </c>
      <c r="F197">
        <f t="shared" si="0"/>
        <v>2.7</v>
      </c>
      <c r="G197">
        <f t="shared" si="0"/>
        <v>2.9</v>
      </c>
      <c r="H197">
        <f t="shared" si="0"/>
        <v>3.4</v>
      </c>
      <c r="I197">
        <f t="shared" si="0"/>
        <v>4.5</v>
      </c>
    </row>
    <row r="198" spans="2:100">
      <c r="B198" s="1" t="s">
        <v>361</v>
      </c>
      <c r="C198" t="b">
        <f>C299</f>
        <v>0</v>
      </c>
      <c r="D198" t="b">
        <f t="shared" ref="D198:I198" si="1">D299</f>
        <v>0</v>
      </c>
      <c r="E198" t="b">
        <f t="shared" si="1"/>
        <v>0</v>
      </c>
      <c r="F198" t="b">
        <f t="shared" si="1"/>
        <v>0</v>
      </c>
      <c r="G198" t="b">
        <f t="shared" si="1"/>
        <v>1</v>
      </c>
      <c r="H198" t="b">
        <f t="shared" si="1"/>
        <v>1</v>
      </c>
      <c r="I198" t="b">
        <f t="shared" si="1"/>
        <v>1</v>
      </c>
    </row>
    <row r="199" spans="2:100">
      <c r="B199" s="1" t="s">
        <v>251</v>
      </c>
      <c r="C199">
        <f t="shared" ref="C199:I199" si="2">IF(NOT(C$198),C196,"")</f>
        <v>11.5</v>
      </c>
      <c r="D199">
        <f t="shared" si="2"/>
        <v>11.6</v>
      </c>
      <c r="E199">
        <f t="shared" si="2"/>
        <v>12</v>
      </c>
      <c r="F199">
        <f t="shared" si="2"/>
        <v>12.6</v>
      </c>
      <c r="G199" t="str">
        <f t="shared" si="2"/>
        <v/>
      </c>
      <c r="H199" t="str">
        <f t="shared" si="2"/>
        <v/>
      </c>
      <c r="I199" t="str">
        <f t="shared" si="2"/>
        <v/>
      </c>
    </row>
    <row r="200" spans="2:100">
      <c r="B200" s="1" t="s">
        <v>244</v>
      </c>
      <c r="C200">
        <f>IF(NOT(C$198),C197,"")</f>
        <v>2.5</v>
      </c>
      <c r="D200">
        <f t="shared" ref="D200:I200" si="3">IF(NOT(D$198),D197,"")</f>
        <v>2.6</v>
      </c>
      <c r="E200">
        <f t="shared" si="3"/>
        <v>2.6</v>
      </c>
      <c r="F200">
        <f t="shared" si="3"/>
        <v>2.7</v>
      </c>
      <c r="G200" t="str">
        <f t="shared" si="3"/>
        <v/>
      </c>
      <c r="H200" t="str">
        <f t="shared" si="3"/>
        <v/>
      </c>
      <c r="I200" t="str">
        <f t="shared" si="3"/>
        <v/>
      </c>
    </row>
    <row r="201" spans="2:100">
      <c r="B201" s="1" t="s">
        <v>362</v>
      </c>
      <c r="C201">
        <f>IFERROR(AVERAGE(AVERAGE(C199:I199),AVERAGE(C200:I200)),AVERAGE(C196:I197))</f>
        <v>7.2625000000000002</v>
      </c>
    </row>
    <row r="202" spans="2:100">
      <c r="B202" t="s">
        <v>363</v>
      </c>
      <c r="C202">
        <f>$C$13/(C201^2*$C$91)</f>
        <v>2.275144344281478</v>
      </c>
    </row>
    <row r="203" spans="2:100">
      <c r="B203" t="s">
        <v>364</v>
      </c>
      <c r="C203">
        <f>$C$13/($C$26^2*$C$91)</f>
        <v>1.875</v>
      </c>
    </row>
    <row r="204" spans="2:100">
      <c r="B204" t="s">
        <v>365</v>
      </c>
      <c r="C204">
        <f>$C$19</f>
        <v>15</v>
      </c>
    </row>
    <row r="205" spans="2:100">
      <c r="B205" s="1" t="s">
        <v>366</v>
      </c>
      <c r="C205" s="1">
        <f>ROUND(IF($C$25=1,C202,IF($C$25=2,C203,C204)),1)</f>
        <v>2.2999999999999998</v>
      </c>
    </row>
    <row r="206" spans="2:100">
      <c r="B206" t="s">
        <v>367</v>
      </c>
      <c r="C206">
        <f>ROUND(C205*C4,1)</f>
        <v>2.2999999999999998</v>
      </c>
    </row>
    <row r="207" spans="2:100">
      <c r="B207" t="s">
        <v>368</v>
      </c>
      <c r="C207">
        <f>IF(C205&gt;10,10,IF(C205&lt;2,2,C205))</f>
        <v>2.2999999999999998</v>
      </c>
    </row>
    <row r="208" spans="2:100">
      <c r="B208" s="1" t="s">
        <v>369</v>
      </c>
      <c r="C208" s="1">
        <f>ROUND(IF(C25=1,C201,IF(C25=2,C26,IF(C25=3,SQRT($C$13/C204/$C$91)))),1)</f>
        <v>7.3</v>
      </c>
    </row>
    <row r="209" spans="2:31">
      <c r="B209" t="s">
        <v>370</v>
      </c>
      <c r="C209">
        <f>IF($C$3=1,30,108)</f>
        <v>30</v>
      </c>
    </row>
    <row r="211" spans="2:31" ht="20.25" thickBot="1">
      <c r="B211" s="2" t="s">
        <v>371</v>
      </c>
    </row>
    <row r="212" spans="2:31" ht="15.75" thickTop="1">
      <c r="C212" s="506" t="s">
        <v>31</v>
      </c>
      <c r="D212" s="506"/>
      <c r="E212" s="506"/>
      <c r="F212" s="506"/>
      <c r="G212" s="506"/>
      <c r="H212" s="506"/>
      <c r="I212" s="509"/>
      <c r="J212" s="505" t="s">
        <v>30</v>
      </c>
      <c r="K212" s="506"/>
      <c r="L212" s="506"/>
      <c r="M212" s="506"/>
      <c r="N212" s="506"/>
      <c r="O212" s="506"/>
      <c r="P212" s="509"/>
      <c r="Q212" s="505" t="s">
        <v>35</v>
      </c>
      <c r="R212" s="506"/>
      <c r="S212" s="506"/>
      <c r="T212" s="506"/>
      <c r="U212" s="506"/>
      <c r="V212" s="506"/>
      <c r="W212" s="353" t="s">
        <v>372</v>
      </c>
    </row>
    <row r="213" spans="2:31">
      <c r="C213" s="286">
        <v>0</v>
      </c>
      <c r="D213" s="5">
        <v>1</v>
      </c>
      <c r="E213" s="286">
        <v>2</v>
      </c>
      <c r="F213" s="5">
        <v>3</v>
      </c>
      <c r="G213" s="286">
        <v>4</v>
      </c>
      <c r="H213" s="5">
        <v>5</v>
      </c>
      <c r="I213" s="286">
        <v>6</v>
      </c>
      <c r="J213" s="287">
        <v>0</v>
      </c>
      <c r="K213" s="286">
        <v>1</v>
      </c>
      <c r="L213" s="286">
        <v>2</v>
      </c>
      <c r="M213" s="286">
        <v>3</v>
      </c>
      <c r="N213" s="286">
        <v>4</v>
      </c>
      <c r="O213" s="286">
        <v>5</v>
      </c>
      <c r="P213" s="286">
        <v>6</v>
      </c>
      <c r="Q213" s="287">
        <v>0</v>
      </c>
      <c r="R213" s="286">
        <v>1</v>
      </c>
      <c r="S213" s="286">
        <v>2</v>
      </c>
      <c r="T213" s="286">
        <v>3</v>
      </c>
      <c r="U213" s="286">
        <v>4</v>
      </c>
      <c r="V213" s="286">
        <v>5</v>
      </c>
      <c r="W213" s="353" t="str">
        <f>""</f>
        <v/>
      </c>
    </row>
    <row r="214" spans="2:31">
      <c r="B214" t="s">
        <v>132</v>
      </c>
      <c r="C214" s="288">
        <f>$C$13</f>
        <v>120</v>
      </c>
      <c r="D214" s="288">
        <f t="shared" ref="D214:I214" si="4">$C$13</f>
        <v>120</v>
      </c>
      <c r="E214" s="288">
        <f t="shared" si="4"/>
        <v>120</v>
      </c>
      <c r="F214" s="288">
        <f t="shared" si="4"/>
        <v>120</v>
      </c>
      <c r="G214" s="288">
        <f t="shared" si="4"/>
        <v>120</v>
      </c>
      <c r="H214" s="288">
        <f t="shared" si="4"/>
        <v>120</v>
      </c>
      <c r="I214" s="288">
        <f t="shared" si="4"/>
        <v>120</v>
      </c>
      <c r="J214" s="287">
        <f t="shared" ref="J214:V214" si="5">$C$13</f>
        <v>120</v>
      </c>
      <c r="K214" s="286">
        <f t="shared" si="5"/>
        <v>120</v>
      </c>
      <c r="L214" s="286">
        <f t="shared" si="5"/>
        <v>120</v>
      </c>
      <c r="M214" s="286">
        <f t="shared" si="5"/>
        <v>120</v>
      </c>
      <c r="N214" s="286">
        <f t="shared" si="5"/>
        <v>120</v>
      </c>
      <c r="O214" s="286">
        <f t="shared" si="5"/>
        <v>120</v>
      </c>
      <c r="P214" s="286">
        <f t="shared" si="5"/>
        <v>120</v>
      </c>
      <c r="Q214" s="287">
        <f t="shared" si="5"/>
        <v>120</v>
      </c>
      <c r="R214" s="286">
        <f t="shared" si="5"/>
        <v>120</v>
      </c>
      <c r="S214" s="286">
        <f t="shared" si="5"/>
        <v>120</v>
      </c>
      <c r="T214" s="286">
        <f t="shared" si="5"/>
        <v>120</v>
      </c>
      <c r="U214" s="286">
        <f t="shared" si="5"/>
        <v>120</v>
      </c>
      <c r="V214" s="286">
        <f t="shared" si="5"/>
        <v>120</v>
      </c>
      <c r="W214" s="353" t="str">
        <f>""</f>
        <v/>
      </c>
    </row>
    <row r="215" spans="2:31">
      <c r="B215" t="s">
        <v>373</v>
      </c>
      <c r="C215" s="288">
        <f>C100</f>
        <v>115.14875625740297</v>
      </c>
      <c r="D215">
        <f>J100</f>
        <v>102.12257396336634</v>
      </c>
      <c r="E215">
        <f>Q100</f>
        <v>87.069736733712759</v>
      </c>
      <c r="F215">
        <f>X100</f>
        <v>64.613334853305517</v>
      </c>
      <c r="G215">
        <f>AE100</f>
        <v>48.486741658588144</v>
      </c>
      <c r="H215">
        <f>AL100</f>
        <v>32.203734112638955</v>
      </c>
      <c r="I215">
        <f>AS100</f>
        <v>22.836539216012699</v>
      </c>
      <c r="J215" s="287">
        <f>AZ100</f>
        <v>239.9098455810724</v>
      </c>
      <c r="K215" s="286">
        <f>BG100</f>
        <v>204.24514792673267</v>
      </c>
      <c r="L215" s="286">
        <f>BN100</f>
        <v>174.13947346742552</v>
      </c>
      <c r="M215" s="286">
        <f>BU100</f>
        <v>129.22666970661103</v>
      </c>
      <c r="N215" s="286">
        <f>CB100</f>
        <v>96.973483317176289</v>
      </c>
      <c r="O215" s="286">
        <f>CI100</f>
        <v>64.40746822527791</v>
      </c>
      <c r="P215" s="286">
        <f>CP100</f>
        <v>45.673078432025399</v>
      </c>
      <c r="Q215" s="287">
        <f>CW100</f>
        <v>506.62280511902219</v>
      </c>
      <c r="R215" s="286">
        <f>DD100</f>
        <v>444.97752752245816</v>
      </c>
      <c r="S215" s="286">
        <f>DK100</f>
        <v>391.27602575118891</v>
      </c>
      <c r="T215" s="286">
        <f>DR100</f>
        <v>325.20693198502261</v>
      </c>
      <c r="U215" s="286">
        <f>DY100</f>
        <v>238.82428066894087</v>
      </c>
      <c r="V215" s="286">
        <f>EF100</f>
        <v>165.31777204349405</v>
      </c>
      <c r="W215" s="353" t="str">
        <f>""</f>
        <v/>
      </c>
    </row>
    <row r="216" spans="2:31">
      <c r="B216" t="s">
        <v>374</v>
      </c>
      <c r="C216" s="286">
        <f>$C$44</f>
        <v>120</v>
      </c>
      <c r="D216" s="286">
        <f t="shared" ref="D216:I216" si="6">$C$44</f>
        <v>120</v>
      </c>
      <c r="E216" s="286">
        <f t="shared" si="6"/>
        <v>120</v>
      </c>
      <c r="F216" s="286">
        <f t="shared" si="6"/>
        <v>120</v>
      </c>
      <c r="G216" s="286">
        <f t="shared" si="6"/>
        <v>120</v>
      </c>
      <c r="H216" s="286">
        <f t="shared" si="6"/>
        <v>120</v>
      </c>
      <c r="I216" s="286">
        <f t="shared" si="6"/>
        <v>120</v>
      </c>
      <c r="J216" s="287">
        <f t="shared" ref="J216:V216" si="7">$C$44</f>
        <v>120</v>
      </c>
      <c r="K216" s="286">
        <f t="shared" si="7"/>
        <v>120</v>
      </c>
      <c r="L216" s="286">
        <f t="shared" si="7"/>
        <v>120</v>
      </c>
      <c r="M216" s="286">
        <f t="shared" si="7"/>
        <v>120</v>
      </c>
      <c r="N216" s="286">
        <f t="shared" si="7"/>
        <v>120</v>
      </c>
      <c r="O216" s="286">
        <f t="shared" si="7"/>
        <v>120</v>
      </c>
      <c r="P216" s="286">
        <f t="shared" si="7"/>
        <v>120</v>
      </c>
      <c r="Q216" s="287">
        <f t="shared" si="7"/>
        <v>120</v>
      </c>
      <c r="R216" s="286">
        <f t="shared" si="7"/>
        <v>120</v>
      </c>
      <c r="S216" s="286">
        <f t="shared" si="7"/>
        <v>120</v>
      </c>
      <c r="T216" s="286">
        <f t="shared" si="7"/>
        <v>120</v>
      </c>
      <c r="U216" s="286">
        <f t="shared" si="7"/>
        <v>120</v>
      </c>
      <c r="V216" s="286">
        <f t="shared" si="7"/>
        <v>120</v>
      </c>
      <c r="W216" s="353" t="str">
        <f>""</f>
        <v/>
      </c>
    </row>
    <row r="217" spans="2:31">
      <c r="B217" s="4" t="s">
        <v>64</v>
      </c>
      <c r="C217" s="286">
        <f>C101</f>
        <v>23.815698604072061</v>
      </c>
      <c r="D217">
        <f>J101</f>
        <v>20.808425389430599</v>
      </c>
      <c r="E217">
        <f>Q101</f>
        <v>17.070443240346016</v>
      </c>
      <c r="F217">
        <f>X101</f>
        <v>13.20796993946742</v>
      </c>
      <c r="G217">
        <f>AE101</f>
        <v>9.7189700939708619</v>
      </c>
      <c r="H217">
        <f>AL101</f>
        <v>6.7290173874050874</v>
      </c>
      <c r="I217">
        <f>AS101</f>
        <v>4.7349938951914181</v>
      </c>
      <c r="J217" s="287">
        <f>AZ101</f>
        <v>47.847903559090234</v>
      </c>
      <c r="K217" s="286">
        <f>BG101</f>
        <v>41.616850778861199</v>
      </c>
      <c r="L217" s="286">
        <f>BN101</f>
        <v>34.140886480692032</v>
      </c>
      <c r="M217" s="286">
        <f>BU101</f>
        <v>26.415939878934839</v>
      </c>
      <c r="N217" s="286">
        <f>CB101</f>
        <v>19.437940187941724</v>
      </c>
      <c r="O217" s="286">
        <f>CI101</f>
        <v>13.458034774810175</v>
      </c>
      <c r="P217" s="286">
        <f>CP101</f>
        <v>9.4699877903828362</v>
      </c>
      <c r="Q217" s="287">
        <f>CW101</f>
        <v>95.262794416288244</v>
      </c>
      <c r="R217" s="286">
        <f>DD101</f>
        <v>86.169527676551638</v>
      </c>
      <c r="S217" s="286">
        <f>DK101</f>
        <v>77.509273638707256</v>
      </c>
      <c r="T217" s="286">
        <f>DR101</f>
        <v>63.869373529102347</v>
      </c>
      <c r="U217" s="286">
        <f>DY101</f>
        <v>47.631397208144122</v>
      </c>
      <c r="V217" s="286">
        <f>EF101</f>
        <v>32.692458992862555</v>
      </c>
      <c r="W217" s="353" t="str">
        <f>""</f>
        <v/>
      </c>
    </row>
    <row r="218" spans="2:31">
      <c r="B218" t="s">
        <v>375</v>
      </c>
      <c r="C218" s="289">
        <f>$C$32</f>
        <v>1</v>
      </c>
      <c r="D218" s="289">
        <f t="shared" ref="D218:I218" si="8">$C$32</f>
        <v>1</v>
      </c>
      <c r="E218" s="289">
        <f t="shared" si="8"/>
        <v>1</v>
      </c>
      <c r="F218" s="289">
        <f t="shared" si="8"/>
        <v>1</v>
      </c>
      <c r="G218" s="289">
        <f t="shared" si="8"/>
        <v>1</v>
      </c>
      <c r="H218" s="289">
        <f t="shared" si="8"/>
        <v>1</v>
      </c>
      <c r="I218" s="289">
        <f t="shared" si="8"/>
        <v>1</v>
      </c>
      <c r="J218" s="287">
        <f t="shared" ref="J218:V218" si="9">$C$32</f>
        <v>1</v>
      </c>
      <c r="K218" s="286">
        <f t="shared" si="9"/>
        <v>1</v>
      </c>
      <c r="L218" s="286">
        <f t="shared" si="9"/>
        <v>1</v>
      </c>
      <c r="M218" s="286">
        <f t="shared" si="9"/>
        <v>1</v>
      </c>
      <c r="N218" s="286">
        <f t="shared" si="9"/>
        <v>1</v>
      </c>
      <c r="O218" s="286">
        <f t="shared" si="9"/>
        <v>1</v>
      </c>
      <c r="P218" s="286">
        <f t="shared" si="9"/>
        <v>1</v>
      </c>
      <c r="Q218" s="287">
        <f t="shared" si="9"/>
        <v>1</v>
      </c>
      <c r="R218" s="286">
        <f t="shared" si="9"/>
        <v>1</v>
      </c>
      <c r="S218" s="286">
        <f t="shared" si="9"/>
        <v>1</v>
      </c>
      <c r="T218" s="286">
        <f t="shared" si="9"/>
        <v>1</v>
      </c>
      <c r="U218" s="286">
        <f t="shared" si="9"/>
        <v>1</v>
      </c>
      <c r="V218" s="286">
        <f t="shared" si="9"/>
        <v>1</v>
      </c>
      <c r="W218" s="353" t="str">
        <f>""</f>
        <v/>
      </c>
      <c r="X218" s="208"/>
      <c r="Y218" s="208"/>
      <c r="Z218" s="208"/>
      <c r="AA218" s="208"/>
      <c r="AB218" s="208"/>
      <c r="AC218" s="208"/>
      <c r="AD218" s="208"/>
      <c r="AE218" s="208"/>
    </row>
    <row r="219" spans="2:31">
      <c r="B219" t="s">
        <v>66</v>
      </c>
      <c r="C219" s="290">
        <f>C102</f>
        <v>0.19846415503393383</v>
      </c>
      <c r="D219" s="351">
        <f>J102</f>
        <v>0.17340354491192167</v>
      </c>
      <c r="E219" s="351">
        <f>Q102</f>
        <v>0.14225369366955012</v>
      </c>
      <c r="F219" s="351">
        <f>X102</f>
        <v>0.11006641616222849</v>
      </c>
      <c r="G219" s="351">
        <f>AE102</f>
        <v>8.0991417449757186E-2</v>
      </c>
      <c r="H219" s="351">
        <f>AL102</f>
        <v>5.6075144895042395E-2</v>
      </c>
      <c r="I219" s="351">
        <f>AS102</f>
        <v>3.9458282459928481E-2</v>
      </c>
      <c r="J219" s="287">
        <f>AZ102</f>
        <v>0.39873252965908529</v>
      </c>
      <c r="K219" s="286">
        <f>BG102</f>
        <v>0.34680708982384334</v>
      </c>
      <c r="L219" s="286">
        <f>BN102</f>
        <v>0.28450738733910025</v>
      </c>
      <c r="M219" s="286">
        <f>BU102</f>
        <v>0.22013283232445699</v>
      </c>
      <c r="N219" s="286">
        <f>CB102</f>
        <v>0.16198283489951437</v>
      </c>
      <c r="O219" s="286">
        <f>CI102</f>
        <v>0.11215028979008479</v>
      </c>
      <c r="P219" s="286">
        <f>CP102</f>
        <v>7.8916564919856963E-2</v>
      </c>
      <c r="Q219" s="287">
        <f>CW102</f>
        <v>0.79385662013573532</v>
      </c>
      <c r="R219" s="286">
        <f>DD102</f>
        <v>0.71807939730459702</v>
      </c>
      <c r="S219" s="286">
        <f>DK102</f>
        <v>0.64591061365589375</v>
      </c>
      <c r="T219" s="286">
        <f>DR102</f>
        <v>0.53224477940918624</v>
      </c>
      <c r="U219" s="286">
        <f>DY102</f>
        <v>0.39692831006786766</v>
      </c>
      <c r="V219" s="286">
        <f>EF102</f>
        <v>0.27243715827385462</v>
      </c>
      <c r="W219" s="353" t="str">
        <f>""</f>
        <v/>
      </c>
    </row>
    <row r="220" spans="2:31">
      <c r="B220" t="s">
        <v>231</v>
      </c>
      <c r="C220" s="291">
        <f>C98</f>
        <v>38.011239669421485</v>
      </c>
      <c r="D220" s="208">
        <f>J98</f>
        <v>48.326687890497965</v>
      </c>
      <c r="E220" s="208">
        <f>Q98</f>
        <v>66.480775032836732</v>
      </c>
      <c r="F220" s="208">
        <f>X98</f>
        <v>120.72194479860902</v>
      </c>
      <c r="G220" s="208">
        <f>AE98</f>
        <v>214.38013299607496</v>
      </c>
      <c r="H220" s="208">
        <f>AL98</f>
        <v>485.97963655878726</v>
      </c>
      <c r="I220" s="208">
        <f>AS98</f>
        <v>966.42901093442185</v>
      </c>
      <c r="J220" s="295">
        <f>AZ98</f>
        <v>8.7565774656538533</v>
      </c>
      <c r="K220" s="288">
        <f>BG98</f>
        <v>12.081671972624491</v>
      </c>
      <c r="L220" s="288">
        <f>BN98</f>
        <v>16.620193758209183</v>
      </c>
      <c r="M220" s="288">
        <f>BU98</f>
        <v>30.180486199652254</v>
      </c>
      <c r="N220" s="288">
        <f>CB98</f>
        <v>53.595033249018741</v>
      </c>
      <c r="O220" s="288">
        <f>CI98</f>
        <v>121.49490913969682</v>
      </c>
      <c r="P220" s="288">
        <f>CP98</f>
        <v>241.60725273360546</v>
      </c>
      <c r="Q220" s="295">
        <f>CW98</f>
        <v>1.9636363636363632</v>
      </c>
      <c r="R220" s="288">
        <f>DD98</f>
        <v>2.5453902679225267</v>
      </c>
      <c r="S220" s="288">
        <f>DK98</f>
        <v>3.2920320838925128</v>
      </c>
      <c r="T220" s="288">
        <f>DR98</f>
        <v>4.7655271473714462</v>
      </c>
      <c r="U220" s="288">
        <f>DY98</f>
        <v>8.8363636363636342</v>
      </c>
      <c r="V220" s="288">
        <f>EF98</f>
        <v>18.441296434366908</v>
      </c>
      <c r="W220" s="353" t="str">
        <f>""</f>
        <v/>
      </c>
    </row>
    <row r="221" spans="2:31">
      <c r="B221" t="s">
        <v>376</v>
      </c>
      <c r="C221" s="286">
        <f>C99</f>
        <v>41.654889151871352</v>
      </c>
      <c r="D221" s="208">
        <f>J99</f>
        <v>51.970337372947832</v>
      </c>
      <c r="E221" s="208">
        <f>Q99</f>
        <v>70.124424515286606</v>
      </c>
      <c r="F221" s="208">
        <f>X99</f>
        <v>124.36559428105889</v>
      </c>
      <c r="G221" s="208">
        <f>AE99</f>
        <v>218.02378247852482</v>
      </c>
      <c r="H221" s="208">
        <f>AL99</f>
        <v>489.62328604123712</v>
      </c>
      <c r="I221" s="208">
        <f>AS99</f>
        <v>970.07266041687171</v>
      </c>
      <c r="J221" s="287">
        <f>AZ99</f>
        <v>12.400226948103722</v>
      </c>
      <c r="K221" s="286">
        <f>BG99</f>
        <v>15.725321455074361</v>
      </c>
      <c r="L221" s="286">
        <f>BN99</f>
        <v>20.263843240659053</v>
      </c>
      <c r="M221" s="286">
        <f>BU99</f>
        <v>33.824135682102124</v>
      </c>
      <c r="N221" s="286">
        <f>CB99</f>
        <v>57.238682731468607</v>
      </c>
      <c r="O221" s="286">
        <f>CI99</f>
        <v>125.13855862214669</v>
      </c>
      <c r="P221" s="286">
        <f>CP99</f>
        <v>245.25090221605532</v>
      </c>
      <c r="Q221" s="287">
        <f>CW99</f>
        <v>5.6072858460862323</v>
      </c>
      <c r="R221" s="286">
        <f>DD99</f>
        <v>6.1890397503723964</v>
      </c>
      <c r="S221" s="286">
        <f>DK99</f>
        <v>6.9356815663423816</v>
      </c>
      <c r="T221" s="286">
        <f>DR99</f>
        <v>8.4091766298213155</v>
      </c>
      <c r="U221" s="286">
        <f>DY99</f>
        <v>12.480013118813503</v>
      </c>
      <c r="V221" s="286">
        <f>EF99</f>
        <v>22.084945916816778</v>
      </c>
      <c r="W221" s="353" t="str">
        <f>""</f>
        <v/>
      </c>
      <c r="X221" s="10"/>
      <c r="Y221" s="10"/>
      <c r="Z221" s="10"/>
      <c r="AA221" s="10"/>
      <c r="AB221" s="10"/>
      <c r="AC221" s="10"/>
      <c r="AD221" s="10"/>
      <c r="AE221" s="10"/>
    </row>
    <row r="222" spans="2:31">
      <c r="B222" t="s">
        <v>377</v>
      </c>
      <c r="C222" s="286">
        <f>$C$15</f>
        <v>35</v>
      </c>
      <c r="D222" s="286">
        <f t="shared" ref="D222:I222" si="10">$C$15</f>
        <v>35</v>
      </c>
      <c r="E222" s="286">
        <f t="shared" si="10"/>
        <v>35</v>
      </c>
      <c r="F222" s="286">
        <f t="shared" si="10"/>
        <v>35</v>
      </c>
      <c r="G222" s="286">
        <f t="shared" si="10"/>
        <v>35</v>
      </c>
      <c r="H222" s="286">
        <f t="shared" si="10"/>
        <v>35</v>
      </c>
      <c r="I222" s="286">
        <f t="shared" si="10"/>
        <v>35</v>
      </c>
      <c r="J222" s="287">
        <f t="shared" ref="J222:V222" si="11">$C$15</f>
        <v>35</v>
      </c>
      <c r="K222" s="286">
        <f t="shared" si="11"/>
        <v>35</v>
      </c>
      <c r="L222" s="286">
        <f t="shared" si="11"/>
        <v>35</v>
      </c>
      <c r="M222" s="286">
        <f t="shared" si="11"/>
        <v>35</v>
      </c>
      <c r="N222" s="286">
        <f t="shared" si="11"/>
        <v>35</v>
      </c>
      <c r="O222" s="286">
        <f t="shared" si="11"/>
        <v>35</v>
      </c>
      <c r="P222" s="286">
        <f t="shared" si="11"/>
        <v>35</v>
      </c>
      <c r="Q222" s="287">
        <f t="shared" si="11"/>
        <v>35</v>
      </c>
      <c r="R222" s="286">
        <f t="shared" si="11"/>
        <v>35</v>
      </c>
      <c r="S222" s="286">
        <f t="shared" si="11"/>
        <v>35</v>
      </c>
      <c r="T222" s="286">
        <f t="shared" si="11"/>
        <v>35</v>
      </c>
      <c r="U222" s="286">
        <f t="shared" si="11"/>
        <v>35</v>
      </c>
      <c r="V222" s="286">
        <f t="shared" si="11"/>
        <v>35</v>
      </c>
      <c r="W222" s="353" t="str">
        <f>""</f>
        <v/>
      </c>
    </row>
    <row r="223" spans="2:31">
      <c r="B223" t="s">
        <v>73</v>
      </c>
      <c r="C223" s="291">
        <f>C104</f>
        <v>44.624385645117577</v>
      </c>
      <c r="D223" s="10">
        <f>J104</f>
        <v>47.324378035162297</v>
      </c>
      <c r="E223" s="10">
        <f>Q104</f>
        <v>50.849045758435203</v>
      </c>
      <c r="F223" s="10">
        <f>X104</f>
        <v>57.550311762368828</v>
      </c>
      <c r="G223" s="10">
        <f>AE104</f>
        <v>64.000499187956777</v>
      </c>
      <c r="H223" s="10">
        <f>AL104</f>
        <v>73.188414400367336</v>
      </c>
      <c r="I223" s="10">
        <f>AS104</f>
        <v>80.900915210724321</v>
      </c>
      <c r="J223" s="296">
        <f>AZ104</f>
        <v>27.236665253230967</v>
      </c>
      <c r="K223" s="291">
        <f>BG104</f>
        <v>31.95019927811208</v>
      </c>
      <c r="L223" s="291">
        <f>BN104</f>
        <v>37.018599999999999</v>
      </c>
      <c r="M223" s="291">
        <f>BU104</f>
        <v>40.753959999999999</v>
      </c>
      <c r="N223" s="291">
        <f>CB104</f>
        <v>46.013359999999999</v>
      </c>
      <c r="O223" s="291">
        <f>CI104</f>
        <v>54.000800000000012</v>
      </c>
      <c r="P223" s="291">
        <f>CP104</f>
        <v>60.135999999999996</v>
      </c>
      <c r="Q223" s="296">
        <f>CW104</f>
        <v>8.372674337164014</v>
      </c>
      <c r="R223" s="291">
        <f>DD104</f>
        <v>11.300617247860632</v>
      </c>
      <c r="S223" s="291">
        <f>DK104</f>
        <v>22.173840000000002</v>
      </c>
      <c r="T223" s="291">
        <f>DR104</f>
        <v>24.120179999999998</v>
      </c>
      <c r="U223" s="291">
        <f>DY104</f>
        <v>27.861080000000001</v>
      </c>
      <c r="V223" s="291">
        <f>EF104</f>
        <v>33.809000000000005</v>
      </c>
      <c r="W223" s="353" t="str">
        <f>""</f>
        <v/>
      </c>
      <c r="X223" s="10"/>
      <c r="Y223" s="10"/>
      <c r="Z223" s="10"/>
      <c r="AA223" s="10"/>
      <c r="AB223" s="10"/>
      <c r="AC223" s="10"/>
      <c r="AD223" s="10"/>
      <c r="AE223" s="10"/>
    </row>
    <row r="224" spans="2:31">
      <c r="B224" t="s">
        <v>75</v>
      </c>
      <c r="C224" s="286">
        <f>C105</f>
        <v>29.624385645117577</v>
      </c>
      <c r="D224">
        <f>J105</f>
        <v>32.324378035162297</v>
      </c>
      <c r="E224">
        <f>Q105</f>
        <v>35.849045758435203</v>
      </c>
      <c r="F224">
        <f>X105</f>
        <v>42.550311762368828</v>
      </c>
      <c r="G224">
        <f>AE105</f>
        <v>49.000499187956777</v>
      </c>
      <c r="H224">
        <f>AL105</f>
        <v>58.188414400367336</v>
      </c>
      <c r="I224">
        <f>AS105</f>
        <v>65.900915210724321</v>
      </c>
      <c r="J224" s="287">
        <f>AZ105</f>
        <v>12.236665253230967</v>
      </c>
      <c r="K224" s="286">
        <f>BG105</f>
        <v>16.95019927811208</v>
      </c>
      <c r="L224" s="286">
        <f>BN105</f>
        <v>22.018599999999999</v>
      </c>
      <c r="M224" s="286">
        <f>BU105</f>
        <v>25.753959999999999</v>
      </c>
      <c r="N224" s="286">
        <f>CB105</f>
        <v>31.013359999999999</v>
      </c>
      <c r="O224" s="286">
        <f>CI105</f>
        <v>39.000800000000012</v>
      </c>
      <c r="P224" s="286">
        <f>CP105</f>
        <v>45.135999999999996</v>
      </c>
      <c r="Q224" s="287">
        <f>CW105</f>
        <v>-6.627325662835986</v>
      </c>
      <c r="R224" s="286">
        <f>DD105</f>
        <v>-3.6993827521393676</v>
      </c>
      <c r="S224" s="286">
        <f>DK105</f>
        <v>7.173840000000002</v>
      </c>
      <c r="T224" s="286">
        <f>DR105</f>
        <v>9.1201799999999977</v>
      </c>
      <c r="U224" s="286">
        <f>DY105</f>
        <v>12.861080000000001</v>
      </c>
      <c r="V224" s="286">
        <f>EF105</f>
        <v>18.809000000000005</v>
      </c>
      <c r="W224" s="353" t="str">
        <f>""</f>
        <v/>
      </c>
      <c r="X224" s="10"/>
      <c r="Y224" s="10"/>
      <c r="Z224" s="10"/>
      <c r="AA224" s="10"/>
      <c r="AB224" s="10"/>
      <c r="AC224" s="10"/>
      <c r="AD224" s="10"/>
      <c r="AE224" s="10"/>
    </row>
    <row r="225" spans="2:31">
      <c r="B225" s="4" t="s">
        <v>378</v>
      </c>
      <c r="C225" s="291">
        <f>C173</f>
        <v>13.425100631225112</v>
      </c>
      <c r="D225" s="10">
        <f>J173</f>
        <v>14.200523541074517</v>
      </c>
      <c r="E225" s="10">
        <f>Q173</f>
        <v>15.076959638773307</v>
      </c>
      <c r="F225" s="10">
        <f>X173</f>
        <v>16.715158836721635</v>
      </c>
      <c r="G225" s="10">
        <f>AE173</f>
        <v>18.03000226469614</v>
      </c>
      <c r="H225" s="10">
        <f>AL173</f>
        <v>20.198031721835708</v>
      </c>
      <c r="I225" s="10">
        <f>AS173</f>
        <v>21.716888980485404</v>
      </c>
      <c r="J225" s="296">
        <f>AZ173</f>
        <v>9.7005469115969483</v>
      </c>
      <c r="K225" s="291">
        <f>BG173</f>
        <v>10.249336860325196</v>
      </c>
      <c r="L225" s="291">
        <f>BN173</f>
        <v>11.402944059974219</v>
      </c>
      <c r="M225" s="291">
        <f>BU173</f>
        <v>12.655040695121615</v>
      </c>
      <c r="N225" s="291">
        <f>CB173</f>
        <v>14.200523541074517</v>
      </c>
      <c r="O225" s="291">
        <f>CI173</f>
        <v>15.730232934833577</v>
      </c>
      <c r="P225" s="291">
        <f>CP173</f>
        <v>17.600964365023565</v>
      </c>
      <c r="Q225" s="296">
        <f>CW173</f>
        <v>7.2130516462046446</v>
      </c>
      <c r="R225" s="291">
        <f>DD173</f>
        <v>7.7233503067914233</v>
      </c>
      <c r="S225" s="291">
        <f>DK173</f>
        <v>8.4722605482920628</v>
      </c>
      <c r="T225" s="291">
        <f>DR173</f>
        <v>9.2147833607780463</v>
      </c>
      <c r="U225" s="291">
        <f>DY173</f>
        <v>9.940926528563077</v>
      </c>
      <c r="V225" s="291">
        <f>EF173</f>
        <v>10.552538667184313</v>
      </c>
      <c r="W225" s="353" t="str">
        <f>""</f>
        <v/>
      </c>
    </row>
    <row r="226" spans="2:31">
      <c r="B226" s="4" t="s">
        <v>379</v>
      </c>
      <c r="C226" s="291">
        <f>C172</f>
        <v>8.9500670874834078</v>
      </c>
      <c r="D226" s="10">
        <f>J172</f>
        <v>9.4670156940496781</v>
      </c>
      <c r="E226" s="10">
        <f>Q172</f>
        <v>10.051306425848871</v>
      </c>
      <c r="F226" s="10">
        <f>X172</f>
        <v>11.14343922448109</v>
      </c>
      <c r="G226" s="10">
        <f>AE172</f>
        <v>12.020001509797426</v>
      </c>
      <c r="H226" s="10">
        <f>AL172</f>
        <v>13.465354481223805</v>
      </c>
      <c r="I226" s="10">
        <f>AS172</f>
        <v>14.47792598699027</v>
      </c>
      <c r="J226" s="296">
        <f>AZ172</f>
        <v>6.4670312743979661</v>
      </c>
      <c r="K226" s="291">
        <f>BG172</f>
        <v>6.8328912402167967</v>
      </c>
      <c r="L226" s="291">
        <f>BN172</f>
        <v>7.6019627066494797</v>
      </c>
      <c r="M226" s="291">
        <f>BU172</f>
        <v>8.4366937967477433</v>
      </c>
      <c r="N226" s="291">
        <f>CB172</f>
        <v>9.4670156940496781</v>
      </c>
      <c r="O226" s="291">
        <f>CI172</f>
        <v>10.486821956555717</v>
      </c>
      <c r="P226" s="291">
        <f>CP172</f>
        <v>11.733976243349044</v>
      </c>
      <c r="Q226" s="296">
        <f>CW172</f>
        <v>4.808701097469763</v>
      </c>
      <c r="R226" s="291">
        <f>DD172</f>
        <v>5.1489002045276155</v>
      </c>
      <c r="S226" s="291">
        <f>DK172</f>
        <v>5.6481736988613749</v>
      </c>
      <c r="T226" s="291">
        <f>DR172</f>
        <v>6.1431889071853645</v>
      </c>
      <c r="U226" s="291">
        <f>DY172</f>
        <v>6.6272843523753844</v>
      </c>
      <c r="V226" s="291">
        <f>EF172</f>
        <v>7.0350257781228756</v>
      </c>
      <c r="W226" s="353" t="str">
        <f>""</f>
        <v/>
      </c>
    </row>
    <row r="227" spans="2:31">
      <c r="B227" s="4" t="s">
        <v>380</v>
      </c>
      <c r="C227" s="388">
        <f>C164</f>
        <v>14.364617771944767</v>
      </c>
      <c r="D227" s="10">
        <f>J164</f>
        <v>14.957559119129908</v>
      </c>
      <c r="E227" s="10">
        <f>Q164</f>
        <v>16.186826368853762</v>
      </c>
      <c r="F227" s="10">
        <f>X164</f>
        <v>19.057456428107376</v>
      </c>
      <c r="G227" s="10">
        <f>AE164</f>
        <v>22.653775896636219</v>
      </c>
      <c r="H227" s="10" t="e">
        <f>AL164</f>
        <v>#NUM!</v>
      </c>
      <c r="I227" s="10" t="e">
        <f>AS164</f>
        <v>#NUM!</v>
      </c>
      <c r="J227" s="296">
        <f>AZ164</f>
        <v>12.746163408544648</v>
      </c>
      <c r="K227" s="291">
        <f>BG164</f>
        <v>12.952128828308378</v>
      </c>
      <c r="L227" s="291">
        <f>BN164</f>
        <v>13.322172027004582</v>
      </c>
      <c r="M227" s="291">
        <f>BU164</f>
        <v>13.998914530871883</v>
      </c>
      <c r="N227" s="291">
        <f>CB164</f>
        <v>15.322338295822751</v>
      </c>
      <c r="O227" s="291">
        <f>CI164</f>
        <v>18.762304014564414</v>
      </c>
      <c r="P227" s="291">
        <f>CP164</f>
        <v>22.924867724867724</v>
      </c>
      <c r="Q227" s="296">
        <f>CW164</f>
        <v>12.126091565233663</v>
      </c>
      <c r="R227" s="291">
        <f>DD164</f>
        <v>12.187852169128822</v>
      </c>
      <c r="S227" s="291">
        <f>DK164</f>
        <v>12.261357338434241</v>
      </c>
      <c r="T227" s="291">
        <f>DR164</f>
        <v>12.422070887408761</v>
      </c>
      <c r="U227" s="291">
        <f>DY164</f>
        <v>12.752272308097698</v>
      </c>
      <c r="V227" s="291">
        <f>EF164</f>
        <v>13.418418342547323</v>
      </c>
      <c r="W227" s="353" t="str">
        <f>""</f>
        <v/>
      </c>
    </row>
    <row r="228" spans="2:31">
      <c r="B228" t="s">
        <v>381</v>
      </c>
      <c r="C228" s="286">
        <f>C147</f>
        <v>12.932123530361318</v>
      </c>
      <c r="D228">
        <f>J147</f>
        <v>13.471498710317769</v>
      </c>
      <c r="E228">
        <f>Q147</f>
        <v>14.591921734008022</v>
      </c>
      <c r="F228">
        <f>X147</f>
        <v>17.221248252279086</v>
      </c>
      <c r="G228">
        <f>AE147</f>
        <v>22.653775896636219</v>
      </c>
      <c r="H228" t="e">
        <f>AL147</f>
        <v>#NUM!</v>
      </c>
      <c r="I228" t="e">
        <f>AS147</f>
        <v>#NUM!</v>
      </c>
      <c r="J228" s="287">
        <f>AZ147</f>
        <v>11.463127472589678</v>
      </c>
      <c r="K228" s="286">
        <f>BG147</f>
        <v>11.64982190195863</v>
      </c>
      <c r="L228" s="286">
        <f>BN147</f>
        <v>11.985421101232163</v>
      </c>
      <c r="M228" s="286">
        <f>BU147</f>
        <v>12.599785848833228</v>
      </c>
      <c r="N228" s="286">
        <f>CB147</f>
        <v>13.803661214474527</v>
      </c>
      <c r="O228" s="286">
        <f>CI147</f>
        <v>16.950007084903437</v>
      </c>
      <c r="P228" s="286">
        <f>CP147</f>
        <v>22.924867724867724</v>
      </c>
      <c r="Q228" s="287">
        <f>CW147</f>
        <v>10.90148814290524</v>
      </c>
      <c r="R228" s="286">
        <f>DD147</f>
        <v>10.957401314297956</v>
      </c>
      <c r="S228" s="286">
        <f>DK147</f>
        <v>11.023954886045278</v>
      </c>
      <c r="T228" s="286">
        <f>DR147</f>
        <v>11.169499059989276</v>
      </c>
      <c r="U228" s="286">
        <f>DY147</f>
        <v>11.468663789226726</v>
      </c>
      <c r="V228" s="286">
        <f>EF147</f>
        <v>12.072747032615675</v>
      </c>
      <c r="W228" s="353" t="str">
        <f>""</f>
        <v/>
      </c>
      <c r="X228" s="10"/>
      <c r="Y228" s="10"/>
      <c r="Z228" s="10"/>
      <c r="AA228" s="10"/>
      <c r="AB228" s="10"/>
      <c r="AC228" s="10"/>
      <c r="AD228" s="10"/>
      <c r="AE228" s="10"/>
    </row>
    <row r="229" spans="2:31">
      <c r="B229" t="s">
        <v>244</v>
      </c>
      <c r="C229" s="286">
        <f>C129</f>
        <v>2.7868149980757178</v>
      </c>
      <c r="D229">
        <f>J129</f>
        <v>2.8717949148064781</v>
      </c>
      <c r="E229">
        <f>Q129</f>
        <v>3.0396128062977845</v>
      </c>
      <c r="F229">
        <f>X129</f>
        <v>3.3895436377928196</v>
      </c>
      <c r="G229">
        <f>AE129</f>
        <v>4.3268732799284884</v>
      </c>
      <c r="H229" t="e">
        <f>AL129</f>
        <v>#VALUE!</v>
      </c>
      <c r="I229" t="e">
        <f>AS129</f>
        <v>#VALUE!</v>
      </c>
      <c r="J229" s="287">
        <f>AZ129</f>
        <v>2.5412130037784197</v>
      </c>
      <c r="K229" s="286">
        <f>BG129</f>
        <v>2.5735867547645199</v>
      </c>
      <c r="L229" s="286">
        <f>BN129</f>
        <v>2.6309285446975617</v>
      </c>
      <c r="M229" s="286">
        <f>BU129</f>
        <v>2.7330740199668839</v>
      </c>
      <c r="N229" s="286">
        <f>CB129</f>
        <v>2.9227621448322187</v>
      </c>
      <c r="O229" s="286">
        <f>CI129</f>
        <v>3.3561543681720627</v>
      </c>
      <c r="P229" s="286">
        <f>CP129</f>
        <v>4.4691532358030397</v>
      </c>
      <c r="Q229" s="287">
        <f>CW129</f>
        <v>2.4417723466376868</v>
      </c>
      <c r="R229" s="286">
        <f>DD129</f>
        <v>2.4518100084790855</v>
      </c>
      <c r="S229" s="286">
        <f>DK129</f>
        <v>2.4637180765664053</v>
      </c>
      <c r="T229" s="286">
        <f>DR129</f>
        <v>2.4896088317792855</v>
      </c>
      <c r="U229" s="286">
        <f>DY129</f>
        <v>2.5421779153378385</v>
      </c>
      <c r="V229" s="286">
        <f>EF129</f>
        <v>2.6456700686876551</v>
      </c>
      <c r="W229" s="353" t="str">
        <f>""</f>
        <v/>
      </c>
      <c r="X229" s="8"/>
      <c r="Y229" s="8"/>
      <c r="Z229" s="8"/>
      <c r="AA229" s="8"/>
      <c r="AB229" s="8"/>
      <c r="AC229" s="8"/>
      <c r="AD229" s="8"/>
      <c r="AE229" s="8"/>
    </row>
    <row r="230" spans="2:31">
      <c r="B230" t="s">
        <v>238</v>
      </c>
      <c r="C230" s="291">
        <f>C116</f>
        <v>2.2722981959999999</v>
      </c>
      <c r="D230" s="10">
        <f>J116</f>
        <v>2.2722981959999999</v>
      </c>
      <c r="E230" s="10">
        <f>Q116</f>
        <v>2.2722981959999999</v>
      </c>
      <c r="F230" s="10">
        <f>X116</f>
        <v>2.2722981959999999</v>
      </c>
      <c r="G230" s="10">
        <f>AE116</f>
        <v>2.2722981959999999</v>
      </c>
      <c r="H230" s="10">
        <f>AL116</f>
        <v>2.2722981959999999</v>
      </c>
      <c r="I230" s="10">
        <f>AS116</f>
        <v>2.2722981959999999</v>
      </c>
      <c r="J230" s="296">
        <f>AZ116</f>
        <v>2.372298196</v>
      </c>
      <c r="K230" s="291">
        <f>BG116</f>
        <v>2.372298196</v>
      </c>
      <c r="L230" s="291">
        <f>BN116</f>
        <v>2.372298196</v>
      </c>
      <c r="M230" s="291">
        <f>BU116</f>
        <v>2.372298196</v>
      </c>
      <c r="N230" s="291">
        <f>CB116</f>
        <v>2.372298196</v>
      </c>
      <c r="O230" s="291">
        <f>CI116</f>
        <v>2.372298196</v>
      </c>
      <c r="P230" s="291">
        <f>CP116</f>
        <v>2.372298196</v>
      </c>
      <c r="Q230" s="296">
        <f>CW116</f>
        <v>2.3922286123999998</v>
      </c>
      <c r="R230" s="291">
        <f>DD116</f>
        <v>2.3922286123999998</v>
      </c>
      <c r="S230" s="291">
        <f>DK116</f>
        <v>2.3922286123999998</v>
      </c>
      <c r="T230" s="291">
        <f>DR116</f>
        <v>2.3922286123999998</v>
      </c>
      <c r="U230" s="291">
        <f>DY116</f>
        <v>2.3922286123999998</v>
      </c>
      <c r="V230" s="291">
        <f>EF116</f>
        <v>2.3922286123999998</v>
      </c>
      <c r="W230" s="353" t="str">
        <f>""</f>
        <v/>
      </c>
      <c r="X230" s="151"/>
      <c r="Y230" s="151"/>
      <c r="Z230" s="151"/>
      <c r="AA230" s="151"/>
      <c r="AB230" s="151"/>
      <c r="AC230" s="151"/>
      <c r="AD230" s="151"/>
      <c r="AE230" s="151"/>
    </row>
    <row r="231" spans="2:31">
      <c r="B231" t="s">
        <v>382</v>
      </c>
      <c r="C231" s="292">
        <f>C187</f>
        <v>0.10747350545981976</v>
      </c>
      <c r="D231">
        <f>J187</f>
        <v>0.11033841384819509</v>
      </c>
      <c r="E231">
        <f>Q187</f>
        <v>0.11462216464939623</v>
      </c>
      <c r="F231">
        <f>X187</f>
        <v>0.12119510157034778</v>
      </c>
      <c r="G231">
        <f>AE187</f>
        <v>0.13079049808507343</v>
      </c>
      <c r="H231">
        <f>AL187</f>
        <v>0.14518882735749106</v>
      </c>
      <c r="I231">
        <f>AS187</f>
        <v>0.16239116103798221</v>
      </c>
      <c r="J231" s="297">
        <f>AZ187</f>
        <v>9.7919250115453285E-2</v>
      </c>
      <c r="K231" s="292">
        <f>BG187</f>
        <v>9.9410237908700544E-2</v>
      </c>
      <c r="L231" s="292">
        <f>BN187</f>
        <v>0.1018558143883983</v>
      </c>
      <c r="M231" s="292">
        <f>BU187</f>
        <v>0.10568620639023371</v>
      </c>
      <c r="N231" s="292">
        <f>CB187</f>
        <v>0.11142837395229017</v>
      </c>
      <c r="O231" s="292">
        <f>CI187</f>
        <v>0.12032609133694569</v>
      </c>
      <c r="P231" s="292">
        <f>CP187</f>
        <v>0.13130859247693435</v>
      </c>
      <c r="Q231" s="297">
        <f>CW187</f>
        <v>9.2744132899826665E-2</v>
      </c>
      <c r="R231" s="292">
        <f>DD187</f>
        <v>9.3312469267728806E-2</v>
      </c>
      <c r="S231" s="292">
        <f>DK187</f>
        <v>9.3972241008368679E-2</v>
      </c>
      <c r="T231" s="292">
        <f>DR187</f>
        <v>9.5355207135270972E-2</v>
      </c>
      <c r="U231" s="292">
        <f>DY187</f>
        <v>9.7964935171758416E-2</v>
      </c>
      <c r="V231" s="292">
        <f>EF187</f>
        <v>0.10244772668473939</v>
      </c>
      <c r="W231" s="353" t="str">
        <f>""</f>
        <v/>
      </c>
      <c r="X231" s="151"/>
      <c r="Y231" s="151"/>
      <c r="Z231" s="151"/>
      <c r="AA231" s="151"/>
      <c r="AB231" s="151"/>
      <c r="AC231" s="151"/>
      <c r="AD231" s="151"/>
      <c r="AE231" s="151"/>
    </row>
    <row r="232" spans="2:31">
      <c r="B232" t="s">
        <v>383</v>
      </c>
      <c r="C232" s="293">
        <f>C188</f>
        <v>8.8548172383068322E-2</v>
      </c>
      <c r="D232">
        <f>J188</f>
        <v>9.2077412526564609E-2</v>
      </c>
      <c r="E232">
        <f>Q188</f>
        <v>9.7353630151516449E-2</v>
      </c>
      <c r="F232">
        <f>X188</f>
        <v>0.10545893807910404</v>
      </c>
      <c r="G232">
        <f>AE188</f>
        <v>0.11734158592987916</v>
      </c>
      <c r="H232">
        <f>AL188</f>
        <v>0.13535449882433997</v>
      </c>
      <c r="I232">
        <f>AS188</f>
        <v>0.15726134762712493</v>
      </c>
      <c r="J232" s="298">
        <f>AZ188</f>
        <v>7.674433763230229E-2</v>
      </c>
      <c r="K232" s="290">
        <f>BG188</f>
        <v>7.8592279661521283E-2</v>
      </c>
      <c r="L232" s="290">
        <f>BN188</f>
        <v>8.1617509046292155E-2</v>
      </c>
      <c r="M232" s="290">
        <f>BU188</f>
        <v>8.634514426373982E-2</v>
      </c>
      <c r="N232" s="290">
        <f>CB188</f>
        <v>9.3419815262249059E-2</v>
      </c>
      <c r="O232" s="290">
        <f>CI188</f>
        <v>0.10438616080844153</v>
      </c>
      <c r="P232" s="290">
        <f>CP188</f>
        <v>0.11798553320610862</v>
      </c>
      <c r="Q232" s="298">
        <f>CW188</f>
        <v>7.0301441240887413E-2</v>
      </c>
      <c r="R232" s="290">
        <f>DD188</f>
        <v>7.1011645310910365E-2</v>
      </c>
      <c r="S232" s="290">
        <f>DK188</f>
        <v>7.1835194233595245E-2</v>
      </c>
      <c r="T232" s="290">
        <f>DR188</f>
        <v>7.3558503840704947E-2</v>
      </c>
      <c r="U232" s="290">
        <f>DY188</f>
        <v>7.6801006076159598E-2</v>
      </c>
      <c r="V232" s="290">
        <f>EF188</f>
        <v>8.2348805592252272E-2</v>
      </c>
      <c r="W232" s="353" t="str">
        <f>""</f>
        <v/>
      </c>
      <c r="X232" s="10"/>
      <c r="Y232" s="10"/>
      <c r="Z232" s="10"/>
      <c r="AA232" s="10"/>
      <c r="AB232" s="10"/>
      <c r="AC232" s="10"/>
      <c r="AD232" s="10"/>
      <c r="AE232" s="10"/>
    </row>
    <row r="233" spans="2:31">
      <c r="B233" s="4" t="s">
        <v>356</v>
      </c>
      <c r="C233" s="293">
        <f>C189</f>
        <v>5.6057432511957869E-2</v>
      </c>
      <c r="D233">
        <f>J189</f>
        <v>5.725847808043473E-2</v>
      </c>
      <c r="E233">
        <f>Q189</f>
        <v>5.9077272189718241E-2</v>
      </c>
      <c r="F233">
        <f>X189</f>
        <v>6.1925528330162162E-2</v>
      </c>
      <c r="G233">
        <f>AE189</f>
        <v>6.6219920376739405E-2</v>
      </c>
      <c r="H233">
        <f>AL189</f>
        <v>7.2999044882079117E-2</v>
      </c>
      <c r="I233">
        <f>AS189</f>
        <v>8.1680902635530947E-2</v>
      </c>
      <c r="J233" s="298">
        <f>AZ189</f>
        <v>5.2130931087385979E-2</v>
      </c>
      <c r="K233" s="290">
        <f>BG189</f>
        <v>5.2736443126577708E-2</v>
      </c>
      <c r="L233" s="290">
        <f>BN189</f>
        <v>5.373508615303383E-2</v>
      </c>
      <c r="M233" s="290">
        <f>BU189</f>
        <v>5.5314028034897975E-2</v>
      </c>
      <c r="N233" s="290">
        <f>CB189</f>
        <v>5.7718584757378635E-2</v>
      </c>
      <c r="O233" s="290">
        <f>CI189</f>
        <v>6.1544775486273288E-2</v>
      </c>
      <c r="P233" s="290">
        <f>CP189</f>
        <v>6.6456676324492037E-2</v>
      </c>
      <c r="Q233" s="298">
        <f>CW189</f>
        <v>5.0046506630494828E-2</v>
      </c>
      <c r="R233" s="290">
        <f>DD189</f>
        <v>5.027423821260886E-2</v>
      </c>
      <c r="S233" s="290">
        <f>DK189</f>
        <v>5.0538946123687992E-2</v>
      </c>
      <c r="T233" s="290">
        <f>DR189</f>
        <v>5.1095052703817742E-2</v>
      </c>
      <c r="U233" s="290">
        <f>DY189</f>
        <v>5.2149448786195055E-2</v>
      </c>
      <c r="V233" s="290">
        <f>EF189</f>
        <v>5.397786428929835E-2</v>
      </c>
      <c r="W233" s="353" t="str">
        <f>""</f>
        <v/>
      </c>
    </row>
    <row r="234" spans="2:31">
      <c r="B234" s="4" t="s">
        <v>358</v>
      </c>
      <c r="C234" s="294" t="str">
        <f>C190</f>
        <v>A</v>
      </c>
      <c r="D234" t="str">
        <f>J190</f>
        <v>A</v>
      </c>
      <c r="E234" t="str">
        <f>Q190</f>
        <v>A</v>
      </c>
      <c r="F234" t="str">
        <f>X190</f>
        <v>B</v>
      </c>
      <c r="G234" t="str">
        <f>AE190</f>
        <v>B</v>
      </c>
      <c r="H234" t="str">
        <f>AL190</f>
        <v>B</v>
      </c>
      <c r="I234" t="str">
        <f>AS190</f>
        <v>B</v>
      </c>
      <c r="J234" s="287" t="str">
        <f>AZ190</f>
        <v>A</v>
      </c>
      <c r="K234" s="286" t="str">
        <f>BG190</f>
        <v>A</v>
      </c>
      <c r="L234" s="286" t="str">
        <f>BN190</f>
        <v>A</v>
      </c>
      <c r="M234" s="286" t="str">
        <f>BU190</f>
        <v>A</v>
      </c>
      <c r="N234" s="286" t="str">
        <f>CB190</f>
        <v>A</v>
      </c>
      <c r="O234" s="286" t="str">
        <f>CI190</f>
        <v>B</v>
      </c>
      <c r="P234" s="286" t="str">
        <f>CP190</f>
        <v>B</v>
      </c>
      <c r="Q234" s="287" t="str">
        <f>CW190</f>
        <v>A</v>
      </c>
      <c r="R234" s="286" t="str">
        <f>DD190</f>
        <v>A</v>
      </c>
      <c r="S234" s="286" t="str">
        <f>DK190</f>
        <v>A</v>
      </c>
      <c r="T234" s="286" t="str">
        <f>DR190</f>
        <v>A</v>
      </c>
      <c r="U234" s="286" t="str">
        <f>DY190</f>
        <v>A</v>
      </c>
      <c r="V234" s="286" t="str">
        <f>EF190</f>
        <v>A</v>
      </c>
      <c r="W234" s="353" t="str">
        <f>""</f>
        <v/>
      </c>
    </row>
    <row r="235" spans="2:31">
      <c r="B235" s="4" t="s">
        <v>357</v>
      </c>
      <c r="C235" s="294">
        <f>C192</f>
        <v>0.2</v>
      </c>
      <c r="D235" s="10">
        <f>J192</f>
        <v>0.2</v>
      </c>
      <c r="E235" s="10">
        <f>Q192</f>
        <v>0.2</v>
      </c>
      <c r="F235" s="10">
        <f>X192</f>
        <v>0.2</v>
      </c>
      <c r="G235" s="10">
        <f>AE192</f>
        <v>0.3</v>
      </c>
      <c r="H235" s="10">
        <f>AL192</f>
        <v>0.3</v>
      </c>
      <c r="I235" s="10">
        <f>AS192</f>
        <v>0.4</v>
      </c>
      <c r="J235" s="296">
        <f>AZ192</f>
        <v>0.2</v>
      </c>
      <c r="K235" s="291">
        <f>BG192</f>
        <v>0.2</v>
      </c>
      <c r="L235" s="291">
        <f>BN192</f>
        <v>0.2</v>
      </c>
      <c r="M235" s="291">
        <f>BU192</f>
        <v>0.2</v>
      </c>
      <c r="N235" s="291">
        <f>CB192</f>
        <v>0.2</v>
      </c>
      <c r="O235" s="291">
        <f>CI192</f>
        <v>0.2</v>
      </c>
      <c r="P235" s="291">
        <f>CP192</f>
        <v>0.3</v>
      </c>
      <c r="Q235" s="296">
        <f>CW192</f>
        <v>0.2</v>
      </c>
      <c r="R235" s="291">
        <f>DD192</f>
        <v>0.2</v>
      </c>
      <c r="S235" s="291">
        <f>DK192</f>
        <v>0.2</v>
      </c>
      <c r="T235" s="291">
        <f>DR192</f>
        <v>0.2</v>
      </c>
      <c r="U235" s="291">
        <f>DY192</f>
        <v>0.2</v>
      </c>
      <c r="V235" s="291">
        <f>EF192</f>
        <v>0.2</v>
      </c>
      <c r="W235" s="353" t="str">
        <f>""</f>
        <v/>
      </c>
    </row>
    <row r="236" spans="2:31">
      <c r="B236" t="s">
        <v>384</v>
      </c>
      <c r="C236" s="286" t="str">
        <f>$C$345</f>
        <v>DN250</v>
      </c>
      <c r="D236" s="286" t="str">
        <f t="shared" ref="D236:V236" si="12">$C$345</f>
        <v>DN250</v>
      </c>
      <c r="E236" s="286" t="str">
        <f t="shared" si="12"/>
        <v>DN250</v>
      </c>
      <c r="F236" s="286" t="str">
        <f t="shared" si="12"/>
        <v>DN250</v>
      </c>
      <c r="G236" s="286" t="str">
        <f t="shared" si="12"/>
        <v>DN250</v>
      </c>
      <c r="H236" s="286" t="str">
        <f t="shared" si="12"/>
        <v>DN250</v>
      </c>
      <c r="I236" s="286" t="str">
        <f t="shared" si="12"/>
        <v>DN250</v>
      </c>
      <c r="J236" s="286" t="str">
        <f t="shared" si="12"/>
        <v>DN250</v>
      </c>
      <c r="K236" s="286" t="str">
        <f t="shared" si="12"/>
        <v>DN250</v>
      </c>
      <c r="L236" s="286" t="str">
        <f t="shared" si="12"/>
        <v>DN250</v>
      </c>
      <c r="M236" s="286" t="str">
        <f t="shared" si="12"/>
        <v>DN250</v>
      </c>
      <c r="N236" s="286" t="str">
        <f t="shared" si="12"/>
        <v>DN250</v>
      </c>
      <c r="O236" s="286" t="str">
        <f t="shared" si="12"/>
        <v>DN250</v>
      </c>
      <c r="P236" s="286" t="str">
        <f t="shared" si="12"/>
        <v>DN250</v>
      </c>
      <c r="Q236" s="286" t="str">
        <f t="shared" si="12"/>
        <v>DN250</v>
      </c>
      <c r="R236" s="286" t="str">
        <f t="shared" si="12"/>
        <v>DN250</v>
      </c>
      <c r="S236" s="286" t="str">
        <f t="shared" si="12"/>
        <v>DN250</v>
      </c>
      <c r="T236" s="286" t="str">
        <f t="shared" si="12"/>
        <v>DN250</v>
      </c>
      <c r="U236" s="286" t="str">
        <f t="shared" si="12"/>
        <v>DN250</v>
      </c>
      <c r="V236" s="286" t="str">
        <f t="shared" si="12"/>
        <v>DN250</v>
      </c>
      <c r="W236" s="353" t="str">
        <f>""</f>
        <v/>
      </c>
    </row>
    <row r="237" spans="2:31">
      <c r="B237" t="s">
        <v>384</v>
      </c>
      <c r="C237" s="286" t="str">
        <f>$C$346</f>
        <v>DN300</v>
      </c>
      <c r="D237" s="286" t="str">
        <f t="shared" ref="D237:V237" si="13">$C$346</f>
        <v>DN300</v>
      </c>
      <c r="E237" s="286" t="str">
        <f t="shared" si="13"/>
        <v>DN300</v>
      </c>
      <c r="F237" s="286" t="str">
        <f t="shared" si="13"/>
        <v>DN300</v>
      </c>
      <c r="G237" s="286" t="str">
        <f t="shared" si="13"/>
        <v>DN300</v>
      </c>
      <c r="H237" s="286" t="str">
        <f t="shared" si="13"/>
        <v>DN300</v>
      </c>
      <c r="I237" s="286" t="str">
        <f t="shared" si="13"/>
        <v>DN300</v>
      </c>
      <c r="J237" s="286" t="str">
        <f t="shared" si="13"/>
        <v>DN300</v>
      </c>
      <c r="K237" s="286" t="str">
        <f t="shared" si="13"/>
        <v>DN300</v>
      </c>
      <c r="L237" s="286" t="str">
        <f t="shared" si="13"/>
        <v>DN300</v>
      </c>
      <c r="M237" s="286" t="str">
        <f t="shared" si="13"/>
        <v>DN300</v>
      </c>
      <c r="N237" s="286" t="str">
        <f t="shared" si="13"/>
        <v>DN300</v>
      </c>
      <c r="O237" s="286" t="str">
        <f t="shared" si="13"/>
        <v>DN300</v>
      </c>
      <c r="P237" s="286" t="str">
        <f t="shared" si="13"/>
        <v>DN300</v>
      </c>
      <c r="Q237" s="286" t="str">
        <f t="shared" si="13"/>
        <v>DN300</v>
      </c>
      <c r="R237" s="286" t="str">
        <f t="shared" si="13"/>
        <v>DN300</v>
      </c>
      <c r="S237" s="286" t="str">
        <f t="shared" si="13"/>
        <v>DN300</v>
      </c>
      <c r="T237" s="286" t="str">
        <f t="shared" si="13"/>
        <v>DN300</v>
      </c>
      <c r="U237" s="286" t="str">
        <f t="shared" si="13"/>
        <v>DN300</v>
      </c>
      <c r="V237" s="286" t="str">
        <f t="shared" si="13"/>
        <v>DN300</v>
      </c>
      <c r="W237" s="353" t="str">
        <f>""</f>
        <v/>
      </c>
    </row>
    <row r="238" spans="2:31">
      <c r="W238" s="353" t="str">
        <f>""</f>
        <v/>
      </c>
    </row>
    <row r="239" spans="2:31" ht="20.25" thickBot="1">
      <c r="B239" s="2" t="s">
        <v>385</v>
      </c>
      <c r="W239" s="353" t="str">
        <f>""</f>
        <v/>
      </c>
    </row>
    <row r="240" spans="2:31" ht="15.75" thickTop="1">
      <c r="C240" s="506" t="s">
        <v>31</v>
      </c>
      <c r="D240" s="506"/>
      <c r="E240" s="506"/>
      <c r="F240" s="506"/>
      <c r="G240" s="506"/>
      <c r="H240" s="506"/>
      <c r="I240" s="509"/>
      <c r="J240" s="505" t="s">
        <v>30</v>
      </c>
      <c r="K240" s="506"/>
      <c r="L240" s="506"/>
      <c r="M240" s="506"/>
      <c r="N240" s="506"/>
      <c r="O240" s="506"/>
      <c r="P240" s="508"/>
      <c r="Q240" s="507" t="s">
        <v>35</v>
      </c>
      <c r="R240" s="506"/>
      <c r="S240" s="506"/>
      <c r="T240" s="506"/>
      <c r="U240" s="506"/>
      <c r="V240" s="506"/>
      <c r="W240" s="353" t="str">
        <f>""</f>
        <v/>
      </c>
    </row>
    <row r="241" spans="2:23">
      <c r="C241" s="286" t="s">
        <v>386</v>
      </c>
      <c r="D241" s="286" t="s">
        <v>387</v>
      </c>
      <c r="E241" s="286" t="s">
        <v>388</v>
      </c>
      <c r="F241" s="286" t="s">
        <v>389</v>
      </c>
      <c r="G241" s="286" t="s">
        <v>390</v>
      </c>
      <c r="H241" s="286" t="s">
        <v>391</v>
      </c>
      <c r="I241" s="286" t="s">
        <v>392</v>
      </c>
      <c r="J241" s="287" t="s">
        <v>393</v>
      </c>
      <c r="K241" s="286" t="s">
        <v>394</v>
      </c>
      <c r="L241" s="287" t="s">
        <v>395</v>
      </c>
      <c r="M241" s="286" t="s">
        <v>396</v>
      </c>
      <c r="N241" s="287" t="s">
        <v>397</v>
      </c>
      <c r="O241" s="286" t="s">
        <v>398</v>
      </c>
      <c r="P241" s="309" t="s">
        <v>399</v>
      </c>
      <c r="Q241" s="286" t="s">
        <v>400</v>
      </c>
      <c r="R241" s="286" t="s">
        <v>401</v>
      </c>
      <c r="S241" s="287" t="s">
        <v>402</v>
      </c>
      <c r="T241" s="286" t="s">
        <v>403</v>
      </c>
      <c r="U241" s="287" t="s">
        <v>404</v>
      </c>
      <c r="V241" s="286" t="s">
        <v>405</v>
      </c>
      <c r="W241" s="353" t="str">
        <f>""</f>
        <v/>
      </c>
    </row>
    <row r="242" spans="2:23">
      <c r="B242" t="s">
        <v>384</v>
      </c>
      <c r="C242" s="5" t="str">
        <f t="shared" ref="C242:I242" si="14">C236</f>
        <v>DN250</v>
      </c>
      <c r="D242" s="5" t="str">
        <f t="shared" si="14"/>
        <v>DN250</v>
      </c>
      <c r="E242" s="5" t="str">
        <f t="shared" si="14"/>
        <v>DN250</v>
      </c>
      <c r="F242" s="5" t="str">
        <f t="shared" si="14"/>
        <v>DN250</v>
      </c>
      <c r="G242" s="5" t="str">
        <f t="shared" si="14"/>
        <v>DN250</v>
      </c>
      <c r="H242" s="5" t="str">
        <f t="shared" si="14"/>
        <v>DN250</v>
      </c>
      <c r="I242" s="5" t="str">
        <f t="shared" si="14"/>
        <v>DN250</v>
      </c>
      <c r="J242" s="334" t="str">
        <f t="shared" ref="J242:V242" si="15">J236</f>
        <v>DN250</v>
      </c>
      <c r="K242" s="5" t="str">
        <f t="shared" si="15"/>
        <v>DN250</v>
      </c>
      <c r="L242" s="5" t="str">
        <f t="shared" si="15"/>
        <v>DN250</v>
      </c>
      <c r="M242" s="5" t="str">
        <f t="shared" si="15"/>
        <v>DN250</v>
      </c>
      <c r="N242" s="5" t="str">
        <f t="shared" si="15"/>
        <v>DN250</v>
      </c>
      <c r="O242" s="5" t="str">
        <f t="shared" si="15"/>
        <v>DN250</v>
      </c>
      <c r="P242" s="346" t="str">
        <f t="shared" si="15"/>
        <v>DN250</v>
      </c>
      <c r="Q242" s="5" t="str">
        <f t="shared" si="15"/>
        <v>DN250</v>
      </c>
      <c r="R242" s="5" t="str">
        <f t="shared" si="15"/>
        <v>DN250</v>
      </c>
      <c r="S242" s="5" t="str">
        <f t="shared" si="15"/>
        <v>DN250</v>
      </c>
      <c r="T242" s="5" t="str">
        <f t="shared" si="15"/>
        <v>DN250</v>
      </c>
      <c r="U242" s="5" t="str">
        <f t="shared" si="15"/>
        <v>DN250</v>
      </c>
      <c r="V242" s="5" t="str">
        <f t="shared" si="15"/>
        <v>DN250</v>
      </c>
      <c r="W242" s="353" t="str">
        <f>""</f>
        <v/>
      </c>
    </row>
    <row r="243" spans="2:23">
      <c r="B243" t="s">
        <v>132</v>
      </c>
      <c r="C243" s="306">
        <f t="shared" ref="C243:V243" si="16">C214*$C$4</f>
        <v>120</v>
      </c>
      <c r="D243" s="306">
        <f t="shared" si="16"/>
        <v>120</v>
      </c>
      <c r="E243" s="306">
        <f t="shared" si="16"/>
        <v>120</v>
      </c>
      <c r="F243" s="306">
        <f t="shared" si="16"/>
        <v>120</v>
      </c>
      <c r="G243" s="306">
        <f t="shared" si="16"/>
        <v>120</v>
      </c>
      <c r="H243" s="306">
        <f t="shared" si="16"/>
        <v>120</v>
      </c>
      <c r="I243" s="306">
        <f t="shared" si="16"/>
        <v>120</v>
      </c>
      <c r="J243" s="306">
        <f t="shared" si="16"/>
        <v>120</v>
      </c>
      <c r="K243" s="306">
        <f t="shared" si="16"/>
        <v>120</v>
      </c>
      <c r="L243" s="306">
        <f t="shared" si="16"/>
        <v>120</v>
      </c>
      <c r="M243" s="306">
        <f t="shared" si="16"/>
        <v>120</v>
      </c>
      <c r="N243" s="306">
        <f t="shared" si="16"/>
        <v>120</v>
      </c>
      <c r="O243" s="306">
        <f t="shared" si="16"/>
        <v>120</v>
      </c>
      <c r="P243" s="306">
        <f t="shared" si="16"/>
        <v>120</v>
      </c>
      <c r="Q243" s="306">
        <f t="shared" si="16"/>
        <v>120</v>
      </c>
      <c r="R243" s="306">
        <f t="shared" si="16"/>
        <v>120</v>
      </c>
      <c r="S243" s="306">
        <f t="shared" si="16"/>
        <v>120</v>
      </c>
      <c r="T243" s="306">
        <f t="shared" si="16"/>
        <v>120</v>
      </c>
      <c r="U243" s="306">
        <f t="shared" si="16"/>
        <v>120</v>
      </c>
      <c r="V243" s="306">
        <f t="shared" si="16"/>
        <v>120</v>
      </c>
      <c r="W243" s="353" t="str">
        <f>""</f>
        <v/>
      </c>
    </row>
    <row r="244" spans="2:23">
      <c r="B244" t="s">
        <v>373</v>
      </c>
      <c r="C244" s="306">
        <f t="shared" ref="C244:V244" si="17">ROUND(C215,1)*$C$4</f>
        <v>115.1</v>
      </c>
      <c r="D244">
        <f t="shared" si="17"/>
        <v>102.1</v>
      </c>
      <c r="E244">
        <f t="shared" si="17"/>
        <v>87.1</v>
      </c>
      <c r="F244">
        <f t="shared" si="17"/>
        <v>64.599999999999994</v>
      </c>
      <c r="G244">
        <f t="shared" si="17"/>
        <v>48.5</v>
      </c>
      <c r="H244">
        <f t="shared" si="17"/>
        <v>32.200000000000003</v>
      </c>
      <c r="I244">
        <f t="shared" si="17"/>
        <v>22.8</v>
      </c>
      <c r="J244" s="334">
        <f t="shared" si="17"/>
        <v>239.9</v>
      </c>
      <c r="K244" s="5">
        <f t="shared" si="17"/>
        <v>204.2</v>
      </c>
      <c r="L244" s="5">
        <f t="shared" si="17"/>
        <v>174.1</v>
      </c>
      <c r="M244" s="5">
        <f t="shared" si="17"/>
        <v>129.19999999999999</v>
      </c>
      <c r="N244" s="5">
        <f t="shared" si="17"/>
        <v>97</v>
      </c>
      <c r="O244" s="5">
        <f t="shared" si="17"/>
        <v>64.400000000000006</v>
      </c>
      <c r="P244" s="346">
        <f t="shared" si="17"/>
        <v>45.7</v>
      </c>
      <c r="Q244" s="5">
        <f t="shared" si="17"/>
        <v>506.6</v>
      </c>
      <c r="R244" s="5">
        <f t="shared" si="17"/>
        <v>445</v>
      </c>
      <c r="S244" s="5">
        <f t="shared" si="17"/>
        <v>391.3</v>
      </c>
      <c r="T244" s="5">
        <f t="shared" si="17"/>
        <v>325.2</v>
      </c>
      <c r="U244" s="5">
        <f t="shared" si="17"/>
        <v>238.8</v>
      </c>
      <c r="V244" s="5">
        <f t="shared" si="17"/>
        <v>165.3</v>
      </c>
      <c r="W244" s="353" t="str">
        <f>""</f>
        <v/>
      </c>
    </row>
    <row r="245" spans="2:23">
      <c r="B245" t="s">
        <v>374</v>
      </c>
      <c r="C245" s="5">
        <f t="shared" ref="C245:V245" si="18">C216*$C$4</f>
        <v>120</v>
      </c>
      <c r="D245" s="5">
        <f t="shared" si="18"/>
        <v>120</v>
      </c>
      <c r="E245" s="5">
        <f t="shared" si="18"/>
        <v>120</v>
      </c>
      <c r="F245" s="5">
        <f t="shared" si="18"/>
        <v>120</v>
      </c>
      <c r="G245" s="5">
        <f t="shared" si="18"/>
        <v>120</v>
      </c>
      <c r="H245" s="5">
        <f t="shared" si="18"/>
        <v>120</v>
      </c>
      <c r="I245" s="5">
        <f t="shared" si="18"/>
        <v>120</v>
      </c>
      <c r="J245" s="334">
        <f t="shared" si="18"/>
        <v>120</v>
      </c>
      <c r="K245" s="5">
        <f t="shared" si="18"/>
        <v>120</v>
      </c>
      <c r="L245" s="5">
        <f t="shared" si="18"/>
        <v>120</v>
      </c>
      <c r="M245" s="5">
        <f t="shared" si="18"/>
        <v>120</v>
      </c>
      <c r="N245" s="5">
        <f t="shared" si="18"/>
        <v>120</v>
      </c>
      <c r="O245" s="5">
        <f t="shared" si="18"/>
        <v>120</v>
      </c>
      <c r="P245" s="346">
        <f t="shared" si="18"/>
        <v>120</v>
      </c>
      <c r="Q245" s="5">
        <f t="shared" si="18"/>
        <v>120</v>
      </c>
      <c r="R245" s="5">
        <f t="shared" si="18"/>
        <v>120</v>
      </c>
      <c r="S245" s="5">
        <f t="shared" si="18"/>
        <v>120</v>
      </c>
      <c r="T245" s="5">
        <f t="shared" si="18"/>
        <v>120</v>
      </c>
      <c r="U245" s="5">
        <f t="shared" si="18"/>
        <v>120</v>
      </c>
      <c r="V245" s="5">
        <f t="shared" si="18"/>
        <v>120</v>
      </c>
      <c r="W245" s="353" t="str">
        <f>""</f>
        <v/>
      </c>
    </row>
    <row r="246" spans="2:23">
      <c r="B246" s="4" t="s">
        <v>64</v>
      </c>
      <c r="C246" s="5">
        <f t="shared" ref="C246:V246" si="19">ROUND(C217,1)*$C$4</f>
        <v>23.8</v>
      </c>
      <c r="D246" s="5">
        <f t="shared" si="19"/>
        <v>20.8</v>
      </c>
      <c r="E246" s="5">
        <f t="shared" si="19"/>
        <v>17.100000000000001</v>
      </c>
      <c r="F246" s="5">
        <f t="shared" si="19"/>
        <v>13.2</v>
      </c>
      <c r="G246" s="5">
        <f t="shared" si="19"/>
        <v>9.6999999999999993</v>
      </c>
      <c r="H246" s="5">
        <f t="shared" si="19"/>
        <v>6.7</v>
      </c>
      <c r="I246" s="5">
        <f t="shared" si="19"/>
        <v>4.7</v>
      </c>
      <c r="J246" s="334">
        <f t="shared" si="19"/>
        <v>47.8</v>
      </c>
      <c r="K246" s="5">
        <f t="shared" si="19"/>
        <v>41.6</v>
      </c>
      <c r="L246" s="5">
        <f t="shared" si="19"/>
        <v>34.1</v>
      </c>
      <c r="M246" s="5">
        <f t="shared" si="19"/>
        <v>26.4</v>
      </c>
      <c r="N246" s="5">
        <f t="shared" si="19"/>
        <v>19.399999999999999</v>
      </c>
      <c r="O246" s="5">
        <f t="shared" si="19"/>
        <v>13.5</v>
      </c>
      <c r="P246" s="346">
        <f t="shared" si="19"/>
        <v>9.5</v>
      </c>
      <c r="Q246" s="5">
        <f t="shared" si="19"/>
        <v>95.3</v>
      </c>
      <c r="R246" s="5">
        <f t="shared" si="19"/>
        <v>86.2</v>
      </c>
      <c r="S246" s="5">
        <f t="shared" si="19"/>
        <v>77.5</v>
      </c>
      <c r="T246" s="5">
        <f t="shared" si="19"/>
        <v>63.9</v>
      </c>
      <c r="U246" s="5">
        <f t="shared" si="19"/>
        <v>47.6</v>
      </c>
      <c r="V246" s="5">
        <f t="shared" si="19"/>
        <v>32.700000000000003</v>
      </c>
      <c r="W246" s="353" t="str">
        <f>""</f>
        <v/>
      </c>
    </row>
    <row r="247" spans="2:23">
      <c r="B247" t="s">
        <v>375</v>
      </c>
      <c r="C247" s="5">
        <f t="shared" ref="C247:V247" si="20">C218</f>
        <v>1</v>
      </c>
      <c r="D247" s="5">
        <f t="shared" si="20"/>
        <v>1</v>
      </c>
      <c r="E247" s="5">
        <f t="shared" si="20"/>
        <v>1</v>
      </c>
      <c r="F247" s="5">
        <f t="shared" si="20"/>
        <v>1</v>
      </c>
      <c r="G247" s="5">
        <f t="shared" si="20"/>
        <v>1</v>
      </c>
      <c r="H247" s="5">
        <f t="shared" si="20"/>
        <v>1</v>
      </c>
      <c r="I247" s="5">
        <f t="shared" si="20"/>
        <v>1</v>
      </c>
      <c r="J247" s="334">
        <f t="shared" si="20"/>
        <v>1</v>
      </c>
      <c r="K247" s="5">
        <f t="shared" si="20"/>
        <v>1</v>
      </c>
      <c r="L247" s="5">
        <f t="shared" si="20"/>
        <v>1</v>
      </c>
      <c r="M247" s="5">
        <f t="shared" si="20"/>
        <v>1</v>
      </c>
      <c r="N247" s="5">
        <f t="shared" si="20"/>
        <v>1</v>
      </c>
      <c r="O247" s="5">
        <f t="shared" si="20"/>
        <v>1</v>
      </c>
      <c r="P247" s="346">
        <f t="shared" si="20"/>
        <v>1</v>
      </c>
      <c r="Q247" s="5">
        <f t="shared" si="20"/>
        <v>1</v>
      </c>
      <c r="R247" s="5">
        <f t="shared" si="20"/>
        <v>1</v>
      </c>
      <c r="S247" s="5">
        <f t="shared" si="20"/>
        <v>1</v>
      </c>
      <c r="T247" s="5">
        <f t="shared" si="20"/>
        <v>1</v>
      </c>
      <c r="U247" s="5">
        <f t="shared" si="20"/>
        <v>1</v>
      </c>
      <c r="V247" s="5">
        <f t="shared" si="20"/>
        <v>1</v>
      </c>
      <c r="W247" s="353" t="str">
        <f>""</f>
        <v/>
      </c>
    </row>
    <row r="248" spans="2:23">
      <c r="B248" t="s">
        <v>66</v>
      </c>
      <c r="C248" s="352">
        <f t="shared" ref="C248:V248" si="21">ROUND(C219,3)</f>
        <v>0.19800000000000001</v>
      </c>
      <c r="D248" s="352">
        <f t="shared" si="21"/>
        <v>0.17299999999999999</v>
      </c>
      <c r="E248" s="352">
        <f t="shared" si="21"/>
        <v>0.14199999999999999</v>
      </c>
      <c r="F248" s="352">
        <f t="shared" si="21"/>
        <v>0.11</v>
      </c>
      <c r="G248" s="352">
        <f t="shared" si="21"/>
        <v>8.1000000000000003E-2</v>
      </c>
      <c r="H248" s="352">
        <f t="shared" si="21"/>
        <v>5.6000000000000001E-2</v>
      </c>
      <c r="I248" s="352">
        <f t="shared" si="21"/>
        <v>3.9E-2</v>
      </c>
      <c r="J248" s="352">
        <f t="shared" si="21"/>
        <v>0.39900000000000002</v>
      </c>
      <c r="K248" s="352">
        <f t="shared" si="21"/>
        <v>0.34699999999999998</v>
      </c>
      <c r="L248" s="352">
        <f t="shared" si="21"/>
        <v>0.28499999999999998</v>
      </c>
      <c r="M248" s="352">
        <f t="shared" si="21"/>
        <v>0.22</v>
      </c>
      <c r="N248" s="352">
        <f t="shared" si="21"/>
        <v>0.16200000000000001</v>
      </c>
      <c r="O248" s="352">
        <f t="shared" si="21"/>
        <v>0.112</v>
      </c>
      <c r="P248" s="352">
        <f t="shared" si="21"/>
        <v>7.9000000000000001E-2</v>
      </c>
      <c r="Q248" s="352">
        <f t="shared" si="21"/>
        <v>0.79400000000000004</v>
      </c>
      <c r="R248" s="352">
        <f t="shared" si="21"/>
        <v>0.71799999999999997</v>
      </c>
      <c r="S248" s="352">
        <f t="shared" si="21"/>
        <v>0.64600000000000002</v>
      </c>
      <c r="T248" s="352">
        <f t="shared" si="21"/>
        <v>0.53200000000000003</v>
      </c>
      <c r="U248" s="352">
        <f t="shared" si="21"/>
        <v>0.39700000000000002</v>
      </c>
      <c r="V248" s="352">
        <f t="shared" si="21"/>
        <v>0.27200000000000002</v>
      </c>
      <c r="W248" s="353" t="str">
        <f>""</f>
        <v/>
      </c>
    </row>
    <row r="249" spans="2:23">
      <c r="B249" t="s">
        <v>231</v>
      </c>
      <c r="C249" s="5">
        <f t="shared" ref="C249:V249" si="22">IF(ROUND(C220,1)&lt;5, "&lt; 5",ROUND(C220,1))</f>
        <v>38</v>
      </c>
      <c r="D249" s="5">
        <f t="shared" si="22"/>
        <v>48.3</v>
      </c>
      <c r="E249" s="5">
        <f t="shared" si="22"/>
        <v>66.5</v>
      </c>
      <c r="F249" s="5">
        <f t="shared" si="22"/>
        <v>120.7</v>
      </c>
      <c r="G249" s="5">
        <f t="shared" si="22"/>
        <v>214.4</v>
      </c>
      <c r="H249" s="5">
        <f t="shared" si="22"/>
        <v>486</v>
      </c>
      <c r="I249" s="5">
        <f t="shared" si="22"/>
        <v>966.4</v>
      </c>
      <c r="J249" s="334">
        <f t="shared" si="22"/>
        <v>8.8000000000000007</v>
      </c>
      <c r="K249" s="5">
        <f t="shared" si="22"/>
        <v>12.1</v>
      </c>
      <c r="L249" s="5">
        <f t="shared" si="22"/>
        <v>16.600000000000001</v>
      </c>
      <c r="M249" s="5">
        <f t="shared" si="22"/>
        <v>30.2</v>
      </c>
      <c r="N249" s="5">
        <f t="shared" si="22"/>
        <v>53.6</v>
      </c>
      <c r="O249" s="5">
        <f t="shared" si="22"/>
        <v>121.5</v>
      </c>
      <c r="P249" s="346">
        <f t="shared" si="22"/>
        <v>241.6</v>
      </c>
      <c r="Q249" s="5" t="str">
        <f t="shared" si="22"/>
        <v>&lt; 5</v>
      </c>
      <c r="R249" s="5" t="str">
        <f t="shared" si="22"/>
        <v>&lt; 5</v>
      </c>
      <c r="S249" s="5" t="str">
        <f t="shared" si="22"/>
        <v>&lt; 5</v>
      </c>
      <c r="T249" s="5" t="str">
        <f t="shared" si="22"/>
        <v>&lt; 5</v>
      </c>
      <c r="U249" s="5">
        <f t="shared" si="22"/>
        <v>8.8000000000000007</v>
      </c>
      <c r="V249" s="5">
        <f t="shared" si="22"/>
        <v>18.399999999999999</v>
      </c>
      <c r="W249" s="353" t="str">
        <f>""</f>
        <v/>
      </c>
    </row>
    <row r="250" spans="2:23">
      <c r="B250" t="s">
        <v>376</v>
      </c>
      <c r="C250" s="306">
        <f t="shared" ref="C250:V250" si="23">IF(ROUND(C221,1)&lt;5, "&lt; 5",ROUND(C221,1))</f>
        <v>41.7</v>
      </c>
      <c r="D250" s="208">
        <f t="shared" si="23"/>
        <v>52</v>
      </c>
      <c r="E250" s="208">
        <f t="shared" si="23"/>
        <v>70.099999999999994</v>
      </c>
      <c r="F250" s="208">
        <f t="shared" si="23"/>
        <v>124.4</v>
      </c>
      <c r="G250" s="208">
        <f t="shared" si="23"/>
        <v>218</v>
      </c>
      <c r="H250" s="208">
        <f t="shared" si="23"/>
        <v>489.6</v>
      </c>
      <c r="I250" s="208">
        <f t="shared" si="23"/>
        <v>970.1</v>
      </c>
      <c r="J250" s="349">
        <f t="shared" si="23"/>
        <v>12.4</v>
      </c>
      <c r="K250" s="306">
        <f t="shared" si="23"/>
        <v>15.7</v>
      </c>
      <c r="L250" s="306">
        <f t="shared" si="23"/>
        <v>20.3</v>
      </c>
      <c r="M250" s="306">
        <f t="shared" si="23"/>
        <v>33.799999999999997</v>
      </c>
      <c r="N250" s="306">
        <f t="shared" si="23"/>
        <v>57.2</v>
      </c>
      <c r="O250" s="306">
        <f t="shared" si="23"/>
        <v>125.1</v>
      </c>
      <c r="P250" s="307">
        <f t="shared" si="23"/>
        <v>245.3</v>
      </c>
      <c r="Q250" s="306">
        <f t="shared" si="23"/>
        <v>5.6</v>
      </c>
      <c r="R250" s="306">
        <f t="shared" si="23"/>
        <v>6.2</v>
      </c>
      <c r="S250" s="306">
        <f t="shared" si="23"/>
        <v>6.9</v>
      </c>
      <c r="T250" s="306">
        <f t="shared" si="23"/>
        <v>8.4</v>
      </c>
      <c r="U250" s="306">
        <f t="shared" si="23"/>
        <v>12.5</v>
      </c>
      <c r="V250" s="306">
        <f t="shared" si="23"/>
        <v>22.1</v>
      </c>
      <c r="W250" s="353" t="str">
        <f>""</f>
        <v/>
      </c>
    </row>
    <row r="251" spans="2:23">
      <c r="B251" t="s">
        <v>377</v>
      </c>
      <c r="C251" s="5">
        <f t="shared" ref="C251:V251" si="24">C222</f>
        <v>35</v>
      </c>
      <c r="D251" s="5">
        <f t="shared" si="24"/>
        <v>35</v>
      </c>
      <c r="E251" s="5">
        <f t="shared" si="24"/>
        <v>35</v>
      </c>
      <c r="F251" s="5">
        <f t="shared" si="24"/>
        <v>35</v>
      </c>
      <c r="G251" s="5">
        <f t="shared" si="24"/>
        <v>35</v>
      </c>
      <c r="H251" s="5">
        <f t="shared" si="24"/>
        <v>35</v>
      </c>
      <c r="I251" s="5">
        <f t="shared" si="24"/>
        <v>35</v>
      </c>
      <c r="J251" s="334">
        <f t="shared" si="24"/>
        <v>35</v>
      </c>
      <c r="K251" s="5">
        <f t="shared" si="24"/>
        <v>35</v>
      </c>
      <c r="L251" s="5">
        <f t="shared" si="24"/>
        <v>35</v>
      </c>
      <c r="M251" s="5">
        <f t="shared" si="24"/>
        <v>35</v>
      </c>
      <c r="N251" s="5">
        <f t="shared" si="24"/>
        <v>35</v>
      </c>
      <c r="O251" s="5">
        <f t="shared" si="24"/>
        <v>35</v>
      </c>
      <c r="P251" s="346">
        <f t="shared" si="24"/>
        <v>35</v>
      </c>
      <c r="Q251" s="5">
        <f t="shared" si="24"/>
        <v>35</v>
      </c>
      <c r="R251" s="5">
        <f t="shared" si="24"/>
        <v>35</v>
      </c>
      <c r="S251" s="5">
        <f t="shared" si="24"/>
        <v>35</v>
      </c>
      <c r="T251" s="5">
        <f t="shared" si="24"/>
        <v>35</v>
      </c>
      <c r="U251" s="5">
        <f t="shared" si="24"/>
        <v>35</v>
      </c>
      <c r="V251" s="5">
        <f t="shared" si="24"/>
        <v>35</v>
      </c>
      <c r="W251" s="353" t="str">
        <f>""</f>
        <v/>
      </c>
    </row>
    <row r="252" spans="2:23">
      <c r="B252" t="s">
        <v>73</v>
      </c>
      <c r="C252" s="5">
        <f t="shared" ref="C252:V252" si="25">IF(ROUND(C223,1)&lt;15, "&lt; 15",ROUND(C223,1))</f>
        <v>44.6</v>
      </c>
      <c r="D252" s="5">
        <f t="shared" si="25"/>
        <v>47.3</v>
      </c>
      <c r="E252" s="5">
        <f t="shared" si="25"/>
        <v>50.8</v>
      </c>
      <c r="F252" s="5">
        <f t="shared" si="25"/>
        <v>57.6</v>
      </c>
      <c r="G252" s="5">
        <f t="shared" si="25"/>
        <v>64</v>
      </c>
      <c r="H252" s="5">
        <f t="shared" si="25"/>
        <v>73.2</v>
      </c>
      <c r="I252" s="5">
        <f t="shared" si="25"/>
        <v>80.900000000000006</v>
      </c>
      <c r="J252" s="334">
        <f t="shared" si="25"/>
        <v>27.2</v>
      </c>
      <c r="K252" s="5">
        <f t="shared" si="25"/>
        <v>32</v>
      </c>
      <c r="L252" s="5">
        <f t="shared" si="25"/>
        <v>37</v>
      </c>
      <c r="M252" s="5">
        <f t="shared" si="25"/>
        <v>40.799999999999997</v>
      </c>
      <c r="N252" s="5">
        <f t="shared" si="25"/>
        <v>46</v>
      </c>
      <c r="O252" s="5">
        <f t="shared" si="25"/>
        <v>54</v>
      </c>
      <c r="P252" s="346">
        <f t="shared" si="25"/>
        <v>60.1</v>
      </c>
      <c r="Q252" s="5" t="str">
        <f t="shared" si="25"/>
        <v>&lt; 15</v>
      </c>
      <c r="R252" s="5" t="str">
        <f t="shared" si="25"/>
        <v>&lt; 15</v>
      </c>
      <c r="S252" s="5">
        <f t="shared" si="25"/>
        <v>22.2</v>
      </c>
      <c r="T252" s="5">
        <f t="shared" si="25"/>
        <v>24.1</v>
      </c>
      <c r="U252" s="5">
        <f t="shared" si="25"/>
        <v>27.9</v>
      </c>
      <c r="V252" s="5">
        <f t="shared" si="25"/>
        <v>33.799999999999997</v>
      </c>
      <c r="W252" s="353" t="str">
        <f>""</f>
        <v/>
      </c>
    </row>
    <row r="253" spans="2:23">
      <c r="B253" t="s">
        <v>75</v>
      </c>
      <c r="C253" s="5">
        <f t="shared" ref="C253:V253" si="26">IF(ROUND(C224,1)&lt;10, "&lt; 10", ROUND(C224,1))</f>
        <v>29.6</v>
      </c>
      <c r="D253">
        <f t="shared" si="26"/>
        <v>32.299999999999997</v>
      </c>
      <c r="E253">
        <f t="shared" si="26"/>
        <v>35.799999999999997</v>
      </c>
      <c r="F253">
        <f t="shared" si="26"/>
        <v>42.6</v>
      </c>
      <c r="G253">
        <f t="shared" si="26"/>
        <v>49</v>
      </c>
      <c r="H253">
        <f t="shared" si="26"/>
        <v>58.2</v>
      </c>
      <c r="I253">
        <f t="shared" si="26"/>
        <v>65.900000000000006</v>
      </c>
      <c r="J253" s="334">
        <f t="shared" si="26"/>
        <v>12.2</v>
      </c>
      <c r="K253" s="5">
        <f t="shared" si="26"/>
        <v>17</v>
      </c>
      <c r="L253" s="5">
        <f t="shared" si="26"/>
        <v>22</v>
      </c>
      <c r="M253" s="5">
        <f t="shared" si="26"/>
        <v>25.8</v>
      </c>
      <c r="N253" s="5">
        <f t="shared" si="26"/>
        <v>31</v>
      </c>
      <c r="O253" s="5">
        <f t="shared" si="26"/>
        <v>39</v>
      </c>
      <c r="P253" s="346">
        <f t="shared" si="26"/>
        <v>45.1</v>
      </c>
      <c r="Q253" s="5" t="str">
        <f t="shared" si="26"/>
        <v>&lt; 10</v>
      </c>
      <c r="R253" s="5" t="str">
        <f t="shared" si="26"/>
        <v>&lt; 10</v>
      </c>
      <c r="S253" s="5" t="str">
        <f t="shared" si="26"/>
        <v>&lt; 10</v>
      </c>
      <c r="T253" s="5" t="str">
        <f t="shared" si="26"/>
        <v>&lt; 10</v>
      </c>
      <c r="U253" s="5">
        <f t="shared" si="26"/>
        <v>12.9</v>
      </c>
      <c r="V253" s="5">
        <f t="shared" si="26"/>
        <v>18.8</v>
      </c>
      <c r="W253" s="353" t="str">
        <f>""</f>
        <v/>
      </c>
    </row>
    <row r="254" spans="2:23">
      <c r="B254" s="4" t="s">
        <v>378</v>
      </c>
      <c r="C254" s="305">
        <f>IF(C225&gt;20,20,ROUND(C225,1))</f>
        <v>13.4</v>
      </c>
      <c r="D254">
        <f t="shared" ref="D254:V254" si="27">IF(D225&gt;20,20,ROUND(D225,1))</f>
        <v>14.2</v>
      </c>
      <c r="E254">
        <f t="shared" si="27"/>
        <v>15.1</v>
      </c>
      <c r="F254">
        <f t="shared" si="27"/>
        <v>16.7</v>
      </c>
      <c r="G254">
        <f t="shared" si="27"/>
        <v>18</v>
      </c>
      <c r="H254">
        <f t="shared" si="27"/>
        <v>20</v>
      </c>
      <c r="I254">
        <f t="shared" si="27"/>
        <v>20</v>
      </c>
      <c r="J254" s="334">
        <f t="shared" si="27"/>
        <v>9.6999999999999993</v>
      </c>
      <c r="K254" s="5">
        <f t="shared" si="27"/>
        <v>10.199999999999999</v>
      </c>
      <c r="L254" s="5">
        <f t="shared" si="27"/>
        <v>11.4</v>
      </c>
      <c r="M254" s="5">
        <f t="shared" si="27"/>
        <v>12.7</v>
      </c>
      <c r="N254" s="5">
        <f t="shared" si="27"/>
        <v>14.2</v>
      </c>
      <c r="O254" s="5">
        <f t="shared" si="27"/>
        <v>15.7</v>
      </c>
      <c r="P254" s="346">
        <f t="shared" si="27"/>
        <v>17.600000000000001</v>
      </c>
      <c r="Q254" s="5">
        <f t="shared" si="27"/>
        <v>7.2</v>
      </c>
      <c r="R254" s="5">
        <f t="shared" si="27"/>
        <v>7.7</v>
      </c>
      <c r="S254" s="5">
        <f t="shared" si="27"/>
        <v>8.5</v>
      </c>
      <c r="T254" s="5">
        <f t="shared" si="27"/>
        <v>9.1999999999999993</v>
      </c>
      <c r="U254" s="5">
        <f t="shared" si="27"/>
        <v>9.9</v>
      </c>
      <c r="V254" s="5">
        <f t="shared" si="27"/>
        <v>10.6</v>
      </c>
      <c r="W254" s="353" t="str">
        <f>""</f>
        <v/>
      </c>
    </row>
    <row r="255" spans="2:23">
      <c r="B255" s="4" t="s">
        <v>406</v>
      </c>
      <c r="C255" s="305">
        <f>IF(C226&gt;20,20,ROUND(C226,1))</f>
        <v>9</v>
      </c>
      <c r="D255">
        <f t="shared" ref="D255:V255" si="28">IF(D226&gt;20,20,ROUND(D226,1))</f>
        <v>9.5</v>
      </c>
      <c r="E255">
        <f t="shared" si="28"/>
        <v>10.1</v>
      </c>
      <c r="F255">
        <f t="shared" si="28"/>
        <v>11.1</v>
      </c>
      <c r="G255">
        <f t="shared" si="28"/>
        <v>12</v>
      </c>
      <c r="H255">
        <f t="shared" si="28"/>
        <v>13.5</v>
      </c>
      <c r="I255">
        <f t="shared" si="28"/>
        <v>14.5</v>
      </c>
      <c r="J255" s="334">
        <f t="shared" si="28"/>
        <v>6.5</v>
      </c>
      <c r="K255" s="5">
        <f t="shared" si="28"/>
        <v>6.8</v>
      </c>
      <c r="L255" s="5">
        <f t="shared" si="28"/>
        <v>7.6</v>
      </c>
      <c r="M255" s="5">
        <f t="shared" si="28"/>
        <v>8.4</v>
      </c>
      <c r="N255" s="5">
        <f t="shared" si="28"/>
        <v>9.5</v>
      </c>
      <c r="O255" s="5">
        <f t="shared" si="28"/>
        <v>10.5</v>
      </c>
      <c r="P255" s="346">
        <f t="shared" si="28"/>
        <v>11.7</v>
      </c>
      <c r="Q255" s="5">
        <f t="shared" si="28"/>
        <v>4.8</v>
      </c>
      <c r="R255" s="5">
        <f t="shared" si="28"/>
        <v>5.0999999999999996</v>
      </c>
      <c r="S255" s="5">
        <f t="shared" si="28"/>
        <v>5.6</v>
      </c>
      <c r="T255" s="5">
        <f t="shared" si="28"/>
        <v>6.1</v>
      </c>
      <c r="U255" s="5">
        <f t="shared" si="28"/>
        <v>6.6</v>
      </c>
      <c r="V255" s="5">
        <f t="shared" si="28"/>
        <v>7</v>
      </c>
      <c r="W255" s="353" t="str">
        <f>""</f>
        <v/>
      </c>
    </row>
    <row r="256" spans="2:23">
      <c r="B256" s="4" t="s">
        <v>380</v>
      </c>
      <c r="C256" s="5">
        <f>IF(AND(ISNUMBER(C227),ISNUMBER(C228)),ROUND(C227,1),"-")</f>
        <v>14.4</v>
      </c>
      <c r="D256" s="5">
        <f t="shared" ref="D256:V256" si="29">IF(AND(ISNUMBER(D227),ISNUMBER(D228)),ROUND(D227,1),"-")</f>
        <v>15</v>
      </c>
      <c r="E256" s="5">
        <f t="shared" si="29"/>
        <v>16.2</v>
      </c>
      <c r="F256" s="5">
        <f t="shared" si="29"/>
        <v>19.100000000000001</v>
      </c>
      <c r="G256" s="5">
        <f t="shared" si="29"/>
        <v>22.7</v>
      </c>
      <c r="H256" s="5" t="str">
        <f t="shared" si="29"/>
        <v>-</v>
      </c>
      <c r="I256" s="5" t="str">
        <f t="shared" si="29"/>
        <v>-</v>
      </c>
      <c r="J256" s="334">
        <f t="shared" si="29"/>
        <v>12.7</v>
      </c>
      <c r="K256" s="5">
        <f t="shared" si="29"/>
        <v>13</v>
      </c>
      <c r="L256" s="5">
        <f t="shared" si="29"/>
        <v>13.3</v>
      </c>
      <c r="M256" s="5">
        <f t="shared" si="29"/>
        <v>14</v>
      </c>
      <c r="N256" s="5">
        <f t="shared" si="29"/>
        <v>15.3</v>
      </c>
      <c r="O256" s="5">
        <f t="shared" si="29"/>
        <v>18.8</v>
      </c>
      <c r="P256" s="346">
        <f t="shared" si="29"/>
        <v>22.9</v>
      </c>
      <c r="Q256" s="5">
        <f t="shared" si="29"/>
        <v>12.1</v>
      </c>
      <c r="R256" s="5">
        <f t="shared" si="29"/>
        <v>12.2</v>
      </c>
      <c r="S256" s="5">
        <f t="shared" si="29"/>
        <v>12.3</v>
      </c>
      <c r="T256" s="5">
        <f t="shared" si="29"/>
        <v>12.4</v>
      </c>
      <c r="U256" s="5">
        <f t="shared" si="29"/>
        <v>12.8</v>
      </c>
      <c r="V256" s="5">
        <f t="shared" si="29"/>
        <v>13.4</v>
      </c>
      <c r="W256" s="353" t="str">
        <f>""</f>
        <v/>
      </c>
    </row>
    <row r="257" spans="1:23">
      <c r="B257" t="s">
        <v>381</v>
      </c>
      <c r="C257" s="5">
        <f>IF(AND(ISNUMBER(C228),ISNUMBER(C229)),ROUND(C228,1),"-")</f>
        <v>12.9</v>
      </c>
      <c r="D257" s="5">
        <f t="shared" ref="D257:V257" si="30">IF(AND(ISNUMBER(D228),ISNUMBER(D229)),ROUND(D228,1),"-")</f>
        <v>13.5</v>
      </c>
      <c r="E257" s="5">
        <f t="shared" si="30"/>
        <v>14.6</v>
      </c>
      <c r="F257" s="5">
        <f t="shared" si="30"/>
        <v>17.2</v>
      </c>
      <c r="G257" s="5">
        <f t="shared" si="30"/>
        <v>22.7</v>
      </c>
      <c r="H257" s="5" t="str">
        <f t="shared" si="30"/>
        <v>-</v>
      </c>
      <c r="I257" s="5" t="str">
        <f t="shared" si="30"/>
        <v>-</v>
      </c>
      <c r="J257" s="334">
        <f t="shared" si="30"/>
        <v>11.5</v>
      </c>
      <c r="K257" s="5">
        <f t="shared" si="30"/>
        <v>11.6</v>
      </c>
      <c r="L257" s="5">
        <f t="shared" si="30"/>
        <v>12</v>
      </c>
      <c r="M257" s="5">
        <f t="shared" si="30"/>
        <v>12.6</v>
      </c>
      <c r="N257" s="5">
        <f t="shared" si="30"/>
        <v>13.8</v>
      </c>
      <c r="O257" s="5">
        <f t="shared" si="30"/>
        <v>17</v>
      </c>
      <c r="P257" s="346">
        <f t="shared" si="30"/>
        <v>22.9</v>
      </c>
      <c r="Q257" s="5">
        <f t="shared" si="30"/>
        <v>10.9</v>
      </c>
      <c r="R257" s="5">
        <f t="shared" si="30"/>
        <v>11</v>
      </c>
      <c r="S257" s="5">
        <f t="shared" si="30"/>
        <v>11</v>
      </c>
      <c r="T257" s="5">
        <f t="shared" si="30"/>
        <v>11.2</v>
      </c>
      <c r="U257" s="5">
        <f t="shared" si="30"/>
        <v>11.5</v>
      </c>
      <c r="V257" s="5">
        <f t="shared" si="30"/>
        <v>12.1</v>
      </c>
      <c r="W257" s="353" t="str">
        <f>""</f>
        <v/>
      </c>
    </row>
    <row r="258" spans="1:23">
      <c r="B258" t="s">
        <v>244</v>
      </c>
      <c r="C258" s="5">
        <f>IF(AND(ISNUMBER(C228),ISNUMBER(C229)),ROUND(C229,1),"-")</f>
        <v>2.8</v>
      </c>
      <c r="D258" s="5">
        <f t="shared" ref="D258:V258" si="31">IF(AND(ISNUMBER(D228),ISNUMBER(D229)),ROUND(D229,1),"-")</f>
        <v>2.9</v>
      </c>
      <c r="E258" s="5">
        <f t="shared" si="31"/>
        <v>3</v>
      </c>
      <c r="F258" s="5">
        <f t="shared" si="31"/>
        <v>3.4</v>
      </c>
      <c r="G258" s="5">
        <f t="shared" si="31"/>
        <v>4.3</v>
      </c>
      <c r="H258" s="5" t="str">
        <f t="shared" si="31"/>
        <v>-</v>
      </c>
      <c r="I258" s="5" t="str">
        <f t="shared" si="31"/>
        <v>-</v>
      </c>
      <c r="J258" s="334">
        <f t="shared" si="31"/>
        <v>2.5</v>
      </c>
      <c r="K258" s="5">
        <f t="shared" si="31"/>
        <v>2.6</v>
      </c>
      <c r="L258" s="5">
        <f t="shared" si="31"/>
        <v>2.6</v>
      </c>
      <c r="M258" s="5">
        <f t="shared" si="31"/>
        <v>2.7</v>
      </c>
      <c r="N258" s="5">
        <f t="shared" si="31"/>
        <v>2.9</v>
      </c>
      <c r="O258" s="5">
        <f t="shared" si="31"/>
        <v>3.4</v>
      </c>
      <c r="P258" s="346">
        <f t="shared" si="31"/>
        <v>4.5</v>
      </c>
      <c r="Q258" s="5">
        <f t="shared" si="31"/>
        <v>2.4</v>
      </c>
      <c r="R258" s="5">
        <f t="shared" si="31"/>
        <v>2.5</v>
      </c>
      <c r="S258" s="5">
        <f t="shared" si="31"/>
        <v>2.5</v>
      </c>
      <c r="T258" s="5">
        <f t="shared" si="31"/>
        <v>2.5</v>
      </c>
      <c r="U258" s="5">
        <f t="shared" si="31"/>
        <v>2.5</v>
      </c>
      <c r="V258" s="5">
        <f t="shared" si="31"/>
        <v>2.6</v>
      </c>
      <c r="W258" s="353" t="str">
        <f>""</f>
        <v/>
      </c>
    </row>
    <row r="259" spans="1:23">
      <c r="B259" t="s">
        <v>238</v>
      </c>
      <c r="C259" s="305">
        <f t="shared" ref="C259" si="32">ROUND(C230,1)</f>
        <v>2.2999999999999998</v>
      </c>
      <c r="D259" s="305">
        <f t="shared" ref="D259:V259" si="33">ROUND(D230,1)</f>
        <v>2.2999999999999998</v>
      </c>
      <c r="E259" s="305">
        <f t="shared" si="33"/>
        <v>2.2999999999999998</v>
      </c>
      <c r="F259" s="305">
        <f t="shared" si="33"/>
        <v>2.2999999999999998</v>
      </c>
      <c r="G259" s="305">
        <f t="shared" si="33"/>
        <v>2.2999999999999998</v>
      </c>
      <c r="H259" s="305">
        <f t="shared" si="33"/>
        <v>2.2999999999999998</v>
      </c>
      <c r="I259" s="305">
        <f t="shared" si="33"/>
        <v>2.2999999999999998</v>
      </c>
      <c r="J259" s="350">
        <f t="shared" si="33"/>
        <v>2.4</v>
      </c>
      <c r="K259" s="305">
        <f t="shared" si="33"/>
        <v>2.4</v>
      </c>
      <c r="L259" s="305">
        <f t="shared" si="33"/>
        <v>2.4</v>
      </c>
      <c r="M259" s="305">
        <f t="shared" si="33"/>
        <v>2.4</v>
      </c>
      <c r="N259" s="305">
        <f t="shared" si="33"/>
        <v>2.4</v>
      </c>
      <c r="O259" s="305">
        <f t="shared" si="33"/>
        <v>2.4</v>
      </c>
      <c r="P259" s="308">
        <f t="shared" si="33"/>
        <v>2.4</v>
      </c>
      <c r="Q259" s="305">
        <f t="shared" si="33"/>
        <v>2.4</v>
      </c>
      <c r="R259" s="305">
        <f t="shared" si="33"/>
        <v>2.4</v>
      </c>
      <c r="S259" s="305">
        <f t="shared" si="33"/>
        <v>2.4</v>
      </c>
      <c r="T259" s="305">
        <f t="shared" si="33"/>
        <v>2.4</v>
      </c>
      <c r="U259" s="305">
        <f t="shared" si="33"/>
        <v>2.4</v>
      </c>
      <c r="V259" s="305">
        <f t="shared" si="33"/>
        <v>2.4</v>
      </c>
      <c r="W259" s="353" t="str">
        <f>""</f>
        <v/>
      </c>
    </row>
    <row r="260" spans="1:23">
      <c r="B260" t="s">
        <v>382</v>
      </c>
      <c r="C260" s="5">
        <f>IF(OR(C$257="-",C$258="-"),"-",ROUND(C231,2))</f>
        <v>0.11</v>
      </c>
      <c r="D260" s="5">
        <f t="shared" ref="D260:V260" si="34">IF(OR(D$257="-",D$258="-"),"-",ROUND(D231,2))</f>
        <v>0.11</v>
      </c>
      <c r="E260" s="5">
        <f t="shared" si="34"/>
        <v>0.11</v>
      </c>
      <c r="F260" s="5">
        <f t="shared" si="34"/>
        <v>0.12</v>
      </c>
      <c r="G260" s="5">
        <f t="shared" si="34"/>
        <v>0.13</v>
      </c>
      <c r="H260" s="5" t="str">
        <f t="shared" si="34"/>
        <v>-</v>
      </c>
      <c r="I260" s="5" t="str">
        <f t="shared" si="34"/>
        <v>-</v>
      </c>
      <c r="J260" s="334">
        <f t="shared" si="34"/>
        <v>0.1</v>
      </c>
      <c r="K260" s="5">
        <f t="shared" si="34"/>
        <v>0.1</v>
      </c>
      <c r="L260" s="5">
        <f t="shared" si="34"/>
        <v>0.1</v>
      </c>
      <c r="M260" s="5">
        <f t="shared" si="34"/>
        <v>0.11</v>
      </c>
      <c r="N260" s="5">
        <f t="shared" si="34"/>
        <v>0.11</v>
      </c>
      <c r="O260" s="5">
        <f t="shared" si="34"/>
        <v>0.12</v>
      </c>
      <c r="P260" s="346">
        <f t="shared" si="34"/>
        <v>0.13</v>
      </c>
      <c r="Q260" s="5">
        <f t="shared" si="34"/>
        <v>0.09</v>
      </c>
      <c r="R260" s="5">
        <f t="shared" si="34"/>
        <v>0.09</v>
      </c>
      <c r="S260" s="5">
        <f t="shared" si="34"/>
        <v>0.09</v>
      </c>
      <c r="T260" s="5">
        <f t="shared" si="34"/>
        <v>0.1</v>
      </c>
      <c r="U260" s="5">
        <f t="shared" si="34"/>
        <v>0.1</v>
      </c>
      <c r="V260" s="5">
        <f t="shared" si="34"/>
        <v>0.1</v>
      </c>
      <c r="W260" s="353" t="str">
        <f>""</f>
        <v/>
      </c>
    </row>
    <row r="261" spans="1:23">
      <c r="B261" t="s">
        <v>383</v>
      </c>
      <c r="C261">
        <f>IF(AND(ISNUMBER(C$257), ISNUMBER(C$258)),ROUND(C232,3),"-")</f>
        <v>8.8999999999999996E-2</v>
      </c>
      <c r="D261">
        <f t="shared" ref="D261:V261" si="35">IF(AND(ISNUMBER(D$257), ISNUMBER(D$258)),ROUND(D232,3),"-")</f>
        <v>9.1999999999999998E-2</v>
      </c>
      <c r="E261">
        <f t="shared" si="35"/>
        <v>9.7000000000000003E-2</v>
      </c>
      <c r="F261">
        <f t="shared" si="35"/>
        <v>0.105</v>
      </c>
      <c r="G261">
        <f t="shared" si="35"/>
        <v>0.11700000000000001</v>
      </c>
      <c r="H261" t="str">
        <f t="shared" si="35"/>
        <v>-</v>
      </c>
      <c r="I261" t="str">
        <f t="shared" si="35"/>
        <v>-</v>
      </c>
      <c r="J261" s="334">
        <f t="shared" si="35"/>
        <v>7.6999999999999999E-2</v>
      </c>
      <c r="K261" s="5">
        <f t="shared" si="35"/>
        <v>7.9000000000000001E-2</v>
      </c>
      <c r="L261" s="5">
        <f t="shared" si="35"/>
        <v>8.2000000000000003E-2</v>
      </c>
      <c r="M261" s="5">
        <f t="shared" si="35"/>
        <v>8.5999999999999993E-2</v>
      </c>
      <c r="N261" s="5">
        <f t="shared" si="35"/>
        <v>9.2999999999999999E-2</v>
      </c>
      <c r="O261" s="5">
        <f t="shared" si="35"/>
        <v>0.104</v>
      </c>
      <c r="P261" s="346">
        <f t="shared" si="35"/>
        <v>0.11799999999999999</v>
      </c>
      <c r="Q261" s="5">
        <f t="shared" si="35"/>
        <v>7.0000000000000007E-2</v>
      </c>
      <c r="R261" s="5">
        <f t="shared" si="35"/>
        <v>7.0999999999999994E-2</v>
      </c>
      <c r="S261" s="5">
        <f t="shared" si="35"/>
        <v>7.1999999999999995E-2</v>
      </c>
      <c r="T261" s="5">
        <f t="shared" si="35"/>
        <v>7.3999999999999996E-2</v>
      </c>
      <c r="U261" s="5">
        <f t="shared" si="35"/>
        <v>7.6999999999999999E-2</v>
      </c>
      <c r="V261" s="5">
        <f t="shared" si="35"/>
        <v>8.2000000000000003E-2</v>
      </c>
      <c r="W261" s="353" t="str">
        <f>""</f>
        <v/>
      </c>
    </row>
    <row r="262" spans="1:23">
      <c r="B262" s="4" t="s">
        <v>356</v>
      </c>
      <c r="C262">
        <f>IF(AND(ISNUMBER(C$257), ISNUMBER(C$258)),ROUND(C233,3),"-")</f>
        <v>5.6000000000000001E-2</v>
      </c>
      <c r="D262">
        <f t="shared" ref="D262:V262" si="36">IF(AND(ISNUMBER(D$257), ISNUMBER(D$258)),ROUND(D233,3),"-")</f>
        <v>5.7000000000000002E-2</v>
      </c>
      <c r="E262">
        <f t="shared" si="36"/>
        <v>5.8999999999999997E-2</v>
      </c>
      <c r="F262">
        <f t="shared" si="36"/>
        <v>6.2E-2</v>
      </c>
      <c r="G262">
        <f t="shared" si="36"/>
        <v>6.6000000000000003E-2</v>
      </c>
      <c r="H262" t="str">
        <f t="shared" si="36"/>
        <v>-</v>
      </c>
      <c r="I262" t="str">
        <f t="shared" si="36"/>
        <v>-</v>
      </c>
      <c r="J262" s="334">
        <f t="shared" si="36"/>
        <v>5.1999999999999998E-2</v>
      </c>
      <c r="K262" s="5">
        <f t="shared" si="36"/>
        <v>5.2999999999999999E-2</v>
      </c>
      <c r="L262" s="5">
        <f t="shared" si="36"/>
        <v>5.3999999999999999E-2</v>
      </c>
      <c r="M262" s="5">
        <f t="shared" si="36"/>
        <v>5.5E-2</v>
      </c>
      <c r="N262" s="5">
        <f t="shared" si="36"/>
        <v>5.8000000000000003E-2</v>
      </c>
      <c r="O262" s="5">
        <f t="shared" si="36"/>
        <v>6.2E-2</v>
      </c>
      <c r="P262" s="346">
        <f t="shared" si="36"/>
        <v>6.6000000000000003E-2</v>
      </c>
      <c r="Q262" s="5">
        <f t="shared" si="36"/>
        <v>0.05</v>
      </c>
      <c r="R262" s="5">
        <f t="shared" si="36"/>
        <v>0.05</v>
      </c>
      <c r="S262" s="5">
        <f t="shared" si="36"/>
        <v>5.0999999999999997E-2</v>
      </c>
      <c r="T262" s="5">
        <f t="shared" si="36"/>
        <v>5.0999999999999997E-2</v>
      </c>
      <c r="U262" s="5">
        <f t="shared" si="36"/>
        <v>5.1999999999999998E-2</v>
      </c>
      <c r="V262" s="5">
        <f t="shared" si="36"/>
        <v>5.3999999999999999E-2</v>
      </c>
      <c r="W262" s="353" t="str">
        <f>""</f>
        <v/>
      </c>
    </row>
    <row r="263" spans="1:23">
      <c r="B263" s="4" t="s">
        <v>358</v>
      </c>
      <c r="C263" s="5" t="str">
        <f>IF(OR(C$257="",C$258="-"),"",C234)</f>
        <v>A</v>
      </c>
      <c r="D263" t="str">
        <f>IF(OR(D$257="",D$258="-"),"-",D234)</f>
        <v>A</v>
      </c>
      <c r="E263" t="str">
        <f t="shared" ref="E263:V263" si="37">IF(OR(E$257="",E$258="-"),"-",E234)</f>
        <v>A</v>
      </c>
      <c r="F263" t="str">
        <f t="shared" si="37"/>
        <v>B</v>
      </c>
      <c r="G263" t="str">
        <f t="shared" si="37"/>
        <v>B</v>
      </c>
      <c r="H263" t="str">
        <f t="shared" si="37"/>
        <v>-</v>
      </c>
      <c r="I263" t="str">
        <f t="shared" si="37"/>
        <v>-</v>
      </c>
      <c r="J263" s="334" t="str">
        <f t="shared" si="37"/>
        <v>A</v>
      </c>
      <c r="K263" s="5" t="str">
        <f t="shared" si="37"/>
        <v>A</v>
      </c>
      <c r="L263" s="5" t="str">
        <f t="shared" si="37"/>
        <v>A</v>
      </c>
      <c r="M263" s="5" t="str">
        <f t="shared" si="37"/>
        <v>A</v>
      </c>
      <c r="N263" s="5" t="str">
        <f t="shared" si="37"/>
        <v>A</v>
      </c>
      <c r="O263" s="5" t="str">
        <f t="shared" si="37"/>
        <v>B</v>
      </c>
      <c r="P263" s="346" t="str">
        <f t="shared" si="37"/>
        <v>B</v>
      </c>
      <c r="Q263" s="5" t="str">
        <f t="shared" si="37"/>
        <v>A</v>
      </c>
      <c r="R263" s="5" t="str">
        <f t="shared" si="37"/>
        <v>A</v>
      </c>
      <c r="S263" s="5" t="str">
        <f t="shared" si="37"/>
        <v>A</v>
      </c>
      <c r="T263" s="5" t="str">
        <f t="shared" si="37"/>
        <v>A</v>
      </c>
      <c r="U263" s="5" t="str">
        <f t="shared" si="37"/>
        <v>A</v>
      </c>
      <c r="V263" s="5" t="str">
        <f t="shared" si="37"/>
        <v>A</v>
      </c>
      <c r="W263" s="353" t="str">
        <f>""</f>
        <v/>
      </c>
    </row>
    <row r="264" spans="1:23">
      <c r="B264" s="4" t="s">
        <v>357</v>
      </c>
      <c r="C264" s="5" t="str">
        <f>IF(OR(C$257="",C$258=""),"-","&lt; "&amp;C235)</f>
        <v>&lt; 0.2</v>
      </c>
      <c r="D264" s="5" t="str">
        <f t="shared" ref="D264:V264" si="38">IF(OR(D$257="",D$258=""),"-","&lt; "&amp;D235)</f>
        <v>&lt; 0.2</v>
      </c>
      <c r="E264" s="5" t="str">
        <f t="shared" si="38"/>
        <v>&lt; 0.2</v>
      </c>
      <c r="F264" s="5" t="str">
        <f t="shared" si="38"/>
        <v>&lt; 0.2</v>
      </c>
      <c r="G264" s="5" t="str">
        <f t="shared" si="38"/>
        <v>&lt; 0.3</v>
      </c>
      <c r="H264" s="5" t="str">
        <f t="shared" si="38"/>
        <v>&lt; 0.3</v>
      </c>
      <c r="I264" s="5" t="str">
        <f t="shared" si="38"/>
        <v>&lt; 0.4</v>
      </c>
      <c r="J264" s="334" t="str">
        <f t="shared" si="38"/>
        <v>&lt; 0.2</v>
      </c>
      <c r="K264" s="5" t="str">
        <f t="shared" si="38"/>
        <v>&lt; 0.2</v>
      </c>
      <c r="L264" s="5" t="str">
        <f t="shared" si="38"/>
        <v>&lt; 0.2</v>
      </c>
      <c r="M264" s="5" t="str">
        <f t="shared" si="38"/>
        <v>&lt; 0.2</v>
      </c>
      <c r="N264" s="5" t="str">
        <f t="shared" si="38"/>
        <v>&lt; 0.2</v>
      </c>
      <c r="O264" s="5" t="str">
        <f t="shared" si="38"/>
        <v>&lt; 0.2</v>
      </c>
      <c r="P264" s="346" t="str">
        <f t="shared" si="38"/>
        <v>&lt; 0.3</v>
      </c>
      <c r="Q264" s="5" t="str">
        <f t="shared" si="38"/>
        <v>&lt; 0.2</v>
      </c>
      <c r="R264" s="5" t="str">
        <f t="shared" si="38"/>
        <v>&lt; 0.2</v>
      </c>
      <c r="S264" s="5" t="str">
        <f t="shared" si="38"/>
        <v>&lt; 0.2</v>
      </c>
      <c r="T264" s="5" t="str">
        <f t="shared" si="38"/>
        <v>&lt; 0.2</v>
      </c>
      <c r="U264" s="5" t="str">
        <f t="shared" si="38"/>
        <v>&lt; 0.2</v>
      </c>
      <c r="V264" s="5" t="str">
        <f t="shared" si="38"/>
        <v>&lt; 0.2</v>
      </c>
      <c r="W264" s="353" t="str">
        <f>""</f>
        <v/>
      </c>
    </row>
    <row r="265" spans="1:23">
      <c r="B265" s="4" t="s">
        <v>384</v>
      </c>
      <c r="C265" s="5" t="str">
        <f t="shared" ref="C265:V265" si="39">C236</f>
        <v>DN250</v>
      </c>
      <c r="D265" s="5" t="str">
        <f t="shared" si="39"/>
        <v>DN250</v>
      </c>
      <c r="E265" s="5" t="str">
        <f t="shared" si="39"/>
        <v>DN250</v>
      </c>
      <c r="F265" s="5" t="str">
        <f t="shared" si="39"/>
        <v>DN250</v>
      </c>
      <c r="G265" s="5" t="str">
        <f t="shared" si="39"/>
        <v>DN250</v>
      </c>
      <c r="H265" s="5" t="str">
        <f t="shared" si="39"/>
        <v>DN250</v>
      </c>
      <c r="I265" s="5" t="str">
        <f t="shared" si="39"/>
        <v>DN250</v>
      </c>
      <c r="J265" s="334" t="str">
        <f t="shared" si="39"/>
        <v>DN250</v>
      </c>
      <c r="K265" s="5" t="str">
        <f t="shared" si="39"/>
        <v>DN250</v>
      </c>
      <c r="L265" s="5" t="str">
        <f t="shared" si="39"/>
        <v>DN250</v>
      </c>
      <c r="M265" s="5" t="str">
        <f t="shared" si="39"/>
        <v>DN250</v>
      </c>
      <c r="N265" s="5" t="str">
        <f t="shared" si="39"/>
        <v>DN250</v>
      </c>
      <c r="O265" s="5" t="str">
        <f t="shared" si="39"/>
        <v>DN250</v>
      </c>
      <c r="P265" s="5" t="str">
        <f t="shared" si="39"/>
        <v>DN250</v>
      </c>
      <c r="Q265" s="334" t="str">
        <f t="shared" si="39"/>
        <v>DN250</v>
      </c>
      <c r="R265" s="5" t="str">
        <f t="shared" si="39"/>
        <v>DN250</v>
      </c>
      <c r="S265" s="5" t="str">
        <f t="shared" si="39"/>
        <v>DN250</v>
      </c>
      <c r="T265" s="5" t="str">
        <f t="shared" si="39"/>
        <v>DN250</v>
      </c>
      <c r="U265" s="5" t="str">
        <f t="shared" si="39"/>
        <v>DN250</v>
      </c>
      <c r="V265" s="5" t="str">
        <f t="shared" si="39"/>
        <v>DN250</v>
      </c>
      <c r="W265" s="353" t="str">
        <f>""</f>
        <v/>
      </c>
    </row>
    <row r="266" spans="1:23">
      <c r="B266" s="4" t="s">
        <v>384</v>
      </c>
      <c r="C266" s="5" t="str">
        <f t="shared" ref="C266:V266" si="40">C237</f>
        <v>DN300</v>
      </c>
      <c r="D266" s="5" t="str">
        <f t="shared" si="40"/>
        <v>DN300</v>
      </c>
      <c r="E266" s="5" t="str">
        <f t="shared" si="40"/>
        <v>DN300</v>
      </c>
      <c r="F266" s="5" t="str">
        <f t="shared" si="40"/>
        <v>DN300</v>
      </c>
      <c r="G266" s="5" t="str">
        <f t="shared" si="40"/>
        <v>DN300</v>
      </c>
      <c r="H266" s="5" t="str">
        <f t="shared" si="40"/>
        <v>DN300</v>
      </c>
      <c r="I266" s="5" t="str">
        <f t="shared" si="40"/>
        <v>DN300</v>
      </c>
      <c r="J266" s="334" t="str">
        <f t="shared" si="40"/>
        <v>DN300</v>
      </c>
      <c r="K266" s="5" t="str">
        <f t="shared" si="40"/>
        <v>DN300</v>
      </c>
      <c r="L266" s="5" t="str">
        <f t="shared" si="40"/>
        <v>DN300</v>
      </c>
      <c r="M266" s="5" t="str">
        <f t="shared" si="40"/>
        <v>DN300</v>
      </c>
      <c r="N266" s="5" t="str">
        <f t="shared" si="40"/>
        <v>DN300</v>
      </c>
      <c r="O266" s="5" t="str">
        <f t="shared" si="40"/>
        <v>DN300</v>
      </c>
      <c r="P266" s="5" t="str">
        <f t="shared" si="40"/>
        <v>DN300</v>
      </c>
      <c r="Q266" s="334" t="str">
        <f t="shared" si="40"/>
        <v>DN300</v>
      </c>
      <c r="R266" s="5" t="str">
        <f t="shared" si="40"/>
        <v>DN300</v>
      </c>
      <c r="S266" s="5" t="str">
        <f t="shared" si="40"/>
        <v>DN300</v>
      </c>
      <c r="T266" s="5" t="str">
        <f t="shared" si="40"/>
        <v>DN300</v>
      </c>
      <c r="U266" s="5" t="str">
        <f t="shared" si="40"/>
        <v>DN300</v>
      </c>
      <c r="V266" s="5" t="str">
        <f t="shared" si="40"/>
        <v>DN300</v>
      </c>
      <c r="W266" s="353" t="str">
        <f>""</f>
        <v/>
      </c>
    </row>
    <row r="268" spans="1:23" ht="20.25" thickBot="1">
      <c r="B268" s="2" t="s">
        <v>407</v>
      </c>
    </row>
    <row r="269" spans="1:23" ht="15.75" thickTop="1">
      <c r="A269">
        <v>1</v>
      </c>
      <c r="C269">
        <v>0</v>
      </c>
      <c r="D269">
        <v>1</v>
      </c>
      <c r="E269">
        <v>2</v>
      </c>
      <c r="F269">
        <v>3</v>
      </c>
      <c r="G269">
        <v>4</v>
      </c>
      <c r="H269">
        <v>5</v>
      </c>
      <c r="I269">
        <v>6</v>
      </c>
    </row>
    <row r="270" spans="1:23">
      <c r="A270">
        <v>2</v>
      </c>
      <c r="C270" t="str">
        <f t="shared" ref="C270:I270" si="41">IF($C$30="250",C241,IF($C$30="355",J241,IF($C$30="500",Q241)))</f>
        <v>DN355-R0</v>
      </c>
      <c r="D270" t="str">
        <f t="shared" si="41"/>
        <v>DN355-R1</v>
      </c>
      <c r="E270" t="str">
        <f t="shared" si="41"/>
        <v>DN355-R2</v>
      </c>
      <c r="F270" t="str">
        <f t="shared" si="41"/>
        <v>DN355-R3</v>
      </c>
      <c r="G270" t="str">
        <f t="shared" si="41"/>
        <v>DN355-R4</v>
      </c>
      <c r="H270" t="str">
        <f t="shared" si="41"/>
        <v>DN355-R5</v>
      </c>
      <c r="I270" t="str">
        <f t="shared" si="41"/>
        <v>DN355-R6</v>
      </c>
    </row>
    <row r="271" spans="1:23">
      <c r="A271">
        <v>3</v>
      </c>
      <c r="B271" t="s">
        <v>132</v>
      </c>
      <c r="C271">
        <f t="shared" ref="C271:C294" si="42">IF($C$30="250",C243,IF($C$30="355",J243,IF($C$30="500",Q243)))</f>
        <v>120</v>
      </c>
      <c r="D271">
        <f t="shared" ref="D271:D294" si="43">IF($C$30="250",D243,IF($C$30="355",K243,IF($C$30="500",R243)))</f>
        <v>120</v>
      </c>
      <c r="E271">
        <f t="shared" ref="E271:E294" si="44">IF($C$30="250",E243,IF($C$30="355",L243,IF($C$30="500",S243)))</f>
        <v>120</v>
      </c>
      <c r="F271">
        <f t="shared" ref="F271:F294" si="45">IF($C$30="250",F243,IF($C$30="355",M243,IF($C$30="500",T243)))</f>
        <v>120</v>
      </c>
      <c r="G271">
        <f t="shared" ref="G271:G294" si="46">IF($C$30="250",G243,IF($C$30="355",N243,IF($C$30="500",U243)))</f>
        <v>120</v>
      </c>
      <c r="H271">
        <f t="shared" ref="H271:H294" si="47">IF($C$30="250",H243,IF($C$30="355",O243,IF($C$30="500",V243)))</f>
        <v>120</v>
      </c>
      <c r="I271">
        <f t="shared" ref="I271:I294" si="48">IF($C$30="250",I243,IF($C$30="355",P243,IF($C$30="500",W243)))</f>
        <v>120</v>
      </c>
    </row>
    <row r="272" spans="1:23">
      <c r="A272">
        <v>4</v>
      </c>
      <c r="B272" t="s">
        <v>408</v>
      </c>
      <c r="C272">
        <f t="shared" si="42"/>
        <v>239.9</v>
      </c>
      <c r="D272">
        <f t="shared" si="43"/>
        <v>204.2</v>
      </c>
      <c r="E272">
        <f t="shared" si="44"/>
        <v>174.1</v>
      </c>
      <c r="F272">
        <f t="shared" si="45"/>
        <v>129.19999999999999</v>
      </c>
      <c r="G272">
        <f t="shared" si="46"/>
        <v>97</v>
      </c>
      <c r="H272">
        <f t="shared" si="47"/>
        <v>64.400000000000006</v>
      </c>
      <c r="I272">
        <f t="shared" si="48"/>
        <v>45.7</v>
      </c>
    </row>
    <row r="273" spans="1:9">
      <c r="A273">
        <v>5</v>
      </c>
      <c r="B273" t="s">
        <v>374</v>
      </c>
      <c r="C273">
        <f t="shared" si="42"/>
        <v>120</v>
      </c>
      <c r="D273">
        <f t="shared" si="43"/>
        <v>120</v>
      </c>
      <c r="E273">
        <f t="shared" si="44"/>
        <v>120</v>
      </c>
      <c r="F273">
        <f t="shared" si="45"/>
        <v>120</v>
      </c>
      <c r="G273">
        <f t="shared" si="46"/>
        <v>120</v>
      </c>
      <c r="H273">
        <f t="shared" si="47"/>
        <v>120</v>
      </c>
      <c r="I273">
        <f t="shared" si="48"/>
        <v>120</v>
      </c>
    </row>
    <row r="274" spans="1:9">
      <c r="A274">
        <v>6</v>
      </c>
      <c r="B274" t="s">
        <v>409</v>
      </c>
      <c r="C274">
        <f t="shared" si="42"/>
        <v>47.8</v>
      </c>
      <c r="D274">
        <f t="shared" si="43"/>
        <v>41.6</v>
      </c>
      <c r="E274">
        <f t="shared" si="44"/>
        <v>34.1</v>
      </c>
      <c r="F274">
        <f t="shared" si="45"/>
        <v>26.4</v>
      </c>
      <c r="G274">
        <f t="shared" si="46"/>
        <v>19.399999999999999</v>
      </c>
      <c r="H274">
        <f t="shared" si="47"/>
        <v>13.5</v>
      </c>
      <c r="I274">
        <f t="shared" si="48"/>
        <v>9.5</v>
      </c>
    </row>
    <row r="275" spans="1:9">
      <c r="A275">
        <v>7</v>
      </c>
      <c r="B275" t="s">
        <v>410</v>
      </c>
      <c r="C275">
        <f t="shared" si="42"/>
        <v>1</v>
      </c>
      <c r="D275">
        <f t="shared" si="43"/>
        <v>1</v>
      </c>
      <c r="E275">
        <f t="shared" si="44"/>
        <v>1</v>
      </c>
      <c r="F275">
        <f t="shared" si="45"/>
        <v>1</v>
      </c>
      <c r="G275">
        <f t="shared" si="46"/>
        <v>1</v>
      </c>
      <c r="H275">
        <f t="shared" si="47"/>
        <v>1</v>
      </c>
      <c r="I275">
        <f t="shared" si="48"/>
        <v>1</v>
      </c>
    </row>
    <row r="276" spans="1:9">
      <c r="A276">
        <v>8</v>
      </c>
      <c r="B276" t="s">
        <v>66</v>
      </c>
      <c r="C276">
        <f t="shared" si="42"/>
        <v>0.39900000000000002</v>
      </c>
      <c r="D276">
        <f t="shared" si="43"/>
        <v>0.34699999999999998</v>
      </c>
      <c r="E276">
        <f t="shared" si="44"/>
        <v>0.28499999999999998</v>
      </c>
      <c r="F276">
        <f t="shared" si="45"/>
        <v>0.22</v>
      </c>
      <c r="G276">
        <f t="shared" si="46"/>
        <v>0.16200000000000001</v>
      </c>
      <c r="H276">
        <f t="shared" si="47"/>
        <v>0.112</v>
      </c>
      <c r="I276">
        <f t="shared" si="48"/>
        <v>7.9000000000000001E-2</v>
      </c>
    </row>
    <row r="277" spans="1:9">
      <c r="A277">
        <v>9</v>
      </c>
      <c r="B277" t="s">
        <v>411</v>
      </c>
      <c r="C277">
        <f t="shared" si="42"/>
        <v>8.8000000000000007</v>
      </c>
      <c r="D277">
        <f t="shared" si="43"/>
        <v>12.1</v>
      </c>
      <c r="E277">
        <f t="shared" si="44"/>
        <v>16.600000000000001</v>
      </c>
      <c r="F277">
        <f t="shared" si="45"/>
        <v>30.2</v>
      </c>
      <c r="G277">
        <f t="shared" si="46"/>
        <v>53.6</v>
      </c>
      <c r="H277">
        <f t="shared" si="47"/>
        <v>121.5</v>
      </c>
      <c r="I277">
        <f t="shared" si="48"/>
        <v>241.6</v>
      </c>
    </row>
    <row r="278" spans="1:9">
      <c r="A278">
        <v>10</v>
      </c>
      <c r="B278" t="s">
        <v>412</v>
      </c>
      <c r="C278">
        <f t="shared" si="42"/>
        <v>12.4</v>
      </c>
      <c r="D278">
        <f t="shared" si="43"/>
        <v>15.7</v>
      </c>
      <c r="E278">
        <f t="shared" si="44"/>
        <v>20.3</v>
      </c>
      <c r="F278">
        <f t="shared" si="45"/>
        <v>33.799999999999997</v>
      </c>
      <c r="G278">
        <f t="shared" si="46"/>
        <v>57.2</v>
      </c>
      <c r="H278">
        <f t="shared" si="47"/>
        <v>125.1</v>
      </c>
      <c r="I278">
        <f t="shared" si="48"/>
        <v>245.3</v>
      </c>
    </row>
    <row r="279" spans="1:9">
      <c r="A279">
        <v>11</v>
      </c>
      <c r="B279" t="s">
        <v>413</v>
      </c>
      <c r="C279">
        <f t="shared" si="42"/>
        <v>35</v>
      </c>
      <c r="D279">
        <f t="shared" si="43"/>
        <v>35</v>
      </c>
      <c r="E279">
        <f t="shared" si="44"/>
        <v>35</v>
      </c>
      <c r="F279">
        <f t="shared" si="45"/>
        <v>35</v>
      </c>
      <c r="G279">
        <f t="shared" si="46"/>
        <v>35</v>
      </c>
      <c r="H279">
        <f t="shared" si="47"/>
        <v>35</v>
      </c>
      <c r="I279">
        <f t="shared" si="48"/>
        <v>35</v>
      </c>
    </row>
    <row r="280" spans="1:9">
      <c r="A280">
        <v>12</v>
      </c>
      <c r="B280" t="s">
        <v>414</v>
      </c>
      <c r="C280">
        <f t="shared" si="42"/>
        <v>27.2</v>
      </c>
      <c r="D280">
        <f t="shared" si="43"/>
        <v>32</v>
      </c>
      <c r="E280">
        <f t="shared" si="44"/>
        <v>37</v>
      </c>
      <c r="F280">
        <f t="shared" si="45"/>
        <v>40.799999999999997</v>
      </c>
      <c r="G280">
        <f t="shared" si="46"/>
        <v>46</v>
      </c>
      <c r="H280">
        <f t="shared" si="47"/>
        <v>54</v>
      </c>
      <c r="I280">
        <f t="shared" si="48"/>
        <v>60.1</v>
      </c>
    </row>
    <row r="281" spans="1:9">
      <c r="A281">
        <v>13</v>
      </c>
      <c r="B281" t="s">
        <v>415</v>
      </c>
      <c r="C281">
        <f t="shared" si="42"/>
        <v>12.2</v>
      </c>
      <c r="D281">
        <f t="shared" si="43"/>
        <v>17</v>
      </c>
      <c r="E281">
        <f t="shared" si="44"/>
        <v>22</v>
      </c>
      <c r="F281">
        <f t="shared" si="45"/>
        <v>25.8</v>
      </c>
      <c r="G281">
        <f t="shared" si="46"/>
        <v>31</v>
      </c>
      <c r="H281">
        <f t="shared" si="47"/>
        <v>39</v>
      </c>
      <c r="I281">
        <f t="shared" si="48"/>
        <v>45.1</v>
      </c>
    </row>
    <row r="282" spans="1:9">
      <c r="A282">
        <v>14</v>
      </c>
      <c r="B282" t="s">
        <v>416</v>
      </c>
      <c r="C282">
        <f t="shared" si="42"/>
        <v>9.6999999999999993</v>
      </c>
      <c r="D282">
        <f t="shared" si="43"/>
        <v>10.199999999999999</v>
      </c>
      <c r="E282">
        <f t="shared" si="44"/>
        <v>11.4</v>
      </c>
      <c r="F282">
        <f t="shared" si="45"/>
        <v>12.7</v>
      </c>
      <c r="G282">
        <f t="shared" si="46"/>
        <v>14.2</v>
      </c>
      <c r="H282">
        <f t="shared" si="47"/>
        <v>15.7</v>
      </c>
      <c r="I282">
        <f t="shared" si="48"/>
        <v>17.600000000000001</v>
      </c>
    </row>
    <row r="283" spans="1:9">
      <c r="A283">
        <v>15</v>
      </c>
      <c r="B283" t="s">
        <v>417</v>
      </c>
      <c r="C283">
        <f t="shared" si="42"/>
        <v>6.5</v>
      </c>
      <c r="D283">
        <f t="shared" si="43"/>
        <v>6.8</v>
      </c>
      <c r="E283">
        <f t="shared" si="44"/>
        <v>7.6</v>
      </c>
      <c r="F283">
        <f t="shared" si="45"/>
        <v>8.4</v>
      </c>
      <c r="G283">
        <f t="shared" si="46"/>
        <v>9.5</v>
      </c>
      <c r="H283">
        <f t="shared" si="47"/>
        <v>10.5</v>
      </c>
      <c r="I283">
        <f t="shared" si="48"/>
        <v>11.7</v>
      </c>
    </row>
    <row r="284" spans="1:9">
      <c r="A284">
        <v>16</v>
      </c>
      <c r="B284" t="s">
        <v>418</v>
      </c>
      <c r="C284">
        <f t="shared" si="42"/>
        <v>12.7</v>
      </c>
      <c r="D284">
        <f t="shared" si="43"/>
        <v>13</v>
      </c>
      <c r="E284">
        <f t="shared" si="44"/>
        <v>13.3</v>
      </c>
      <c r="F284">
        <f t="shared" si="45"/>
        <v>14</v>
      </c>
      <c r="G284">
        <f t="shared" si="46"/>
        <v>15.3</v>
      </c>
      <c r="H284">
        <f t="shared" si="47"/>
        <v>18.8</v>
      </c>
      <c r="I284">
        <f t="shared" si="48"/>
        <v>22.9</v>
      </c>
    </row>
    <row r="285" spans="1:9">
      <c r="A285">
        <v>17</v>
      </c>
      <c r="B285" t="s">
        <v>419</v>
      </c>
      <c r="C285">
        <f t="shared" si="42"/>
        <v>11.5</v>
      </c>
      <c r="D285">
        <f t="shared" si="43"/>
        <v>11.6</v>
      </c>
      <c r="E285">
        <f t="shared" si="44"/>
        <v>12</v>
      </c>
      <c r="F285">
        <f t="shared" si="45"/>
        <v>12.6</v>
      </c>
      <c r="G285">
        <f t="shared" si="46"/>
        <v>13.8</v>
      </c>
      <c r="H285">
        <f t="shared" si="47"/>
        <v>17</v>
      </c>
      <c r="I285">
        <f t="shared" si="48"/>
        <v>22.9</v>
      </c>
    </row>
    <row r="286" spans="1:9">
      <c r="A286">
        <v>18</v>
      </c>
      <c r="B286" t="s">
        <v>420</v>
      </c>
      <c r="C286">
        <f t="shared" si="42"/>
        <v>2.5</v>
      </c>
      <c r="D286">
        <f t="shared" si="43"/>
        <v>2.6</v>
      </c>
      <c r="E286">
        <f t="shared" si="44"/>
        <v>2.6</v>
      </c>
      <c r="F286">
        <f t="shared" si="45"/>
        <v>2.7</v>
      </c>
      <c r="G286">
        <f t="shared" si="46"/>
        <v>2.9</v>
      </c>
      <c r="H286">
        <f t="shared" si="47"/>
        <v>3.4</v>
      </c>
      <c r="I286">
        <f t="shared" si="48"/>
        <v>4.5</v>
      </c>
    </row>
    <row r="287" spans="1:9">
      <c r="A287">
        <v>19</v>
      </c>
      <c r="B287" t="s">
        <v>421</v>
      </c>
      <c r="C287">
        <f t="shared" si="42"/>
        <v>2.4</v>
      </c>
      <c r="D287">
        <f t="shared" si="43"/>
        <v>2.4</v>
      </c>
      <c r="E287">
        <f t="shared" si="44"/>
        <v>2.4</v>
      </c>
      <c r="F287">
        <f t="shared" si="45"/>
        <v>2.4</v>
      </c>
      <c r="G287">
        <f t="shared" si="46"/>
        <v>2.4</v>
      </c>
      <c r="H287">
        <f t="shared" si="47"/>
        <v>2.4</v>
      </c>
      <c r="I287">
        <f t="shared" si="48"/>
        <v>2.4</v>
      </c>
    </row>
    <row r="288" spans="1:9">
      <c r="A288">
        <v>20</v>
      </c>
      <c r="B288" t="s">
        <v>422</v>
      </c>
      <c r="C288">
        <f t="shared" si="42"/>
        <v>0.1</v>
      </c>
      <c r="D288">
        <f t="shared" si="43"/>
        <v>0.1</v>
      </c>
      <c r="E288">
        <f t="shared" si="44"/>
        <v>0.1</v>
      </c>
      <c r="F288">
        <f t="shared" si="45"/>
        <v>0.11</v>
      </c>
      <c r="G288">
        <f t="shared" si="46"/>
        <v>0.11</v>
      </c>
      <c r="H288">
        <f t="shared" si="47"/>
        <v>0.12</v>
      </c>
      <c r="I288">
        <f t="shared" si="48"/>
        <v>0.13</v>
      </c>
    </row>
    <row r="289" spans="1:11">
      <c r="A289">
        <v>21</v>
      </c>
      <c r="B289" t="s">
        <v>423</v>
      </c>
      <c r="C289">
        <f t="shared" si="42"/>
        <v>7.6999999999999999E-2</v>
      </c>
      <c r="D289">
        <f t="shared" si="43"/>
        <v>7.9000000000000001E-2</v>
      </c>
      <c r="E289">
        <f t="shared" si="44"/>
        <v>8.2000000000000003E-2</v>
      </c>
      <c r="F289">
        <f t="shared" si="45"/>
        <v>8.5999999999999993E-2</v>
      </c>
      <c r="G289">
        <f t="shared" si="46"/>
        <v>9.2999999999999999E-2</v>
      </c>
      <c r="H289">
        <f t="shared" si="47"/>
        <v>0.104</v>
      </c>
      <c r="I289">
        <f t="shared" si="48"/>
        <v>0.11799999999999999</v>
      </c>
    </row>
    <row r="290" spans="1:11">
      <c r="A290">
        <v>22</v>
      </c>
      <c r="B290" t="s">
        <v>92</v>
      </c>
      <c r="C290">
        <f t="shared" si="42"/>
        <v>5.1999999999999998E-2</v>
      </c>
      <c r="D290">
        <f t="shared" si="43"/>
        <v>5.2999999999999999E-2</v>
      </c>
      <c r="E290">
        <f t="shared" si="44"/>
        <v>5.3999999999999999E-2</v>
      </c>
      <c r="F290">
        <f t="shared" si="45"/>
        <v>5.5E-2</v>
      </c>
      <c r="G290">
        <f t="shared" si="46"/>
        <v>5.8000000000000003E-2</v>
      </c>
      <c r="H290">
        <f t="shared" si="47"/>
        <v>6.2E-2</v>
      </c>
      <c r="I290">
        <f t="shared" si="48"/>
        <v>6.6000000000000003E-2</v>
      </c>
    </row>
    <row r="291" spans="1:11">
      <c r="A291">
        <v>23</v>
      </c>
      <c r="B291" t="s">
        <v>424</v>
      </c>
      <c r="C291" t="str">
        <f t="shared" si="42"/>
        <v>A</v>
      </c>
      <c r="D291" t="str">
        <f t="shared" si="43"/>
        <v>A</v>
      </c>
      <c r="E291" t="str">
        <f t="shared" si="44"/>
        <v>A</v>
      </c>
      <c r="F291" t="str">
        <f t="shared" si="45"/>
        <v>A</v>
      </c>
      <c r="G291" t="str">
        <f t="shared" si="46"/>
        <v>A</v>
      </c>
      <c r="H291" t="str">
        <f t="shared" si="47"/>
        <v>B</v>
      </c>
      <c r="I291" t="str">
        <f t="shared" si="48"/>
        <v>B</v>
      </c>
    </row>
    <row r="292" spans="1:11">
      <c r="A292">
        <v>24</v>
      </c>
      <c r="B292" t="s">
        <v>358</v>
      </c>
      <c r="C292" t="str">
        <f t="shared" si="42"/>
        <v>&lt; 0.2</v>
      </c>
      <c r="D292" t="str">
        <f t="shared" si="43"/>
        <v>&lt; 0.2</v>
      </c>
      <c r="E292" t="str">
        <f t="shared" si="44"/>
        <v>&lt; 0.2</v>
      </c>
      <c r="F292" t="str">
        <f t="shared" si="45"/>
        <v>&lt; 0.2</v>
      </c>
      <c r="G292" t="str">
        <f t="shared" si="46"/>
        <v>&lt; 0.2</v>
      </c>
      <c r="H292" t="str">
        <f t="shared" si="47"/>
        <v>&lt; 0.2</v>
      </c>
      <c r="I292" t="str">
        <f t="shared" si="48"/>
        <v>&lt; 0.3</v>
      </c>
    </row>
    <row r="293" spans="1:11">
      <c r="A293">
        <v>25</v>
      </c>
      <c r="B293" t="s">
        <v>384</v>
      </c>
      <c r="C293" t="str">
        <f t="shared" si="42"/>
        <v>DN250</v>
      </c>
      <c r="D293" t="str">
        <f t="shared" si="43"/>
        <v>DN250</v>
      </c>
      <c r="E293" t="str">
        <f t="shared" si="44"/>
        <v>DN250</v>
      </c>
      <c r="F293" t="str">
        <f t="shared" si="45"/>
        <v>DN250</v>
      </c>
      <c r="G293" t="str">
        <f t="shared" si="46"/>
        <v>DN250</v>
      </c>
      <c r="H293" t="str">
        <f t="shared" si="47"/>
        <v>DN250</v>
      </c>
      <c r="I293" t="str">
        <f t="shared" si="48"/>
        <v>DN250</v>
      </c>
    </row>
    <row r="294" spans="1:11">
      <c r="A294">
        <v>26</v>
      </c>
      <c r="B294" t="s">
        <v>425</v>
      </c>
      <c r="C294" t="str">
        <f t="shared" si="42"/>
        <v>DN300</v>
      </c>
      <c r="D294" t="str">
        <f t="shared" si="43"/>
        <v>DN300</v>
      </c>
      <c r="E294" t="str">
        <f t="shared" si="44"/>
        <v>DN300</v>
      </c>
      <c r="F294" t="str">
        <f t="shared" si="45"/>
        <v>DN300</v>
      </c>
      <c r="G294" t="str">
        <f t="shared" si="46"/>
        <v>DN300</v>
      </c>
      <c r="H294" t="str">
        <f t="shared" si="47"/>
        <v>DN300</v>
      </c>
      <c r="I294" t="str">
        <f t="shared" si="48"/>
        <v>DN300</v>
      </c>
    </row>
    <row r="296" spans="1:11" ht="20.25" thickBot="1">
      <c r="B296" s="2" t="s">
        <v>426</v>
      </c>
    </row>
    <row r="297" spans="1:11" ht="15.75" thickTop="1">
      <c r="B297" t="s">
        <v>427</v>
      </c>
      <c r="C297" t="b">
        <f t="shared" ref="C297:H297" si="49">ROUND(C271,1)&gt;ROUND(C272,1)</f>
        <v>0</v>
      </c>
      <c r="D297" t="b">
        <f t="shared" si="49"/>
        <v>0</v>
      </c>
      <c r="E297" t="b">
        <f t="shared" si="49"/>
        <v>0</v>
      </c>
      <c r="F297" t="b">
        <f t="shared" si="49"/>
        <v>0</v>
      </c>
      <c r="G297" t="b">
        <f t="shared" si="49"/>
        <v>1</v>
      </c>
      <c r="H297" t="b">
        <f t="shared" si="49"/>
        <v>1</v>
      </c>
      <c r="I297" t="b">
        <f>IFERROR(ROUND(I271,1)&gt;ROUND(I272,1),TRUE)</f>
        <v>1</v>
      </c>
      <c r="J297" s="338"/>
      <c r="K297" t="s">
        <v>428</v>
      </c>
    </row>
    <row r="298" spans="1:11">
      <c r="B298" t="s">
        <v>429</v>
      </c>
      <c r="C298" t="b">
        <f t="shared" ref="C298:H298" si="50">ROUND(C273,1)&lt;ROUND(C274,1)</f>
        <v>0</v>
      </c>
      <c r="D298" t="b">
        <f t="shared" si="50"/>
        <v>0</v>
      </c>
      <c r="E298" t="b">
        <f t="shared" si="50"/>
        <v>0</v>
      </c>
      <c r="F298" t="b">
        <f t="shared" si="50"/>
        <v>0</v>
      </c>
      <c r="G298" t="b">
        <f t="shared" si="50"/>
        <v>0</v>
      </c>
      <c r="H298" t="b">
        <f t="shared" si="50"/>
        <v>0</v>
      </c>
      <c r="I298" t="b">
        <f>IFERROR(ROUND(I273,1)&lt;ROUND(I274,1),TRUE)</f>
        <v>0</v>
      </c>
      <c r="J298" s="338"/>
      <c r="K298" t="s">
        <v>430</v>
      </c>
    </row>
    <row r="299" spans="1:11">
      <c r="B299" t="s">
        <v>431</v>
      </c>
      <c r="C299" t="b">
        <f t="shared" ref="C299:H299" si="51">OR(C297,C298)</f>
        <v>0</v>
      </c>
      <c r="D299" t="b">
        <f t="shared" si="51"/>
        <v>0</v>
      </c>
      <c r="E299" t="b">
        <f t="shared" si="51"/>
        <v>0</v>
      </c>
      <c r="F299" t="b">
        <f t="shared" si="51"/>
        <v>0</v>
      </c>
      <c r="G299" t="b">
        <f t="shared" si="51"/>
        <v>1</v>
      </c>
      <c r="H299" t="b">
        <f t="shared" si="51"/>
        <v>1</v>
      </c>
      <c r="I299" t="b">
        <f>IF($C$12="DN500",1,OR(I297,I298))</f>
        <v>1</v>
      </c>
      <c r="J299" s="338"/>
      <c r="K299" t="s">
        <v>432</v>
      </c>
    </row>
    <row r="300" spans="1:11">
      <c r="B300" t="s">
        <v>236</v>
      </c>
      <c r="C300">
        <f>IF(C280&lt;=45,0,IF(C280&gt;50,2,1))</f>
        <v>0</v>
      </c>
      <c r="D300">
        <f t="shared" ref="D300:I300" si="52">IF(D280&lt;=45,0,IF(D280&gt;50,2,1))</f>
        <v>0</v>
      </c>
      <c r="E300">
        <f t="shared" si="52"/>
        <v>0</v>
      </c>
      <c r="F300">
        <f t="shared" si="52"/>
        <v>0</v>
      </c>
      <c r="G300">
        <f t="shared" si="52"/>
        <v>1</v>
      </c>
      <c r="H300">
        <f t="shared" si="52"/>
        <v>2</v>
      </c>
      <c r="I300">
        <f t="shared" si="52"/>
        <v>2</v>
      </c>
      <c r="J300" s="338"/>
      <c r="K300" t="s">
        <v>614</v>
      </c>
    </row>
    <row r="301" spans="1:11">
      <c r="J301" s="338"/>
    </row>
    <row r="302" spans="1:11">
      <c r="B302" t="s">
        <v>661</v>
      </c>
      <c r="C302" t="b" cm="1">
        <f t="array" ref="C302">AND(ISNUMBER(C284:C286))</f>
        <v>1</v>
      </c>
      <c r="D302" t="b" cm="1">
        <f t="array" ref="D302">AND(ISNUMBER(D284:D286))</f>
        <v>1</v>
      </c>
      <c r="E302" t="b" cm="1">
        <f t="array" ref="E302">AND(ISNUMBER(E284:E286))</f>
        <v>1</v>
      </c>
      <c r="F302" t="b" cm="1">
        <f t="array" ref="F302">AND(ISNUMBER(F284:F286))</f>
        <v>1</v>
      </c>
      <c r="G302" t="b" cm="1">
        <f t="array" ref="G302">AND(ISNUMBER(G284:G286))</f>
        <v>1</v>
      </c>
      <c r="H302" t="b" cm="1">
        <f t="array" ref="H302">AND(ISNUMBER(H284:H286))</f>
        <v>1</v>
      </c>
      <c r="I302" t="b" cm="1">
        <f t="array" ref="I302">AND(ISNUMBER(I284:I286))</f>
        <v>1</v>
      </c>
      <c r="J302" s="338"/>
    </row>
    <row r="303" spans="1:11">
      <c r="B303" t="s">
        <v>651</v>
      </c>
      <c r="C303" t="b">
        <f>C284&lt;C286</f>
        <v>0</v>
      </c>
      <c r="D303" t="b">
        <f t="shared" ref="D303:I303" si="53">D284&lt;D286</f>
        <v>0</v>
      </c>
      <c r="E303" t="b">
        <f t="shared" si="53"/>
        <v>0</v>
      </c>
      <c r="F303" t="b">
        <f t="shared" si="53"/>
        <v>0</v>
      </c>
      <c r="G303" t="b">
        <f t="shared" si="53"/>
        <v>0</v>
      </c>
      <c r="H303" t="b">
        <f t="shared" si="53"/>
        <v>0</v>
      </c>
      <c r="I303" t="b">
        <f t="shared" si="53"/>
        <v>0</v>
      </c>
      <c r="J303" s="338"/>
    </row>
    <row r="304" spans="1:11">
      <c r="B304" t="s">
        <v>650</v>
      </c>
      <c r="C304" t="b">
        <f>C285&lt;C286</f>
        <v>0</v>
      </c>
      <c r="D304" t="b">
        <f t="shared" ref="D304:I304" si="54">D285&lt;D286</f>
        <v>0</v>
      </c>
      <c r="E304" t="b">
        <f t="shared" si="54"/>
        <v>0</v>
      </c>
      <c r="F304" t="b">
        <f t="shared" si="54"/>
        <v>0</v>
      </c>
      <c r="G304" t="b">
        <f t="shared" si="54"/>
        <v>0</v>
      </c>
      <c r="H304" t="b">
        <f t="shared" si="54"/>
        <v>0</v>
      </c>
      <c r="I304" t="b">
        <f t="shared" si="54"/>
        <v>0</v>
      </c>
      <c r="J304" s="338" t="b">
        <f>OR(C303:I304)</f>
        <v>0</v>
      </c>
      <c r="K304" t="s">
        <v>656</v>
      </c>
    </row>
    <row r="305" spans="2:11">
      <c r="B305" t="s">
        <v>659</v>
      </c>
      <c r="C305" t="b">
        <f>C286&gt;C285</f>
        <v>0</v>
      </c>
      <c r="D305" t="b">
        <f t="shared" ref="D305:I305" si="55">D286&gt;D285</f>
        <v>0</v>
      </c>
      <c r="E305" t="b">
        <f t="shared" si="55"/>
        <v>0</v>
      </c>
      <c r="F305" t="b">
        <f t="shared" si="55"/>
        <v>0</v>
      </c>
      <c r="G305" t="b">
        <f t="shared" si="55"/>
        <v>0</v>
      </c>
      <c r="H305" t="b">
        <f t="shared" si="55"/>
        <v>0</v>
      </c>
      <c r="I305" t="b">
        <f t="shared" si="55"/>
        <v>0</v>
      </c>
      <c r="J305" s="338" t="b">
        <f>OR(C305:I305)</f>
        <v>0</v>
      </c>
      <c r="K305" t="s">
        <v>660</v>
      </c>
    </row>
    <row r="306" spans="2:11">
      <c r="J306" s="338"/>
    </row>
    <row r="307" spans="2:11">
      <c r="B307" t="s">
        <v>653</v>
      </c>
      <c r="C307" t="b">
        <f t="shared" ref="C307:H307" si="56">AND($C$208&gt;C284,ISNUMBER(C284))</f>
        <v>0</v>
      </c>
      <c r="D307" t="b">
        <f t="shared" si="56"/>
        <v>0</v>
      </c>
      <c r="E307" t="b">
        <f t="shared" si="56"/>
        <v>0</v>
      </c>
      <c r="F307" t="b">
        <f t="shared" si="56"/>
        <v>0</v>
      </c>
      <c r="G307" t="b">
        <f t="shared" si="56"/>
        <v>0</v>
      </c>
      <c r="H307" t="b">
        <f t="shared" si="56"/>
        <v>0</v>
      </c>
      <c r="I307" t="b">
        <f>AND($C$208&gt;I284,ISNUMBER(I284))</f>
        <v>0</v>
      </c>
      <c r="J307" s="338"/>
    </row>
    <row r="308" spans="2:11">
      <c r="B308" t="s">
        <v>654</v>
      </c>
      <c r="C308" t="b">
        <f t="shared" ref="C308:H308" si="57">AND($C$208&gt;C285,ISNUMBER(C285))</f>
        <v>0</v>
      </c>
      <c r="D308" t="b">
        <f t="shared" si="57"/>
        <v>0</v>
      </c>
      <c r="E308" t="b">
        <f t="shared" si="57"/>
        <v>0</v>
      </c>
      <c r="F308" t="b">
        <f t="shared" si="57"/>
        <v>0</v>
      </c>
      <c r="G308" t="b">
        <f t="shared" si="57"/>
        <v>0</v>
      </c>
      <c r="H308" t="b">
        <f t="shared" si="57"/>
        <v>0</v>
      </c>
      <c r="I308" t="b">
        <f>AND($C$208&gt;I285,ISNUMBER(I285))</f>
        <v>0</v>
      </c>
      <c r="J308" s="338" t="b">
        <f>OR(C307:I308)</f>
        <v>0</v>
      </c>
      <c r="K308" t="s">
        <v>657</v>
      </c>
    </row>
    <row r="309" spans="2:11">
      <c r="B309" t="s">
        <v>655</v>
      </c>
      <c r="C309" t="b">
        <f t="shared" ref="C309:H309" si="58">AND($C$208&lt;C286,ISNUMBER(C286))</f>
        <v>0</v>
      </c>
      <c r="D309" t="b">
        <f t="shared" si="58"/>
        <v>0</v>
      </c>
      <c r="E309" t="b">
        <f t="shared" si="58"/>
        <v>0</v>
      </c>
      <c r="F309" t="b">
        <f t="shared" si="58"/>
        <v>0</v>
      </c>
      <c r="G309" t="b">
        <f t="shared" si="58"/>
        <v>0</v>
      </c>
      <c r="H309" t="b">
        <f t="shared" si="58"/>
        <v>0</v>
      </c>
      <c r="I309" t="b">
        <f>AND($C$208&lt;I286,ISNUMBER(I286))</f>
        <v>0</v>
      </c>
      <c r="J309" s="338" t="b">
        <f>OR(C309:I309)</f>
        <v>0</v>
      </c>
      <c r="K309" t="s">
        <v>658</v>
      </c>
    </row>
    <row r="310" spans="2:11">
      <c r="J310" s="338"/>
    </row>
    <row r="311" spans="2:11">
      <c r="B311" t="s">
        <v>605</v>
      </c>
      <c r="C311" t="b">
        <f>AND($C$21,NOT($C$12="DN355"))</f>
        <v>0</v>
      </c>
      <c r="D311" t="b">
        <f t="shared" ref="D311:I311" si="59">AND($C$21,NOT($C$12="DN355"))</f>
        <v>0</v>
      </c>
      <c r="E311" t="b">
        <f t="shared" si="59"/>
        <v>0</v>
      </c>
      <c r="F311" t="b">
        <f t="shared" si="59"/>
        <v>0</v>
      </c>
      <c r="G311" t="b">
        <f t="shared" si="59"/>
        <v>0</v>
      </c>
      <c r="H311" t="b">
        <f t="shared" si="59"/>
        <v>0</v>
      </c>
      <c r="I311" t="b">
        <f t="shared" si="59"/>
        <v>0</v>
      </c>
      <c r="J311" s="338"/>
    </row>
    <row r="312" spans="2:11">
      <c r="B312" t="s">
        <v>433</v>
      </c>
      <c r="C312" t="b">
        <f t="shared" ref="C312:I312" si="60">OR(C297:C298,C311)</f>
        <v>0</v>
      </c>
      <c r="D312" t="b">
        <f t="shared" si="60"/>
        <v>0</v>
      </c>
      <c r="E312" t="b">
        <f t="shared" si="60"/>
        <v>0</v>
      </c>
      <c r="F312" t="b">
        <f t="shared" si="60"/>
        <v>0</v>
      </c>
      <c r="G312" t="b">
        <f t="shared" si="60"/>
        <v>1</v>
      </c>
      <c r="H312" t="b">
        <f t="shared" si="60"/>
        <v>1</v>
      </c>
      <c r="I312" t="b">
        <f t="shared" si="60"/>
        <v>1</v>
      </c>
      <c r="J312" s="338"/>
    </row>
    <row r="314" spans="2:11">
      <c r="B314" t="s">
        <v>434</v>
      </c>
      <c r="C314" t="b">
        <f>AND(C312:I312)</f>
        <v>0</v>
      </c>
    </row>
    <row r="315" spans="2:11">
      <c r="B315" t="s">
        <v>611</v>
      </c>
      <c r="C315">
        <f>IF(AND($C$21,NOT($C$12="DN355")),1,0)</f>
        <v>0</v>
      </c>
    </row>
    <row r="317" spans="2:11" ht="20.25" thickBot="1">
      <c r="B317" s="2" t="s">
        <v>619</v>
      </c>
    </row>
    <row r="318" spans="2:11" ht="15.75" thickTop="1">
      <c r="B318" t="s">
        <v>620</v>
      </c>
      <c r="C318" t="str">
        <f>"Heating valid for specific flowrate of "&amp;C206&amp;" "&amp;D4 &amp; CHAR(10) &amp; "(see Cells K17:K21) at " &amp; C17&amp;" m height."</f>
        <v>Heating valid for specific flowrate of 2.3 L/s/m²
(see Cells K17:K21) at 2.7 m height.</v>
      </c>
    </row>
    <row r="319" spans="2:11">
      <c r="B319" t="s">
        <v>639</v>
      </c>
      <c r="C319" t="str">
        <f>"Comfort criteria for specific airflow rate of " &amp; ROUND('HSC-FD Equations'!C206,1) &amp; " "   &amp; D4 &amp; " (see Cells K17:K21) and room temperature of "&amp; C24&amp;"°C (Cell M23)"</f>
        <v>Comfort criteria for specific airflow rate of 2.3 L/s/m² (see Cells K17:K21) and room temperature of 23°C (Cell M23)</v>
      </c>
    </row>
    <row r="320" spans="2:11">
      <c r="B320" t="s">
        <v>649</v>
      </c>
      <c r="C320" t="str">
        <f xml:space="preserve"> "= " &amp; ROUND(D320,1)</f>
        <v>= 120</v>
      </c>
      <c r="D320">
        <f>C44*C4</f>
        <v>120</v>
      </c>
    </row>
    <row r="321" spans="2:18">
      <c r="B321" t="s">
        <v>662</v>
      </c>
      <c r="C321" t="str">
        <f>IF(J308,"Warning: "&amp;Data!$B$118&amp;" &gt; Cmax. See Cell " &amp;Data!$C$117,"")</f>
        <v/>
      </c>
    </row>
    <row r="322" spans="2:18">
      <c r="B322" t="s">
        <v>663</v>
      </c>
      <c r="C322" t="str">
        <f>IF(J309,"Warning: "&amp;Data!$B$118&amp;" &lt; Cmin. See Cell " &amp;Data!$C$117,"")</f>
        <v/>
      </c>
    </row>
    <row r="323" spans="2:18">
      <c r="B323" t="s">
        <v>648</v>
      </c>
      <c r="C323" t="str">
        <f>IF(J305,"Warning: Threat of draught when Cmin &gt; Cmax; Consider increasing turndown %","")</f>
        <v/>
      </c>
    </row>
    <row r="327" spans="2:18" ht="20.25" thickBot="1">
      <c r="B327" s="2" t="s">
        <v>435</v>
      </c>
    </row>
    <row r="328" spans="2:18" ht="15.75" thickTop="1"/>
    <row r="329" spans="2:18">
      <c r="B329" t="s">
        <v>455</v>
      </c>
      <c r="C329">
        <v>1</v>
      </c>
    </row>
    <row r="330" spans="2:18">
      <c r="B330" t="s">
        <v>132</v>
      </c>
      <c r="C330">
        <f>C13</f>
        <v>120</v>
      </c>
    </row>
    <row r="331" spans="2:18">
      <c r="N331" s="357"/>
      <c r="O331" s="357"/>
      <c r="P331" s="357" t="s">
        <v>437</v>
      </c>
      <c r="R331" s="357"/>
    </row>
    <row r="332" spans="2:18">
      <c r="C332" t="s">
        <v>456</v>
      </c>
      <c r="D332" t="s">
        <v>132</v>
      </c>
      <c r="E332" t="s">
        <v>436</v>
      </c>
      <c r="F332" t="s">
        <v>440</v>
      </c>
      <c r="I332" t="s">
        <v>457</v>
      </c>
      <c r="J332" t="s">
        <v>436</v>
      </c>
      <c r="K332" t="s">
        <v>440</v>
      </c>
      <c r="N332" s="357"/>
      <c r="O332" s="357" t="s">
        <v>438</v>
      </c>
      <c r="P332" s="357" t="s">
        <v>439</v>
      </c>
      <c r="Q332" s="357" t="s">
        <v>440</v>
      </c>
    </row>
    <row r="333" spans="2:18">
      <c r="B333" s="6">
        <v>1</v>
      </c>
      <c r="C333" t="s">
        <v>445</v>
      </c>
      <c r="D333" s="5">
        <v>50</v>
      </c>
      <c r="E333">
        <f>INT($C$330&lt;=D333)</f>
        <v>0</v>
      </c>
      <c r="F333">
        <v>1.743662462558675E-2</v>
      </c>
      <c r="H333" s="6">
        <v>1</v>
      </c>
      <c r="I333" s="305">
        <v>49.05</v>
      </c>
      <c r="J333">
        <f t="shared" ref="J333:J338" si="61">INT($C$330&lt;I333)</f>
        <v>0</v>
      </c>
      <c r="K333">
        <v>1.5550883635269477E-2</v>
      </c>
      <c r="M333" s="6">
        <v>1</v>
      </c>
      <c r="N333" s="357" t="s">
        <v>451</v>
      </c>
      <c r="O333" s="361">
        <v>60.5</v>
      </c>
      <c r="P333">
        <f t="shared" ref="P333:P338" si="62">INT($C$330&lt;O333)</f>
        <v>0</v>
      </c>
      <c r="Q333" s="357">
        <v>1.9855650968850891E-2</v>
      </c>
    </row>
    <row r="334" spans="2:18">
      <c r="B334" s="6">
        <v>2</v>
      </c>
      <c r="C334" t="s">
        <v>446</v>
      </c>
      <c r="D334" s="5">
        <v>100</v>
      </c>
      <c r="E334">
        <f t="shared" ref="E334:E339" si="63">INT($C$330&lt;=D334)</f>
        <v>0</v>
      </c>
      <c r="F334">
        <v>3.1102552668702352E-2</v>
      </c>
      <c r="H334" s="6">
        <v>2</v>
      </c>
      <c r="I334" s="305">
        <v>82.78</v>
      </c>
      <c r="J334">
        <f t="shared" si="61"/>
        <v>0</v>
      </c>
      <c r="K334">
        <v>2.3404865269243968E-2</v>
      </c>
      <c r="M334" s="6">
        <v>2</v>
      </c>
      <c r="N334" s="357" t="s">
        <v>446</v>
      </c>
      <c r="O334" s="361">
        <v>100.5</v>
      </c>
      <c r="P334">
        <f t="shared" si="62"/>
        <v>0</v>
      </c>
      <c r="Q334" s="357">
        <v>3.1102552668702352E-2</v>
      </c>
    </row>
    <row r="335" spans="2:18">
      <c r="B335" s="6">
        <v>3</v>
      </c>
      <c r="C335" t="s">
        <v>31</v>
      </c>
      <c r="D335" s="5">
        <v>160</v>
      </c>
      <c r="E335">
        <f t="shared" si="63"/>
        <v>1</v>
      </c>
      <c r="F335">
        <v>4.8695471528805191E-2</v>
      </c>
      <c r="H335" s="6">
        <v>3</v>
      </c>
      <c r="I335" s="305">
        <v>112.98</v>
      </c>
      <c r="J335">
        <f t="shared" si="61"/>
        <v>0</v>
      </c>
      <c r="K335">
        <v>3.1258846903218437E-2</v>
      </c>
      <c r="M335" s="6">
        <v>3</v>
      </c>
      <c r="N335" s="357" t="s">
        <v>31</v>
      </c>
      <c r="O335" s="361">
        <v>160.5</v>
      </c>
      <c r="P335">
        <f t="shared" si="62"/>
        <v>1</v>
      </c>
      <c r="Q335" s="357">
        <v>4.8695471528805191E-2</v>
      </c>
    </row>
    <row r="336" spans="2:18">
      <c r="B336" s="6">
        <v>4</v>
      </c>
      <c r="C336" t="s">
        <v>447</v>
      </c>
      <c r="D336" s="5">
        <v>250</v>
      </c>
      <c r="E336">
        <f t="shared" si="63"/>
        <v>1</v>
      </c>
      <c r="F336">
        <v>6.9762991863778337E-2</v>
      </c>
      <c r="H336" s="6">
        <v>4</v>
      </c>
      <c r="I336" s="305">
        <v>154.18</v>
      </c>
      <c r="J336">
        <f t="shared" si="61"/>
        <v>1</v>
      </c>
      <c r="K336">
        <v>3.9112828537192917E-2</v>
      </c>
      <c r="M336" s="6">
        <v>4</v>
      </c>
      <c r="N336" s="357" t="s">
        <v>452</v>
      </c>
      <c r="O336" s="361">
        <v>260.5</v>
      </c>
      <c r="P336">
        <f t="shared" si="62"/>
        <v>1</v>
      </c>
      <c r="Q336" s="357">
        <v>7.4220126441058853E-2</v>
      </c>
    </row>
    <row r="337" spans="2:17">
      <c r="B337" s="6">
        <v>5</v>
      </c>
      <c r="C337" t="s">
        <v>448</v>
      </c>
      <c r="D337" s="5">
        <v>350</v>
      </c>
      <c r="E337">
        <f t="shared" si="63"/>
        <v>1</v>
      </c>
      <c r="F337">
        <v>9.3776540709655312E-2</v>
      </c>
      <c r="H337" s="6">
        <v>5</v>
      </c>
      <c r="I337" s="305">
        <v>265.05</v>
      </c>
      <c r="J337">
        <f t="shared" si="61"/>
        <v>1</v>
      </c>
      <c r="K337">
        <v>6.4559729031270247E-2</v>
      </c>
      <c r="M337" s="6">
        <v>5</v>
      </c>
      <c r="N337" s="357" t="s">
        <v>30</v>
      </c>
      <c r="O337" s="361">
        <v>350.5</v>
      </c>
      <c r="P337">
        <f t="shared" si="62"/>
        <v>1</v>
      </c>
      <c r="Q337" s="357">
        <v>9.148317807253481E-2</v>
      </c>
    </row>
    <row r="338" spans="2:17">
      <c r="B338" s="6">
        <v>6</v>
      </c>
      <c r="C338" t="s">
        <v>449</v>
      </c>
      <c r="D338" s="5">
        <v>450</v>
      </c>
      <c r="E338">
        <f t="shared" si="63"/>
        <v>1</v>
      </c>
      <c r="F338">
        <v>0.12073533266827273</v>
      </c>
      <c r="H338" s="6">
        <v>6</v>
      </c>
      <c r="I338" s="305">
        <v>385.12</v>
      </c>
      <c r="J338">
        <f t="shared" si="61"/>
        <v>1</v>
      </c>
      <c r="K338">
        <v>9.3933620342334823E-2</v>
      </c>
      <c r="M338" s="6">
        <v>6</v>
      </c>
      <c r="N338" s="357" t="s">
        <v>449</v>
      </c>
      <c r="O338" s="361">
        <v>9999</v>
      </c>
      <c r="P338">
        <f t="shared" si="62"/>
        <v>1</v>
      </c>
      <c r="Q338" s="357">
        <v>0.11654130647573034</v>
      </c>
    </row>
    <row r="339" spans="2:17">
      <c r="B339" s="6">
        <v>7</v>
      </c>
      <c r="C339" t="s">
        <v>458</v>
      </c>
      <c r="D339" s="5">
        <v>550</v>
      </c>
      <c r="E339">
        <f t="shared" si="63"/>
        <v>1</v>
      </c>
      <c r="F339">
        <f>PI()*0.223^2</f>
        <v>0.15622826107036683</v>
      </c>
      <c r="H339" s="6">
        <v>7</v>
      </c>
      <c r="I339" s="305" t="s">
        <v>459</v>
      </c>
      <c r="M339" s="6">
        <v>7</v>
      </c>
      <c r="N339" t="s">
        <v>459</v>
      </c>
      <c r="Q339" s="357"/>
    </row>
    <row r="340" spans="2:17">
      <c r="B340" s="6">
        <v>8</v>
      </c>
      <c r="C340" t="s">
        <v>459</v>
      </c>
      <c r="D340" s="5"/>
      <c r="H340" s="6"/>
      <c r="I340" s="305"/>
      <c r="M340" s="6"/>
    </row>
    <row r="341" spans="2:17">
      <c r="D341" t="s">
        <v>456</v>
      </c>
      <c r="E341">
        <f>B340-SUM(E333:E340)</f>
        <v>3</v>
      </c>
      <c r="I341" t="s">
        <v>457</v>
      </c>
      <c r="J341">
        <f>H339-SUM(J333:J339)</f>
        <v>4</v>
      </c>
      <c r="N341" t="s">
        <v>457</v>
      </c>
      <c r="O341">
        <f>7-SUM(P333:P339)</f>
        <v>3</v>
      </c>
      <c r="P341" s="357"/>
      <c r="Q341" s="357"/>
    </row>
    <row r="342" spans="2:17">
      <c r="D342" t="s">
        <v>435</v>
      </c>
      <c r="E342" t="str">
        <f>VLOOKUP(E341,$B$332:$K$340,2,0)</f>
        <v>DN250</v>
      </c>
      <c r="I342" t="s">
        <v>435</v>
      </c>
      <c r="J342" t="str">
        <f>VLOOKUP(J341,$B$332:$K$340,2,0)</f>
        <v>DN300</v>
      </c>
      <c r="N342" t="s">
        <v>435</v>
      </c>
      <c r="O342" t="str">
        <f>VLOOKUP(O341,$M$333:$P$340,2,0)</f>
        <v>DN250</v>
      </c>
      <c r="P342" s="357"/>
      <c r="Q342" s="357"/>
    </row>
    <row r="343" spans="2:17">
      <c r="D343" t="s">
        <v>440</v>
      </c>
      <c r="E343">
        <f>VLOOKUP(E$341,$B$332:$F$340,5,0)</f>
        <v>4.8695471528805191E-2</v>
      </c>
      <c r="I343" s="356" t="s">
        <v>440</v>
      </c>
      <c r="J343">
        <f>VLOOKUP(J$341,$H$332:$K$340,4,0)</f>
        <v>3.9112828537192917E-2</v>
      </c>
      <c r="N343" s="356" t="s">
        <v>440</v>
      </c>
      <c r="O343">
        <f>VLOOKUP(O$341,$M$333:$Q$340,5,0)</f>
        <v>4.8695471528805191E-2</v>
      </c>
    </row>
    <row r="345" spans="2:17">
      <c r="B345" t="s">
        <v>460</v>
      </c>
      <c r="C345" t="str">
        <f>IF($C$329=1,E342,O342)</f>
        <v>DN250</v>
      </c>
    </row>
    <row r="346" spans="2:17">
      <c r="B346" t="s">
        <v>461</v>
      </c>
      <c r="C346" t="str">
        <f>IF($C$329=1,J342,"-")</f>
        <v>DN300</v>
      </c>
    </row>
    <row r="347" spans="2:17">
      <c r="B347" s="357" t="s">
        <v>441</v>
      </c>
      <c r="C347">
        <f>C13/1000/E343</f>
        <v>2.4642948560219917</v>
      </c>
    </row>
    <row r="348" spans="2:17">
      <c r="B348" s="357" t="s">
        <v>442</v>
      </c>
      <c r="C348" s="357">
        <f>0.5*1.2*$C$347^2</f>
        <v>3.6436494824498693</v>
      </c>
    </row>
  </sheetData>
  <sheetProtection selectLockedCells="1" selectUnlockedCells="1"/>
  <mergeCells count="6">
    <mergeCell ref="Q212:V212"/>
    <mergeCell ref="Q240:V240"/>
    <mergeCell ref="J240:P240"/>
    <mergeCell ref="J212:P212"/>
    <mergeCell ref="C240:I240"/>
    <mergeCell ref="C212:I212"/>
  </mergeCells>
  <phoneticPr fontId="87"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sheetPr>
  <dimension ref="A1:P150"/>
  <sheetViews>
    <sheetView topLeftCell="A97" zoomScaleNormal="100" workbookViewId="0">
      <selection activeCell="B122" sqref="B122"/>
    </sheetView>
  </sheetViews>
  <sheetFormatPr defaultRowHeight="15"/>
  <cols>
    <col min="1" max="1" width="17.5703125" customWidth="1"/>
    <col min="2" max="2" width="19.7109375" customWidth="1"/>
    <col min="3" max="3" width="11" customWidth="1"/>
    <col min="8" max="8" width="13.5703125" customWidth="1"/>
    <col min="9" max="9" width="22" customWidth="1"/>
    <col min="10" max="10" width="22.85546875" customWidth="1"/>
    <col min="12" max="12" width="31.140625" customWidth="1"/>
    <col min="13" max="13" width="32.7109375" customWidth="1"/>
    <col min="14" max="14" width="14.28515625" customWidth="1"/>
    <col min="15" max="15" width="32.140625" customWidth="1"/>
    <col min="16" max="16" width="10.7109375" customWidth="1"/>
    <col min="17" max="17" width="17.85546875" customWidth="1"/>
    <col min="18" max="18" width="31.5703125" customWidth="1"/>
    <col min="20" max="20" width="7" customWidth="1"/>
    <col min="21" max="21" width="32" customWidth="1"/>
  </cols>
  <sheetData>
    <row r="1" spans="1:11">
      <c r="A1" s="1" t="s">
        <v>517</v>
      </c>
    </row>
    <row r="2" spans="1:11">
      <c r="A2" t="s">
        <v>31</v>
      </c>
    </row>
    <row r="3" spans="1:11">
      <c r="A3" t="s">
        <v>30</v>
      </c>
    </row>
    <row r="4" spans="1:11">
      <c r="A4" t="s">
        <v>35</v>
      </c>
    </row>
    <row r="6" spans="1:11">
      <c r="A6" s="1" t="s">
        <v>518</v>
      </c>
    </row>
    <row r="7" spans="1:11">
      <c r="A7" t="s">
        <v>218</v>
      </c>
    </row>
    <row r="8" spans="1:11">
      <c r="A8" t="s">
        <v>219</v>
      </c>
    </row>
    <row r="9" spans="1:11">
      <c r="A9" t="s">
        <v>220</v>
      </c>
    </row>
    <row r="10" spans="1:11">
      <c r="A10" t="s">
        <v>221</v>
      </c>
    </row>
    <row r="11" spans="1:11">
      <c r="A11" t="s">
        <v>222</v>
      </c>
    </row>
    <row r="12" spans="1:11">
      <c r="A12" t="s">
        <v>223</v>
      </c>
    </row>
    <row r="13" spans="1:11">
      <c r="A13" t="s">
        <v>224</v>
      </c>
    </row>
    <row r="15" spans="1:11">
      <c r="A15" s="1" t="s">
        <v>7</v>
      </c>
      <c r="F15" t="str">
        <f>('HSC-FD'!M9)</f>
        <v>4 Way (360°)</v>
      </c>
      <c r="K15" t="str">
        <f>LEFT(K13,5)</f>
        <v/>
      </c>
    </row>
    <row r="16" spans="1:11">
      <c r="A16" t="s">
        <v>8</v>
      </c>
      <c r="B16" t="s">
        <v>486</v>
      </c>
      <c r="C16" t="str">
        <f>""</f>
        <v/>
      </c>
      <c r="F16" t="s">
        <v>519</v>
      </c>
      <c r="G16" t="s">
        <v>486</v>
      </c>
    </row>
    <row r="17" spans="1:7">
      <c r="A17" t="s">
        <v>520</v>
      </c>
      <c r="B17" t="s">
        <v>487</v>
      </c>
      <c r="C17" t="s">
        <v>521</v>
      </c>
      <c r="F17" t="s">
        <v>522</v>
      </c>
      <c r="G17" t="s">
        <v>487</v>
      </c>
    </row>
    <row r="18" spans="1:7">
      <c r="A18" t="s">
        <v>523</v>
      </c>
      <c r="B18" t="s">
        <v>488</v>
      </c>
      <c r="C18" t="s">
        <v>524</v>
      </c>
      <c r="F18">
        <v>13</v>
      </c>
      <c r="G18" t="s">
        <v>488</v>
      </c>
    </row>
    <row r="19" spans="1:7">
      <c r="A19" t="s">
        <v>525</v>
      </c>
      <c r="B19" t="s">
        <v>489</v>
      </c>
      <c r="C19" t="s">
        <v>526</v>
      </c>
      <c r="F19">
        <v>14</v>
      </c>
      <c r="G19" t="s">
        <v>489</v>
      </c>
    </row>
    <row r="20" spans="1:7">
      <c r="A20" t="s">
        <v>527</v>
      </c>
      <c r="B20">
        <f>'HSC-FD Equations'!C23</f>
        <v>1</v>
      </c>
      <c r="C20" t="s">
        <v>528</v>
      </c>
    </row>
    <row r="22" spans="1:7">
      <c r="A22" s="1" t="s">
        <v>529</v>
      </c>
    </row>
    <row r="23" spans="1:7">
      <c r="A23" s="12">
        <v>0.95</v>
      </c>
      <c r="B23" s="1"/>
    </row>
    <row r="24" spans="1:7">
      <c r="A24" s="12">
        <v>0.9</v>
      </c>
      <c r="B24" s="1"/>
    </row>
    <row r="25" spans="1:7">
      <c r="A25" s="12">
        <v>0.8</v>
      </c>
      <c r="B25" s="1"/>
    </row>
    <row r="26" spans="1:7">
      <c r="A26" s="12">
        <v>0.7</v>
      </c>
      <c r="B26" s="1"/>
    </row>
    <row r="27" spans="1:7">
      <c r="A27" s="1"/>
      <c r="B27" s="1" t="s">
        <v>530</v>
      </c>
    </row>
    <row r="28" spans="1:7">
      <c r="A28" s="12">
        <v>0.95</v>
      </c>
      <c r="B28" s="10">
        <v>0.2</v>
      </c>
    </row>
    <row r="29" spans="1:7">
      <c r="A29" s="12">
        <v>0.9</v>
      </c>
      <c r="B29" s="10">
        <v>0.25</v>
      </c>
    </row>
    <row r="30" spans="1:7">
      <c r="A30" s="12">
        <v>0.85</v>
      </c>
      <c r="B30" s="10">
        <v>0.27</v>
      </c>
    </row>
    <row r="31" spans="1:7">
      <c r="A31" s="12">
        <v>0.8</v>
      </c>
      <c r="B31" s="10">
        <v>0.28999999999999998</v>
      </c>
      <c r="E31" t="s">
        <v>601</v>
      </c>
    </row>
    <row r="32" spans="1:7">
      <c r="A32" s="12">
        <v>0.7</v>
      </c>
      <c r="B32" s="10">
        <v>0.33</v>
      </c>
      <c r="D32">
        <v>0</v>
      </c>
      <c r="E32">
        <v>0</v>
      </c>
    </row>
    <row r="33" spans="1:16">
      <c r="A33" s="12"/>
      <c r="B33" s="10"/>
      <c r="D33">
        <v>1</v>
      </c>
      <c r="E33" s="5" t="s">
        <v>638</v>
      </c>
    </row>
    <row r="34" spans="1:16">
      <c r="A34" s="12"/>
      <c r="B34" s="10"/>
      <c r="D34">
        <v>2</v>
      </c>
      <c r="E34" s="5" t="s">
        <v>632</v>
      </c>
    </row>
    <row r="35" spans="1:16">
      <c r="A35" s="12"/>
      <c r="B35" s="10"/>
      <c r="D35">
        <v>3</v>
      </c>
      <c r="E35" s="5" t="s">
        <v>633</v>
      </c>
    </row>
    <row r="36" spans="1:16">
      <c r="D36">
        <v>4</v>
      </c>
      <c r="E36" s="5" t="s">
        <v>634</v>
      </c>
    </row>
    <row r="37" spans="1:16">
      <c r="A37" s="1" t="s">
        <v>531</v>
      </c>
      <c r="D37">
        <v>5</v>
      </c>
      <c r="E37" s="5" t="s">
        <v>635</v>
      </c>
    </row>
    <row r="38" spans="1:16">
      <c r="A38" t="s">
        <v>532</v>
      </c>
      <c r="B38" t="str">
        <f>'HSC-FD'!E19</f>
        <v>DN355</v>
      </c>
      <c r="C38" s="157"/>
      <c r="D38">
        <v>6</v>
      </c>
      <c r="E38" s="5" t="s">
        <v>636</v>
      </c>
    </row>
    <row r="39" spans="1:16">
      <c r="A39" t="s">
        <v>518</v>
      </c>
      <c r="B39">
        <f>C39-1</f>
        <v>0</v>
      </c>
      <c r="C39" s="158">
        <v>1</v>
      </c>
      <c r="D39">
        <v>7</v>
      </c>
      <c r="E39" s="5" t="s">
        <v>637</v>
      </c>
    </row>
    <row r="40" spans="1:16">
      <c r="A40" t="s">
        <v>533</v>
      </c>
      <c r="B40" t="str">
        <f>VLOOKUP(C39,D32:E40,2)</f>
        <v>R0</v>
      </c>
      <c r="D40">
        <v>8</v>
      </c>
      <c r="E40" t="s">
        <v>631</v>
      </c>
    </row>
    <row r="41" spans="1:16">
      <c r="A41" t="s">
        <v>587</v>
      </c>
      <c r="B41" t="str">
        <f>B38&amp;"-"&amp;B40</f>
        <v>DN355-R0</v>
      </c>
    </row>
    <row r="43" spans="1:16">
      <c r="A43" t="s">
        <v>105</v>
      </c>
    </row>
    <row r="44" spans="1:16">
      <c r="A44" t="s">
        <v>607</v>
      </c>
      <c r="B44" t="s">
        <v>608</v>
      </c>
      <c r="C44" t="s">
        <v>602</v>
      </c>
      <c r="D44" t="s">
        <v>603</v>
      </c>
      <c r="G44" s="285"/>
      <c r="H44" s="285" t="s">
        <v>31</v>
      </c>
      <c r="I44" s="285"/>
      <c r="J44" s="285"/>
      <c r="K44" s="285" t="s">
        <v>30</v>
      </c>
      <c r="L44" s="285"/>
      <c r="M44" s="285"/>
      <c r="N44" s="285" t="s">
        <v>35</v>
      </c>
      <c r="O44" s="285"/>
    </row>
    <row r="45" spans="1:16">
      <c r="A45">
        <v>0</v>
      </c>
      <c r="B45" t="s">
        <v>534</v>
      </c>
      <c r="C45" t="s">
        <v>535</v>
      </c>
      <c r="G45" s="285"/>
      <c r="H45" s="285" t="s">
        <v>601</v>
      </c>
      <c r="I45" s="285" t="s">
        <v>602</v>
      </c>
      <c r="J45" s="285" t="s">
        <v>603</v>
      </c>
      <c r="K45" s="285" t="s">
        <v>601</v>
      </c>
      <c r="L45" s="285" t="s">
        <v>602</v>
      </c>
      <c r="M45" s="285" t="s">
        <v>603</v>
      </c>
      <c r="N45" s="285" t="s">
        <v>601</v>
      </c>
      <c r="O45" s="285" t="s">
        <v>602</v>
      </c>
      <c r="P45" s="285" t="s">
        <v>603</v>
      </c>
    </row>
    <row r="46" spans="1:16">
      <c r="A46">
        <v>1</v>
      </c>
      <c r="B46" t="str">
        <f>IF($B$38="DN250",H50,IF($B$38="DN355",K50,N50))</f>
        <v>S595</v>
      </c>
      <c r="C46" t="str">
        <f>IF($B$38="DN250",I50,IF($B$38="DN355",L50,O50)) &amp; "*"</f>
        <v>□ 595 mm square face*</v>
      </c>
      <c r="D46" t="str">
        <f>IF($B$38="DN250",J50,IF($B$38="DN355",M50,P50))</f>
        <v>□ 595 mm square face</v>
      </c>
      <c r="E46" s="4" t="s">
        <v>538</v>
      </c>
      <c r="F46" s="4" t="s">
        <v>539</v>
      </c>
      <c r="G46">
        <v>1</v>
      </c>
      <c r="H46" t="s">
        <v>545</v>
      </c>
      <c r="I46" s="48" t="s">
        <v>546</v>
      </c>
      <c r="J46" s="48" t="s">
        <v>546</v>
      </c>
      <c r="K46" t="s">
        <v>547</v>
      </c>
      <c r="L46" s="48" t="s">
        <v>548</v>
      </c>
      <c r="M46" s="48" t="s">
        <v>548</v>
      </c>
      <c r="N46" t="s">
        <v>547</v>
      </c>
      <c r="O46" s="48" t="s">
        <v>548</v>
      </c>
      <c r="P46" s="48" t="s">
        <v>548</v>
      </c>
    </row>
    <row r="47" spans="1:16">
      <c r="A47">
        <v>2</v>
      </c>
      <c r="B47" t="str">
        <f t="shared" ref="B47:B48" si="0">IF($B$38="DN250",H51,IF($B$38="DN355",K51,N51))</f>
        <v>C500</v>
      </c>
      <c r="C47" t="str">
        <f t="shared" ref="C47:D48" si="1">IF($B$38="DN250",I51,IF($B$38="DN355",L51,O51))</f>
        <v>ø 500 mm circular face</v>
      </c>
      <c r="D47" t="str">
        <f t="shared" si="1"/>
        <v>ø 500 mm circular face</v>
      </c>
      <c r="G47">
        <v>2</v>
      </c>
      <c r="H47" t="s">
        <v>536</v>
      </c>
      <c r="I47" s="48" t="s">
        <v>537</v>
      </c>
      <c r="J47" s="48" t="s">
        <v>537</v>
      </c>
      <c r="K47" t="s">
        <v>540</v>
      </c>
      <c r="L47" s="48" t="s">
        <v>541</v>
      </c>
      <c r="M47" s="48" t="s">
        <v>541</v>
      </c>
      <c r="N47" t="s">
        <v>542</v>
      </c>
      <c r="O47" s="48" t="s">
        <v>543</v>
      </c>
      <c r="P47" s="48" t="s">
        <v>543</v>
      </c>
    </row>
    <row r="48" spans="1:16">
      <c r="A48">
        <v>3</v>
      </c>
      <c r="B48" t="str">
        <f t="shared" si="0"/>
        <v>&lt;face&gt;</v>
      </c>
      <c r="C48" t="str">
        <f t="shared" si="1"/>
        <v>custom face size</v>
      </c>
      <c r="D48" t="str">
        <f t="shared" si="1"/>
        <v>custom face size (contact Smartair)</v>
      </c>
      <c r="G48">
        <v>3</v>
      </c>
      <c r="H48" t="s">
        <v>534</v>
      </c>
      <c r="I48" s="48" t="s">
        <v>604</v>
      </c>
      <c r="J48" t="s">
        <v>544</v>
      </c>
      <c r="K48" t="s">
        <v>534</v>
      </c>
      <c r="L48" s="48" t="s">
        <v>604</v>
      </c>
      <c r="M48" s="48" t="s">
        <v>544</v>
      </c>
      <c r="N48" t="s">
        <v>534</v>
      </c>
      <c r="O48" s="48" t="s">
        <v>604</v>
      </c>
      <c r="P48" s="48" t="s">
        <v>544</v>
      </c>
    </row>
    <row r="49" spans="1:16">
      <c r="A49" s="414">
        <v>1</v>
      </c>
      <c r="B49" s="414" t="str">
        <f>VLOOKUP(A49,A45:C48,2,0)</f>
        <v>S595</v>
      </c>
      <c r="C49" s="415" t="str">
        <f>VLOOKUP(A49,A45:C48,3,0)</f>
        <v>□ 595 mm square face*</v>
      </c>
      <c r="D49" s="415" t="str">
        <f>VLOOKUP(A49,A45:D48,4,0)</f>
        <v>□ 595 mm square face</v>
      </c>
      <c r="G49" s="285">
        <v>4</v>
      </c>
      <c r="H49" s="285" t="s">
        <v>609</v>
      </c>
      <c r="I49" s="285" t="s">
        <v>600</v>
      </c>
      <c r="J49" s="285" t="s">
        <v>535</v>
      </c>
      <c r="K49" s="285" t="s">
        <v>609</v>
      </c>
      <c r="L49" s="285" t="s">
        <v>600</v>
      </c>
      <c r="M49" s="285" t="s">
        <v>600</v>
      </c>
      <c r="N49" s="285" t="s">
        <v>609</v>
      </c>
      <c r="O49" s="285" t="s">
        <v>600</v>
      </c>
      <c r="P49" s="285" t="s">
        <v>600</v>
      </c>
    </row>
    <row r="50" spans="1:16">
      <c r="C50" s="48"/>
      <c r="G50">
        <v>1</v>
      </c>
      <c r="H50" t="str">
        <f t="shared" ref="H50:J52" si="2">IF($B$20=1,H46,H47)</f>
        <v>S295</v>
      </c>
      <c r="I50" t="str">
        <f t="shared" si="2"/>
        <v>□ 295 mm square face</v>
      </c>
      <c r="J50" t="str">
        <f t="shared" si="2"/>
        <v>□ 295 mm square face</v>
      </c>
      <c r="K50" t="str">
        <f>IF($B$56,K46,IF($B$20=1,K46,K47))</f>
        <v>S595</v>
      </c>
      <c r="L50" t="str">
        <f>IF($B$56,L46,IF($B$20=1,L46,L47))</f>
        <v>□ 595 mm square face</v>
      </c>
      <c r="M50" t="str">
        <f>IF($B$56,M46,IF($B$20=1,M46,M47))</f>
        <v>□ 595 mm square face</v>
      </c>
      <c r="N50" t="str">
        <f t="shared" ref="N50:P52" si="3">IF($B$20=1,N46,N47)</f>
        <v>S595</v>
      </c>
      <c r="O50" t="str">
        <f t="shared" si="3"/>
        <v>□ 595 mm square face</v>
      </c>
      <c r="P50" t="str">
        <f t="shared" si="3"/>
        <v>□ 595 mm square face</v>
      </c>
    </row>
    <row r="51" spans="1:16">
      <c r="C51" s="48"/>
      <c r="G51">
        <v>2</v>
      </c>
      <c r="H51" t="str">
        <f t="shared" si="2"/>
        <v>C355</v>
      </c>
      <c r="I51" t="str">
        <f t="shared" si="2"/>
        <v>ø 355 mm circular face</v>
      </c>
      <c r="J51" t="str">
        <f t="shared" si="2"/>
        <v>ø 355 mm circular face</v>
      </c>
      <c r="K51" t="str">
        <f>IF($B$56,K48,IF($B$20=1,K47,K46))</f>
        <v>C500</v>
      </c>
      <c r="L51" t="str">
        <f>IF($B$56,L48,IF($B$20=1,L47,L46))</f>
        <v>ø 500 mm circular face</v>
      </c>
      <c r="M51" t="str">
        <f>IF($B$56,M48,IF($B$20=1,M47,M46))</f>
        <v>ø 500 mm circular face</v>
      </c>
      <c r="N51" t="str">
        <f t="shared" si="3"/>
        <v>C710</v>
      </c>
      <c r="O51" t="str">
        <f t="shared" si="3"/>
        <v>ø 710 mm circular face</v>
      </c>
      <c r="P51" t="str">
        <f t="shared" si="3"/>
        <v>ø 710 mm circular face</v>
      </c>
    </row>
    <row r="52" spans="1:16">
      <c r="C52" s="48"/>
      <c r="G52">
        <v>3</v>
      </c>
      <c r="H52" t="str">
        <f t="shared" si="2"/>
        <v>&lt;face&gt;</v>
      </c>
      <c r="I52" t="str">
        <f t="shared" si="2"/>
        <v>custom face size</v>
      </c>
      <c r="J52" t="str">
        <f t="shared" si="2"/>
        <v>custom face size (contact Smartair)</v>
      </c>
      <c r="K52" t="str">
        <f>IF($B$56,K49,IF($B$20=1,K48,K48))</f>
        <v>&lt;face&gt;</v>
      </c>
      <c r="L52" t="str">
        <f>IF($B$56,L49,IF($B$20=1,L48,L48))</f>
        <v>custom face size</v>
      </c>
      <c r="M52" t="str">
        <f>IF($B$56,M49,IF($B$20=1,M48,M48))</f>
        <v>custom face size (contact Smartair)</v>
      </c>
      <c r="N52" t="str">
        <f t="shared" si="3"/>
        <v>&lt;face&gt;</v>
      </c>
      <c r="O52" t="str">
        <f t="shared" si="3"/>
        <v>custom face size</v>
      </c>
      <c r="P52" t="str">
        <f t="shared" si="3"/>
        <v>custom face size (contact Smartair)</v>
      </c>
    </row>
    <row r="53" spans="1:16">
      <c r="C53" s="48"/>
    </row>
    <row r="54" spans="1:16">
      <c r="A54" t="s">
        <v>549</v>
      </c>
      <c r="B54" t="str">
        <f>VLOOKUP(F15,A16:B19,2,0)</f>
        <v>4w</v>
      </c>
      <c r="C54" t="str">
        <f>VLOOKUP(F15,A16:C19,3,0)</f>
        <v/>
      </c>
    </row>
    <row r="56" spans="1:16">
      <c r="A56" t="s">
        <v>550</v>
      </c>
      <c r="B56">
        <f>IF('HSC-FD Equations'!C21,1,0)</f>
        <v>0</v>
      </c>
      <c r="C56" s="48"/>
    </row>
    <row r="57" spans="1:16">
      <c r="B57" t="str">
        <f>IF(B56,"Perforated Face","")</f>
        <v/>
      </c>
      <c r="C57" t="str">
        <f>IF(B56,"With perforated face","")</f>
        <v/>
      </c>
    </row>
    <row r="58" spans="1:16">
      <c r="A58" t="s">
        <v>111</v>
      </c>
      <c r="B58" t="str">
        <f>IF(C58=1,"RAL9003",IF(C58=2,"RAL9005","&lt;colour&gt;"))</f>
        <v>RAL9003</v>
      </c>
      <c r="C58" s="48">
        <v>1</v>
      </c>
    </row>
    <row r="59" spans="1:16">
      <c r="C59" s="48"/>
    </row>
    <row r="60" spans="1:16">
      <c r="A60" t="s">
        <v>551</v>
      </c>
    </row>
    <row r="61" spans="1:16">
      <c r="A61">
        <v>1</v>
      </c>
      <c r="B61">
        <v>0</v>
      </c>
      <c r="C61" t="s">
        <v>552</v>
      </c>
    </row>
    <row r="62" spans="1:16">
      <c r="A62">
        <v>2</v>
      </c>
      <c r="B62" t="s">
        <v>553</v>
      </c>
      <c r="C62" t="s">
        <v>554</v>
      </c>
    </row>
    <row r="63" spans="1:16">
      <c r="A63" s="328">
        <v>3</v>
      </c>
      <c r="B63" s="328" t="s">
        <v>555</v>
      </c>
      <c r="C63" s="328" t="s">
        <v>556</v>
      </c>
    </row>
    <row r="64" spans="1:16">
      <c r="A64">
        <v>1</v>
      </c>
      <c r="B64">
        <f>VLOOKUP(A64,A61:C63,2,0)</f>
        <v>0</v>
      </c>
      <c r="C64" t="str">
        <f>VLOOKUP(A64,A61:C63,3,0)</f>
        <v>No connection box</v>
      </c>
    </row>
    <row r="65" spans="1:9">
      <c r="C65" s="48"/>
    </row>
    <row r="66" spans="1:9">
      <c r="B66" t="s">
        <v>557</v>
      </c>
      <c r="C66" t="s">
        <v>558</v>
      </c>
      <c r="D66" t="s">
        <v>559</v>
      </c>
      <c r="E66" t="s">
        <v>518</v>
      </c>
      <c r="F66" t="s">
        <v>549</v>
      </c>
      <c r="G66" t="s">
        <v>560</v>
      </c>
      <c r="H66" t="s">
        <v>111</v>
      </c>
      <c r="I66" t="s">
        <v>561</v>
      </c>
    </row>
    <row r="67" spans="1:9">
      <c r="B67" t="s">
        <v>562</v>
      </c>
      <c r="C67" t="str">
        <f>B38&amp;"-"</f>
        <v>DN355-</v>
      </c>
      <c r="D67" t="str">
        <f>B49&amp;"-"</f>
        <v>S595-</v>
      </c>
      <c r="E67" t="str">
        <f>B40&amp;"-"</f>
        <v>R0-</v>
      </c>
      <c r="F67" t="str">
        <f>B54&amp;"-"</f>
        <v>4w-</v>
      </c>
      <c r="G67" t="str">
        <f>"P"&amp;B56&amp;"-"</f>
        <v>P0-</v>
      </c>
      <c r="H67" t="str">
        <f>B58&amp;"-"</f>
        <v>RAL9003-</v>
      </c>
      <c r="I67">
        <f>B64</f>
        <v>0</v>
      </c>
    </row>
    <row r="69" spans="1:9">
      <c r="A69" t="s">
        <v>641</v>
      </c>
      <c r="B69" t="str">
        <f>IF('HSC-FD Equations'!C315,"Perforated face only available with DN355",IF(C39=0,"please select a valid reducer option",CONCATENATE(B67,C67,D67,E67,F67,G67,H67,I67)))</f>
        <v>SMARTEMP HSC-FD-DN355-S595-R0-4w-P0-RAL9003-0</v>
      </c>
    </row>
    <row r="70" spans="1:9">
      <c r="A70" t="s">
        <v>642</v>
      </c>
      <c r="B70" t="str">
        <f>B67&amp;C67&amp;D67&amp;E67&amp;G67&amp;H67&amp;I67</f>
        <v>SMARTEMP HSC-FD-DN355-S595-R0-P0-RAL9003-0</v>
      </c>
    </row>
    <row r="71" spans="1:9">
      <c r="A71" t="s">
        <v>563</v>
      </c>
      <c r="B71" t="str">
        <f>IF(B40="RA",B70,B69)</f>
        <v>SMARTEMP HSC-FD-DN355-S595-R0-4w-P0-RAL9003-0</v>
      </c>
    </row>
    <row r="74" spans="1:9">
      <c r="A74" s="1" t="s">
        <v>564</v>
      </c>
      <c r="F74" t="s">
        <v>566</v>
      </c>
    </row>
    <row r="75" spans="1:9">
      <c r="B75" t="s">
        <v>640</v>
      </c>
      <c r="C75">
        <f>IF(B40="RA",0,C39-1)</f>
        <v>0</v>
      </c>
      <c r="D75" t="s">
        <v>124</v>
      </c>
      <c r="E75" t="s">
        <v>565</v>
      </c>
    </row>
    <row r="76" spans="1:9">
      <c r="A76">
        <v>1</v>
      </c>
      <c r="B76" s="6" cm="1">
        <f t="array" aca="1" ref="B76" ca="1">OFFSET('HSC-FD Equations'!$B$268,A76,0,,)</f>
        <v>0</v>
      </c>
      <c r="C76" s="6" cm="1">
        <f t="array" aca="1" ref="C76" ca="1">OFFSET('HSC-FD Equations'!$C$268,A76,$C$75,,)</f>
        <v>0</v>
      </c>
    </row>
    <row r="77" spans="1:9">
      <c r="A77">
        <v>2</v>
      </c>
      <c r="B77" s="6" cm="1">
        <f t="array" aca="1" ref="B77" ca="1">OFFSET('HSC-FD Equations'!$B$268,A77,0,,)</f>
        <v>0</v>
      </c>
      <c r="C77" s="6" t="str" cm="1">
        <f t="array" aca="1" ref="C77" ca="1">OFFSET('HSC-FD Equations'!$C$268,A77,$C$75,,)</f>
        <v>DN355-R0</v>
      </c>
    </row>
    <row r="78" spans="1:9">
      <c r="A78">
        <v>3</v>
      </c>
      <c r="B78" s="6" t="str" cm="1">
        <f t="array" aca="1" ref="B78" ca="1">OFFSET('HSC-FD Equations'!$B$268,A78,0,,)</f>
        <v>Max Airflow</v>
      </c>
      <c r="C78" s="6" cm="1">
        <f t="array" aca="1" ref="C78" ca="1">OFFSET('HSC-FD Equations'!$C$268,A78,$C$75,,)</f>
        <v>120</v>
      </c>
      <c r="D78" t="str">
        <f>'HSC-FD Equations'!$E$3</f>
        <v>L/s</v>
      </c>
      <c r="E78" t="str">
        <f ca="1">CONCATENATE(Data!C78," ",Data!D78," @ ",Data!C84," ",Data!D84," static")</f>
        <v>120 L/s @ 8.8 Pa static</v>
      </c>
    </row>
    <row r="79" spans="1:9">
      <c r="A79">
        <v>4</v>
      </c>
      <c r="B79" s="6" t="str" cm="1">
        <f t="array" aca="1" ref="B79" ca="1">OFFSET('HSC-FD Equations'!$B$268,A79,0,,)</f>
        <v xml:space="preserve">Max Permissible Airflow </v>
      </c>
      <c r="C79" s="6" cm="1">
        <f t="array" aca="1" ref="C79" ca="1">OFFSET('HSC-FD Equations'!$C$268,A79,$C$75,,)</f>
        <v>239.9</v>
      </c>
      <c r="D79" t="str">
        <f>'HSC-FD Equations'!$E$3</f>
        <v>L/s</v>
      </c>
    </row>
    <row r="80" spans="1:9">
      <c r="A80">
        <v>5</v>
      </c>
      <c r="B80" s="6" t="str" cm="1">
        <f t="array" aca="1" ref="B80" ca="1">OFFSET('HSC-FD Equations'!$B$268,A80,0,,)</f>
        <v>Min Airflow</v>
      </c>
      <c r="C80" s="6" cm="1">
        <f t="array" aca="1" ref="C80" ca="1">OFFSET('HSC-FD Equations'!$C$268,A80,$C$75,,)</f>
        <v>120</v>
      </c>
      <c r="D80" t="str">
        <f>'HSC-FD Equations'!$E$3</f>
        <v>L/s</v>
      </c>
      <c r="E80" t="str">
        <f ca="1">C80 &amp; " " &amp; D80 &amp; IF(C82=1," (CAV)"," (VAV turndown to " &amp; ROUND( C82*100,0) &amp; "%)")</f>
        <v>120 L/s (CAV)</v>
      </c>
    </row>
    <row r="81" spans="1:5">
      <c r="A81">
        <v>6</v>
      </c>
      <c r="B81" s="6" t="str" cm="1">
        <f t="array" aca="1" ref="B81" ca="1">OFFSET('HSC-FD Equations'!$B$268,A81,0,,)</f>
        <v xml:space="preserve">Min Permissible Airflow </v>
      </c>
      <c r="C81" s="6" cm="1">
        <f t="array" aca="1" ref="C81" ca="1">OFFSET('HSC-FD Equations'!$C$268,A81,$C$75,,)</f>
        <v>47.8</v>
      </c>
      <c r="D81" t="str">
        <f>'HSC-FD Equations'!$E$3</f>
        <v>L/s</v>
      </c>
      <c r="E81" t="str">
        <f ca="1">CONCATENATE(C81," ",D81," (",ROUND(C83*100,0),"%) @ ΔT = ",'HSC-FD Equations'!C16," K")</f>
        <v>47.8 L/s (40%) @ ΔT = -12 K</v>
      </c>
    </row>
    <row r="82" spans="1:5">
      <c r="A82">
        <v>7</v>
      </c>
      <c r="B82" s="6" t="str" cm="1">
        <f t="array" aca="1" ref="B82" ca="1">OFFSET('HSC-FD Equations'!$B$268,A82,0,,)</f>
        <v>Min % Turndown to</v>
      </c>
      <c r="C82" s="6" cm="1">
        <f t="array" aca="1" ref="C82" ca="1">OFFSET('HSC-FD Equations'!$C$268,A82,$C$75,,)</f>
        <v>1</v>
      </c>
    </row>
    <row r="83" spans="1:5">
      <c r="A83">
        <v>8</v>
      </c>
      <c r="B83" s="6" t="str" cm="1">
        <f t="array" aca="1" ref="B83" ca="1">OFFSET('HSC-FD Equations'!$B$268,A83,0,,)</f>
        <v>Min Permissible % Turndown to</v>
      </c>
      <c r="C83" s="455" cm="1">
        <f t="array" aca="1" ref="C83" ca="1">OFFSET('HSC-FD Equations'!$C$268,A83,$C$75,,)</f>
        <v>0.39900000000000002</v>
      </c>
    </row>
    <row r="84" spans="1:5">
      <c r="A84">
        <v>9</v>
      </c>
      <c r="B84" s="6" t="str" cm="1">
        <f t="array" aca="1" ref="B84" ca="1">OFFSET('HSC-FD Equations'!$B$268,A84,0,,)</f>
        <v>Static Pressure @ 100% Airflow [Pa]</v>
      </c>
      <c r="C84" s="6" cm="1">
        <f t="array" aca="1" ref="C84" ca="1">OFFSET('HSC-FD Equations'!$C$268,A84,$C$75,,)</f>
        <v>8.8000000000000007</v>
      </c>
      <c r="D84" t="s">
        <v>140</v>
      </c>
    </row>
    <row r="85" spans="1:5">
      <c r="A85">
        <v>10</v>
      </c>
      <c r="B85" s="6" t="str" cm="1">
        <f t="array" aca="1" ref="B85" ca="1">OFFSET('HSC-FD Equations'!$B$268,A85,0,,)</f>
        <v>Total Pressure @ 100% Airflow [Pa]</v>
      </c>
      <c r="C85" s="6" cm="1">
        <f t="array" aca="1" ref="C85" ca="1">OFFSET('HSC-FD Equations'!$C$268,A85,$C$75,,)</f>
        <v>12.4</v>
      </c>
      <c r="D85" t="s">
        <v>140</v>
      </c>
    </row>
    <row r="86" spans="1:5">
      <c r="A86">
        <v>11</v>
      </c>
      <c r="B86" s="6" t="str" cm="1">
        <f t="array" aca="1" ref="B86" ca="1">OFFSET('HSC-FD Equations'!$B$268,A86,0,,)</f>
        <v>Max Permissible Total Pressure [Pa]</v>
      </c>
      <c r="C86" s="6" cm="1">
        <f t="array" aca="1" ref="C86" ca="1">OFFSET('HSC-FD Equations'!$C$268,A86,$C$75,,)</f>
        <v>35</v>
      </c>
    </row>
    <row r="87" spans="1:5">
      <c r="A87">
        <v>12</v>
      </c>
      <c r="B87" s="6" t="str" cm="1">
        <f t="array" aca="1" ref="B87" ca="1">OFFSET('HSC-FD Equations'!$B$268,A87,0,,)</f>
        <v>Sound Power Level [dB(A)]</v>
      </c>
      <c r="C87" s="6" cm="1">
        <f t="array" aca="1" ref="C87" ca="1">OFFSET('HSC-FD Equations'!$C$268,A87,$C$75,,)</f>
        <v>27.2</v>
      </c>
      <c r="E87" t="str">
        <f ca="1">C87&amp;" dB(A)"</f>
        <v>27.2 dB(A)</v>
      </c>
    </row>
    <row r="88" spans="1:5">
      <c r="A88">
        <v>13</v>
      </c>
      <c r="B88" s="6" t="str" cm="1">
        <f t="array" aca="1" ref="B88" ca="1">OFFSET('HSC-FD Equations'!$B$268,A88,0,,)</f>
        <v>Sound Pressure Level [NC]</v>
      </c>
      <c r="C88" s="6" cm="1">
        <f t="array" aca="1" ref="C88" ca="1">OFFSET('HSC-FD Equations'!$C$268,A88,$C$75,,)</f>
        <v>12.2</v>
      </c>
      <c r="E88" t="str">
        <f ca="1">C88&amp;" NC"</f>
        <v>12.2 NC</v>
      </c>
    </row>
    <row r="89" spans="1:5" ht="14.25" customHeight="1">
      <c r="A89">
        <v>14</v>
      </c>
      <c r="B89" s="6" t="str" cm="1">
        <f t="array" aca="1" ref="B89" ca="1">OFFSET('HSC-FD Equations'!$B$268,A89,0,,)</f>
        <v xml:space="preserve">Max ΔT (heating) - Centre Zone [K] </v>
      </c>
      <c r="C89" s="6" cm="1">
        <f t="array" aca="1" ref="C89" ca="1">OFFSET('HSC-FD Equations'!$C$268,A89,$C$75,,)</f>
        <v>9.6999999999999993</v>
      </c>
      <c r="E89" t="str">
        <f ca="1">"+" &amp; C89 &amp; " K "</f>
        <v xml:space="preserve">+9.7 K </v>
      </c>
    </row>
    <row r="90" spans="1:5" ht="14.25" customHeight="1">
      <c r="A90">
        <v>15</v>
      </c>
      <c r="B90" s="6" t="str" cm="1">
        <f t="array" aca="1" ref="B90" ca="1">OFFSET('HSC-FD Equations'!$B$268,A90,0,,)</f>
        <v xml:space="preserve">Max ΔT (heating) - Perimeter [K] </v>
      </c>
      <c r="C90" s="6" cm="1">
        <f t="array" aca="1" ref="C90" ca="1">OFFSET('HSC-FD Equations'!$C$268,A90,$C$75,,)</f>
        <v>6.5</v>
      </c>
      <c r="E90" t="str">
        <f ca="1">"+" &amp; C90 &amp; " K "</f>
        <v xml:space="preserve">+6.5 K </v>
      </c>
    </row>
    <row r="91" spans="1:5" ht="14.25" customHeight="1">
      <c r="A91">
        <v>16</v>
      </c>
      <c r="B91" s="6" t="str" cm="1">
        <f t="array" aca="1" ref="B91" ca="1">OFFSET('HSC-FD Equations'!$B$268,A91,0,,)</f>
        <v>Max Centreline Distance [m] (centre)</v>
      </c>
      <c r="C91" s="6" cm="1">
        <f t="array" aca="1" ref="C91" ca="1">OFFSET('HSC-FD Equations'!$C$268,A91,$C$75,,)</f>
        <v>12.7</v>
      </c>
      <c r="D91" t="s">
        <v>33</v>
      </c>
    </row>
    <row r="92" spans="1:5" ht="14.25" customHeight="1">
      <c r="A92">
        <v>17</v>
      </c>
      <c r="B92" s="6" t="str" cm="1">
        <f t="array" aca="1" ref="B92" ca="1">OFFSET('HSC-FD Equations'!$B$268,A92,0,,)</f>
        <v>Max Centreline Distance Perimeter [m]</v>
      </c>
      <c r="C92" s="6" cm="1">
        <f t="array" aca="1" ref="C92" ca="1">OFFSET('HSC-FD Equations'!$C$268,A92,$C$75,,)</f>
        <v>11.5</v>
      </c>
      <c r="D92" t="s">
        <v>33</v>
      </c>
    </row>
    <row r="93" spans="1:5" ht="14.25" customHeight="1">
      <c r="A93">
        <v>18</v>
      </c>
      <c r="B93" s="6" t="str" cm="1">
        <f t="array" aca="1" ref="B93" ca="1">OFFSET('HSC-FD Equations'!$B$268,A93,0,,)</f>
        <v>Min Centreline Distance [m]</v>
      </c>
      <c r="C93" s="6" cm="1">
        <f t="array" aca="1" ref="C93" ca="1">OFFSET('HSC-FD Equations'!$C$268,A93,$C$75,,)</f>
        <v>2.5</v>
      </c>
      <c r="D93" t="s">
        <v>33</v>
      </c>
    </row>
    <row r="94" spans="1:5" ht="14.25" customHeight="1">
      <c r="A94">
        <v>19</v>
      </c>
      <c r="B94" s="6" t="str" cm="1">
        <f t="array" aca="1" ref="B94" ca="1">OFFSET('HSC-FD Equations'!$B$268,A94,0,,)</f>
        <v>Min Permissible Diffuser Height [m]</v>
      </c>
      <c r="C94" s="6" cm="1">
        <f t="array" aca="1" ref="C94" ca="1">OFFSET('HSC-FD Equations'!$C$268,A94,$C$75,,)</f>
        <v>2.4</v>
      </c>
      <c r="D94" t="s">
        <v>33</v>
      </c>
    </row>
    <row r="95" spans="1:5" ht="14.25" customHeight="1">
      <c r="A95">
        <v>20</v>
      </c>
      <c r="B95" s="6" t="str" cm="1">
        <f t="array" aca="1" ref="B95" ca="1">OFFSET('HSC-FD Equations'!$B$268,A95,0,,)</f>
        <v>Mean Room Air Velocity [m/s]</v>
      </c>
      <c r="C95" s="6" cm="1">
        <f t="array" aca="1" ref="C95" ca="1">OFFSET('HSC-FD Equations'!$C$268,A95,$C$75,,)</f>
        <v>0.1</v>
      </c>
    </row>
    <row r="96" spans="1:5" ht="14.25" customHeight="1">
      <c r="A96">
        <v>21</v>
      </c>
      <c r="B96" s="6" t="str" cm="1">
        <f t="array" aca="1" ref="B96" ca="1">OFFSET('HSC-FD Equations'!$B$268,A96,0,,)</f>
        <v>Mean Draught Rating (DR)</v>
      </c>
      <c r="C96" s="6" cm="1">
        <f t="array" aca="1" ref="C96" ca="1">OFFSET('HSC-FD Equations'!$C$268,A96,$C$75,,)</f>
        <v>7.6999999999999999E-2</v>
      </c>
    </row>
    <row r="97" spans="1:5" ht="14.25" customHeight="1">
      <c r="A97">
        <v>22</v>
      </c>
      <c r="B97" s="6" t="str" cm="1">
        <f t="array" aca="1" ref="B97" ca="1">OFFSET('HSC-FD Equations'!$B$268,A97,0,,)</f>
        <v>Mean PPD</v>
      </c>
      <c r="C97" s="6" cm="1">
        <f t="array" aca="1" ref="C97" ca="1">OFFSET('HSC-FD Equations'!$C$268,A97,$C$75,,)</f>
        <v>5.1999999999999998E-2</v>
      </c>
    </row>
    <row r="98" spans="1:5" ht="14.25" customHeight="1">
      <c r="A98">
        <v>23</v>
      </c>
      <c r="B98" s="6" t="str" cm="1">
        <f t="array" aca="1" ref="B98" ca="1">OFFSET('HSC-FD Equations'!$B$268,A98,0,,)</f>
        <v>Satisfies PPD Category (ISO7730)</v>
      </c>
      <c r="C98" s="6" t="str" cm="1">
        <f t="array" aca="1" ref="C98" ca="1">OFFSET('HSC-FD Equations'!$C$268,A98,$C$75,,)</f>
        <v>A</v>
      </c>
    </row>
    <row r="99" spans="1:5" ht="14.25" customHeight="1">
      <c r="A99">
        <v>24</v>
      </c>
      <c r="B99" s="6" t="str" cm="1">
        <f t="array" aca="1" ref="B99" ca="1">OFFSET('HSC-FD Equations'!$B$268,A99,0,,)</f>
        <v>PMV</v>
      </c>
      <c r="C99" s="6" t="str" cm="1">
        <f t="array" aca="1" ref="C99" ca="1">OFFSET('HSC-FD Equations'!$C$268,A99,$C$75,,)</f>
        <v>&lt; 0.2</v>
      </c>
    </row>
    <row r="100" spans="1:5" ht="14.25" customHeight="1">
      <c r="A100">
        <v>25</v>
      </c>
      <c r="B100" s="6" t="str" cm="1">
        <f t="array" aca="1" ref="B100" ca="1">OFFSET('HSC-FD Equations'!$B$268,A100,0,,)</f>
        <v>Spigot D</v>
      </c>
      <c r="C100" s="6" t="str" cm="1">
        <f t="array" aca="1" ref="C100" ca="1">OFFSET('HSC-FD Equations'!$C$268,A100,$C$75,,)</f>
        <v>DN250</v>
      </c>
    </row>
    <row r="101" spans="1:5" ht="14.25" customHeight="1">
      <c r="A101">
        <v>26</v>
      </c>
      <c r="B101" s="6" t="str" cm="1">
        <f t="array" aca="1" ref="B101" ca="1">OFFSET('HSC-FD Equations'!$B$268,A101,0,,)</f>
        <v>Low profile spigot</v>
      </c>
      <c r="C101" s="6" t="str" cm="1">
        <f t="array" aca="1" ref="C101" ca="1">OFFSET('HSC-FD Equations'!$C$268,A101,$C$75,,)</f>
        <v>DN300</v>
      </c>
      <c r="E101" t="str">
        <f ca="1">C101&amp; " (Low Profile Box)"</f>
        <v>DN300 (Low Profile Box)</v>
      </c>
    </row>
    <row r="102" spans="1:5" ht="14.25" customHeight="1">
      <c r="A102">
        <v>27</v>
      </c>
      <c r="B102" s="6" cm="1">
        <f t="array" aca="1" ref="B102" ca="1">OFFSET('HSC-FD Equations'!$B$268,A102,0,,)</f>
        <v>0</v>
      </c>
      <c r="C102" s="6" cm="1">
        <f t="array" aca="1" ref="C102" ca="1">OFFSET('HSC-FD Equations'!$C$268,A102,$C$75,,)</f>
        <v>0</v>
      </c>
    </row>
    <row r="103" spans="1:5">
      <c r="A103">
        <v>28</v>
      </c>
      <c r="B103" s="6" t="str" cm="1">
        <f t="array" aca="1" ref="B103" ca="1">OFFSET('HSC-FD Equations'!$B$268,A103,0,,)</f>
        <v>Shading Rules</v>
      </c>
      <c r="C103" s="6" cm="1">
        <f t="array" aca="1" ref="C103" ca="1">OFFSET('HSC-FD Equations'!$C$268,A103,$C$75,,)</f>
        <v>0</v>
      </c>
    </row>
    <row r="104" spans="1:5">
      <c r="A104">
        <v>29</v>
      </c>
      <c r="B104" s="6" t="str" cm="1">
        <f t="array" aca="1" ref="B104" ca="1">OFFSET('HSC-FD Equations'!$B$268,A104,0,,)</f>
        <v>High Pressure/Flow</v>
      </c>
      <c r="C104" s="6" t="b" cm="1">
        <f t="array" aca="1" ref="C104" ca="1">OFFSET('HSC-FD Equations'!$C$268,A104,$C$75,,)</f>
        <v>0</v>
      </c>
    </row>
    <row r="105" spans="1:5">
      <c r="B105" s="6"/>
      <c r="C105" s="6"/>
    </row>
    <row r="106" spans="1:5">
      <c r="A106" s="1" t="s">
        <v>643</v>
      </c>
      <c r="B106" s="6"/>
      <c r="C106" s="6"/>
    </row>
    <row r="107" spans="1:5">
      <c r="A107" t="s">
        <v>644</v>
      </c>
      <c r="B107" t="str">
        <f>IF('HSC-FD Equations'!C23=2,"Freely suspended","Closed ceiling")</f>
        <v>Closed ceiling</v>
      </c>
      <c r="C107" s="6"/>
    </row>
    <row r="108" spans="1:5">
      <c r="A108" t="s">
        <v>645</v>
      </c>
      <c r="B108" s="456" t="str">
        <f ca="1">E89&amp;" (centre zones) / "&amp;E90&amp;" (perimeter zones)"</f>
        <v>+9.7 K  (centre zones) / +6.5 K  (perimeter zones)</v>
      </c>
      <c r="C108" s="6"/>
    </row>
    <row r="109" spans="1:5">
      <c r="A109" t="s">
        <v>647</v>
      </c>
      <c r="B109" s="6" t="str">
        <f>"Max Heating ΔT @ " &amp;B125</f>
        <v>Max Heating ΔT @ 2.3 L/s/m²</v>
      </c>
      <c r="C109" s="6"/>
    </row>
    <row r="110" spans="1:5">
      <c r="A110" t="s">
        <v>615</v>
      </c>
      <c r="B110" s="6" t="str">
        <f>IF(B40="RA","R/A diffuser sound power level is up to 2 dB(A) greater than the supply air sound power level.","")</f>
        <v/>
      </c>
      <c r="C110" s="6"/>
    </row>
    <row r="111" spans="1:5">
      <c r="B111" s="6"/>
      <c r="C111" s="6"/>
    </row>
    <row r="112" spans="1:5">
      <c r="A112" s="1" t="s">
        <v>570</v>
      </c>
    </row>
    <row r="113" spans="1:4">
      <c r="A113" s="1"/>
      <c r="B113" t="s">
        <v>244</v>
      </c>
      <c r="C113" t="s">
        <v>571</v>
      </c>
      <c r="D113" t="s">
        <v>572</v>
      </c>
    </row>
    <row r="114" spans="1:4">
      <c r="A114" s="1"/>
      <c r="B114">
        <f ca="1">C93</f>
        <v>2.5</v>
      </c>
      <c r="C114">
        <f ca="1">C91</f>
        <v>12.7</v>
      </c>
      <c r="D114">
        <f ca="1">C92</f>
        <v>11.5</v>
      </c>
    </row>
    <row r="115" spans="1:4">
      <c r="B115" t="str">
        <f ca="1">"C Max = "&amp;ROUND(C114,1) &amp;" m / "&amp;D114&amp;" m (centre/perimeter zones)"</f>
        <v>C Max = 12.7 m / 11.5 m (centre/perimeter zones)</v>
      </c>
    </row>
    <row r="116" spans="1:4">
      <c r="B116" t="str">
        <f ca="1">"C Min = "&amp;ROUND(B114,1) &amp;" m"</f>
        <v>C Min = 2.5 m</v>
      </c>
    </row>
    <row r="117" spans="1:4">
      <c r="A117" t="s">
        <v>652</v>
      </c>
      <c r="B117" t="str">
        <f>IF('HSC-FD Equations'!C25=1,"Nominal",IF('HSC-FD Equations'!C25=2,"Selected",IF('HSC-FD Equations'!C25=3,"Average")))</f>
        <v>Nominal</v>
      </c>
      <c r="C117" t="str">
        <f>IF('HSC-FD Equations'!C25=1,"M18",IF('HSC-FD Equations'!C25=2,"M19",IF('HSC-FD Equations'!C25=3,"M21")))</f>
        <v>M18</v>
      </c>
    </row>
    <row r="118" spans="1:4">
      <c r="B118" t="str">
        <f>B117&amp;" C"</f>
        <v>Nominal C</v>
      </c>
    </row>
    <row r="119" spans="1:4">
      <c r="A119" t="s">
        <v>573</v>
      </c>
      <c r="B119">
        <f>ROUND('HSC-FD Equations'!C208,1)</f>
        <v>7.3</v>
      </c>
    </row>
    <row r="120" spans="1:4">
      <c r="B120" t="str">
        <f>B118&amp;" = "&amp;ROUND('HSC-FD Equations'!C208,1) &amp; " m"</f>
        <v>Nominal C = 7.3 m</v>
      </c>
    </row>
    <row r="122" spans="1:4">
      <c r="B122" t="str">
        <f>"Min Recommended Diffuser Height = " &amp; ROUND('HSC-FD Equations'!C287,1)&amp; " m"</f>
        <v>Min Recommended Diffuser Height = 2.4 m</v>
      </c>
    </row>
    <row r="123" spans="1:4">
      <c r="B123" t="str">
        <f>"Selected Diffuser Height = "&amp;'HSC-FD'!E17 &amp;" m"</f>
        <v>Selected Diffuser Height = 2.7 m</v>
      </c>
    </row>
    <row r="125" spans="1:4">
      <c r="A125" t="s">
        <v>646</v>
      </c>
      <c r="B125" t="str">
        <f>'HSC-FD Equations'!C205&amp;" "&amp; 'HSC-FD Equations'!D4</f>
        <v>2.3 L/s/m²</v>
      </c>
    </row>
    <row r="127" spans="1:4">
      <c r="A127" t="s">
        <v>574</v>
      </c>
      <c r="B127" t="str">
        <f ca="1">IF('HSC-FD Equations'!$C$25=3,"",B115)</f>
        <v>C Max = 12.7 m / 11.5 m (centre/perimeter zones)</v>
      </c>
    </row>
    <row r="128" spans="1:4">
      <c r="A128" t="s">
        <v>575</v>
      </c>
      <c r="B128" t="str">
        <f ca="1">IF('HSC-FD Equations'!$C$25=3,B115,B116)</f>
        <v>C Min = 2.5 m</v>
      </c>
      <c r="C128">
        <v>1</v>
      </c>
      <c r="D128" t="str">
        <f>"Specific Airflow Rate @ Nominal C = "&amp;B125</f>
        <v>Specific Airflow Rate @ Nominal C = 2.3 L/s/m²</v>
      </c>
    </row>
    <row r="129" spans="1:4">
      <c r="A129" t="s">
        <v>576</v>
      </c>
      <c r="B129" t="str">
        <f>IF('HSC-FD Equations'!$C$25=3,B116,B120)</f>
        <v>Nominal C = 7.3 m</v>
      </c>
      <c r="C129">
        <v>2</v>
      </c>
      <c r="D129" t="str">
        <f>"Specific Airflow Rate @ Selected C = "&amp; B125</f>
        <v>Specific Airflow Rate @ Selected C = 2.3 L/s/m²</v>
      </c>
    </row>
    <row r="130" spans="1:4">
      <c r="A130" t="s">
        <v>577</v>
      </c>
      <c r="B130" t="str">
        <f>VLOOKUP('HSC-FD Equations'!C25,Data!C128:D130,2,0)</f>
        <v>Specific Airflow Rate @ Nominal C = 2.3 L/s/m²</v>
      </c>
      <c r="C130">
        <v>3</v>
      </c>
      <c r="D130" t="str">
        <f>"Selected Specific Airflow Rate: " &amp; B125</f>
        <v>Selected Specific Airflow Rate: 2.3 L/s/m²</v>
      </c>
    </row>
    <row r="132" spans="1:4">
      <c r="D132" t="s">
        <v>565</v>
      </c>
    </row>
    <row r="133" spans="1:4">
      <c r="A133" t="s">
        <v>149</v>
      </c>
      <c r="B133" s="314">
        <f>'HSC-FD'!M11*100</f>
        <v>90</v>
      </c>
      <c r="D133" t="str">
        <f>CONCATENATE("≥ ",B133,"% ADPI")</f>
        <v>≥ 90% ADPI</v>
      </c>
    </row>
    <row r="134" spans="1:4">
      <c r="A134" t="s">
        <v>156</v>
      </c>
      <c r="B134">
        <f>'HSC-FD'!M23</f>
        <v>23</v>
      </c>
    </row>
    <row r="135" spans="1:4">
      <c r="A135" t="s">
        <v>422</v>
      </c>
      <c r="B135">
        <f ca="1">ROUND(C135,2)</f>
        <v>0.1</v>
      </c>
      <c r="C135" s="6">
        <f ca="1">C95</f>
        <v>0.1</v>
      </c>
      <c r="D135" t="str">
        <f ca="1">B135&amp; " m/s @ " &amp;B125 &amp; " ("&amp; B119 &amp;" m spacing)"</f>
        <v>0.1 m/s @ 2.3 L/s/m² (7.3 m spacing)</v>
      </c>
    </row>
    <row r="136" spans="1:4">
      <c r="A136" t="s">
        <v>423</v>
      </c>
      <c r="B136">
        <f ca="1">ROUND(C136,3)*100</f>
        <v>7.7</v>
      </c>
      <c r="C136" s="6">
        <f ca="1">C96</f>
        <v>7.6999999999999999E-2</v>
      </c>
      <c r="D136" t="str">
        <f ca="1">CONCATENATE(B136, "% @ room temperature of ",B134," ºC")</f>
        <v>7.7% @ room temperature of 23 ºC</v>
      </c>
    </row>
    <row r="137" spans="1:4">
      <c r="A137" t="s">
        <v>92</v>
      </c>
      <c r="B137">
        <f ca="1">ROUND(C137,3)*100</f>
        <v>5.2</v>
      </c>
      <c r="C137" s="6">
        <f ca="1">C97</f>
        <v>5.1999999999999998E-2</v>
      </c>
      <c r="D137" t="str">
        <f ca="1">CONCATENATE(B137, "%")</f>
        <v>5.2%</v>
      </c>
    </row>
    <row r="138" spans="1:4">
      <c r="A138" t="s">
        <v>424</v>
      </c>
      <c r="B138" t="str">
        <f ca="1">C138</f>
        <v>A</v>
      </c>
      <c r="C138" s="6" t="str">
        <f ca="1">C98</f>
        <v>A</v>
      </c>
      <c r="D138" t="str">
        <f ca="1">CONCATENATE("Category ",B138)</f>
        <v>Category A</v>
      </c>
    </row>
    <row r="139" spans="1:4">
      <c r="A139" t="s">
        <v>358</v>
      </c>
      <c r="B139" t="str">
        <f ca="1">RIGHT(C139,3)</f>
        <v>0.2</v>
      </c>
      <c r="C139" s="6" t="str">
        <f ca="1">C99</f>
        <v>&lt; 0.2</v>
      </c>
      <c r="D139" s="313" t="str">
        <f ca="1">"-"&amp;Data!B139&amp; " &lt; PMV &lt; +" &amp;Data!B139</f>
        <v>-0.2 &lt; PMV &lt; +0.2</v>
      </c>
    </row>
    <row r="146" spans="1:3">
      <c r="A146" s="1" t="s">
        <v>578</v>
      </c>
    </row>
    <row r="147" spans="1:3">
      <c r="A147" s="1"/>
      <c r="B147" t="str">
        <f>"Diffuser size "&amp;B38&amp;C147</f>
        <v>Diffuser size DN355 with no reducer</v>
      </c>
      <c r="C147" t="str">
        <f>IF(B40="RA"," as return air grille",IF(B39=0," with no reducer"," with reducer "&amp;B40))</f>
        <v xml:space="preserve"> with no reducer</v>
      </c>
    </row>
    <row r="148" spans="1:3">
      <c r="B148" t="str">
        <f>'HSC-FD'!M9&amp;" discharge"</f>
        <v>4 Way (360°) discharge</v>
      </c>
    </row>
    <row r="149" spans="1:3">
      <c r="B149" t="str">
        <f>IF('HSC-FD Equations'!C21,"With perforated face plate","No perforated face plate")</f>
        <v>No perforated face plate</v>
      </c>
    </row>
    <row r="150" spans="1:3">
      <c r="B150" t="str">
        <f>"Powder coated to "&amp;C150</f>
        <v>Powder coated to RAL9003</v>
      </c>
      <c r="C150" t="str">
        <f>IF(C58=3,"custom colour",B58)</f>
        <v>RAL9003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A9274-3A60-4944-932F-43A89CFC61A3}">
  <dimension ref="A1:AB70"/>
  <sheetViews>
    <sheetView zoomScaleNormal="100" workbookViewId="0">
      <selection activeCell="A17" sqref="A17"/>
    </sheetView>
  </sheetViews>
  <sheetFormatPr defaultColWidth="9.140625" defaultRowHeight="15"/>
  <cols>
    <col min="1" max="1" width="57.5703125" style="48" customWidth="1"/>
    <col min="2" max="2" width="7.5703125" style="127" customWidth="1"/>
    <col min="3" max="3" width="10.28515625" style="127" customWidth="1"/>
    <col min="4" max="4" width="13" style="127" customWidth="1"/>
    <col min="5" max="5" width="8.140625" style="127" customWidth="1"/>
    <col min="6" max="6" width="8.5703125" style="127" customWidth="1"/>
    <col min="7" max="7" width="11.42578125" style="127" customWidth="1"/>
    <col min="8" max="14" width="5.7109375" style="127" customWidth="1"/>
    <col min="15" max="15" width="8.140625" style="127" hidden="1" customWidth="1"/>
    <col min="16" max="16" width="11" style="127" hidden="1" customWidth="1"/>
    <col min="17" max="17" width="8.5703125" style="127" customWidth="1"/>
    <col min="18" max="18" width="11.85546875" style="127" customWidth="1"/>
    <col min="19" max="24" width="5.7109375" style="127" customWidth="1"/>
    <col min="25" max="25" width="7.7109375" style="127" hidden="1" customWidth="1"/>
    <col min="26" max="26" width="5.5703125" style="127" hidden="1" customWidth="1"/>
    <col min="27" max="27" width="57.5703125" style="149" customWidth="1"/>
    <col min="28" max="28" width="9.140625" style="142"/>
    <col min="29" max="16384" width="9.140625" style="48"/>
  </cols>
  <sheetData>
    <row r="1" spans="1:28" s="144" customFormat="1" ht="47.25" customHeight="1">
      <c r="A1" s="131" t="s">
        <v>0</v>
      </c>
      <c r="B1" s="47"/>
      <c r="C1" s="47"/>
      <c r="D1" s="47"/>
      <c r="E1" s="47"/>
      <c r="F1" s="47"/>
      <c r="G1" s="47"/>
      <c r="H1" s="47"/>
      <c r="I1" s="47"/>
      <c r="J1" s="47"/>
      <c r="K1" s="47"/>
      <c r="L1" s="47"/>
      <c r="M1" s="47"/>
      <c r="N1" s="47"/>
      <c r="O1" s="47"/>
      <c r="P1" s="47"/>
      <c r="Q1" s="47"/>
      <c r="R1" s="47"/>
      <c r="S1" s="47"/>
      <c r="T1" s="47"/>
      <c r="U1" s="47"/>
      <c r="V1" s="47"/>
      <c r="W1" s="47"/>
      <c r="X1" s="47"/>
      <c r="Y1" s="47"/>
      <c r="Z1" s="47"/>
      <c r="AA1" s="47"/>
    </row>
    <row r="2" spans="1:28" s="144" customFormat="1" ht="16.5" customHeight="1">
      <c r="A2" s="130" t="s">
        <v>490</v>
      </c>
      <c r="B2" s="47"/>
      <c r="C2" s="47"/>
      <c r="D2" s="136" t="s">
        <v>491</v>
      </c>
      <c r="E2" s="47"/>
      <c r="F2" s="47"/>
      <c r="G2" s="47"/>
      <c r="H2" s="47"/>
      <c r="I2" s="47"/>
      <c r="J2" s="47"/>
      <c r="K2" s="47"/>
      <c r="L2" s="47"/>
      <c r="M2" s="47"/>
      <c r="N2" s="47"/>
      <c r="O2" s="47"/>
      <c r="P2" s="47"/>
      <c r="Q2" s="47"/>
      <c r="R2" s="47"/>
      <c r="S2" s="47"/>
      <c r="T2" s="47"/>
      <c r="U2" s="47"/>
      <c r="V2" s="47"/>
      <c r="W2" s="47"/>
      <c r="X2" s="47"/>
      <c r="Y2" s="47"/>
      <c r="Z2" s="47"/>
      <c r="AA2" s="47"/>
    </row>
    <row r="3" spans="1:28" s="144" customFormat="1" ht="12" customHeight="1">
      <c r="A3" s="61"/>
      <c r="B3" s="47"/>
      <c r="C3" s="47"/>
      <c r="D3" s="47"/>
      <c r="E3" s="47"/>
      <c r="F3" s="47"/>
      <c r="G3" s="47"/>
      <c r="H3" s="47"/>
      <c r="I3" s="47"/>
      <c r="J3" s="47"/>
      <c r="K3" s="47"/>
      <c r="L3" s="47"/>
      <c r="M3" s="47"/>
      <c r="N3" s="47"/>
      <c r="O3" s="47"/>
      <c r="P3" s="47"/>
      <c r="Q3" s="47"/>
      <c r="R3" s="47"/>
      <c r="S3" s="47"/>
      <c r="T3" s="47"/>
      <c r="U3" s="47"/>
      <c r="V3" s="47"/>
      <c r="W3" s="47"/>
      <c r="X3" s="47"/>
      <c r="Y3" s="47"/>
      <c r="Z3" s="47"/>
      <c r="AA3" s="47"/>
    </row>
    <row r="4" spans="1:28">
      <c r="A4" s="16"/>
      <c r="B4" s="16"/>
      <c r="C4" s="16"/>
      <c r="D4" s="16"/>
      <c r="E4" s="16"/>
      <c r="F4" s="16"/>
      <c r="G4" s="16"/>
      <c r="H4" s="16"/>
      <c r="I4" s="16"/>
      <c r="J4" s="16"/>
      <c r="K4" s="16"/>
      <c r="L4" s="16"/>
      <c r="M4" s="16"/>
      <c r="N4" s="16"/>
      <c r="O4" s="16"/>
      <c r="P4" s="16"/>
      <c r="Q4" s="16"/>
      <c r="R4" s="16"/>
      <c r="S4" s="16"/>
      <c r="T4" s="16"/>
      <c r="U4" s="16"/>
      <c r="V4" s="16"/>
      <c r="W4" s="16"/>
      <c r="X4" s="16"/>
      <c r="Y4" s="16"/>
      <c r="Z4" s="16"/>
      <c r="AA4" s="145"/>
    </row>
    <row r="5" spans="1:28">
      <c r="A5" s="16"/>
      <c r="B5" s="16"/>
      <c r="C5" s="16"/>
      <c r="D5" s="16"/>
      <c r="E5" s="16"/>
      <c r="F5" s="16"/>
      <c r="G5" s="16"/>
      <c r="H5" s="16"/>
      <c r="I5" s="16"/>
      <c r="J5" s="16"/>
      <c r="K5" s="16"/>
      <c r="L5" s="16"/>
      <c r="M5" s="16"/>
      <c r="N5" s="16"/>
      <c r="O5" s="16"/>
      <c r="P5" s="16"/>
      <c r="Q5" s="16"/>
      <c r="R5" s="16"/>
      <c r="S5" s="16"/>
      <c r="T5" s="16"/>
      <c r="U5" s="16"/>
      <c r="V5" s="16"/>
      <c r="W5" s="16"/>
      <c r="X5" s="16"/>
      <c r="Y5" s="16"/>
      <c r="Z5" s="16"/>
      <c r="AA5" s="145"/>
    </row>
    <row r="6" spans="1:28" ht="15.75" thickBot="1">
      <c r="A6" s="16"/>
      <c r="B6" s="138" t="s">
        <v>492</v>
      </c>
      <c r="C6" s="16"/>
      <c r="D6" s="16"/>
      <c r="E6" s="16"/>
      <c r="F6" s="16"/>
      <c r="G6" s="138" t="s">
        <v>493</v>
      </c>
      <c r="H6" s="16"/>
      <c r="I6" s="16"/>
      <c r="J6" s="16"/>
      <c r="K6" s="16"/>
      <c r="L6" s="16"/>
      <c r="M6" s="16"/>
      <c r="N6" s="16"/>
      <c r="O6" s="16"/>
      <c r="P6" s="16"/>
      <c r="Q6" s="16"/>
      <c r="R6" s="16"/>
      <c r="S6" s="16"/>
      <c r="T6" s="16"/>
      <c r="U6" s="16"/>
      <c r="V6" s="16"/>
      <c r="W6" s="16"/>
      <c r="X6" s="16"/>
      <c r="Y6" s="16"/>
      <c r="Z6" s="16"/>
      <c r="AA6" s="145"/>
    </row>
    <row r="7" spans="1:28" ht="16.5" thickTop="1" thickBot="1">
      <c r="A7" s="16"/>
      <c r="B7" s="139" t="s">
        <v>59</v>
      </c>
      <c r="C7" s="140"/>
      <c r="D7" s="141"/>
      <c r="E7" s="16"/>
      <c r="F7" s="16"/>
      <c r="G7" s="16" t="s">
        <v>494</v>
      </c>
      <c r="H7" s="16"/>
      <c r="I7" s="16"/>
      <c r="J7" s="16"/>
      <c r="K7" s="16"/>
      <c r="L7" s="16"/>
      <c r="M7" s="16"/>
      <c r="N7" s="16"/>
      <c r="O7" s="16"/>
      <c r="P7" s="16"/>
      <c r="Q7" s="16"/>
      <c r="R7" s="16"/>
      <c r="S7" s="16"/>
      <c r="T7" s="16"/>
      <c r="U7" s="16"/>
      <c r="V7" s="16"/>
      <c r="W7" s="16"/>
      <c r="X7" s="16"/>
      <c r="Y7" s="16"/>
      <c r="Z7" s="16"/>
      <c r="AA7" s="145"/>
    </row>
    <row r="8" spans="1:28" ht="15.75" thickTop="1">
      <c r="A8" s="16"/>
      <c r="B8" s="62" t="s">
        <v>495</v>
      </c>
      <c r="C8" s="16"/>
      <c r="D8" s="63"/>
      <c r="E8" s="64"/>
      <c r="F8" s="16"/>
      <c r="G8" s="150" t="s">
        <v>496</v>
      </c>
      <c r="H8" s="16"/>
      <c r="I8" s="16"/>
      <c r="J8" s="16"/>
      <c r="K8" s="16"/>
      <c r="L8" s="16"/>
      <c r="M8" s="16"/>
      <c r="N8" s="16"/>
      <c r="O8" s="16"/>
      <c r="P8" s="16"/>
      <c r="Q8" s="16"/>
      <c r="R8" s="16"/>
      <c r="S8" s="16"/>
      <c r="T8" s="16"/>
      <c r="U8" s="16"/>
      <c r="V8" s="16"/>
      <c r="W8" s="16"/>
      <c r="X8" s="16"/>
      <c r="Y8" s="16"/>
      <c r="Z8" s="16"/>
      <c r="AA8" s="145"/>
    </row>
    <row r="9" spans="1:28">
      <c r="A9" s="16"/>
      <c r="B9" s="65" t="s">
        <v>497</v>
      </c>
      <c r="C9" s="66"/>
      <c r="D9" s="66"/>
      <c r="E9" s="67"/>
      <c r="F9" s="16"/>
      <c r="G9" s="16"/>
      <c r="H9" s="16"/>
      <c r="I9" s="16"/>
      <c r="J9" s="16"/>
      <c r="K9" s="16"/>
      <c r="L9" s="16"/>
      <c r="M9" s="16"/>
      <c r="N9" s="16"/>
      <c r="O9" s="16"/>
      <c r="P9" s="16"/>
      <c r="Q9" s="16"/>
      <c r="R9" s="16"/>
      <c r="S9" s="16"/>
      <c r="T9" s="16"/>
      <c r="U9" s="16"/>
      <c r="V9" s="16"/>
      <c r="W9" s="16"/>
      <c r="X9" s="16"/>
      <c r="Y9" s="16"/>
      <c r="Z9" s="16"/>
      <c r="AA9" s="145"/>
    </row>
    <row r="10" spans="1:28" ht="15.75" thickBot="1">
      <c r="A10" s="16"/>
      <c r="B10" s="68" t="s">
        <v>498</v>
      </c>
      <c r="C10" s="69"/>
      <c r="D10" s="70"/>
      <c r="E10" s="71"/>
      <c r="F10" s="16"/>
      <c r="G10" s="16" t="s">
        <v>499</v>
      </c>
      <c r="H10" s="16"/>
      <c r="I10" s="16"/>
      <c r="J10" s="16"/>
      <c r="K10" s="16"/>
      <c r="L10" s="16"/>
      <c r="M10" s="16"/>
      <c r="N10" s="16"/>
      <c r="O10" s="16"/>
      <c r="P10" s="16"/>
      <c r="Q10" s="16"/>
      <c r="R10" s="16"/>
      <c r="S10" s="16"/>
      <c r="T10" s="16"/>
      <c r="U10" s="16"/>
      <c r="V10" s="16"/>
      <c r="W10" s="16"/>
      <c r="X10" s="16"/>
      <c r="Y10" s="16"/>
      <c r="Z10" s="16"/>
      <c r="AA10" s="145"/>
    </row>
    <row r="11" spans="1:28" ht="15.75" thickTop="1">
      <c r="A11" s="16"/>
      <c r="B11" s="137"/>
      <c r="C11" s="16"/>
      <c r="D11" s="63"/>
      <c r="E11" s="63"/>
      <c r="F11" s="16"/>
      <c r="G11" s="16"/>
      <c r="H11" s="16"/>
      <c r="I11" s="16"/>
      <c r="J11" s="16"/>
      <c r="K11" s="16"/>
      <c r="L11" s="16"/>
      <c r="M11" s="16"/>
      <c r="N11" s="16"/>
      <c r="O11" s="16"/>
      <c r="P11" s="16"/>
      <c r="Q11" s="16"/>
      <c r="R11" s="16"/>
      <c r="S11" s="16"/>
      <c r="T11" s="16"/>
      <c r="U11" s="16"/>
      <c r="V11" s="16"/>
      <c r="W11" s="16"/>
      <c r="X11" s="16"/>
      <c r="Y11" s="16"/>
      <c r="Z11" s="16"/>
      <c r="AA11" s="145"/>
    </row>
    <row r="12" spans="1:28" ht="15.75" thickBot="1">
      <c r="A12" s="16"/>
      <c r="B12" s="16"/>
      <c r="C12" s="16"/>
      <c r="D12" s="16"/>
      <c r="E12" s="16"/>
      <c r="F12" s="16"/>
      <c r="G12" s="16"/>
      <c r="H12" s="16"/>
      <c r="I12" s="16"/>
      <c r="J12" s="16"/>
      <c r="K12" s="16"/>
      <c r="L12" s="16"/>
      <c r="M12" s="16"/>
      <c r="N12" s="16"/>
      <c r="O12" s="16" t="s">
        <v>500</v>
      </c>
      <c r="P12" s="16"/>
      <c r="Q12" s="16"/>
      <c r="R12" s="16"/>
      <c r="S12" s="16"/>
      <c r="T12" s="16"/>
      <c r="U12" s="16"/>
      <c r="V12" s="16"/>
      <c r="W12" s="16"/>
      <c r="X12" s="16"/>
      <c r="Y12" s="16" t="s">
        <v>500</v>
      </c>
      <c r="Z12" s="16"/>
      <c r="AA12" s="145"/>
    </row>
    <row r="13" spans="1:28" ht="15.75" thickTop="1">
      <c r="A13" s="72" t="s">
        <v>501</v>
      </c>
      <c r="B13" s="73" t="s">
        <v>502</v>
      </c>
      <c r="C13" s="74"/>
      <c r="D13" s="75" t="s">
        <v>503</v>
      </c>
      <c r="E13" s="76" t="s">
        <v>504</v>
      </c>
      <c r="F13" s="77"/>
      <c r="G13" s="262" t="s">
        <v>243</v>
      </c>
      <c r="H13" s="78">
        <f>221*SQRT($E$14/35)</f>
        <v>221</v>
      </c>
      <c r="I13" s="78">
        <f>192*SQRT($E$14/35)</f>
        <v>192</v>
      </c>
      <c r="J13" s="78">
        <f>158*SQRT($E$14/35)</f>
        <v>158</v>
      </c>
      <c r="K13" s="78">
        <f>122*SQRT($E$14/35)</f>
        <v>122</v>
      </c>
      <c r="L13" s="78">
        <f>90*SQRT($E$14/35)</f>
        <v>90</v>
      </c>
      <c r="M13" s="78">
        <f>62*SQRT($E$14/35)</f>
        <v>62</v>
      </c>
      <c r="N13" s="78">
        <f>44*SQRT($E$14/35)</f>
        <v>44</v>
      </c>
      <c r="O13" s="418" t="s">
        <v>505</v>
      </c>
      <c r="Q13" s="424" t="s">
        <v>134</v>
      </c>
      <c r="R13" s="422" t="s">
        <v>243</v>
      </c>
      <c r="S13" s="80">
        <f>439*SQRT($E$14/35)</f>
        <v>439</v>
      </c>
      <c r="T13" s="80">
        <f>389*SQRT($E$14/35)</f>
        <v>389</v>
      </c>
      <c r="U13" s="80">
        <f>354*SQRT($E$14/35)</f>
        <v>354</v>
      </c>
      <c r="V13" s="80">
        <f>292*SQRT($E$14/35)</f>
        <v>292</v>
      </c>
      <c r="W13" s="80">
        <f>218*SQRT($E$14/35)</f>
        <v>218</v>
      </c>
      <c r="X13" s="420">
        <f>151*SQRT($E$14/35)</f>
        <v>151</v>
      </c>
      <c r="Y13" s="418" t="s">
        <v>505</v>
      </c>
      <c r="Z13" s="79"/>
      <c r="AA13" s="146"/>
    </row>
    <row r="14" spans="1:28" ht="15.75" thickBot="1">
      <c r="A14" s="81" t="s">
        <v>506</v>
      </c>
      <c r="B14" s="408">
        <v>-12</v>
      </c>
      <c r="C14" s="82" t="s">
        <v>143</v>
      </c>
      <c r="D14" s="83">
        <v>0.3</v>
      </c>
      <c r="E14" s="84">
        <v>35</v>
      </c>
      <c r="F14" s="82" t="s">
        <v>140</v>
      </c>
      <c r="G14" s="263" t="s">
        <v>227</v>
      </c>
      <c r="H14" s="85">
        <f>47.8*SQRT((IF(ABS($B$14)/12&lt;8/12,8/12,ABS($B$14)/12)))</f>
        <v>47.8</v>
      </c>
      <c r="I14" s="85">
        <f>41.6*SQRT((IF(ABS($B$14)/12&lt;8/12,8/12,ABS($B$14)/12)))</f>
        <v>41.6</v>
      </c>
      <c r="J14" s="85">
        <f>34.1*SQRT((IF(ABS($B$14)/12&lt;8/12,8/12,ABS($B$14)/12)))</f>
        <v>34.1</v>
      </c>
      <c r="K14" s="85">
        <f>26.4*SQRT((IF(ABS($B$14)/12&lt;8/12,8/12,ABS($B$14)/12)))</f>
        <v>26.4</v>
      </c>
      <c r="L14" s="85">
        <f>19.4*SQRT((IF(ABS($B$14)/12&lt;8/12,8/12,ABS($B$14)/12)))</f>
        <v>19.399999999999999</v>
      </c>
      <c r="M14" s="85">
        <f>13.5*SQRT((IF(ABS($B$14)/12&lt;8/12,8/12,ABS($B$14)/12)))</f>
        <v>13.5</v>
      </c>
      <c r="N14" s="85">
        <f>9.5*SQRT((IF(ABS($B$14)/12&lt;8/12,8/12,ABS($B$14)/12)))</f>
        <v>9.5</v>
      </c>
      <c r="O14" s="419">
        <v>1</v>
      </c>
      <c r="Q14" s="425" t="s">
        <v>134</v>
      </c>
      <c r="R14" s="423" t="s">
        <v>227</v>
      </c>
      <c r="S14" s="87">
        <f>95.3*SQRT((IF(ABS($B$14)/12&lt;8/12,8/12,ABS($B$14)/12)))</f>
        <v>95.3</v>
      </c>
      <c r="T14" s="87">
        <f>86.2*SQRT((IF(ABS($B$14)/12&lt;8/12,8/12,ABS($B$14)/12)))</f>
        <v>86.2</v>
      </c>
      <c r="U14" s="87">
        <f>77.5*SQRT((IF(ABS($B$14)/12&lt;8/12,8/12,ABS($B$14)/12)))</f>
        <v>77.5</v>
      </c>
      <c r="V14" s="87">
        <f>63.9*SQRT((IF(ABS($B$14)/12&lt;8/12,8/12,ABS($B$14)/12)))</f>
        <v>63.9</v>
      </c>
      <c r="W14" s="87">
        <f>47.6*SQRT((IF(ABS($B$14)/12&lt;8/12,8/12,ABS($B$14)/12)))</f>
        <v>47.6</v>
      </c>
      <c r="X14" s="421">
        <f>32.7*SQRT((IF(ABS($B$14)/12&lt;8/12,8/12,ABS($B$14)/12)))</f>
        <v>32.700000000000003</v>
      </c>
      <c r="Y14" s="419">
        <v>1</v>
      </c>
      <c r="Z14" s="86"/>
      <c r="AA14" s="146"/>
    </row>
    <row r="15" spans="1:28" ht="16.5" thickTop="1">
      <c r="A15" s="88"/>
      <c r="B15" s="89"/>
      <c r="C15" s="90" t="s">
        <v>438</v>
      </c>
      <c r="D15" s="91" t="s">
        <v>507</v>
      </c>
      <c r="E15" s="92"/>
      <c r="F15" s="266" t="s">
        <v>508</v>
      </c>
      <c r="G15" s="272" t="s">
        <v>612</v>
      </c>
      <c r="H15" s="93" t="s">
        <v>509</v>
      </c>
      <c r="I15" s="94"/>
      <c r="J15" s="94"/>
      <c r="K15" s="94"/>
      <c r="L15" s="94"/>
      <c r="M15" s="94"/>
      <c r="N15" s="94"/>
      <c r="O15" s="95">
        <v>355</v>
      </c>
      <c r="P15" s="77">
        <v>355</v>
      </c>
      <c r="Q15" s="264" t="s">
        <v>508</v>
      </c>
      <c r="R15" s="272" t="s">
        <v>612</v>
      </c>
      <c r="S15" s="280" t="s">
        <v>509</v>
      </c>
      <c r="T15" s="94"/>
      <c r="U15" s="94"/>
      <c r="V15" s="94"/>
      <c r="W15" s="94"/>
      <c r="X15" s="94"/>
      <c r="Y15" s="95">
        <v>500</v>
      </c>
      <c r="Z15" s="77">
        <v>500</v>
      </c>
      <c r="AA15" s="427" t="s">
        <v>515</v>
      </c>
    </row>
    <row r="16" spans="1:28" s="106" customFormat="1" ht="16.5" thickBot="1">
      <c r="A16" s="96" t="s">
        <v>510</v>
      </c>
      <c r="B16" s="97" t="s">
        <v>511</v>
      </c>
      <c r="C16" s="98" t="s">
        <v>134</v>
      </c>
      <c r="D16" s="99" t="s">
        <v>134</v>
      </c>
      <c r="E16" s="100" t="s">
        <v>512</v>
      </c>
      <c r="F16" s="267" t="s">
        <v>30</v>
      </c>
      <c r="G16" s="273" t="s">
        <v>613</v>
      </c>
      <c r="H16" s="101">
        <v>0</v>
      </c>
      <c r="I16" s="102">
        <v>1</v>
      </c>
      <c r="J16" s="102">
        <v>2</v>
      </c>
      <c r="K16" s="102">
        <v>3</v>
      </c>
      <c r="L16" s="102">
        <v>4</v>
      </c>
      <c r="M16" s="102">
        <v>5</v>
      </c>
      <c r="N16" s="102">
        <v>6</v>
      </c>
      <c r="O16" s="103" t="s">
        <v>513</v>
      </c>
      <c r="P16" s="104" t="s">
        <v>514</v>
      </c>
      <c r="Q16" s="265" t="s">
        <v>35</v>
      </c>
      <c r="R16" s="273" t="s">
        <v>613</v>
      </c>
      <c r="S16" s="102">
        <v>0</v>
      </c>
      <c r="T16" s="102">
        <v>1</v>
      </c>
      <c r="U16" s="102">
        <v>2</v>
      </c>
      <c r="V16" s="102">
        <v>3</v>
      </c>
      <c r="W16" s="102">
        <v>4</v>
      </c>
      <c r="X16" s="102">
        <v>5</v>
      </c>
      <c r="Y16" s="103" t="s">
        <v>513</v>
      </c>
      <c r="Z16" s="105" t="s">
        <v>514</v>
      </c>
      <c r="AA16" s="428"/>
      <c r="AB16" s="143"/>
    </row>
    <row r="17" spans="1:27">
      <c r="A17" s="107" t="s">
        <v>516</v>
      </c>
      <c r="B17" s="108">
        <v>1</v>
      </c>
      <c r="C17" s="109">
        <v>120</v>
      </c>
      <c r="D17" s="110">
        <f t="shared" ref="D17:D37" si="0">C17*D$14</f>
        <v>36</v>
      </c>
      <c r="E17" s="111">
        <f t="shared" ref="E17:E37" si="1">IF(C17&lt;=H$13,355,500)</f>
        <v>355</v>
      </c>
      <c r="F17" s="268">
        <f t="shared" ref="F17:F37" si="2">IF($E17=355,$B17,0)</f>
        <v>1</v>
      </c>
      <c r="G17" s="274">
        <f t="shared" ref="G17:G37" si="3">IF(F17-SUM(H17:N17)&gt;0,F17-SUM(H17:N17),IF(O17&gt;P17,SUM(H17:N17),0))</f>
        <v>0</v>
      </c>
      <c r="H17" s="112">
        <f>IF(ROUNDDOWN(($O17+$P17)/2,0)=0,$F17,0)</f>
        <v>0</v>
      </c>
      <c r="I17" s="112">
        <f>IF(ROUNDDOWN(($O17+$P17)/2,0)=1,$F17,0)</f>
        <v>0</v>
      </c>
      <c r="J17" s="112">
        <f>IF(ROUNDDOWN(($O17+$P17)/2,0)=2,$F17,0)</f>
        <v>1</v>
      </c>
      <c r="K17" s="112">
        <f>IF(ROUNDDOWN(($O17+$P17)/2,0)=3,$F17,0)</f>
        <v>0</v>
      </c>
      <c r="L17" s="112">
        <f>IF(ROUNDDOWN(($O17+$P17)/2,0)=4,$F17,0)</f>
        <v>0</v>
      </c>
      <c r="M17" s="112">
        <f>IF(ROUNDDOWN(($O17+$P17)/2,0)=5,$F17,0)</f>
        <v>0</v>
      </c>
      <c r="N17" s="112">
        <f>IF(ROUNDDOWN(($O17+$P17)/2,0)=6,$F17,0)</f>
        <v>0</v>
      </c>
      <c r="O17" s="259" t="str">
        <f t="shared" ref="O17:O37" si="4">IF(F17&gt;0,IF(D17&gt;=H$14*O$14,"0",IF(D17&gt;=I$14*O$14,"1",IF(D17&gt;=J$14*O$14,"2",IF(D17&gt;=K$14*O$14,"3",IF(D17&gt;=L$14*O$14,"4",IF(D17&gt;=M$14*O$14,"5",IF(D17&gt;=N$14*O$14,"6","7"))))))),"-1")</f>
        <v>2</v>
      </c>
      <c r="P17" s="261" t="str">
        <f t="shared" ref="P17:P37" si="5">IF(E17=355,IF(C17&lt;=N$13,"6",IF(C17&lt;=M$13,"5",IF(C17&lt;=L$13,"4",IF(C17&lt;=K$13,"3",IF(C17&lt;=J$13,"2",IF(C17&lt;=I$13,"1",IF(C17&lt;=H$13,"0",-1))))))),"-1")</f>
        <v>3</v>
      </c>
      <c r="Q17" s="270">
        <f t="shared" ref="Q17:Q37" si="6">IF($E17=500,$B17,0)</f>
        <v>0</v>
      </c>
      <c r="R17" s="276">
        <f t="shared" ref="R17:R37" si="7">IF(Q17-SUM(S17:X17)&gt;0,Q17-SUM(S17:X17),IF(Y17&gt;Z17,SUM(S17:X17),0))</f>
        <v>0</v>
      </c>
      <c r="S17" s="426">
        <f>IF(ROUNDDOWN(($Y17+$Z17)/2,0)=0,$Q17,0)</f>
        <v>0</v>
      </c>
      <c r="T17" s="426">
        <f>IF(ROUNDDOWN(($Y17+$Z17)/2,0)=1,$Q17,0)</f>
        <v>0</v>
      </c>
      <c r="U17" s="426">
        <f>IF(ROUNDDOWN(($Y17+$Z17)/2,0)=2,$Q17,0)</f>
        <v>0</v>
      </c>
      <c r="V17" s="426">
        <f>IF(ROUNDDOWN(($Y17+$Z17)/2,0)=3,$Q17,0)</f>
        <v>0</v>
      </c>
      <c r="W17" s="426">
        <f>IF(ROUNDDOWN(($Y17+$Z17)/2,0)=4,$Q17,0)</f>
        <v>0</v>
      </c>
      <c r="X17" s="426">
        <f>IF(ROUNDDOWN(($Y17+$Z17)/2,0)=5,$Q17,0)</f>
        <v>0</v>
      </c>
      <c r="Y17" s="278" t="str">
        <f t="shared" ref="Y17:Y37" si="8">IF(Q17&gt;0,IF(D17&gt;=S$14*Y$14,"0",IF(D17&gt;=T$14*Y$14,"1",IF(D17&gt;=U$14*Y$14,"2",IF(D17&gt;=V$14*Y$14,"3",IF(D17&gt;=W$14*Y$14,"4",IF(D17&gt;=X$14*Y$14,"5","6")))))),"-1")</f>
        <v>-1</v>
      </c>
      <c r="Z17" s="279" t="str">
        <f t="shared" ref="Z17:Z37" si="9">IF(E17=500,IF(C17&lt;=X$13,"5",IF(C17&lt;=W$13,"4",IF(C17&lt;=V$13,"3",IF(C17&lt;=U$13,"2",IF(C17&lt;=T$13,"1",IF(C17&lt;=S$13,"0",-1)))))),"-1")</f>
        <v>-1</v>
      </c>
      <c r="AA17" s="429"/>
    </row>
    <row r="18" spans="1:27">
      <c r="A18" s="107"/>
      <c r="B18" s="108"/>
      <c r="C18" s="115"/>
      <c r="D18" s="110">
        <f t="shared" si="0"/>
        <v>0</v>
      </c>
      <c r="E18" s="111">
        <f t="shared" si="1"/>
        <v>355</v>
      </c>
      <c r="F18" s="268">
        <f t="shared" si="2"/>
        <v>0</v>
      </c>
      <c r="G18" s="274">
        <f t="shared" si="3"/>
        <v>0</v>
      </c>
      <c r="H18" s="112">
        <f>IF(ROUNDDOWN(($O18+$P18)/2,0)=0,$F18,0)</f>
        <v>0</v>
      </c>
      <c r="I18" s="112">
        <f>IF(ROUNDDOWN(($O18+$P18)/2,0)=1,$F18,0)</f>
        <v>0</v>
      </c>
      <c r="J18" s="112">
        <f>IF(ROUNDDOWN(($O18+$P18)/2,0)=2,$F18,0)</f>
        <v>0</v>
      </c>
      <c r="K18" s="112">
        <f>IF(ROUNDDOWN(($O18+$P18)/2,0)=3,$F18,0)</f>
        <v>0</v>
      </c>
      <c r="L18" s="112">
        <f>IF(ROUNDDOWN(($O18+$P18)/2,0)=4,$F18,0)</f>
        <v>0</v>
      </c>
      <c r="M18" s="112">
        <f>IF(ROUNDDOWN(($O18+$P18)/2,0)=5,$F18,0)</f>
        <v>0</v>
      </c>
      <c r="N18" s="112">
        <f>IF(ROUNDDOWN(($O18+$P18)/2,0)=6,$F18,0)</f>
        <v>0</v>
      </c>
      <c r="O18" s="259" t="str">
        <f t="shared" si="4"/>
        <v>-1</v>
      </c>
      <c r="P18" s="260" t="str">
        <f t="shared" si="5"/>
        <v>6</v>
      </c>
      <c r="Q18" s="270">
        <f t="shared" si="6"/>
        <v>0</v>
      </c>
      <c r="R18" s="276">
        <f t="shared" si="7"/>
        <v>0</v>
      </c>
      <c r="S18" s="426">
        <f t="shared" ref="S18:S37" si="10">IF(ROUNDDOWN(($Y18+$Z18)/2,0)=0,$Q18,0)</f>
        <v>0</v>
      </c>
      <c r="T18" s="426">
        <f t="shared" ref="T18:T37" si="11">IF(ROUNDDOWN(($Y18+$Z18)/2,0)=1,$Q18,0)</f>
        <v>0</v>
      </c>
      <c r="U18" s="426">
        <f t="shared" ref="U18:U37" si="12">IF(ROUNDDOWN(($Y18+$Z18)/2,0)=2,$Q18,0)</f>
        <v>0</v>
      </c>
      <c r="V18" s="426">
        <f t="shared" ref="V18:V37" si="13">IF(ROUNDDOWN(($Y18+$Z18)/2,0)=3,$Q18,0)</f>
        <v>0</v>
      </c>
      <c r="W18" s="426">
        <f t="shared" ref="W18:W37" si="14">IF(ROUNDDOWN(($Y18+$Z18)/2,0)=4,$Q18,0)</f>
        <v>0</v>
      </c>
      <c r="X18" s="426">
        <f t="shared" ref="X18:X37" si="15">IF(ROUNDDOWN(($Y18+$Z18)/2,0)=5,$Q18,0)</f>
        <v>0</v>
      </c>
      <c r="Y18" s="278" t="str">
        <f t="shared" si="8"/>
        <v>-1</v>
      </c>
      <c r="Z18" s="279" t="str">
        <f t="shared" si="9"/>
        <v>-1</v>
      </c>
      <c r="AA18" s="429"/>
    </row>
    <row r="19" spans="1:27">
      <c r="A19" s="113"/>
      <c r="B19" s="108"/>
      <c r="C19" s="115"/>
      <c r="D19" s="110">
        <f t="shared" si="0"/>
        <v>0</v>
      </c>
      <c r="E19" s="111">
        <f t="shared" si="1"/>
        <v>355</v>
      </c>
      <c r="F19" s="268">
        <f t="shared" si="2"/>
        <v>0</v>
      </c>
      <c r="G19" s="274">
        <f t="shared" si="3"/>
        <v>0</v>
      </c>
      <c r="H19" s="112">
        <f t="shared" ref="H19:H37" si="16">IF(ROUNDDOWN(($O19+$P19)/2,0)=0,$F19,0)</f>
        <v>0</v>
      </c>
      <c r="I19" s="112">
        <f t="shared" ref="I19:I37" si="17">IF(ROUNDDOWN(($O19+$P19)/2,0)=1,$F19,0)</f>
        <v>0</v>
      </c>
      <c r="J19" s="112">
        <f t="shared" ref="J19:J37" si="18">IF(ROUNDDOWN(($O19+$P19)/2,0)=2,$F19,0)</f>
        <v>0</v>
      </c>
      <c r="K19" s="112">
        <f t="shared" ref="K19:K37" si="19">IF(ROUNDDOWN(($O19+$P19)/2,0)=3,$F19,0)</f>
        <v>0</v>
      </c>
      <c r="L19" s="112">
        <f t="shared" ref="L19:L37" si="20">IF(ROUNDDOWN(($O19+$P19)/2,0)=4,$F19,0)</f>
        <v>0</v>
      </c>
      <c r="M19" s="112">
        <f t="shared" ref="M19:M37" si="21">IF(ROUNDDOWN(($O19+$P19)/2,0)=5,$F19,0)</f>
        <v>0</v>
      </c>
      <c r="N19" s="112">
        <f t="shared" ref="N19:N37" si="22">IF(ROUNDDOWN(($O19+$P19)/2,0)=6,$F19,0)</f>
        <v>0</v>
      </c>
      <c r="O19" s="259" t="str">
        <f t="shared" si="4"/>
        <v>-1</v>
      </c>
      <c r="P19" s="260" t="str">
        <f t="shared" si="5"/>
        <v>6</v>
      </c>
      <c r="Q19" s="270">
        <f t="shared" si="6"/>
        <v>0</v>
      </c>
      <c r="R19" s="276">
        <f t="shared" si="7"/>
        <v>0</v>
      </c>
      <c r="S19" s="426">
        <f t="shared" si="10"/>
        <v>0</v>
      </c>
      <c r="T19" s="426">
        <f t="shared" si="11"/>
        <v>0</v>
      </c>
      <c r="U19" s="426">
        <f t="shared" si="12"/>
        <v>0</v>
      </c>
      <c r="V19" s="426">
        <f t="shared" si="13"/>
        <v>0</v>
      </c>
      <c r="W19" s="426">
        <f t="shared" si="14"/>
        <v>0</v>
      </c>
      <c r="X19" s="426">
        <f t="shared" si="15"/>
        <v>0</v>
      </c>
      <c r="Y19" s="278" t="str">
        <f t="shared" si="8"/>
        <v>-1</v>
      </c>
      <c r="Z19" s="279" t="str">
        <f t="shared" si="9"/>
        <v>-1</v>
      </c>
      <c r="AA19" s="429"/>
    </row>
    <row r="20" spans="1:27">
      <c r="A20" s="107"/>
      <c r="B20" s="114"/>
      <c r="C20" s="115"/>
      <c r="D20" s="110">
        <f t="shared" si="0"/>
        <v>0</v>
      </c>
      <c r="E20" s="111">
        <f t="shared" si="1"/>
        <v>355</v>
      </c>
      <c r="F20" s="268">
        <f t="shared" si="2"/>
        <v>0</v>
      </c>
      <c r="G20" s="274">
        <f t="shared" si="3"/>
        <v>0</v>
      </c>
      <c r="H20" s="112">
        <f t="shared" si="16"/>
        <v>0</v>
      </c>
      <c r="I20" s="112">
        <f t="shared" si="17"/>
        <v>0</v>
      </c>
      <c r="J20" s="112">
        <f t="shared" si="18"/>
        <v>0</v>
      </c>
      <c r="K20" s="112">
        <f t="shared" si="19"/>
        <v>0</v>
      </c>
      <c r="L20" s="112">
        <f t="shared" si="20"/>
        <v>0</v>
      </c>
      <c r="M20" s="112">
        <f t="shared" si="21"/>
        <v>0</v>
      </c>
      <c r="N20" s="112">
        <f t="shared" si="22"/>
        <v>0</v>
      </c>
      <c r="O20" s="259" t="str">
        <f t="shared" si="4"/>
        <v>-1</v>
      </c>
      <c r="P20" s="260" t="str">
        <f t="shared" si="5"/>
        <v>6</v>
      </c>
      <c r="Q20" s="270">
        <f t="shared" si="6"/>
        <v>0</v>
      </c>
      <c r="R20" s="276">
        <f t="shared" si="7"/>
        <v>0</v>
      </c>
      <c r="S20" s="426">
        <f t="shared" si="10"/>
        <v>0</v>
      </c>
      <c r="T20" s="426">
        <f t="shared" si="11"/>
        <v>0</v>
      </c>
      <c r="U20" s="426">
        <f t="shared" si="12"/>
        <v>0</v>
      </c>
      <c r="V20" s="426">
        <f t="shared" si="13"/>
        <v>0</v>
      </c>
      <c r="W20" s="426">
        <f t="shared" si="14"/>
        <v>0</v>
      </c>
      <c r="X20" s="426">
        <f t="shared" si="15"/>
        <v>0</v>
      </c>
      <c r="Y20" s="278" t="str">
        <f t="shared" si="8"/>
        <v>-1</v>
      </c>
      <c r="Z20" s="279" t="str">
        <f t="shared" si="9"/>
        <v>-1</v>
      </c>
      <c r="AA20" s="429"/>
    </row>
    <row r="21" spans="1:27">
      <c r="A21" s="107"/>
      <c r="B21" s="114"/>
      <c r="C21" s="115"/>
      <c r="D21" s="110">
        <f t="shared" si="0"/>
        <v>0</v>
      </c>
      <c r="E21" s="111">
        <f t="shared" si="1"/>
        <v>355</v>
      </c>
      <c r="F21" s="268">
        <f t="shared" si="2"/>
        <v>0</v>
      </c>
      <c r="G21" s="274">
        <f t="shared" si="3"/>
        <v>0</v>
      </c>
      <c r="H21" s="112">
        <f t="shared" si="16"/>
        <v>0</v>
      </c>
      <c r="I21" s="112">
        <f t="shared" si="17"/>
        <v>0</v>
      </c>
      <c r="J21" s="112">
        <f t="shared" si="18"/>
        <v>0</v>
      </c>
      <c r="K21" s="112">
        <f t="shared" si="19"/>
        <v>0</v>
      </c>
      <c r="L21" s="112">
        <f t="shared" si="20"/>
        <v>0</v>
      </c>
      <c r="M21" s="112">
        <f t="shared" si="21"/>
        <v>0</v>
      </c>
      <c r="N21" s="112">
        <f t="shared" si="22"/>
        <v>0</v>
      </c>
      <c r="O21" s="259" t="str">
        <f t="shared" si="4"/>
        <v>-1</v>
      </c>
      <c r="P21" s="260" t="str">
        <f t="shared" si="5"/>
        <v>6</v>
      </c>
      <c r="Q21" s="270">
        <f t="shared" si="6"/>
        <v>0</v>
      </c>
      <c r="R21" s="276">
        <f t="shared" si="7"/>
        <v>0</v>
      </c>
      <c r="S21" s="426">
        <f t="shared" si="10"/>
        <v>0</v>
      </c>
      <c r="T21" s="426">
        <f t="shared" si="11"/>
        <v>0</v>
      </c>
      <c r="U21" s="426">
        <f t="shared" si="12"/>
        <v>0</v>
      </c>
      <c r="V21" s="426">
        <f t="shared" si="13"/>
        <v>0</v>
      </c>
      <c r="W21" s="426">
        <f t="shared" si="14"/>
        <v>0</v>
      </c>
      <c r="X21" s="426">
        <f t="shared" si="15"/>
        <v>0</v>
      </c>
      <c r="Y21" s="278" t="str">
        <f t="shared" si="8"/>
        <v>-1</v>
      </c>
      <c r="Z21" s="279" t="str">
        <f t="shared" si="9"/>
        <v>-1</v>
      </c>
      <c r="AA21" s="429"/>
    </row>
    <row r="22" spans="1:27">
      <c r="A22" s="107"/>
      <c r="B22" s="114"/>
      <c r="C22" s="115"/>
      <c r="D22" s="110">
        <f t="shared" si="0"/>
        <v>0</v>
      </c>
      <c r="E22" s="111">
        <f t="shared" si="1"/>
        <v>355</v>
      </c>
      <c r="F22" s="268">
        <f t="shared" si="2"/>
        <v>0</v>
      </c>
      <c r="G22" s="274">
        <f t="shared" si="3"/>
        <v>0</v>
      </c>
      <c r="H22" s="112">
        <f t="shared" si="16"/>
        <v>0</v>
      </c>
      <c r="I22" s="112">
        <f t="shared" si="17"/>
        <v>0</v>
      </c>
      <c r="J22" s="112">
        <f t="shared" si="18"/>
        <v>0</v>
      </c>
      <c r="K22" s="112">
        <f t="shared" si="19"/>
        <v>0</v>
      </c>
      <c r="L22" s="112">
        <f t="shared" si="20"/>
        <v>0</v>
      </c>
      <c r="M22" s="112">
        <f t="shared" si="21"/>
        <v>0</v>
      </c>
      <c r="N22" s="112">
        <f t="shared" si="22"/>
        <v>0</v>
      </c>
      <c r="O22" s="259" t="str">
        <f t="shared" si="4"/>
        <v>-1</v>
      </c>
      <c r="P22" s="260" t="str">
        <f t="shared" si="5"/>
        <v>6</v>
      </c>
      <c r="Q22" s="270">
        <f t="shared" si="6"/>
        <v>0</v>
      </c>
      <c r="R22" s="276">
        <f t="shared" si="7"/>
        <v>0</v>
      </c>
      <c r="S22" s="426">
        <f t="shared" si="10"/>
        <v>0</v>
      </c>
      <c r="T22" s="426">
        <f t="shared" si="11"/>
        <v>0</v>
      </c>
      <c r="U22" s="426">
        <f t="shared" si="12"/>
        <v>0</v>
      </c>
      <c r="V22" s="426">
        <f t="shared" si="13"/>
        <v>0</v>
      </c>
      <c r="W22" s="426">
        <f t="shared" si="14"/>
        <v>0</v>
      </c>
      <c r="X22" s="426">
        <f t="shared" si="15"/>
        <v>0</v>
      </c>
      <c r="Y22" s="278" t="str">
        <f t="shared" si="8"/>
        <v>-1</v>
      </c>
      <c r="Z22" s="279" t="str">
        <f t="shared" si="9"/>
        <v>-1</v>
      </c>
      <c r="AA22" s="429"/>
    </row>
    <row r="23" spans="1:27">
      <c r="A23" s="107"/>
      <c r="B23" s="114"/>
      <c r="C23" s="115"/>
      <c r="D23" s="110">
        <f t="shared" si="0"/>
        <v>0</v>
      </c>
      <c r="E23" s="111">
        <f t="shared" si="1"/>
        <v>355</v>
      </c>
      <c r="F23" s="268">
        <f t="shared" si="2"/>
        <v>0</v>
      </c>
      <c r="G23" s="274">
        <f t="shared" si="3"/>
        <v>0</v>
      </c>
      <c r="H23" s="112">
        <f t="shared" si="16"/>
        <v>0</v>
      </c>
      <c r="I23" s="112">
        <f t="shared" si="17"/>
        <v>0</v>
      </c>
      <c r="J23" s="112">
        <f t="shared" si="18"/>
        <v>0</v>
      </c>
      <c r="K23" s="112">
        <f t="shared" si="19"/>
        <v>0</v>
      </c>
      <c r="L23" s="112">
        <f t="shared" si="20"/>
        <v>0</v>
      </c>
      <c r="M23" s="112">
        <f t="shared" si="21"/>
        <v>0</v>
      </c>
      <c r="N23" s="112">
        <f t="shared" si="22"/>
        <v>0</v>
      </c>
      <c r="O23" s="259" t="str">
        <f t="shared" si="4"/>
        <v>-1</v>
      </c>
      <c r="P23" s="260" t="str">
        <f t="shared" si="5"/>
        <v>6</v>
      </c>
      <c r="Q23" s="270">
        <f t="shared" si="6"/>
        <v>0</v>
      </c>
      <c r="R23" s="276">
        <f t="shared" si="7"/>
        <v>0</v>
      </c>
      <c r="S23" s="426">
        <f t="shared" si="10"/>
        <v>0</v>
      </c>
      <c r="T23" s="426">
        <f t="shared" si="11"/>
        <v>0</v>
      </c>
      <c r="U23" s="426">
        <f t="shared" si="12"/>
        <v>0</v>
      </c>
      <c r="V23" s="426">
        <f t="shared" si="13"/>
        <v>0</v>
      </c>
      <c r="W23" s="426">
        <f t="shared" si="14"/>
        <v>0</v>
      </c>
      <c r="X23" s="426">
        <f t="shared" si="15"/>
        <v>0</v>
      </c>
      <c r="Y23" s="278" t="str">
        <f t="shared" si="8"/>
        <v>-1</v>
      </c>
      <c r="Z23" s="279" t="str">
        <f t="shared" si="9"/>
        <v>-1</v>
      </c>
      <c r="AA23" s="429"/>
    </row>
    <row r="24" spans="1:27">
      <c r="A24" s="107"/>
      <c r="B24" s="114"/>
      <c r="C24" s="115"/>
      <c r="D24" s="110">
        <f t="shared" si="0"/>
        <v>0</v>
      </c>
      <c r="E24" s="111">
        <f t="shared" si="1"/>
        <v>355</v>
      </c>
      <c r="F24" s="268">
        <f t="shared" si="2"/>
        <v>0</v>
      </c>
      <c r="G24" s="274">
        <f t="shared" si="3"/>
        <v>0</v>
      </c>
      <c r="H24" s="112">
        <f t="shared" si="16"/>
        <v>0</v>
      </c>
      <c r="I24" s="112">
        <f t="shared" si="17"/>
        <v>0</v>
      </c>
      <c r="J24" s="112">
        <f t="shared" si="18"/>
        <v>0</v>
      </c>
      <c r="K24" s="112">
        <f t="shared" si="19"/>
        <v>0</v>
      </c>
      <c r="L24" s="112">
        <f t="shared" si="20"/>
        <v>0</v>
      </c>
      <c r="M24" s="112">
        <f t="shared" si="21"/>
        <v>0</v>
      </c>
      <c r="N24" s="112">
        <f t="shared" si="22"/>
        <v>0</v>
      </c>
      <c r="O24" s="259" t="str">
        <f t="shared" si="4"/>
        <v>-1</v>
      </c>
      <c r="P24" s="260" t="str">
        <f t="shared" si="5"/>
        <v>6</v>
      </c>
      <c r="Q24" s="270">
        <f t="shared" si="6"/>
        <v>0</v>
      </c>
      <c r="R24" s="276">
        <f t="shared" si="7"/>
        <v>0</v>
      </c>
      <c r="S24" s="426">
        <f t="shared" si="10"/>
        <v>0</v>
      </c>
      <c r="T24" s="426">
        <f t="shared" si="11"/>
        <v>0</v>
      </c>
      <c r="U24" s="426">
        <f t="shared" si="12"/>
        <v>0</v>
      </c>
      <c r="V24" s="426">
        <f t="shared" si="13"/>
        <v>0</v>
      </c>
      <c r="W24" s="426">
        <f t="shared" si="14"/>
        <v>0</v>
      </c>
      <c r="X24" s="426">
        <f t="shared" si="15"/>
        <v>0</v>
      </c>
      <c r="Y24" s="278" t="str">
        <f t="shared" si="8"/>
        <v>-1</v>
      </c>
      <c r="Z24" s="279" t="str">
        <f t="shared" si="9"/>
        <v>-1</v>
      </c>
      <c r="AA24" s="429"/>
    </row>
    <row r="25" spans="1:27">
      <c r="A25" s="107"/>
      <c r="B25" s="114"/>
      <c r="C25" s="115"/>
      <c r="D25" s="110">
        <f t="shared" si="0"/>
        <v>0</v>
      </c>
      <c r="E25" s="111">
        <f t="shared" si="1"/>
        <v>355</v>
      </c>
      <c r="F25" s="268">
        <f t="shared" si="2"/>
        <v>0</v>
      </c>
      <c r="G25" s="274">
        <f t="shared" si="3"/>
        <v>0</v>
      </c>
      <c r="H25" s="112">
        <f t="shared" si="16"/>
        <v>0</v>
      </c>
      <c r="I25" s="112">
        <f t="shared" si="17"/>
        <v>0</v>
      </c>
      <c r="J25" s="112">
        <f t="shared" si="18"/>
        <v>0</v>
      </c>
      <c r="K25" s="112">
        <f t="shared" si="19"/>
        <v>0</v>
      </c>
      <c r="L25" s="112">
        <f t="shared" si="20"/>
        <v>0</v>
      </c>
      <c r="M25" s="112">
        <f t="shared" si="21"/>
        <v>0</v>
      </c>
      <c r="N25" s="112">
        <f t="shared" si="22"/>
        <v>0</v>
      </c>
      <c r="O25" s="259" t="str">
        <f t="shared" si="4"/>
        <v>-1</v>
      </c>
      <c r="P25" s="260" t="str">
        <f t="shared" si="5"/>
        <v>6</v>
      </c>
      <c r="Q25" s="270">
        <f t="shared" si="6"/>
        <v>0</v>
      </c>
      <c r="R25" s="276">
        <f t="shared" si="7"/>
        <v>0</v>
      </c>
      <c r="S25" s="426">
        <f t="shared" si="10"/>
        <v>0</v>
      </c>
      <c r="T25" s="426">
        <f t="shared" si="11"/>
        <v>0</v>
      </c>
      <c r="U25" s="426">
        <f t="shared" si="12"/>
        <v>0</v>
      </c>
      <c r="V25" s="426">
        <f t="shared" si="13"/>
        <v>0</v>
      </c>
      <c r="W25" s="426">
        <f t="shared" si="14"/>
        <v>0</v>
      </c>
      <c r="X25" s="426">
        <f t="shared" si="15"/>
        <v>0</v>
      </c>
      <c r="Y25" s="278" t="str">
        <f t="shared" si="8"/>
        <v>-1</v>
      </c>
      <c r="Z25" s="279" t="str">
        <f t="shared" si="9"/>
        <v>-1</v>
      </c>
      <c r="AA25" s="429"/>
    </row>
    <row r="26" spans="1:27">
      <c r="A26" s="107"/>
      <c r="B26" s="114"/>
      <c r="C26" s="115"/>
      <c r="D26" s="110">
        <f t="shared" si="0"/>
        <v>0</v>
      </c>
      <c r="E26" s="111">
        <f t="shared" si="1"/>
        <v>355</v>
      </c>
      <c r="F26" s="268">
        <f t="shared" si="2"/>
        <v>0</v>
      </c>
      <c r="G26" s="274">
        <f t="shared" ref="G26:G30" si="23">IF(F26-SUM(H26:N26)&gt;0,F26-SUM(H26:N26),IF(O26&gt;P26,SUM(H26:N26),0))</f>
        <v>0</v>
      </c>
      <c r="H26" s="112">
        <f t="shared" si="16"/>
        <v>0</v>
      </c>
      <c r="I26" s="112">
        <f t="shared" si="17"/>
        <v>0</v>
      </c>
      <c r="J26" s="112">
        <f t="shared" si="18"/>
        <v>0</v>
      </c>
      <c r="K26" s="112">
        <f t="shared" si="19"/>
        <v>0</v>
      </c>
      <c r="L26" s="112">
        <f t="shared" si="20"/>
        <v>0</v>
      </c>
      <c r="M26" s="112">
        <f t="shared" si="21"/>
        <v>0</v>
      </c>
      <c r="N26" s="112">
        <f t="shared" si="22"/>
        <v>0</v>
      </c>
      <c r="O26" s="259" t="str">
        <f t="shared" si="4"/>
        <v>-1</v>
      </c>
      <c r="P26" s="260" t="str">
        <f t="shared" si="5"/>
        <v>6</v>
      </c>
      <c r="Q26" s="270">
        <f t="shared" si="6"/>
        <v>0</v>
      </c>
      <c r="R26" s="276">
        <f t="shared" ref="R26:R30" si="24">IF(Q26-SUM(S26:X26)&gt;0,Q26-SUM(S26:X26),IF(Y26&gt;Z26,SUM(S26:X26),0))</f>
        <v>0</v>
      </c>
      <c r="S26" s="426">
        <f t="shared" si="10"/>
        <v>0</v>
      </c>
      <c r="T26" s="426">
        <f t="shared" si="11"/>
        <v>0</v>
      </c>
      <c r="U26" s="426">
        <f t="shared" si="12"/>
        <v>0</v>
      </c>
      <c r="V26" s="426">
        <f t="shared" si="13"/>
        <v>0</v>
      </c>
      <c r="W26" s="426">
        <f t="shared" si="14"/>
        <v>0</v>
      </c>
      <c r="X26" s="426">
        <f t="shared" si="15"/>
        <v>0</v>
      </c>
      <c r="Y26" s="278" t="str">
        <f t="shared" si="8"/>
        <v>-1</v>
      </c>
      <c r="Z26" s="279" t="str">
        <f t="shared" si="9"/>
        <v>-1</v>
      </c>
      <c r="AA26" s="429"/>
    </row>
    <row r="27" spans="1:27">
      <c r="A27" s="107"/>
      <c r="B27" s="114"/>
      <c r="C27" s="115"/>
      <c r="D27" s="110">
        <f t="shared" si="0"/>
        <v>0</v>
      </c>
      <c r="E27" s="111">
        <f t="shared" si="1"/>
        <v>355</v>
      </c>
      <c r="F27" s="268">
        <f t="shared" si="2"/>
        <v>0</v>
      </c>
      <c r="G27" s="274">
        <f t="shared" si="23"/>
        <v>0</v>
      </c>
      <c r="H27" s="112">
        <f t="shared" si="16"/>
        <v>0</v>
      </c>
      <c r="I27" s="112">
        <f t="shared" si="17"/>
        <v>0</v>
      </c>
      <c r="J27" s="112">
        <f t="shared" si="18"/>
        <v>0</v>
      </c>
      <c r="K27" s="112">
        <f t="shared" si="19"/>
        <v>0</v>
      </c>
      <c r="L27" s="112">
        <f t="shared" si="20"/>
        <v>0</v>
      </c>
      <c r="M27" s="112">
        <f t="shared" si="21"/>
        <v>0</v>
      </c>
      <c r="N27" s="112">
        <f t="shared" si="22"/>
        <v>0</v>
      </c>
      <c r="O27" s="259" t="str">
        <f t="shared" si="4"/>
        <v>-1</v>
      </c>
      <c r="P27" s="260" t="str">
        <f t="shared" si="5"/>
        <v>6</v>
      </c>
      <c r="Q27" s="270">
        <f t="shared" si="6"/>
        <v>0</v>
      </c>
      <c r="R27" s="276">
        <f t="shared" si="24"/>
        <v>0</v>
      </c>
      <c r="S27" s="426">
        <f t="shared" si="10"/>
        <v>0</v>
      </c>
      <c r="T27" s="426">
        <f t="shared" si="11"/>
        <v>0</v>
      </c>
      <c r="U27" s="426">
        <f t="shared" si="12"/>
        <v>0</v>
      </c>
      <c r="V27" s="426">
        <f t="shared" si="13"/>
        <v>0</v>
      </c>
      <c r="W27" s="426">
        <f t="shared" si="14"/>
        <v>0</v>
      </c>
      <c r="X27" s="426">
        <f t="shared" si="15"/>
        <v>0</v>
      </c>
      <c r="Y27" s="278" t="str">
        <f t="shared" si="8"/>
        <v>-1</v>
      </c>
      <c r="Z27" s="279" t="str">
        <f t="shared" si="9"/>
        <v>-1</v>
      </c>
      <c r="AA27" s="429"/>
    </row>
    <row r="28" spans="1:27">
      <c r="A28" s="107"/>
      <c r="B28" s="114"/>
      <c r="C28" s="115"/>
      <c r="D28" s="110">
        <f t="shared" si="0"/>
        <v>0</v>
      </c>
      <c r="E28" s="111">
        <f t="shared" si="1"/>
        <v>355</v>
      </c>
      <c r="F28" s="268">
        <f t="shared" si="2"/>
        <v>0</v>
      </c>
      <c r="G28" s="274">
        <f t="shared" si="23"/>
        <v>0</v>
      </c>
      <c r="H28" s="112">
        <f t="shared" si="16"/>
        <v>0</v>
      </c>
      <c r="I28" s="112">
        <f t="shared" si="17"/>
        <v>0</v>
      </c>
      <c r="J28" s="112">
        <f t="shared" si="18"/>
        <v>0</v>
      </c>
      <c r="K28" s="112">
        <f t="shared" si="19"/>
        <v>0</v>
      </c>
      <c r="L28" s="112">
        <f t="shared" si="20"/>
        <v>0</v>
      </c>
      <c r="M28" s="112">
        <f t="shared" si="21"/>
        <v>0</v>
      </c>
      <c r="N28" s="112">
        <f t="shared" si="22"/>
        <v>0</v>
      </c>
      <c r="O28" s="259" t="str">
        <f t="shared" si="4"/>
        <v>-1</v>
      </c>
      <c r="P28" s="260" t="str">
        <f t="shared" si="5"/>
        <v>6</v>
      </c>
      <c r="Q28" s="270">
        <f t="shared" si="6"/>
        <v>0</v>
      </c>
      <c r="R28" s="276">
        <f t="shared" si="24"/>
        <v>0</v>
      </c>
      <c r="S28" s="426">
        <f t="shared" si="10"/>
        <v>0</v>
      </c>
      <c r="T28" s="426">
        <f t="shared" si="11"/>
        <v>0</v>
      </c>
      <c r="U28" s="426">
        <f t="shared" si="12"/>
        <v>0</v>
      </c>
      <c r="V28" s="426">
        <f t="shared" si="13"/>
        <v>0</v>
      </c>
      <c r="W28" s="426">
        <f t="shared" si="14"/>
        <v>0</v>
      </c>
      <c r="X28" s="426">
        <f t="shared" si="15"/>
        <v>0</v>
      </c>
      <c r="Y28" s="278" t="str">
        <f t="shared" si="8"/>
        <v>-1</v>
      </c>
      <c r="Z28" s="279" t="str">
        <f t="shared" si="9"/>
        <v>-1</v>
      </c>
      <c r="AA28" s="429"/>
    </row>
    <row r="29" spans="1:27">
      <c r="A29" s="107"/>
      <c r="B29" s="114"/>
      <c r="C29" s="115"/>
      <c r="D29" s="110">
        <f t="shared" si="0"/>
        <v>0</v>
      </c>
      <c r="E29" s="111">
        <f t="shared" si="1"/>
        <v>355</v>
      </c>
      <c r="F29" s="268">
        <f t="shared" si="2"/>
        <v>0</v>
      </c>
      <c r="G29" s="274">
        <f t="shared" si="23"/>
        <v>0</v>
      </c>
      <c r="H29" s="112">
        <f t="shared" si="16"/>
        <v>0</v>
      </c>
      <c r="I29" s="112">
        <f t="shared" si="17"/>
        <v>0</v>
      </c>
      <c r="J29" s="112">
        <f t="shared" si="18"/>
        <v>0</v>
      </c>
      <c r="K29" s="112">
        <f t="shared" si="19"/>
        <v>0</v>
      </c>
      <c r="L29" s="112">
        <f t="shared" si="20"/>
        <v>0</v>
      </c>
      <c r="M29" s="112">
        <f t="shared" si="21"/>
        <v>0</v>
      </c>
      <c r="N29" s="112">
        <f t="shared" si="22"/>
        <v>0</v>
      </c>
      <c r="O29" s="259" t="str">
        <f t="shared" si="4"/>
        <v>-1</v>
      </c>
      <c r="P29" s="260" t="str">
        <f t="shared" si="5"/>
        <v>6</v>
      </c>
      <c r="Q29" s="270">
        <f t="shared" si="6"/>
        <v>0</v>
      </c>
      <c r="R29" s="276">
        <f t="shared" si="24"/>
        <v>0</v>
      </c>
      <c r="S29" s="426">
        <f t="shared" si="10"/>
        <v>0</v>
      </c>
      <c r="T29" s="426">
        <f t="shared" si="11"/>
        <v>0</v>
      </c>
      <c r="U29" s="426">
        <f t="shared" si="12"/>
        <v>0</v>
      </c>
      <c r="V29" s="426">
        <f t="shared" si="13"/>
        <v>0</v>
      </c>
      <c r="W29" s="426">
        <f t="shared" si="14"/>
        <v>0</v>
      </c>
      <c r="X29" s="426">
        <f t="shared" si="15"/>
        <v>0</v>
      </c>
      <c r="Y29" s="278" t="str">
        <f t="shared" si="8"/>
        <v>-1</v>
      </c>
      <c r="Z29" s="279" t="str">
        <f t="shared" si="9"/>
        <v>-1</v>
      </c>
      <c r="AA29" s="429"/>
    </row>
    <row r="30" spans="1:27">
      <c r="A30" s="107"/>
      <c r="B30" s="114"/>
      <c r="C30" s="115"/>
      <c r="D30" s="110">
        <f t="shared" si="0"/>
        <v>0</v>
      </c>
      <c r="E30" s="111">
        <f t="shared" si="1"/>
        <v>355</v>
      </c>
      <c r="F30" s="268">
        <f t="shared" si="2"/>
        <v>0</v>
      </c>
      <c r="G30" s="274">
        <f t="shared" si="23"/>
        <v>0</v>
      </c>
      <c r="H30" s="112">
        <f t="shared" si="16"/>
        <v>0</v>
      </c>
      <c r="I30" s="112">
        <f t="shared" si="17"/>
        <v>0</v>
      </c>
      <c r="J30" s="112">
        <f t="shared" si="18"/>
        <v>0</v>
      </c>
      <c r="K30" s="112">
        <f t="shared" si="19"/>
        <v>0</v>
      </c>
      <c r="L30" s="112">
        <f t="shared" si="20"/>
        <v>0</v>
      </c>
      <c r="M30" s="112">
        <f t="shared" si="21"/>
        <v>0</v>
      </c>
      <c r="N30" s="112">
        <f t="shared" si="22"/>
        <v>0</v>
      </c>
      <c r="O30" s="259" t="str">
        <f t="shared" si="4"/>
        <v>-1</v>
      </c>
      <c r="P30" s="260" t="str">
        <f t="shared" si="5"/>
        <v>6</v>
      </c>
      <c r="Q30" s="270">
        <f t="shared" si="6"/>
        <v>0</v>
      </c>
      <c r="R30" s="276">
        <f t="shared" si="24"/>
        <v>0</v>
      </c>
      <c r="S30" s="426">
        <f t="shared" si="10"/>
        <v>0</v>
      </c>
      <c r="T30" s="426">
        <f t="shared" si="11"/>
        <v>0</v>
      </c>
      <c r="U30" s="426">
        <f t="shared" si="12"/>
        <v>0</v>
      </c>
      <c r="V30" s="426">
        <f t="shared" si="13"/>
        <v>0</v>
      </c>
      <c r="W30" s="426">
        <f t="shared" si="14"/>
        <v>0</v>
      </c>
      <c r="X30" s="426">
        <f t="shared" si="15"/>
        <v>0</v>
      </c>
      <c r="Y30" s="278" t="str">
        <f t="shared" si="8"/>
        <v>-1</v>
      </c>
      <c r="Z30" s="279" t="str">
        <f t="shared" si="9"/>
        <v>-1</v>
      </c>
      <c r="AA30" s="429"/>
    </row>
    <row r="31" spans="1:27">
      <c r="A31" s="107"/>
      <c r="B31" s="114"/>
      <c r="C31" s="115"/>
      <c r="D31" s="110">
        <f t="shared" si="0"/>
        <v>0</v>
      </c>
      <c r="E31" s="111">
        <f t="shared" si="1"/>
        <v>355</v>
      </c>
      <c r="F31" s="268">
        <f t="shared" si="2"/>
        <v>0</v>
      </c>
      <c r="G31" s="274">
        <f t="shared" si="3"/>
        <v>0</v>
      </c>
      <c r="H31" s="112">
        <f t="shared" si="16"/>
        <v>0</v>
      </c>
      <c r="I31" s="112">
        <f t="shared" si="17"/>
        <v>0</v>
      </c>
      <c r="J31" s="112">
        <f t="shared" si="18"/>
        <v>0</v>
      </c>
      <c r="K31" s="112">
        <f t="shared" si="19"/>
        <v>0</v>
      </c>
      <c r="L31" s="112">
        <f t="shared" si="20"/>
        <v>0</v>
      </c>
      <c r="M31" s="112">
        <f t="shared" si="21"/>
        <v>0</v>
      </c>
      <c r="N31" s="112">
        <f t="shared" si="22"/>
        <v>0</v>
      </c>
      <c r="O31" s="259" t="str">
        <f t="shared" si="4"/>
        <v>-1</v>
      </c>
      <c r="P31" s="260" t="str">
        <f t="shared" si="5"/>
        <v>6</v>
      </c>
      <c r="Q31" s="270">
        <f t="shared" si="6"/>
        <v>0</v>
      </c>
      <c r="R31" s="276">
        <f t="shared" si="7"/>
        <v>0</v>
      </c>
      <c r="S31" s="426">
        <f t="shared" si="10"/>
        <v>0</v>
      </c>
      <c r="T31" s="426">
        <f t="shared" si="11"/>
        <v>0</v>
      </c>
      <c r="U31" s="426">
        <f t="shared" si="12"/>
        <v>0</v>
      </c>
      <c r="V31" s="426">
        <f t="shared" si="13"/>
        <v>0</v>
      </c>
      <c r="W31" s="426">
        <f t="shared" si="14"/>
        <v>0</v>
      </c>
      <c r="X31" s="426">
        <f t="shared" si="15"/>
        <v>0</v>
      </c>
      <c r="Y31" s="278" t="str">
        <f t="shared" si="8"/>
        <v>-1</v>
      </c>
      <c r="Z31" s="279" t="str">
        <f t="shared" si="9"/>
        <v>-1</v>
      </c>
      <c r="AA31" s="429"/>
    </row>
    <row r="32" spans="1:27">
      <c r="A32" s="107"/>
      <c r="B32" s="108"/>
      <c r="C32" s="115"/>
      <c r="D32" s="110">
        <f t="shared" si="0"/>
        <v>0</v>
      </c>
      <c r="E32" s="111">
        <f t="shared" si="1"/>
        <v>355</v>
      </c>
      <c r="F32" s="268">
        <f t="shared" si="2"/>
        <v>0</v>
      </c>
      <c r="G32" s="274">
        <f t="shared" si="3"/>
        <v>0</v>
      </c>
      <c r="H32" s="112">
        <f t="shared" si="16"/>
        <v>0</v>
      </c>
      <c r="I32" s="112">
        <f t="shared" si="17"/>
        <v>0</v>
      </c>
      <c r="J32" s="112">
        <f t="shared" si="18"/>
        <v>0</v>
      </c>
      <c r="K32" s="112">
        <f t="shared" si="19"/>
        <v>0</v>
      </c>
      <c r="L32" s="112">
        <f t="shared" si="20"/>
        <v>0</v>
      </c>
      <c r="M32" s="112">
        <f t="shared" si="21"/>
        <v>0</v>
      </c>
      <c r="N32" s="112">
        <f t="shared" si="22"/>
        <v>0</v>
      </c>
      <c r="O32" s="259" t="str">
        <f t="shared" si="4"/>
        <v>-1</v>
      </c>
      <c r="P32" s="260" t="str">
        <f t="shared" si="5"/>
        <v>6</v>
      </c>
      <c r="Q32" s="270">
        <f t="shared" si="6"/>
        <v>0</v>
      </c>
      <c r="R32" s="276">
        <f t="shared" si="7"/>
        <v>0</v>
      </c>
      <c r="S32" s="426">
        <f t="shared" si="10"/>
        <v>0</v>
      </c>
      <c r="T32" s="426">
        <f t="shared" si="11"/>
        <v>0</v>
      </c>
      <c r="U32" s="426">
        <f t="shared" si="12"/>
        <v>0</v>
      </c>
      <c r="V32" s="426">
        <f t="shared" si="13"/>
        <v>0</v>
      </c>
      <c r="W32" s="426">
        <f t="shared" si="14"/>
        <v>0</v>
      </c>
      <c r="X32" s="426">
        <f t="shared" si="15"/>
        <v>0</v>
      </c>
      <c r="Y32" s="278" t="str">
        <f t="shared" si="8"/>
        <v>-1</v>
      </c>
      <c r="Z32" s="279" t="str">
        <f t="shared" si="9"/>
        <v>-1</v>
      </c>
      <c r="AA32" s="429"/>
    </row>
    <row r="33" spans="1:27">
      <c r="A33" s="107"/>
      <c r="B33" s="114"/>
      <c r="C33" s="115"/>
      <c r="D33" s="110">
        <f t="shared" si="0"/>
        <v>0</v>
      </c>
      <c r="E33" s="111">
        <f t="shared" si="1"/>
        <v>355</v>
      </c>
      <c r="F33" s="268">
        <f t="shared" si="2"/>
        <v>0</v>
      </c>
      <c r="G33" s="274">
        <f t="shared" si="3"/>
        <v>0</v>
      </c>
      <c r="H33" s="112">
        <f t="shared" si="16"/>
        <v>0</v>
      </c>
      <c r="I33" s="112">
        <f t="shared" si="17"/>
        <v>0</v>
      </c>
      <c r="J33" s="112">
        <f t="shared" si="18"/>
        <v>0</v>
      </c>
      <c r="K33" s="112">
        <f t="shared" si="19"/>
        <v>0</v>
      </c>
      <c r="L33" s="112">
        <f t="shared" si="20"/>
        <v>0</v>
      </c>
      <c r="M33" s="112">
        <f t="shared" si="21"/>
        <v>0</v>
      </c>
      <c r="N33" s="112">
        <f t="shared" si="22"/>
        <v>0</v>
      </c>
      <c r="O33" s="259" t="str">
        <f t="shared" si="4"/>
        <v>-1</v>
      </c>
      <c r="P33" s="260" t="str">
        <f t="shared" si="5"/>
        <v>6</v>
      </c>
      <c r="Q33" s="270">
        <f t="shared" si="6"/>
        <v>0</v>
      </c>
      <c r="R33" s="276">
        <f t="shared" si="7"/>
        <v>0</v>
      </c>
      <c r="S33" s="426">
        <f t="shared" si="10"/>
        <v>0</v>
      </c>
      <c r="T33" s="426">
        <f t="shared" si="11"/>
        <v>0</v>
      </c>
      <c r="U33" s="426">
        <f t="shared" si="12"/>
        <v>0</v>
      </c>
      <c r="V33" s="426">
        <f t="shared" si="13"/>
        <v>0</v>
      </c>
      <c r="W33" s="426">
        <f t="shared" si="14"/>
        <v>0</v>
      </c>
      <c r="X33" s="426">
        <f t="shared" si="15"/>
        <v>0</v>
      </c>
      <c r="Y33" s="278" t="str">
        <f t="shared" si="8"/>
        <v>-1</v>
      </c>
      <c r="Z33" s="279" t="str">
        <f t="shared" si="9"/>
        <v>-1</v>
      </c>
      <c r="AA33" s="429"/>
    </row>
    <row r="34" spans="1:27">
      <c r="A34" s="107"/>
      <c r="B34" s="114"/>
      <c r="C34" s="115"/>
      <c r="D34" s="110">
        <f t="shared" si="0"/>
        <v>0</v>
      </c>
      <c r="E34" s="111">
        <f t="shared" si="1"/>
        <v>355</v>
      </c>
      <c r="F34" s="268">
        <f t="shared" si="2"/>
        <v>0</v>
      </c>
      <c r="G34" s="274">
        <f t="shared" si="3"/>
        <v>0</v>
      </c>
      <c r="H34" s="112">
        <f t="shared" si="16"/>
        <v>0</v>
      </c>
      <c r="I34" s="112">
        <f t="shared" si="17"/>
        <v>0</v>
      </c>
      <c r="J34" s="112">
        <f t="shared" si="18"/>
        <v>0</v>
      </c>
      <c r="K34" s="112">
        <f t="shared" si="19"/>
        <v>0</v>
      </c>
      <c r="L34" s="112">
        <f t="shared" si="20"/>
        <v>0</v>
      </c>
      <c r="M34" s="112">
        <f t="shared" si="21"/>
        <v>0</v>
      </c>
      <c r="N34" s="112">
        <f t="shared" si="22"/>
        <v>0</v>
      </c>
      <c r="O34" s="259" t="str">
        <f t="shared" si="4"/>
        <v>-1</v>
      </c>
      <c r="P34" s="260" t="str">
        <f t="shared" si="5"/>
        <v>6</v>
      </c>
      <c r="Q34" s="270">
        <f t="shared" si="6"/>
        <v>0</v>
      </c>
      <c r="R34" s="276">
        <f t="shared" si="7"/>
        <v>0</v>
      </c>
      <c r="S34" s="426">
        <f t="shared" si="10"/>
        <v>0</v>
      </c>
      <c r="T34" s="426">
        <f t="shared" si="11"/>
        <v>0</v>
      </c>
      <c r="U34" s="426">
        <f t="shared" si="12"/>
        <v>0</v>
      </c>
      <c r="V34" s="426">
        <f t="shared" si="13"/>
        <v>0</v>
      </c>
      <c r="W34" s="426">
        <f t="shared" si="14"/>
        <v>0</v>
      </c>
      <c r="X34" s="426">
        <f t="shared" si="15"/>
        <v>0</v>
      </c>
      <c r="Y34" s="278" t="str">
        <f t="shared" si="8"/>
        <v>-1</v>
      </c>
      <c r="Z34" s="279" t="str">
        <f t="shared" si="9"/>
        <v>-1</v>
      </c>
      <c r="AA34" s="429"/>
    </row>
    <row r="35" spans="1:27">
      <c r="A35" s="107"/>
      <c r="B35" s="114"/>
      <c r="C35" s="115"/>
      <c r="D35" s="110">
        <f t="shared" si="0"/>
        <v>0</v>
      </c>
      <c r="E35" s="111">
        <f t="shared" si="1"/>
        <v>355</v>
      </c>
      <c r="F35" s="268">
        <f t="shared" si="2"/>
        <v>0</v>
      </c>
      <c r="G35" s="274">
        <f t="shared" si="3"/>
        <v>0</v>
      </c>
      <c r="H35" s="112">
        <f t="shared" si="16"/>
        <v>0</v>
      </c>
      <c r="I35" s="112">
        <f t="shared" si="17"/>
        <v>0</v>
      </c>
      <c r="J35" s="112">
        <f t="shared" si="18"/>
        <v>0</v>
      </c>
      <c r="K35" s="112">
        <f t="shared" si="19"/>
        <v>0</v>
      </c>
      <c r="L35" s="112">
        <f t="shared" si="20"/>
        <v>0</v>
      </c>
      <c r="M35" s="112">
        <f t="shared" si="21"/>
        <v>0</v>
      </c>
      <c r="N35" s="112">
        <f t="shared" si="22"/>
        <v>0</v>
      </c>
      <c r="O35" s="259" t="str">
        <f t="shared" si="4"/>
        <v>-1</v>
      </c>
      <c r="P35" s="260" t="str">
        <f t="shared" si="5"/>
        <v>6</v>
      </c>
      <c r="Q35" s="270">
        <f t="shared" si="6"/>
        <v>0</v>
      </c>
      <c r="R35" s="276">
        <f t="shared" si="7"/>
        <v>0</v>
      </c>
      <c r="S35" s="426">
        <f t="shared" si="10"/>
        <v>0</v>
      </c>
      <c r="T35" s="426">
        <f t="shared" si="11"/>
        <v>0</v>
      </c>
      <c r="U35" s="426">
        <f t="shared" si="12"/>
        <v>0</v>
      </c>
      <c r="V35" s="426">
        <f t="shared" si="13"/>
        <v>0</v>
      </c>
      <c r="W35" s="426">
        <f t="shared" si="14"/>
        <v>0</v>
      </c>
      <c r="X35" s="426">
        <f t="shared" si="15"/>
        <v>0</v>
      </c>
      <c r="Y35" s="278" t="str">
        <f t="shared" si="8"/>
        <v>-1</v>
      </c>
      <c r="Z35" s="279" t="str">
        <f t="shared" si="9"/>
        <v>-1</v>
      </c>
      <c r="AA35" s="429"/>
    </row>
    <row r="36" spans="1:27">
      <c r="A36" s="107"/>
      <c r="B36" s="114"/>
      <c r="C36" s="115"/>
      <c r="D36" s="110">
        <f t="shared" si="0"/>
        <v>0</v>
      </c>
      <c r="E36" s="111">
        <f t="shared" si="1"/>
        <v>355</v>
      </c>
      <c r="F36" s="268">
        <f t="shared" si="2"/>
        <v>0</v>
      </c>
      <c r="G36" s="274">
        <f t="shared" si="3"/>
        <v>0</v>
      </c>
      <c r="H36" s="112">
        <f t="shared" si="16"/>
        <v>0</v>
      </c>
      <c r="I36" s="112">
        <f t="shared" si="17"/>
        <v>0</v>
      </c>
      <c r="J36" s="112">
        <f t="shared" si="18"/>
        <v>0</v>
      </c>
      <c r="K36" s="112">
        <f t="shared" si="19"/>
        <v>0</v>
      </c>
      <c r="L36" s="112">
        <f t="shared" si="20"/>
        <v>0</v>
      </c>
      <c r="M36" s="112">
        <f t="shared" si="21"/>
        <v>0</v>
      </c>
      <c r="N36" s="112">
        <f t="shared" si="22"/>
        <v>0</v>
      </c>
      <c r="O36" s="259" t="str">
        <f t="shared" si="4"/>
        <v>-1</v>
      </c>
      <c r="P36" s="260" t="str">
        <f t="shared" si="5"/>
        <v>6</v>
      </c>
      <c r="Q36" s="270">
        <f t="shared" si="6"/>
        <v>0</v>
      </c>
      <c r="R36" s="276">
        <f t="shared" si="7"/>
        <v>0</v>
      </c>
      <c r="S36" s="426">
        <f t="shared" si="10"/>
        <v>0</v>
      </c>
      <c r="T36" s="426">
        <f t="shared" si="11"/>
        <v>0</v>
      </c>
      <c r="U36" s="426">
        <f t="shared" si="12"/>
        <v>0</v>
      </c>
      <c r="V36" s="426">
        <f t="shared" si="13"/>
        <v>0</v>
      </c>
      <c r="W36" s="426">
        <f t="shared" si="14"/>
        <v>0</v>
      </c>
      <c r="X36" s="426">
        <f t="shared" si="15"/>
        <v>0</v>
      </c>
      <c r="Y36" s="278" t="str">
        <f t="shared" si="8"/>
        <v>-1</v>
      </c>
      <c r="Z36" s="279" t="str">
        <f t="shared" si="9"/>
        <v>-1</v>
      </c>
      <c r="AA36" s="429"/>
    </row>
    <row r="37" spans="1:27" s="142" customFormat="1" ht="15.75" thickBot="1">
      <c r="A37" s="116"/>
      <c r="B37" s="114"/>
      <c r="C37" s="115"/>
      <c r="D37" s="117">
        <f t="shared" si="0"/>
        <v>0</v>
      </c>
      <c r="E37" s="111">
        <f t="shared" si="1"/>
        <v>355</v>
      </c>
      <c r="F37" s="268">
        <f t="shared" si="2"/>
        <v>0</v>
      </c>
      <c r="G37" s="274">
        <f t="shared" si="3"/>
        <v>0</v>
      </c>
      <c r="H37" s="112">
        <f t="shared" si="16"/>
        <v>0</v>
      </c>
      <c r="I37" s="112">
        <f t="shared" si="17"/>
        <v>0</v>
      </c>
      <c r="J37" s="112">
        <f t="shared" si="18"/>
        <v>0</v>
      </c>
      <c r="K37" s="112">
        <f t="shared" si="19"/>
        <v>0</v>
      </c>
      <c r="L37" s="112">
        <f t="shared" si="20"/>
        <v>0</v>
      </c>
      <c r="M37" s="112">
        <f t="shared" si="21"/>
        <v>0</v>
      </c>
      <c r="N37" s="112">
        <f t="shared" si="22"/>
        <v>0</v>
      </c>
      <c r="O37" s="118" t="str">
        <f t="shared" si="4"/>
        <v>-1</v>
      </c>
      <c r="P37" s="260" t="str">
        <f t="shared" si="5"/>
        <v>6</v>
      </c>
      <c r="Q37" s="270">
        <f t="shared" si="6"/>
        <v>0</v>
      </c>
      <c r="R37" s="276">
        <f t="shared" si="7"/>
        <v>0</v>
      </c>
      <c r="S37" s="426">
        <f t="shared" si="10"/>
        <v>0</v>
      </c>
      <c r="T37" s="426">
        <f t="shared" si="11"/>
        <v>0</v>
      </c>
      <c r="U37" s="426">
        <f t="shared" si="12"/>
        <v>0</v>
      </c>
      <c r="V37" s="426">
        <f t="shared" si="13"/>
        <v>0</v>
      </c>
      <c r="W37" s="426">
        <f t="shared" si="14"/>
        <v>0</v>
      </c>
      <c r="X37" s="426">
        <f t="shared" si="15"/>
        <v>0</v>
      </c>
      <c r="Y37" s="278" t="str">
        <f t="shared" si="8"/>
        <v>-1</v>
      </c>
      <c r="Z37" s="279" t="str">
        <f t="shared" si="9"/>
        <v>-1</v>
      </c>
      <c r="AA37" s="430"/>
    </row>
    <row r="38" spans="1:27" s="142" customFormat="1" ht="16.5" thickTop="1" thickBot="1">
      <c r="A38" s="132"/>
      <c r="B38" s="119">
        <f>SUM(B17:B37)</f>
        <v>1</v>
      </c>
      <c r="C38" s="133"/>
      <c r="D38" s="134"/>
      <c r="E38" s="135"/>
      <c r="F38" s="269">
        <f t="shared" ref="F38:M38" si="25">SUM(F17:F37)</f>
        <v>1</v>
      </c>
      <c r="G38" s="275">
        <f t="shared" si="25"/>
        <v>0</v>
      </c>
      <c r="H38" s="122">
        <f t="shared" si="25"/>
        <v>0</v>
      </c>
      <c r="I38" s="122">
        <f t="shared" si="25"/>
        <v>0</v>
      </c>
      <c r="J38" s="122">
        <f t="shared" si="25"/>
        <v>1</v>
      </c>
      <c r="K38" s="122">
        <f t="shared" si="25"/>
        <v>0</v>
      </c>
      <c r="L38" s="122">
        <f t="shared" si="25"/>
        <v>0</v>
      </c>
      <c r="M38" s="122">
        <f t="shared" si="25"/>
        <v>0</v>
      </c>
      <c r="N38" s="122">
        <f>SUM(N17:P37)</f>
        <v>0</v>
      </c>
      <c r="O38" s="120"/>
      <c r="P38" s="123"/>
      <c r="Q38" s="271">
        <f t="shared" ref="Q38:X38" si="26">SUM(Q17:Q37)</f>
        <v>0</v>
      </c>
      <c r="R38" s="277">
        <f t="shared" si="26"/>
        <v>0</v>
      </c>
      <c r="S38" s="124">
        <f t="shared" si="26"/>
        <v>0</v>
      </c>
      <c r="T38" s="124">
        <f t="shared" si="26"/>
        <v>0</v>
      </c>
      <c r="U38" s="124">
        <f t="shared" si="26"/>
        <v>0</v>
      </c>
      <c r="V38" s="124">
        <f t="shared" si="26"/>
        <v>0</v>
      </c>
      <c r="W38" s="124">
        <f t="shared" si="26"/>
        <v>0</v>
      </c>
      <c r="X38" s="474">
        <f t="shared" si="26"/>
        <v>0</v>
      </c>
      <c r="Y38" s="120"/>
      <c r="Z38" s="121"/>
      <c r="AA38" s="147"/>
    </row>
    <row r="39" spans="1:27" s="142" customFormat="1" ht="15.75" thickTop="1">
      <c r="A39"/>
      <c r="B39" s="5"/>
      <c r="C39" s="5"/>
      <c r="D39" s="5"/>
      <c r="E39" s="5"/>
      <c r="F39" s="5"/>
      <c r="G39" s="5"/>
      <c r="H39" s="5"/>
      <c r="I39" s="5"/>
      <c r="J39" s="5"/>
      <c r="K39" s="5"/>
      <c r="L39" s="5"/>
      <c r="M39" s="5"/>
      <c r="N39" s="5"/>
      <c r="O39" s="5"/>
      <c r="P39" s="5"/>
      <c r="Q39" s="5"/>
      <c r="R39" s="5"/>
      <c r="S39" s="5"/>
      <c r="T39" s="5"/>
      <c r="U39" s="5"/>
      <c r="V39" s="5"/>
      <c r="W39" s="5"/>
      <c r="X39" s="5"/>
      <c r="Y39" s="5"/>
      <c r="Z39" s="5"/>
      <c r="AA39" s="148"/>
    </row>
    <row r="40" spans="1:27" s="142" customFormat="1">
      <c r="A40" s="48"/>
      <c r="B40" s="125"/>
      <c r="C40" s="126"/>
      <c r="D40" s="127"/>
      <c r="E40" s="127"/>
      <c r="F40" s="127"/>
      <c r="G40" s="127"/>
      <c r="H40" s="127"/>
      <c r="I40" s="127"/>
      <c r="J40" s="127"/>
      <c r="K40" s="127"/>
      <c r="L40" s="127"/>
      <c r="M40" s="127"/>
      <c r="N40" s="127"/>
      <c r="O40" s="127"/>
      <c r="P40" s="127"/>
      <c r="Q40" s="127"/>
      <c r="R40" s="127"/>
      <c r="S40" s="127"/>
      <c r="T40" s="127"/>
      <c r="U40" s="127"/>
      <c r="V40" s="127"/>
      <c r="W40" s="127"/>
      <c r="X40" s="127"/>
      <c r="Y40" s="127"/>
      <c r="Z40" s="127"/>
      <c r="AA40" s="149"/>
    </row>
    <row r="41" spans="1:27" s="142" customFormat="1">
      <c r="A41" s="48"/>
      <c r="B41" s="127"/>
      <c r="C41" s="128"/>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49"/>
    </row>
    <row r="42" spans="1:27" s="142" customFormat="1">
      <c r="A42" s="48"/>
      <c r="B42" s="127"/>
      <c r="C42" s="127"/>
      <c r="D42" s="127"/>
      <c r="E42" s="127"/>
      <c r="F42" s="127"/>
      <c r="G42" s="127"/>
      <c r="H42" s="127"/>
      <c r="I42" s="127"/>
      <c r="J42" s="127"/>
      <c r="K42" s="127"/>
      <c r="L42" s="127"/>
      <c r="M42" s="127"/>
      <c r="N42" s="127"/>
      <c r="O42" s="127"/>
      <c r="P42" s="127"/>
      <c r="Q42" s="127"/>
      <c r="R42" s="127"/>
      <c r="S42" s="127"/>
      <c r="T42" s="127"/>
      <c r="U42" s="127"/>
      <c r="V42" s="127"/>
      <c r="W42" s="127"/>
      <c r="X42" s="127"/>
      <c r="Y42" s="127"/>
      <c r="Z42" s="127"/>
      <c r="AA42" s="149"/>
    </row>
    <row r="43" spans="1:27" s="142" customFormat="1">
      <c r="A43" s="48"/>
      <c r="B43" s="127"/>
      <c r="C43" s="127"/>
      <c r="D43" s="127"/>
      <c r="E43" s="127"/>
      <c r="F43" s="127"/>
      <c r="G43" s="127"/>
      <c r="H43" s="127"/>
      <c r="I43" s="127"/>
      <c r="J43" s="127"/>
      <c r="K43" s="127"/>
      <c r="L43" s="127"/>
      <c r="M43" s="127"/>
      <c r="N43" s="127"/>
      <c r="O43" s="127"/>
      <c r="P43" s="127"/>
      <c r="Q43" s="127"/>
      <c r="R43" s="127"/>
      <c r="S43" s="127"/>
      <c r="T43" s="127"/>
      <c r="U43" s="127"/>
      <c r="V43" s="127"/>
      <c r="W43" s="127"/>
      <c r="X43" s="127"/>
      <c r="Y43" s="127"/>
      <c r="Z43" s="127"/>
      <c r="AA43" s="149"/>
    </row>
    <row r="44" spans="1:27" s="142" customFormat="1">
      <c r="A44" s="48"/>
      <c r="B44" s="127"/>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127"/>
      <c r="AA44" s="149"/>
    </row>
    <row r="45" spans="1:27" s="142" customFormat="1">
      <c r="A45" s="48"/>
      <c r="B45" s="127"/>
      <c r="C45" s="127"/>
      <c r="D45" s="127"/>
      <c r="E45" s="127"/>
      <c r="F45" s="127"/>
      <c r="G45" s="127"/>
      <c r="H45" s="127"/>
      <c r="I45" s="127"/>
      <c r="J45" s="127"/>
      <c r="K45" s="127"/>
      <c r="L45" s="127"/>
      <c r="M45" s="127"/>
      <c r="N45" s="127"/>
      <c r="O45" s="127"/>
      <c r="P45" s="127"/>
      <c r="Q45" s="127"/>
      <c r="R45" s="127"/>
      <c r="S45" s="127"/>
      <c r="T45" s="127"/>
      <c r="U45" s="127"/>
      <c r="V45" s="127"/>
      <c r="W45" s="127"/>
      <c r="X45" s="127"/>
      <c r="Y45" s="127"/>
      <c r="Z45" s="127"/>
      <c r="AA45" s="149"/>
    </row>
    <row r="46" spans="1:27" s="142" customFormat="1">
      <c r="A46" s="48"/>
      <c r="B46" s="127"/>
      <c r="C46" s="127"/>
      <c r="D46" s="127"/>
      <c r="E46" s="127"/>
      <c r="F46" s="127"/>
      <c r="G46" s="127"/>
      <c r="H46" s="127"/>
      <c r="I46" s="127"/>
      <c r="J46" s="127"/>
      <c r="K46" s="127"/>
      <c r="L46" s="127"/>
      <c r="M46" s="127"/>
      <c r="N46" s="127"/>
      <c r="O46" s="127"/>
      <c r="P46" s="127"/>
      <c r="Q46" s="127"/>
      <c r="R46" s="127"/>
      <c r="S46" s="127"/>
      <c r="T46" s="127"/>
      <c r="U46" s="127"/>
      <c r="V46" s="127"/>
      <c r="W46" s="127"/>
      <c r="X46" s="127"/>
      <c r="Y46" s="127"/>
      <c r="Z46" s="127"/>
      <c r="AA46" s="149"/>
    </row>
    <row r="47" spans="1:27" s="142" customFormat="1">
      <c r="A47" s="48"/>
      <c r="B47" s="127"/>
      <c r="C47" s="127"/>
      <c r="D47" s="127"/>
      <c r="E47" s="127"/>
      <c r="F47" s="127"/>
      <c r="G47" s="127"/>
      <c r="H47" s="127"/>
      <c r="I47" s="127"/>
      <c r="J47" s="127"/>
      <c r="K47" s="127"/>
      <c r="L47" s="127"/>
      <c r="M47" s="127"/>
      <c r="N47" s="127"/>
      <c r="O47" s="127"/>
      <c r="P47" s="129"/>
      <c r="Q47" s="127"/>
      <c r="R47" s="127"/>
      <c r="S47" s="127"/>
      <c r="T47" s="127"/>
      <c r="U47" s="127"/>
      <c r="V47" s="127"/>
      <c r="W47" s="127"/>
      <c r="X47" s="127"/>
      <c r="Y47" s="127"/>
      <c r="Z47" s="127"/>
      <c r="AA47" s="149"/>
    </row>
    <row r="48" spans="1:27" s="142" customFormat="1">
      <c r="A48" s="48"/>
      <c r="B48" s="127"/>
      <c r="C48" s="127"/>
      <c r="D48" s="127"/>
      <c r="E48" s="127"/>
      <c r="F48" s="127"/>
      <c r="G48" s="127"/>
      <c r="H48" s="127"/>
      <c r="I48" s="127"/>
      <c r="J48" s="127"/>
      <c r="K48" s="127"/>
      <c r="L48" s="127"/>
      <c r="M48" s="127"/>
      <c r="N48" s="127"/>
      <c r="O48" s="127"/>
      <c r="P48" s="127"/>
      <c r="Q48" s="127"/>
      <c r="R48" s="127"/>
      <c r="S48" s="127"/>
      <c r="T48" s="127"/>
      <c r="U48" s="127"/>
      <c r="V48" s="127"/>
      <c r="W48" s="127"/>
      <c r="X48" s="127"/>
      <c r="Y48" s="127"/>
      <c r="Z48" s="127"/>
      <c r="AA48" s="149"/>
    </row>
    <row r="49" spans="1:28" s="149" customFormat="1">
      <c r="A49" s="48"/>
      <c r="B49" s="127"/>
      <c r="C49" s="127"/>
      <c r="D49" s="127"/>
      <c r="E49" s="127"/>
      <c r="F49" s="127"/>
      <c r="G49" s="127"/>
      <c r="H49" s="127"/>
      <c r="I49" s="127"/>
      <c r="J49" s="127"/>
      <c r="K49" s="127"/>
      <c r="L49" s="127"/>
      <c r="M49" s="127"/>
      <c r="N49" s="127"/>
      <c r="O49" s="127"/>
      <c r="P49" s="127"/>
      <c r="Q49" s="127"/>
      <c r="R49" s="127"/>
      <c r="S49" s="127"/>
      <c r="T49" s="127"/>
      <c r="U49" s="127"/>
      <c r="V49" s="127"/>
      <c r="W49" s="127"/>
      <c r="X49" s="127"/>
      <c r="Y49" s="127"/>
      <c r="Z49" s="127"/>
      <c r="AB49" s="142"/>
    </row>
    <row r="50" spans="1:28" s="149" customFormat="1">
      <c r="A50" s="48"/>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B50" s="142"/>
    </row>
    <row r="51" spans="1:28" s="149" customFormat="1">
      <c r="A51" s="48"/>
      <c r="B51" s="127"/>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27"/>
      <c r="AB51" s="142"/>
    </row>
    <row r="52" spans="1:28" s="149" customFormat="1">
      <c r="A52" s="48"/>
      <c r="B52" s="127"/>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27"/>
      <c r="AB52" s="142"/>
    </row>
    <row r="53" spans="1:28" s="149" customFormat="1">
      <c r="A53" s="48"/>
      <c r="B53" s="127"/>
      <c r="C53" s="127"/>
      <c r="D53" s="127"/>
      <c r="E53" s="127"/>
      <c r="F53" s="127"/>
      <c r="G53" s="127"/>
      <c r="H53" s="127"/>
      <c r="I53" s="127"/>
      <c r="J53" s="127"/>
      <c r="K53" s="127"/>
      <c r="L53" s="127"/>
      <c r="M53" s="127"/>
      <c r="N53" s="127"/>
      <c r="O53" s="127"/>
      <c r="P53" s="127"/>
      <c r="Q53" s="127"/>
      <c r="R53" s="127"/>
      <c r="S53" s="127"/>
      <c r="T53" s="127"/>
      <c r="U53" s="127"/>
      <c r="V53" s="127"/>
      <c r="W53" s="127"/>
      <c r="X53" s="127"/>
      <c r="Y53" s="127"/>
      <c r="Z53" s="127"/>
      <c r="AB53" s="142"/>
    </row>
    <row r="54" spans="1:28" s="149" customFormat="1">
      <c r="A54" s="48"/>
      <c r="B54" s="127"/>
      <c r="C54" s="127"/>
      <c r="D54" s="127"/>
      <c r="E54" s="127"/>
      <c r="F54" s="127"/>
      <c r="G54" s="127"/>
      <c r="H54" s="127"/>
      <c r="I54" s="127"/>
      <c r="J54" s="127"/>
      <c r="K54" s="127"/>
      <c r="L54" s="127"/>
      <c r="M54" s="127"/>
      <c r="N54" s="127"/>
      <c r="O54" s="127"/>
      <c r="P54" s="127"/>
      <c r="Q54" s="127"/>
      <c r="R54" s="127"/>
      <c r="S54" s="127"/>
      <c r="T54" s="127"/>
      <c r="U54" s="127"/>
      <c r="V54" s="127"/>
      <c r="W54" s="127"/>
      <c r="X54" s="127"/>
      <c r="Y54" s="127"/>
      <c r="Z54" s="127"/>
      <c r="AB54" s="142"/>
    </row>
    <row r="55" spans="1:28" s="149" customFormat="1">
      <c r="A55" s="48"/>
      <c r="B55" s="127"/>
      <c r="C55" s="127"/>
      <c r="D55" s="127"/>
      <c r="E55" s="127"/>
      <c r="F55" s="127"/>
      <c r="G55" s="127"/>
      <c r="H55" s="127"/>
      <c r="I55" s="127"/>
      <c r="J55" s="127"/>
      <c r="K55" s="127"/>
      <c r="L55" s="127"/>
      <c r="M55" s="127"/>
      <c r="N55" s="127"/>
      <c r="O55" s="127"/>
      <c r="P55" s="127"/>
      <c r="Q55" s="127"/>
      <c r="R55" s="127"/>
      <c r="S55" s="127"/>
      <c r="T55" s="127"/>
      <c r="U55" s="127"/>
      <c r="V55" s="127"/>
      <c r="W55" s="127"/>
      <c r="X55" s="127"/>
      <c r="Y55" s="127"/>
      <c r="Z55" s="127"/>
      <c r="AB55" s="142"/>
    </row>
    <row r="56" spans="1:28" s="149" customFormat="1">
      <c r="A56" s="48"/>
      <c r="B56" s="127"/>
      <c r="C56" s="127"/>
      <c r="D56" s="127"/>
      <c r="E56" s="127"/>
      <c r="F56" s="127"/>
      <c r="G56" s="127"/>
      <c r="H56" s="127"/>
      <c r="I56" s="127"/>
      <c r="J56" s="127"/>
      <c r="K56" s="127"/>
      <c r="L56" s="127"/>
      <c r="M56" s="127"/>
      <c r="N56" s="127"/>
      <c r="O56" s="127"/>
      <c r="P56" s="127"/>
      <c r="Q56" s="127"/>
      <c r="R56" s="127"/>
      <c r="S56" s="127"/>
      <c r="T56" s="127"/>
      <c r="U56" s="127"/>
      <c r="V56" s="127"/>
      <c r="W56" s="127"/>
      <c r="X56" s="127"/>
      <c r="Y56" s="127"/>
      <c r="Z56" s="127"/>
      <c r="AB56" s="142"/>
    </row>
    <row r="57" spans="1:28" s="149" customFormat="1">
      <c r="A57" s="48"/>
      <c r="B57" s="127"/>
      <c r="C57" s="127"/>
      <c r="D57" s="127"/>
      <c r="E57" s="127"/>
      <c r="F57" s="127"/>
      <c r="G57" s="127"/>
      <c r="H57" s="127"/>
      <c r="I57" s="127"/>
      <c r="J57" s="127"/>
      <c r="K57" s="127"/>
      <c r="L57" s="127"/>
      <c r="M57" s="127"/>
      <c r="N57" s="127"/>
      <c r="O57" s="127"/>
      <c r="P57" s="127"/>
      <c r="Q57" s="127"/>
      <c r="R57" s="127"/>
      <c r="S57" s="127"/>
      <c r="T57" s="127"/>
      <c r="U57" s="127"/>
      <c r="V57" s="127"/>
      <c r="W57" s="127"/>
      <c r="X57" s="127"/>
      <c r="Y57" s="127"/>
      <c r="Z57" s="127"/>
      <c r="AB57" s="142"/>
    </row>
    <row r="58" spans="1:28" s="149" customFormat="1">
      <c r="A58" s="48"/>
      <c r="B58" s="127"/>
      <c r="C58" s="127"/>
      <c r="D58" s="127"/>
      <c r="E58" s="127"/>
      <c r="F58" s="127"/>
      <c r="G58" s="127"/>
      <c r="H58" s="127"/>
      <c r="I58" s="127"/>
      <c r="J58" s="127"/>
      <c r="K58" s="127"/>
      <c r="L58" s="127"/>
      <c r="M58" s="127"/>
      <c r="N58" s="127"/>
      <c r="O58" s="127"/>
      <c r="P58" s="127"/>
      <c r="Q58" s="127"/>
      <c r="R58" s="127"/>
      <c r="S58" s="127"/>
      <c r="T58" s="127"/>
      <c r="U58" s="127"/>
      <c r="V58" s="127"/>
      <c r="W58" s="127"/>
      <c r="X58" s="127"/>
      <c r="Y58" s="127"/>
      <c r="Z58" s="127"/>
      <c r="AB58" s="142"/>
    </row>
    <row r="59" spans="1:28" s="149" customFormat="1">
      <c r="A59" s="48"/>
      <c r="B59" s="127"/>
      <c r="C59" s="127"/>
      <c r="D59" s="127"/>
      <c r="E59" s="127"/>
      <c r="F59" s="127"/>
      <c r="G59" s="127"/>
      <c r="H59" s="127"/>
      <c r="I59" s="127"/>
      <c r="J59" s="127"/>
      <c r="K59" s="127"/>
      <c r="L59" s="127"/>
      <c r="M59" s="127"/>
      <c r="N59" s="127"/>
      <c r="O59" s="127"/>
      <c r="P59" s="127"/>
      <c r="Q59" s="127"/>
      <c r="R59" s="127"/>
      <c r="S59" s="127"/>
      <c r="T59" s="127"/>
      <c r="U59" s="127"/>
      <c r="V59" s="127"/>
      <c r="W59" s="127"/>
      <c r="X59" s="127"/>
      <c r="Y59" s="127"/>
      <c r="Z59" s="127"/>
      <c r="AB59" s="142"/>
    </row>
    <row r="60" spans="1:28" s="149" customFormat="1">
      <c r="A60" s="48"/>
      <c r="B60" s="127"/>
      <c r="C60" s="127"/>
      <c r="D60" s="127"/>
      <c r="E60" s="127"/>
      <c r="F60" s="127"/>
      <c r="G60" s="127"/>
      <c r="H60" s="127"/>
      <c r="I60" s="127"/>
      <c r="J60" s="127"/>
      <c r="K60" s="127"/>
      <c r="L60" s="127"/>
      <c r="M60" s="127"/>
      <c r="N60" s="127"/>
      <c r="O60" s="127"/>
      <c r="P60" s="127"/>
      <c r="Q60" s="127"/>
      <c r="R60" s="127"/>
      <c r="S60" s="127"/>
      <c r="T60" s="127"/>
      <c r="U60" s="127"/>
      <c r="V60" s="127"/>
      <c r="W60" s="127"/>
      <c r="X60" s="127"/>
      <c r="Y60" s="127"/>
      <c r="Z60" s="127"/>
      <c r="AB60" s="142"/>
    </row>
    <row r="61" spans="1:28" s="149" customFormat="1">
      <c r="A61" s="48"/>
      <c r="B61" s="127"/>
      <c r="C61" s="127"/>
      <c r="D61" s="127"/>
      <c r="E61" s="127"/>
      <c r="F61" s="127"/>
      <c r="G61" s="127"/>
      <c r="H61" s="127"/>
      <c r="I61" s="127"/>
      <c r="J61" s="127"/>
      <c r="K61" s="127"/>
      <c r="L61" s="127"/>
      <c r="M61" s="127"/>
      <c r="N61" s="127"/>
      <c r="O61" s="127"/>
      <c r="P61" s="127"/>
      <c r="Q61" s="127"/>
      <c r="R61" s="127"/>
      <c r="S61" s="127"/>
      <c r="T61" s="127"/>
      <c r="U61" s="127"/>
      <c r="V61" s="127"/>
      <c r="W61" s="127"/>
      <c r="X61" s="127"/>
      <c r="Y61" s="127"/>
      <c r="Z61" s="127"/>
      <c r="AB61" s="142"/>
    </row>
    <row r="62" spans="1:28" s="149" customFormat="1">
      <c r="A62" s="48"/>
      <c r="B62" s="127"/>
      <c r="C62" s="127"/>
      <c r="D62" s="127"/>
      <c r="E62" s="127"/>
      <c r="F62" s="127"/>
      <c r="G62" s="127"/>
      <c r="H62" s="127"/>
      <c r="I62" s="127"/>
      <c r="J62" s="127"/>
      <c r="K62" s="127"/>
      <c r="L62" s="127"/>
      <c r="M62" s="127"/>
      <c r="N62" s="127"/>
      <c r="O62" s="127"/>
      <c r="P62" s="127"/>
      <c r="Q62" s="127"/>
      <c r="R62" s="127"/>
      <c r="S62" s="127"/>
      <c r="T62" s="127"/>
      <c r="U62" s="127"/>
      <c r="V62" s="127"/>
      <c r="W62" s="127"/>
      <c r="X62" s="127"/>
      <c r="Y62" s="127"/>
      <c r="Z62" s="127"/>
      <c r="AB62" s="142"/>
    </row>
    <row r="63" spans="1:28" s="149" customFormat="1">
      <c r="A63" s="48"/>
      <c r="B63" s="127"/>
      <c r="C63" s="127"/>
      <c r="D63" s="127"/>
      <c r="E63" s="127"/>
      <c r="F63" s="127"/>
      <c r="G63" s="127"/>
      <c r="H63" s="127"/>
      <c r="I63" s="127"/>
      <c r="J63" s="127"/>
      <c r="K63" s="127"/>
      <c r="L63" s="127"/>
      <c r="M63" s="127"/>
      <c r="N63" s="127"/>
      <c r="O63" s="127"/>
      <c r="P63" s="127"/>
      <c r="Q63" s="127"/>
      <c r="R63" s="127"/>
      <c r="S63" s="127"/>
      <c r="T63" s="127"/>
      <c r="U63" s="127"/>
      <c r="V63" s="127"/>
      <c r="W63" s="127"/>
      <c r="X63" s="127"/>
      <c r="Y63" s="127"/>
      <c r="Z63" s="127"/>
      <c r="AB63" s="142"/>
    </row>
    <row r="64" spans="1:28" s="149" customFormat="1">
      <c r="A64" s="48"/>
      <c r="B64" s="127"/>
      <c r="C64" s="127"/>
      <c r="D64" s="127"/>
      <c r="E64" s="127"/>
      <c r="F64" s="127"/>
      <c r="G64" s="127"/>
      <c r="H64" s="127"/>
      <c r="I64" s="127"/>
      <c r="J64" s="127"/>
      <c r="K64" s="127"/>
      <c r="L64" s="127"/>
      <c r="M64" s="127"/>
      <c r="N64" s="127"/>
      <c r="O64" s="127"/>
      <c r="P64" s="127"/>
      <c r="Q64" s="127"/>
      <c r="R64" s="127"/>
      <c r="S64" s="127"/>
      <c r="T64" s="127"/>
      <c r="U64" s="127"/>
      <c r="V64" s="127"/>
      <c r="W64" s="127"/>
      <c r="X64" s="127"/>
      <c r="Y64" s="127"/>
      <c r="Z64" s="127"/>
      <c r="AB64" s="142"/>
    </row>
    <row r="65" spans="1:28" s="149" customFormat="1">
      <c r="A65" s="48"/>
      <c r="B65" s="127"/>
      <c r="C65" s="127"/>
      <c r="D65" s="127"/>
      <c r="E65" s="127"/>
      <c r="F65" s="127"/>
      <c r="G65" s="127"/>
      <c r="H65" s="127"/>
      <c r="I65" s="127"/>
      <c r="J65" s="127"/>
      <c r="K65" s="127"/>
      <c r="L65" s="127"/>
      <c r="M65" s="127"/>
      <c r="N65" s="127"/>
      <c r="O65" s="127"/>
      <c r="P65" s="127"/>
      <c r="Q65" s="127"/>
      <c r="R65" s="127"/>
      <c r="S65" s="127"/>
      <c r="T65" s="127"/>
      <c r="U65" s="127"/>
      <c r="V65" s="127"/>
      <c r="W65" s="127"/>
      <c r="X65" s="127"/>
      <c r="Y65" s="127"/>
      <c r="Z65" s="127"/>
      <c r="AB65" s="142"/>
    </row>
    <row r="66" spans="1:28" s="149" customFormat="1">
      <c r="A66" s="48"/>
      <c r="B66" s="127"/>
      <c r="C66" s="127"/>
      <c r="D66" s="127"/>
      <c r="E66" s="127"/>
      <c r="F66" s="127"/>
      <c r="G66" s="127"/>
      <c r="H66" s="127"/>
      <c r="I66" s="127"/>
      <c r="J66" s="127"/>
      <c r="K66" s="127"/>
      <c r="L66" s="127"/>
      <c r="M66" s="127"/>
      <c r="N66" s="127"/>
      <c r="O66" s="127"/>
      <c r="P66" s="127"/>
      <c r="Q66" s="127"/>
      <c r="R66" s="127"/>
      <c r="S66" s="127"/>
      <c r="T66" s="127"/>
      <c r="U66" s="127"/>
      <c r="V66" s="127"/>
      <c r="W66" s="127"/>
      <c r="X66" s="127"/>
      <c r="Y66" s="127"/>
      <c r="Z66" s="127"/>
      <c r="AB66" s="142"/>
    </row>
    <row r="67" spans="1:28" s="149" customFormat="1">
      <c r="A67" s="48"/>
      <c r="B67" s="127"/>
      <c r="C67" s="127"/>
      <c r="D67" s="127"/>
      <c r="E67" s="127"/>
      <c r="F67" s="127"/>
      <c r="G67" s="127"/>
      <c r="H67" s="127"/>
      <c r="I67" s="127"/>
      <c r="J67" s="127"/>
      <c r="K67" s="127"/>
      <c r="L67" s="127"/>
      <c r="M67" s="127"/>
      <c r="N67" s="127"/>
      <c r="O67" s="127"/>
      <c r="P67" s="127"/>
      <c r="Q67" s="127"/>
      <c r="R67" s="127"/>
      <c r="S67" s="127"/>
      <c r="T67" s="127"/>
      <c r="U67" s="127"/>
      <c r="V67" s="127"/>
      <c r="W67" s="127"/>
      <c r="X67" s="127"/>
      <c r="Y67" s="127"/>
      <c r="Z67" s="127"/>
      <c r="AB67" s="142"/>
    </row>
    <row r="68" spans="1:28" s="149" customFormat="1">
      <c r="A68" s="48"/>
      <c r="B68" s="127"/>
      <c r="C68" s="127"/>
      <c r="D68" s="127"/>
      <c r="E68" s="127"/>
      <c r="F68" s="127"/>
      <c r="G68" s="127"/>
      <c r="H68" s="127"/>
      <c r="I68" s="127"/>
      <c r="J68" s="127"/>
      <c r="K68" s="127"/>
      <c r="L68" s="127"/>
      <c r="M68" s="127"/>
      <c r="N68" s="127"/>
      <c r="O68" s="127"/>
      <c r="P68" s="127"/>
      <c r="Q68" s="127"/>
      <c r="R68" s="127"/>
      <c r="S68" s="127"/>
      <c r="T68" s="127"/>
      <c r="U68" s="127"/>
      <c r="V68" s="127"/>
      <c r="W68" s="127"/>
      <c r="X68" s="127"/>
      <c r="Y68" s="127"/>
      <c r="Z68" s="127"/>
      <c r="AB68" s="142"/>
    </row>
    <row r="69" spans="1:28" s="149" customFormat="1">
      <c r="A69" s="48"/>
      <c r="B69" s="127"/>
      <c r="C69" s="127"/>
      <c r="D69" s="127"/>
      <c r="E69" s="127"/>
      <c r="F69" s="127"/>
      <c r="G69" s="127"/>
      <c r="H69" s="127"/>
      <c r="I69" s="127"/>
      <c r="J69" s="127"/>
      <c r="K69" s="127"/>
      <c r="L69" s="127"/>
      <c r="M69" s="127"/>
      <c r="N69" s="127"/>
      <c r="O69" s="127"/>
      <c r="P69" s="127"/>
      <c r="Q69" s="127"/>
      <c r="R69" s="127"/>
      <c r="S69" s="127"/>
      <c r="T69" s="127"/>
      <c r="U69" s="127"/>
      <c r="V69" s="127"/>
      <c r="W69" s="127"/>
      <c r="X69" s="127"/>
      <c r="Y69" s="127"/>
      <c r="Z69" s="127"/>
      <c r="AB69" s="142"/>
    </row>
    <row r="70" spans="1:28" s="149" customFormat="1">
      <c r="A70" s="48"/>
      <c r="B70" s="127"/>
      <c r="C70" s="127"/>
      <c r="D70" s="127"/>
      <c r="E70" s="127"/>
      <c r="F70" s="127"/>
      <c r="G70" s="127"/>
      <c r="H70" s="127"/>
      <c r="I70" s="127"/>
      <c r="J70" s="127"/>
      <c r="K70" s="127"/>
      <c r="L70" s="127"/>
      <c r="M70" s="127"/>
      <c r="N70" s="127"/>
      <c r="O70" s="127"/>
      <c r="P70" s="127"/>
      <c r="Q70" s="127"/>
      <c r="R70" s="127"/>
      <c r="S70" s="127"/>
      <c r="T70" s="127"/>
      <c r="U70" s="127"/>
      <c r="V70" s="127"/>
      <c r="W70" s="127"/>
      <c r="X70" s="127"/>
      <c r="Y70" s="127"/>
      <c r="Z70" s="127"/>
      <c r="AB70" s="142"/>
    </row>
  </sheetData>
  <sheetProtection sheet="1" objects="1" scenarios="1" formatCells="0" formatRows="0" insertRows="0" deleteRows="0"/>
  <conditionalFormatting sqref="D14">
    <cfRule type="cellIs" dxfId="11" priority="8" stopIfTrue="1" operator="notEqual">
      <formula>#REF!</formula>
    </cfRule>
    <cfRule type="cellIs" dxfId="10" priority="9" stopIfTrue="1" operator="equal">
      <formula>500</formula>
    </cfRule>
    <cfRule type="cellIs" dxfId="9" priority="10" stopIfTrue="1" operator="equal">
      <formula>350</formula>
    </cfRule>
  </conditionalFormatting>
  <conditionalFormatting sqref="D17:D37">
    <cfRule type="cellIs" dxfId="8" priority="4" stopIfTrue="1" operator="notEqual">
      <formula>C17*D$14</formula>
    </cfRule>
  </conditionalFormatting>
  <conditionalFormatting sqref="E17:E37">
    <cfRule type="cellIs" dxfId="7" priority="5" stopIfTrue="1" operator="notEqual">
      <formula>IF(C17&lt;=H$13,355,500)</formula>
    </cfRule>
  </conditionalFormatting>
  <conditionalFormatting sqref="F17:N38 Q17:X38">
    <cfRule type="cellIs" dxfId="6" priority="2" stopIfTrue="1" operator="greaterThan">
      <formula>0</formula>
    </cfRule>
    <cfRule type="cellIs" dxfId="5" priority="3" stopIfTrue="1" operator="equal">
      <formula>0</formula>
    </cfRule>
  </conditionalFormatting>
  <conditionalFormatting sqref="G17:G38 R17:R38">
    <cfRule type="expression" dxfId="4" priority="1" stopIfTrue="1">
      <formula>IF(G17&gt;0,1,0)</formula>
    </cfRule>
  </conditionalFormatting>
  <conditionalFormatting sqref="H14:N15 S14:X15 F15 Q15">
    <cfRule type="cellIs" dxfId="3" priority="6" stopIfTrue="1" operator="greaterThan">
      <formula>0</formula>
    </cfRule>
    <cfRule type="cellIs" dxfId="2" priority="7" stopIfTrue="1" operator="equal">
      <formula>0</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A52"/>
  <sheetViews>
    <sheetView zoomScaleNormal="100" workbookViewId="0">
      <selection activeCell="C51" sqref="C51:M51"/>
    </sheetView>
  </sheetViews>
  <sheetFormatPr defaultRowHeight="15"/>
  <cols>
    <col min="3" max="3" width="8.7109375" customWidth="1"/>
    <col min="4" max="5" width="10.5703125" customWidth="1"/>
    <col min="6" max="6" width="18" customWidth="1"/>
    <col min="7" max="11" width="10.5703125" customWidth="1"/>
    <col min="12" max="12" width="7.5703125" customWidth="1"/>
    <col min="13" max="13" width="17.5703125" customWidth="1"/>
    <col min="14" max="15" width="10.5703125" customWidth="1"/>
    <col min="16" max="16" width="13.28515625" customWidth="1"/>
    <col min="17" max="20" width="10.5703125" customWidth="1"/>
    <col min="21" max="22" width="12.5703125" customWidth="1"/>
  </cols>
  <sheetData>
    <row r="1" spans="2:27" ht="13.5" customHeight="1">
      <c r="B1" s="30"/>
      <c r="C1" s="31"/>
      <c r="D1" s="31"/>
      <c r="E1" s="31"/>
      <c r="F1" s="31"/>
      <c r="G1" s="31"/>
      <c r="H1" s="31"/>
      <c r="I1" s="31"/>
      <c r="J1" s="31"/>
      <c r="K1" s="31"/>
      <c r="L1" s="31"/>
      <c r="M1" s="31"/>
      <c r="N1" s="22"/>
      <c r="O1" s="31"/>
      <c r="P1" s="31"/>
      <c r="Q1" s="31"/>
      <c r="R1" s="31"/>
      <c r="S1" s="31"/>
      <c r="T1" s="31"/>
      <c r="U1" s="31"/>
      <c r="V1" s="31"/>
      <c r="W1" s="32"/>
      <c r="X1" s="47"/>
      <c r="Y1" s="47"/>
      <c r="Z1" s="47"/>
      <c r="AA1" s="47"/>
    </row>
    <row r="2" spans="2:27" ht="21">
      <c r="B2" s="33"/>
      <c r="C2" s="25" t="s">
        <v>0</v>
      </c>
      <c r="D2" s="22"/>
      <c r="E2" s="22"/>
      <c r="F2" s="22"/>
      <c r="G2" s="22"/>
      <c r="H2" s="22"/>
      <c r="I2" s="47"/>
      <c r="J2" s="47"/>
      <c r="K2" s="47"/>
      <c r="L2" s="47"/>
      <c r="M2" s="47"/>
      <c r="N2" s="22"/>
      <c r="O2" s="47"/>
      <c r="P2" s="47"/>
      <c r="Q2" s="47"/>
      <c r="R2" s="47"/>
      <c r="S2" s="47"/>
      <c r="T2" s="47"/>
      <c r="U2" s="47"/>
      <c r="V2" s="47"/>
      <c r="W2" s="47"/>
      <c r="X2" s="47"/>
      <c r="Y2" s="47"/>
      <c r="Z2" s="47"/>
      <c r="AA2" s="47"/>
    </row>
    <row r="3" spans="2:27" ht="25.5" customHeight="1">
      <c r="B3" s="33"/>
      <c r="C3" s="35" t="s">
        <v>687</v>
      </c>
      <c r="D3" s="22"/>
      <c r="E3" s="22"/>
      <c r="F3" s="22"/>
      <c r="G3" s="22"/>
      <c r="H3" s="22"/>
      <c r="I3" s="47"/>
      <c r="J3" s="47"/>
      <c r="K3" s="47"/>
      <c r="L3" s="47"/>
      <c r="M3" s="47"/>
      <c r="N3" s="22"/>
      <c r="O3" s="47"/>
      <c r="P3" s="47"/>
      <c r="Q3" s="47"/>
      <c r="R3" s="47"/>
      <c r="S3" s="47"/>
      <c r="T3" s="47"/>
      <c r="U3" s="47"/>
      <c r="V3" s="47"/>
      <c r="W3" s="47"/>
      <c r="X3" s="47"/>
      <c r="Y3" s="47"/>
      <c r="Z3" s="47"/>
      <c r="AA3" s="47"/>
    </row>
    <row r="4" spans="2:27" ht="13.5" customHeight="1">
      <c r="B4" s="33"/>
      <c r="C4" s="26"/>
      <c r="D4" s="22"/>
      <c r="E4" s="22"/>
      <c r="F4" s="22"/>
      <c r="G4" s="22"/>
      <c r="H4" s="22"/>
      <c r="I4" s="22"/>
      <c r="J4" s="22"/>
      <c r="K4" s="22"/>
      <c r="L4" s="22"/>
      <c r="M4" s="22"/>
      <c r="N4" s="22"/>
      <c r="O4" s="22"/>
      <c r="P4" s="22"/>
      <c r="Q4" s="22"/>
      <c r="R4" s="22"/>
      <c r="S4" s="22"/>
      <c r="T4" s="22"/>
      <c r="U4" s="22"/>
      <c r="V4" s="22"/>
      <c r="W4" s="22"/>
      <c r="X4" s="22"/>
      <c r="Y4" s="22"/>
      <c r="Z4" s="22"/>
      <c r="AA4" s="34"/>
    </row>
    <row r="5" spans="2:27">
      <c r="B5" s="53"/>
      <c r="C5" s="54"/>
      <c r="D5" s="54"/>
      <c r="E5" s="54"/>
      <c r="F5" s="54"/>
      <c r="G5" s="54"/>
      <c r="H5" s="54"/>
      <c r="I5" s="54"/>
      <c r="J5" s="54"/>
      <c r="K5" s="54"/>
      <c r="L5" s="54"/>
      <c r="M5" s="54"/>
      <c r="N5" s="54"/>
      <c r="O5" s="54"/>
      <c r="P5" s="54"/>
      <c r="Q5" s="54"/>
      <c r="R5" s="54"/>
      <c r="S5" s="54"/>
      <c r="T5" s="54"/>
      <c r="U5" s="54"/>
      <c r="V5" s="54"/>
      <c r="W5" s="54"/>
      <c r="X5" s="54"/>
      <c r="Y5" s="54"/>
      <c r="Z5" s="54"/>
      <c r="AA5" s="55"/>
    </row>
    <row r="6" spans="2:27" ht="20.25" thickBot="1">
      <c r="B6" s="56"/>
      <c r="C6" s="244" t="s">
        <v>480</v>
      </c>
      <c r="D6" s="244"/>
      <c r="E6" s="244"/>
      <c r="F6" s="244"/>
      <c r="G6" s="244"/>
      <c r="H6" s="471"/>
      <c r="I6" s="17"/>
      <c r="J6" s="17"/>
      <c r="K6" s="17"/>
      <c r="L6" s="17"/>
      <c r="M6" s="17"/>
      <c r="N6" s="17"/>
      <c r="O6" s="17"/>
      <c r="P6" s="17"/>
      <c r="Q6" s="17"/>
      <c r="R6" s="17"/>
      <c r="S6" s="17"/>
      <c r="T6" s="17"/>
      <c r="U6" s="17"/>
      <c r="V6" s="17"/>
      <c r="W6" s="17"/>
      <c r="X6" s="17"/>
      <c r="Y6" s="17"/>
      <c r="Z6" s="17"/>
      <c r="AA6" s="57"/>
    </row>
    <row r="7" spans="2:27" ht="16.5" thickTop="1">
      <c r="B7" s="56"/>
      <c r="C7" s="224" t="s">
        <v>481</v>
      </c>
      <c r="D7" s="17"/>
      <c r="E7" s="17"/>
      <c r="F7" s="17"/>
      <c r="G7" s="17"/>
      <c r="H7" s="17"/>
      <c r="I7" s="17"/>
      <c r="J7" s="17"/>
      <c r="K7" s="17"/>
      <c r="L7" s="17"/>
      <c r="M7" s="17"/>
      <c r="N7" s="17"/>
      <c r="O7" s="17"/>
      <c r="P7" s="17"/>
      <c r="Q7" s="17"/>
      <c r="R7" s="17"/>
      <c r="S7" s="17"/>
      <c r="T7" s="17"/>
      <c r="U7" s="17"/>
      <c r="V7" s="17"/>
      <c r="W7" s="17"/>
      <c r="X7" s="17"/>
      <c r="Y7" s="17"/>
      <c r="Z7" s="17"/>
      <c r="AA7" s="57"/>
    </row>
    <row r="8" spans="2:27">
      <c r="B8" s="56"/>
      <c r="C8" s="17"/>
      <c r="D8" s="17"/>
      <c r="E8" s="17"/>
      <c r="F8" s="17"/>
      <c r="G8" s="17"/>
      <c r="H8" s="17"/>
      <c r="I8" s="17"/>
      <c r="J8" s="17"/>
      <c r="K8" s="17"/>
      <c r="L8" s="17"/>
      <c r="M8" s="17"/>
      <c r="N8" s="17"/>
      <c r="O8" s="17"/>
      <c r="P8" s="17"/>
      <c r="Q8" s="17"/>
      <c r="R8" s="17"/>
      <c r="S8" s="17"/>
      <c r="T8" s="17"/>
      <c r="U8" s="17"/>
      <c r="V8" s="17"/>
      <c r="W8" s="17"/>
      <c r="X8" s="17"/>
      <c r="Y8" s="17"/>
      <c r="Z8" s="17"/>
      <c r="AA8" s="57"/>
    </row>
    <row r="9" spans="2:27" ht="15.75">
      <c r="B9" s="56"/>
      <c r="C9" s="225" t="s">
        <v>482</v>
      </c>
      <c r="D9" s="17"/>
      <c r="E9" s="17"/>
      <c r="F9" s="17"/>
      <c r="G9" s="17"/>
      <c r="H9" s="17"/>
      <c r="I9" s="17"/>
      <c r="J9" s="17"/>
      <c r="K9" s="17"/>
      <c r="L9" s="17"/>
      <c r="M9" s="17"/>
      <c r="N9" s="17"/>
      <c r="O9" s="17"/>
      <c r="P9" s="17"/>
      <c r="Q9" s="17"/>
      <c r="R9" s="17"/>
      <c r="S9" s="17"/>
      <c r="T9" s="17"/>
      <c r="U9" s="17"/>
      <c r="V9" s="17"/>
      <c r="W9" s="17"/>
      <c r="X9" s="17"/>
      <c r="Y9" s="17"/>
      <c r="Z9" s="17"/>
      <c r="AA9" s="57"/>
    </row>
    <row r="10" spans="2:27" ht="15.75">
      <c r="B10" s="56"/>
      <c r="C10" s="225" t="s">
        <v>483</v>
      </c>
      <c r="D10" s="17"/>
      <c r="E10" s="17"/>
      <c r="F10" s="17"/>
      <c r="G10" s="17"/>
      <c r="H10" s="17"/>
      <c r="I10" s="17"/>
      <c r="J10" s="17"/>
      <c r="K10" s="17"/>
      <c r="L10" s="17"/>
      <c r="M10" s="17"/>
      <c r="N10" s="17"/>
      <c r="O10" s="17"/>
      <c r="P10" s="17"/>
      <c r="Q10" s="17"/>
      <c r="R10" s="17"/>
      <c r="S10" s="17"/>
      <c r="T10" s="17"/>
      <c r="U10" s="17"/>
      <c r="V10" s="17"/>
      <c r="W10" s="17"/>
      <c r="X10" s="17"/>
      <c r="Y10" s="17"/>
      <c r="Z10" s="17"/>
      <c r="AA10" s="57"/>
    </row>
    <row r="11" spans="2:27">
      <c r="B11" s="56"/>
      <c r="C11" s="17"/>
      <c r="D11" s="17"/>
      <c r="E11" s="17"/>
      <c r="F11" s="17"/>
      <c r="G11" s="17"/>
      <c r="H11" s="17"/>
      <c r="I11" s="17"/>
      <c r="J11" s="17"/>
      <c r="K11" s="17"/>
      <c r="L11" s="17"/>
      <c r="M11" s="17"/>
      <c r="N11" s="17"/>
      <c r="O11" s="17"/>
      <c r="P11" s="17"/>
      <c r="Q11" s="17"/>
      <c r="R11" s="17"/>
      <c r="S11" s="17"/>
      <c r="T11" s="17"/>
      <c r="U11" s="17"/>
      <c r="V11" s="17"/>
      <c r="W11" s="17"/>
      <c r="X11" s="17"/>
      <c r="Y11" s="17"/>
      <c r="Z11" s="17"/>
      <c r="AA11" s="57"/>
    </row>
    <row r="12" spans="2:27" ht="15.75">
      <c r="B12" s="56"/>
      <c r="C12" s="225" t="s">
        <v>668</v>
      </c>
      <c r="D12" s="17"/>
      <c r="E12" s="17"/>
      <c r="F12" s="17"/>
      <c r="G12" s="17"/>
      <c r="H12" s="17"/>
      <c r="I12" s="17"/>
      <c r="J12" s="17"/>
      <c r="K12" s="17"/>
      <c r="L12" s="17"/>
      <c r="M12" s="17"/>
      <c r="N12" s="17"/>
      <c r="O12" s="17"/>
      <c r="P12" s="17"/>
      <c r="Q12" s="17"/>
      <c r="R12" s="17"/>
      <c r="S12" s="17"/>
      <c r="T12" s="17"/>
      <c r="U12" s="17"/>
      <c r="V12" s="17"/>
      <c r="W12" s="17"/>
      <c r="X12" s="17"/>
      <c r="Y12" s="17"/>
      <c r="Z12" s="17"/>
      <c r="AA12" s="57"/>
    </row>
    <row r="13" spans="2:27">
      <c r="B13" s="56"/>
      <c r="C13" s="17"/>
      <c r="D13" s="17"/>
      <c r="E13" s="17"/>
      <c r="F13" s="17"/>
      <c r="G13" s="17"/>
      <c r="H13" s="17"/>
      <c r="I13" s="17"/>
      <c r="J13" s="17"/>
      <c r="K13" s="17"/>
      <c r="L13" s="17"/>
      <c r="M13" s="17"/>
      <c r="N13" s="17"/>
      <c r="O13" s="17"/>
      <c r="P13" s="17"/>
      <c r="Q13" s="17"/>
      <c r="R13" s="17"/>
      <c r="S13" s="17"/>
      <c r="T13" s="17"/>
      <c r="U13" s="17"/>
      <c r="V13" s="17"/>
      <c r="W13" s="17"/>
      <c r="X13" s="17"/>
      <c r="Y13" s="17"/>
      <c r="Z13" s="17"/>
      <c r="AA13" s="57"/>
    </row>
    <row r="14" spans="2:27" ht="20.25" thickBot="1">
      <c r="B14" s="56"/>
      <c r="C14" s="244" t="s">
        <v>681</v>
      </c>
      <c r="D14" s="244"/>
      <c r="E14" s="244"/>
      <c r="F14" s="244"/>
      <c r="G14" s="244"/>
      <c r="H14" s="17"/>
      <c r="I14" s="17"/>
      <c r="J14" s="17"/>
      <c r="K14" s="17"/>
      <c r="L14" s="17"/>
      <c r="M14" s="17"/>
      <c r="N14" s="17"/>
      <c r="O14" s="17"/>
      <c r="P14" s="17"/>
      <c r="Q14" s="17"/>
      <c r="R14" s="17"/>
      <c r="S14" s="17"/>
      <c r="T14" s="17"/>
      <c r="U14" s="17"/>
      <c r="V14" s="17"/>
      <c r="W14" s="17"/>
      <c r="X14" s="17"/>
      <c r="Y14" s="17"/>
      <c r="Z14" s="17"/>
      <c r="AA14" s="57"/>
    </row>
    <row r="15" spans="2:27" ht="16.5" thickTop="1">
      <c r="B15" s="56"/>
      <c r="C15" s="225" t="s">
        <v>682</v>
      </c>
      <c r="D15" s="17"/>
      <c r="E15" s="17"/>
      <c r="F15" s="17"/>
      <c r="G15" s="17"/>
      <c r="H15" s="17"/>
      <c r="I15" s="17"/>
      <c r="J15" s="17"/>
      <c r="K15" s="17"/>
      <c r="L15" s="17"/>
      <c r="M15" s="17"/>
      <c r="N15" s="17"/>
      <c r="O15" s="17"/>
      <c r="P15" s="17"/>
      <c r="Q15" s="17"/>
      <c r="R15" s="17"/>
      <c r="S15" s="17"/>
      <c r="T15" s="17"/>
      <c r="U15" s="17"/>
      <c r="V15" s="17"/>
      <c r="W15" s="17"/>
      <c r="X15" s="17"/>
      <c r="Y15" s="17"/>
      <c r="Z15" s="17"/>
      <c r="AA15" s="57"/>
    </row>
    <row r="16" spans="2:27" ht="15.75">
      <c r="B16" s="56"/>
      <c r="C16" s="224" t="s">
        <v>686</v>
      </c>
      <c r="D16" s="17"/>
      <c r="E16" s="17"/>
      <c r="F16" s="17"/>
      <c r="G16" s="17"/>
      <c r="H16" s="17"/>
      <c r="I16" s="17"/>
      <c r="J16" s="17"/>
      <c r="K16" s="17"/>
      <c r="L16" s="17"/>
      <c r="M16" s="17"/>
      <c r="N16" s="17"/>
      <c r="O16" s="17"/>
      <c r="P16" s="17"/>
      <c r="Q16" s="17"/>
      <c r="R16" s="17"/>
      <c r="S16" s="17"/>
      <c r="T16" s="17"/>
      <c r="U16" s="17"/>
      <c r="V16" s="17"/>
      <c r="W16" s="17"/>
      <c r="X16" s="17"/>
      <c r="Y16" s="17"/>
      <c r="Z16" s="17"/>
      <c r="AA16" s="57"/>
    </row>
    <row r="17" spans="2:27" ht="15.75">
      <c r="B17" s="56"/>
      <c r="C17" s="224"/>
      <c r="D17" s="17"/>
      <c r="E17" s="17"/>
      <c r="F17" s="17"/>
      <c r="G17" s="17"/>
      <c r="H17" s="17"/>
      <c r="I17" s="17"/>
      <c r="J17" s="17"/>
      <c r="K17" s="17"/>
      <c r="L17" s="17"/>
      <c r="M17" s="17"/>
      <c r="N17" s="17"/>
      <c r="O17" s="17"/>
      <c r="P17" s="17"/>
      <c r="Q17" s="17"/>
      <c r="R17" s="17"/>
      <c r="S17" s="17"/>
      <c r="T17" s="17"/>
      <c r="U17" s="17"/>
      <c r="V17" s="17"/>
      <c r="W17" s="17"/>
      <c r="X17" s="17"/>
      <c r="Y17" s="17"/>
      <c r="Z17" s="17"/>
      <c r="AA17" s="57"/>
    </row>
    <row r="18" spans="2:27" ht="20.25" thickBot="1">
      <c r="B18" s="56"/>
      <c r="C18" s="244" t="s">
        <v>485</v>
      </c>
      <c r="D18" s="244"/>
      <c r="E18" s="244"/>
      <c r="F18" s="244"/>
      <c r="G18" s="244"/>
      <c r="H18" s="471"/>
      <c r="I18" s="17"/>
      <c r="J18" s="17"/>
      <c r="K18" s="17"/>
      <c r="L18" s="17"/>
      <c r="M18" s="17"/>
      <c r="N18" s="17"/>
      <c r="O18" s="17"/>
      <c r="P18" s="17"/>
      <c r="Q18" s="17"/>
      <c r="R18" s="17"/>
      <c r="S18" s="17"/>
      <c r="T18" s="17"/>
      <c r="U18" s="17"/>
      <c r="V18" s="17"/>
      <c r="W18" s="17"/>
      <c r="X18" s="17"/>
      <c r="Y18" s="17"/>
      <c r="Z18" s="17"/>
      <c r="AA18" s="57"/>
    </row>
    <row r="19" spans="2:27" ht="16.5" thickTop="1">
      <c r="B19" s="56"/>
      <c r="C19" s="224" t="s">
        <v>683</v>
      </c>
      <c r="D19" s="17"/>
      <c r="E19" s="17"/>
      <c r="F19" s="17"/>
      <c r="G19" s="17"/>
      <c r="H19" s="17"/>
      <c r="I19" s="17"/>
      <c r="J19" s="17"/>
      <c r="K19" s="17"/>
      <c r="L19" s="17"/>
      <c r="M19" s="17"/>
      <c r="N19" s="17"/>
      <c r="O19" s="17"/>
      <c r="P19" s="17"/>
      <c r="Q19" s="17"/>
      <c r="R19" s="17"/>
      <c r="S19" s="17"/>
      <c r="T19" s="17"/>
      <c r="U19" s="17"/>
      <c r="V19" s="17"/>
      <c r="W19" s="17"/>
      <c r="X19" s="17"/>
      <c r="Y19" s="17"/>
      <c r="Z19" s="17"/>
      <c r="AA19" s="57"/>
    </row>
    <row r="20" spans="2:27" ht="15.75">
      <c r="B20" s="56"/>
      <c r="C20" s="224"/>
      <c r="D20" s="17"/>
      <c r="E20" s="17"/>
      <c r="F20" s="17"/>
      <c r="G20" s="17"/>
      <c r="H20" s="17"/>
      <c r="I20" s="17"/>
      <c r="J20" s="17"/>
      <c r="K20" s="17"/>
      <c r="L20" s="17"/>
      <c r="M20" s="17"/>
      <c r="N20" s="17"/>
      <c r="O20" s="17"/>
      <c r="P20" s="17"/>
      <c r="Q20" s="17"/>
      <c r="R20" s="17"/>
      <c r="S20" s="17"/>
      <c r="T20" s="17"/>
      <c r="U20" s="17"/>
      <c r="V20" s="17"/>
      <c r="W20" s="17"/>
      <c r="X20" s="17"/>
      <c r="Y20" s="17"/>
      <c r="Z20" s="17"/>
      <c r="AA20" s="57"/>
    </row>
    <row r="21" spans="2:27" ht="20.25" thickBot="1">
      <c r="B21" s="56"/>
      <c r="C21" s="244" t="s">
        <v>664</v>
      </c>
      <c r="D21" s="244"/>
      <c r="E21" s="244"/>
      <c r="F21" s="244"/>
      <c r="G21" s="244"/>
      <c r="H21" s="471"/>
      <c r="I21" s="17"/>
      <c r="J21" s="17"/>
      <c r="K21" s="17"/>
      <c r="L21" s="17"/>
      <c r="M21" s="17"/>
      <c r="N21" s="17"/>
      <c r="O21" s="17"/>
      <c r="P21" s="17"/>
      <c r="Q21" s="17"/>
      <c r="R21" s="17"/>
      <c r="S21" s="17"/>
      <c r="T21" s="17"/>
      <c r="U21" s="17"/>
      <c r="V21" s="17"/>
      <c r="W21" s="17"/>
      <c r="X21" s="17"/>
      <c r="Y21" s="17"/>
      <c r="Z21" s="17"/>
      <c r="AA21" s="57"/>
    </row>
    <row r="22" spans="2:27" ht="15.75" thickTop="1">
      <c r="B22" s="56"/>
      <c r="C22" s="512" t="s">
        <v>618</v>
      </c>
      <c r="D22" s="512"/>
      <c r="E22" s="512"/>
      <c r="F22" s="512"/>
      <c r="G22" s="512"/>
      <c r="H22" s="512"/>
      <c r="I22" s="512"/>
      <c r="J22" s="512"/>
      <c r="K22" s="17"/>
      <c r="L22" s="17"/>
      <c r="M22" s="17"/>
      <c r="N22" s="17"/>
      <c r="O22" s="17"/>
      <c r="P22" s="17"/>
      <c r="Q22" s="17"/>
      <c r="R22" s="17"/>
      <c r="S22" s="17"/>
      <c r="T22" s="17"/>
      <c r="U22" s="17"/>
      <c r="V22" s="17"/>
      <c r="W22" s="17"/>
      <c r="X22" s="17"/>
      <c r="Y22" s="17"/>
      <c r="Z22" s="17"/>
      <c r="AA22" s="57"/>
    </row>
    <row r="23" spans="2:27">
      <c r="B23" s="56"/>
      <c r="C23" s="512" t="s">
        <v>617</v>
      </c>
      <c r="D23" s="512"/>
      <c r="E23" s="512"/>
      <c r="F23" s="512"/>
      <c r="G23" s="512"/>
      <c r="H23" s="512"/>
      <c r="I23" s="512"/>
      <c r="J23" s="512"/>
      <c r="K23" s="17"/>
      <c r="L23" s="17"/>
      <c r="M23" s="17"/>
      <c r="N23" s="17"/>
      <c r="O23" s="17"/>
      <c r="P23" s="17"/>
      <c r="Q23" s="17"/>
      <c r="R23" s="17"/>
      <c r="S23" s="17"/>
      <c r="T23" s="17"/>
      <c r="U23" s="17"/>
      <c r="V23" s="17"/>
      <c r="W23" s="17"/>
      <c r="X23" s="17"/>
      <c r="Y23" s="17"/>
      <c r="Z23" s="17"/>
      <c r="AA23" s="57"/>
    </row>
    <row r="24" spans="2:27" ht="15.75">
      <c r="B24" s="56"/>
      <c r="C24" s="224"/>
      <c r="D24" s="17"/>
      <c r="E24" s="17"/>
      <c r="F24" s="17"/>
      <c r="G24" s="17"/>
      <c r="H24" s="17"/>
      <c r="I24" s="17"/>
      <c r="J24" s="17"/>
      <c r="K24" s="17"/>
      <c r="L24" s="17"/>
      <c r="M24" s="17"/>
      <c r="N24" s="17"/>
      <c r="O24" s="17"/>
      <c r="P24" s="17"/>
      <c r="Q24" s="17"/>
      <c r="R24" s="17"/>
      <c r="S24" s="17"/>
      <c r="T24" s="17"/>
      <c r="U24" s="17"/>
      <c r="V24" s="17"/>
      <c r="W24" s="17"/>
      <c r="X24" s="17"/>
      <c r="Y24" s="17"/>
      <c r="Z24" s="17"/>
      <c r="AA24" s="57"/>
    </row>
    <row r="25" spans="2:27" ht="20.25" thickBot="1">
      <c r="B25" s="56"/>
      <c r="C25" s="462" t="s">
        <v>671</v>
      </c>
      <c r="D25" s="463"/>
      <c r="E25" s="463"/>
      <c r="F25" s="463"/>
      <c r="G25" s="17"/>
      <c r="H25" s="17"/>
      <c r="I25" s="17"/>
      <c r="J25" s="17"/>
      <c r="K25" s="17"/>
      <c r="L25" s="17"/>
      <c r="M25" s="17"/>
      <c r="N25" s="17"/>
      <c r="O25" s="17"/>
      <c r="P25" s="17"/>
      <c r="Q25" s="17"/>
      <c r="R25" s="17"/>
      <c r="S25" s="17"/>
      <c r="T25" s="17"/>
      <c r="U25" s="17"/>
      <c r="V25" s="17"/>
      <c r="W25" s="17"/>
      <c r="X25" s="17"/>
      <c r="Y25" s="17"/>
      <c r="Z25" s="17"/>
      <c r="AA25" s="57"/>
    </row>
    <row r="26" spans="2:27" ht="15.75">
      <c r="B26" s="56"/>
      <c r="C26" s="224" t="s">
        <v>484</v>
      </c>
      <c r="D26" s="17"/>
      <c r="E26" s="17"/>
      <c r="F26" s="17"/>
      <c r="G26" s="17"/>
      <c r="H26" s="17"/>
      <c r="I26" s="17"/>
      <c r="J26" s="17"/>
      <c r="K26" s="17"/>
      <c r="L26" s="17"/>
      <c r="M26" s="17"/>
      <c r="N26" s="17"/>
      <c r="O26" s="17"/>
      <c r="P26" s="17"/>
      <c r="Q26" s="17"/>
      <c r="R26" s="17"/>
      <c r="S26" s="17"/>
      <c r="T26" s="17"/>
      <c r="U26" s="17"/>
      <c r="V26" s="17"/>
      <c r="W26" s="17"/>
      <c r="X26" s="17"/>
      <c r="Y26" s="17"/>
      <c r="Z26" s="17"/>
      <c r="AA26" s="57"/>
    </row>
    <row r="27" spans="2:27" ht="15.75">
      <c r="B27" s="56"/>
      <c r="C27" s="224"/>
      <c r="D27" s="17"/>
      <c r="E27" s="17"/>
      <c r="F27" s="17"/>
      <c r="G27" s="17"/>
      <c r="H27" s="17"/>
      <c r="I27" s="17"/>
      <c r="J27" s="17"/>
      <c r="K27" s="17"/>
      <c r="L27" s="17"/>
      <c r="M27" s="17"/>
      <c r="N27" s="17"/>
      <c r="O27" s="17"/>
      <c r="P27" s="17"/>
      <c r="Q27" s="17"/>
      <c r="R27" s="17"/>
      <c r="S27" s="17"/>
      <c r="T27" s="17"/>
      <c r="U27" s="17"/>
      <c r="V27" s="17"/>
      <c r="W27" s="17"/>
      <c r="X27" s="17"/>
      <c r="Y27" s="17"/>
      <c r="Z27" s="17"/>
      <c r="AA27" s="57"/>
    </row>
    <row r="28" spans="2:27" ht="15.75">
      <c r="B28" s="56"/>
      <c r="C28" s="224"/>
      <c r="D28" s="466"/>
      <c r="E28" s="511" t="s">
        <v>8</v>
      </c>
      <c r="F28" s="511"/>
      <c r="G28" s="466"/>
      <c r="H28" s="466"/>
      <c r="I28" s="224"/>
      <c r="J28" s="17"/>
      <c r="K28" s="466"/>
      <c r="L28" s="464" t="s">
        <v>520</v>
      </c>
      <c r="M28" s="466"/>
      <c r="N28" s="224"/>
      <c r="O28" s="17"/>
      <c r="P28" s="17"/>
      <c r="Q28" s="511" t="s">
        <v>672</v>
      </c>
      <c r="R28" s="511"/>
      <c r="S28" s="17"/>
      <c r="T28" s="466"/>
      <c r="U28" s="224"/>
      <c r="V28" s="17"/>
      <c r="W28" s="511" t="s">
        <v>525</v>
      </c>
      <c r="X28" s="511"/>
      <c r="Y28" s="464"/>
      <c r="Z28" s="17"/>
      <c r="AA28" s="57"/>
    </row>
    <row r="29" spans="2:27" ht="15.75">
      <c r="B29" s="56"/>
      <c r="C29" s="224"/>
      <c r="D29" s="17"/>
      <c r="E29" s="17"/>
      <c r="F29" s="17"/>
      <c r="G29" s="17"/>
      <c r="H29" s="17"/>
      <c r="I29" s="17"/>
      <c r="J29" s="17"/>
      <c r="K29" s="17"/>
      <c r="L29" s="17"/>
      <c r="M29" s="17"/>
      <c r="N29" s="17"/>
      <c r="O29" s="17"/>
      <c r="P29" s="17"/>
      <c r="Q29" s="17"/>
      <c r="R29" s="17"/>
      <c r="S29" s="17"/>
      <c r="T29" s="17"/>
      <c r="U29" s="17"/>
      <c r="V29" s="17"/>
      <c r="W29" s="17"/>
      <c r="X29" s="17"/>
      <c r="Y29" s="17"/>
      <c r="Z29" s="17"/>
      <c r="AA29" s="57"/>
    </row>
    <row r="30" spans="2:27" ht="15.75">
      <c r="B30" s="56"/>
      <c r="C30" s="224"/>
      <c r="D30" s="17"/>
      <c r="E30" s="17"/>
      <c r="F30" s="17"/>
      <c r="G30" s="17"/>
      <c r="H30" s="17"/>
      <c r="I30" s="17"/>
      <c r="J30" s="17"/>
      <c r="K30" s="17"/>
      <c r="L30" s="17"/>
      <c r="M30" s="17"/>
      <c r="N30" s="17"/>
      <c r="O30" s="17"/>
      <c r="P30" s="17"/>
      <c r="Q30" s="17"/>
      <c r="R30" s="17"/>
      <c r="S30" s="17"/>
      <c r="T30" s="17"/>
      <c r="U30" s="17"/>
      <c r="V30" s="17"/>
      <c r="W30" s="17"/>
      <c r="X30" s="17"/>
      <c r="Y30" s="17"/>
      <c r="Z30" s="17"/>
      <c r="AA30" s="57"/>
    </row>
    <row r="31" spans="2:27" ht="15.75">
      <c r="B31" s="56"/>
      <c r="C31" s="224"/>
      <c r="D31" s="17"/>
      <c r="E31" s="17"/>
      <c r="F31" s="17"/>
      <c r="G31" s="17"/>
      <c r="H31" s="17"/>
      <c r="I31" s="17"/>
      <c r="J31" s="17"/>
      <c r="K31" s="17"/>
      <c r="L31" s="17"/>
      <c r="M31" s="17"/>
      <c r="N31" s="17"/>
      <c r="O31" s="17"/>
      <c r="P31" s="17"/>
      <c r="Q31" s="17"/>
      <c r="R31" s="17"/>
      <c r="S31" s="17"/>
      <c r="T31" s="17"/>
      <c r="U31" s="17"/>
      <c r="V31" s="17"/>
      <c r="W31" s="17"/>
      <c r="X31" s="17"/>
      <c r="Y31" s="17"/>
      <c r="Z31" s="17"/>
      <c r="AA31" s="57"/>
    </row>
    <row r="32" spans="2:27" ht="18.75">
      <c r="B32" s="56"/>
      <c r="C32" s="465"/>
      <c r="D32" s="17"/>
      <c r="E32" s="17"/>
      <c r="F32" s="17"/>
      <c r="G32" s="17"/>
      <c r="H32" s="17"/>
      <c r="I32" s="17"/>
      <c r="J32" s="17"/>
      <c r="K32" s="17"/>
      <c r="L32" s="17"/>
      <c r="M32" s="17"/>
      <c r="N32" s="17"/>
      <c r="O32" s="17"/>
      <c r="P32" s="17"/>
      <c r="Q32" s="17"/>
      <c r="R32" s="17"/>
      <c r="S32" s="17"/>
      <c r="T32" s="17"/>
      <c r="U32" s="17"/>
      <c r="V32" s="17"/>
      <c r="W32" s="17"/>
      <c r="X32" s="17"/>
      <c r="Y32" s="17"/>
      <c r="Z32" s="17"/>
      <c r="AA32" s="57"/>
    </row>
    <row r="33" spans="2:27" ht="15.75">
      <c r="B33" s="56"/>
      <c r="C33" s="467"/>
      <c r="D33" s="17"/>
      <c r="E33" s="17"/>
      <c r="F33" s="17"/>
      <c r="G33" s="17"/>
      <c r="H33" s="17"/>
      <c r="I33" s="17"/>
      <c r="J33" s="17"/>
      <c r="K33" s="17"/>
      <c r="L33" s="17"/>
      <c r="M33" s="17"/>
      <c r="N33" s="17"/>
      <c r="O33" s="17"/>
      <c r="P33" s="17"/>
      <c r="Q33" s="17"/>
      <c r="R33" s="17"/>
      <c r="S33" s="17"/>
      <c r="T33" s="17"/>
      <c r="U33" s="17"/>
      <c r="V33" s="17"/>
      <c r="W33" s="17"/>
      <c r="X33" s="17"/>
      <c r="Y33" s="17"/>
      <c r="Z33" s="17"/>
      <c r="AA33" s="57"/>
    </row>
    <row r="34" spans="2:27" ht="15.75">
      <c r="B34" s="56"/>
      <c r="C34" s="224"/>
      <c r="D34" s="17"/>
      <c r="E34" s="17"/>
      <c r="F34" s="17"/>
      <c r="G34" s="17"/>
      <c r="H34" s="17"/>
      <c r="I34" s="17"/>
      <c r="J34" s="17"/>
      <c r="K34" s="17"/>
      <c r="L34" s="17"/>
      <c r="M34" s="17"/>
      <c r="N34" s="17"/>
      <c r="O34" s="17"/>
      <c r="P34" s="17"/>
      <c r="Q34" s="17"/>
      <c r="R34" s="17"/>
      <c r="S34" s="17"/>
      <c r="T34" s="17"/>
      <c r="U34" s="17"/>
      <c r="V34" s="17"/>
      <c r="W34" s="17"/>
      <c r="X34" s="17"/>
      <c r="Y34" s="17"/>
      <c r="Z34" s="17"/>
      <c r="AA34" s="57"/>
    </row>
    <row r="35" spans="2:27" ht="15.75">
      <c r="B35" s="56"/>
      <c r="C35" s="224"/>
      <c r="D35" s="17"/>
      <c r="E35" s="17"/>
      <c r="F35" s="17"/>
      <c r="G35" s="17"/>
      <c r="H35" s="17"/>
      <c r="I35" s="17"/>
      <c r="J35" s="17"/>
      <c r="K35" s="17"/>
      <c r="L35" s="17"/>
      <c r="M35" s="17"/>
      <c r="N35" s="17"/>
      <c r="O35" s="17"/>
      <c r="P35" s="17"/>
      <c r="Q35" s="17"/>
      <c r="R35" s="17"/>
      <c r="S35" s="17"/>
      <c r="T35" s="17"/>
      <c r="U35" s="17"/>
      <c r="V35" s="17"/>
      <c r="W35" s="17"/>
      <c r="X35" s="17"/>
      <c r="Y35" s="17"/>
      <c r="Z35" s="17"/>
      <c r="AA35" s="57"/>
    </row>
    <row r="36" spans="2:27" ht="15.75">
      <c r="B36" s="56"/>
      <c r="C36" s="224"/>
      <c r="D36" s="17"/>
      <c r="E36" s="17"/>
      <c r="F36" s="17"/>
      <c r="G36" s="17"/>
      <c r="H36" s="17"/>
      <c r="I36" s="17"/>
      <c r="J36" s="17"/>
      <c r="K36" s="17"/>
      <c r="L36" s="17"/>
      <c r="M36" s="17"/>
      <c r="N36" s="17"/>
      <c r="O36" s="17"/>
      <c r="P36" s="17"/>
      <c r="Q36" s="17"/>
      <c r="R36" s="17"/>
      <c r="S36" s="17"/>
      <c r="T36" s="17"/>
      <c r="U36" s="17"/>
      <c r="V36" s="17"/>
      <c r="W36" s="17"/>
      <c r="X36" s="17"/>
      <c r="Y36" s="17"/>
      <c r="Z36" s="17"/>
      <c r="AA36" s="57"/>
    </row>
    <row r="37" spans="2:27" ht="15.75">
      <c r="B37" s="56"/>
      <c r="C37" s="224"/>
      <c r="D37" s="17"/>
      <c r="E37" s="17"/>
      <c r="F37" s="17"/>
      <c r="G37" s="17"/>
      <c r="H37" s="17"/>
      <c r="I37" s="17"/>
      <c r="J37" s="17"/>
      <c r="K37" s="17"/>
      <c r="L37" s="17"/>
      <c r="M37" s="17"/>
      <c r="N37" s="17"/>
      <c r="O37" s="17"/>
      <c r="P37" s="17"/>
      <c r="Q37" s="17"/>
      <c r="R37" s="17"/>
      <c r="S37" s="17"/>
      <c r="T37" s="17"/>
      <c r="U37" s="17"/>
      <c r="V37" s="17"/>
      <c r="W37" s="17"/>
      <c r="X37" s="17"/>
      <c r="Y37" s="17"/>
      <c r="Z37" s="17"/>
      <c r="AA37" s="57"/>
    </row>
    <row r="38" spans="2:27" ht="15.75">
      <c r="B38" s="56"/>
      <c r="C38" s="224"/>
      <c r="D38" s="17"/>
      <c r="E38" s="17"/>
      <c r="F38" s="17"/>
      <c r="G38" s="17"/>
      <c r="H38" s="17"/>
      <c r="I38" s="17"/>
      <c r="J38" s="17"/>
      <c r="K38" s="17"/>
      <c r="L38" s="17"/>
      <c r="M38" s="17"/>
      <c r="N38" s="17"/>
      <c r="O38" s="17"/>
      <c r="P38" s="17"/>
      <c r="Q38" s="17"/>
      <c r="R38" s="17"/>
      <c r="S38" s="17"/>
      <c r="T38" s="17"/>
      <c r="U38" s="17"/>
      <c r="V38" s="17"/>
      <c r="W38" s="17"/>
      <c r="X38" s="17"/>
      <c r="Y38" s="17"/>
      <c r="Z38" s="17"/>
      <c r="AA38" s="57"/>
    </row>
    <row r="39" spans="2:27" ht="15.75">
      <c r="B39" s="56"/>
      <c r="C39" s="224"/>
      <c r="D39" s="17"/>
      <c r="E39" s="17"/>
      <c r="F39" s="17"/>
      <c r="G39" s="17"/>
      <c r="H39" s="17"/>
      <c r="I39" s="17"/>
      <c r="J39" s="17"/>
      <c r="K39" s="17"/>
      <c r="L39" s="17"/>
      <c r="M39" s="17"/>
      <c r="N39" s="17"/>
      <c r="O39" s="17"/>
      <c r="P39" s="17"/>
      <c r="Q39" s="17"/>
      <c r="R39" s="17"/>
      <c r="S39" s="17"/>
      <c r="T39" s="17"/>
      <c r="U39" s="17"/>
      <c r="V39" s="17"/>
      <c r="W39" s="17"/>
      <c r="X39" s="17"/>
      <c r="Y39" s="17"/>
      <c r="Z39" s="17"/>
      <c r="AA39" s="57"/>
    </row>
    <row r="40" spans="2:27" ht="15.75">
      <c r="B40" s="56"/>
      <c r="C40" s="224"/>
      <c r="D40" s="17"/>
      <c r="E40" s="17"/>
      <c r="F40" s="17"/>
      <c r="G40" s="17"/>
      <c r="H40" s="17"/>
      <c r="I40" s="17"/>
      <c r="J40" s="17"/>
      <c r="K40" s="17"/>
      <c r="L40" s="17"/>
      <c r="M40" s="17"/>
      <c r="N40" s="17"/>
      <c r="O40" s="17"/>
      <c r="P40" s="17"/>
      <c r="Q40" s="17"/>
      <c r="R40" s="17"/>
      <c r="S40" s="17"/>
      <c r="T40" s="17"/>
      <c r="U40" s="17"/>
      <c r="V40" s="17"/>
      <c r="W40" s="17"/>
      <c r="X40" s="17"/>
      <c r="Y40" s="17"/>
      <c r="Z40" s="17"/>
      <c r="AA40" s="57"/>
    </row>
    <row r="41" spans="2:27" ht="15.75">
      <c r="B41" s="56"/>
      <c r="C41" s="224"/>
      <c r="D41" s="17"/>
      <c r="E41" s="17"/>
      <c r="F41" s="17"/>
      <c r="G41" s="17"/>
      <c r="H41" s="17"/>
      <c r="I41" s="17"/>
      <c r="J41" s="17"/>
      <c r="K41" s="17"/>
      <c r="L41" s="17"/>
      <c r="M41" s="17"/>
      <c r="N41" s="17"/>
      <c r="O41" s="17"/>
      <c r="P41" s="17"/>
      <c r="Q41" s="17"/>
      <c r="R41" s="17"/>
      <c r="S41" s="17"/>
      <c r="T41" s="17"/>
      <c r="U41" s="17"/>
      <c r="V41" s="17"/>
      <c r="W41" s="17"/>
      <c r="X41" s="17"/>
      <c r="Y41" s="17"/>
      <c r="Z41" s="17"/>
      <c r="AA41" s="57"/>
    </row>
    <row r="42" spans="2:27" ht="15.75">
      <c r="B42" s="56"/>
      <c r="C42" s="224"/>
      <c r="D42" s="17"/>
      <c r="E42" s="17"/>
      <c r="F42" s="17"/>
      <c r="G42" s="17"/>
      <c r="H42" s="17"/>
      <c r="I42" s="17"/>
      <c r="J42" s="17"/>
      <c r="K42" s="17"/>
      <c r="L42" s="17"/>
      <c r="M42" s="17"/>
      <c r="N42" s="17"/>
      <c r="O42" s="17"/>
      <c r="P42" s="17"/>
      <c r="Q42" s="17"/>
      <c r="R42" s="17"/>
      <c r="S42" s="17"/>
      <c r="T42" s="17"/>
      <c r="U42" s="17"/>
      <c r="V42" s="17"/>
      <c r="W42" s="17"/>
      <c r="X42" s="17"/>
      <c r="Y42" s="17"/>
      <c r="Z42" s="17"/>
      <c r="AA42" s="57"/>
    </row>
    <row r="43" spans="2:27" ht="15.75">
      <c r="B43" s="56"/>
      <c r="C43" s="224"/>
      <c r="D43" s="17"/>
      <c r="E43" s="17"/>
      <c r="F43" s="17"/>
      <c r="G43" s="17"/>
      <c r="H43" s="17"/>
      <c r="I43" s="17"/>
      <c r="J43" s="17"/>
      <c r="K43" s="17"/>
      <c r="L43" s="17"/>
      <c r="M43" s="17"/>
      <c r="N43" s="17"/>
      <c r="O43" s="17"/>
      <c r="P43" s="17"/>
      <c r="Q43" s="17"/>
      <c r="R43" s="17"/>
      <c r="S43" s="17"/>
      <c r="T43" s="17"/>
      <c r="U43" s="17"/>
      <c r="V43" s="17"/>
      <c r="W43" s="17"/>
      <c r="X43" s="17"/>
      <c r="Y43" s="17"/>
      <c r="Z43" s="17"/>
      <c r="AA43" s="57"/>
    </row>
    <row r="44" spans="2:27" ht="15.75">
      <c r="B44" s="56"/>
      <c r="C44" s="224"/>
      <c r="D44" s="17"/>
      <c r="E44" s="17"/>
      <c r="F44" s="17"/>
      <c r="G44" s="17"/>
      <c r="H44" s="17"/>
      <c r="I44" s="17"/>
      <c r="J44" s="17"/>
      <c r="K44" s="17"/>
      <c r="L44" s="17"/>
      <c r="M44" s="17"/>
      <c r="N44" s="17"/>
      <c r="O44" s="17"/>
      <c r="P44" s="17"/>
      <c r="Q44" s="17"/>
      <c r="R44" s="17"/>
      <c r="S44" s="17"/>
      <c r="T44" s="17"/>
      <c r="U44" s="17"/>
      <c r="V44" s="17"/>
      <c r="W44" s="17"/>
      <c r="X44" s="17"/>
      <c r="Y44" s="17"/>
      <c r="Z44" s="17"/>
      <c r="AA44" s="57"/>
    </row>
    <row r="45" spans="2:27" ht="15.75">
      <c r="B45" s="56"/>
      <c r="C45" s="468" t="s">
        <v>673</v>
      </c>
      <c r="D45" s="469" t="s">
        <v>674</v>
      </c>
      <c r="E45" s="469"/>
      <c r="F45" s="469"/>
      <c r="G45" s="470"/>
      <c r="H45" s="470"/>
      <c r="I45" s="468" t="s">
        <v>673</v>
      </c>
      <c r="J45" s="469" t="s">
        <v>675</v>
      </c>
      <c r="K45" s="17"/>
      <c r="L45" s="469"/>
      <c r="M45" s="469"/>
      <c r="N45" s="469"/>
      <c r="O45" s="468" t="s">
        <v>673</v>
      </c>
      <c r="P45" s="469" t="s">
        <v>676</v>
      </c>
      <c r="Q45" s="17"/>
      <c r="R45" s="17"/>
      <c r="S45" s="469"/>
      <c r="T45" s="469"/>
      <c r="U45" s="468" t="s">
        <v>673</v>
      </c>
      <c r="V45" s="469" t="s">
        <v>677</v>
      </c>
      <c r="W45" s="17"/>
      <c r="X45" s="17"/>
      <c r="Y45" s="469"/>
      <c r="Z45" s="469"/>
      <c r="AA45" s="57"/>
    </row>
    <row r="46" spans="2:27" ht="18.75">
      <c r="B46" s="56"/>
      <c r="C46" s="468" t="s">
        <v>673</v>
      </c>
      <c r="D46" s="469" t="s">
        <v>678</v>
      </c>
      <c r="E46" s="469"/>
      <c r="F46" s="469"/>
      <c r="G46" s="470"/>
      <c r="H46" s="470"/>
      <c r="I46" s="468" t="s">
        <v>673</v>
      </c>
      <c r="J46" s="469" t="s">
        <v>679</v>
      </c>
      <c r="K46" s="17"/>
      <c r="L46" s="469"/>
      <c r="M46" s="469"/>
      <c r="N46" s="469"/>
      <c r="O46" s="468" t="s">
        <v>673</v>
      </c>
      <c r="P46" s="469" t="s">
        <v>680</v>
      </c>
      <c r="Q46" s="17"/>
      <c r="R46" s="17"/>
      <c r="S46" s="469"/>
      <c r="T46" s="469"/>
      <c r="U46" s="468" t="s">
        <v>673</v>
      </c>
      <c r="V46" s="469" t="s">
        <v>680</v>
      </c>
      <c r="W46" s="17"/>
      <c r="X46" s="17"/>
      <c r="Y46" s="469"/>
      <c r="Z46" s="469"/>
      <c r="AA46" s="57"/>
    </row>
    <row r="47" spans="2:27">
      <c r="B47" s="56"/>
      <c r="C47" s="17"/>
      <c r="D47" s="17"/>
      <c r="E47" s="17"/>
      <c r="F47" s="17"/>
      <c r="G47" s="17"/>
      <c r="H47" s="17"/>
      <c r="I47" s="17"/>
      <c r="J47" s="17"/>
      <c r="K47" s="17"/>
      <c r="L47" s="17"/>
      <c r="M47" s="17"/>
      <c r="N47" s="17"/>
      <c r="O47" s="17"/>
      <c r="P47" s="17"/>
      <c r="Q47" s="17"/>
      <c r="R47" s="17"/>
      <c r="S47" s="17"/>
      <c r="T47" s="17"/>
      <c r="U47" s="17"/>
      <c r="V47" s="17"/>
      <c r="W47" s="17"/>
      <c r="X47" s="17"/>
      <c r="Y47" s="17"/>
      <c r="Z47" s="17"/>
      <c r="AA47" s="57"/>
    </row>
    <row r="48" spans="2:2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57"/>
    </row>
    <row r="49" spans="2:2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57"/>
    </row>
    <row r="50" spans="2:27" ht="20.25" thickBot="1">
      <c r="B50" s="17"/>
      <c r="C50" s="462" t="s">
        <v>688</v>
      </c>
      <c r="D50" s="463"/>
      <c r="E50" s="463"/>
      <c r="F50" s="463"/>
      <c r="G50" s="17"/>
      <c r="H50" s="17"/>
      <c r="I50" s="17"/>
      <c r="J50" s="17"/>
      <c r="K50" s="17"/>
      <c r="L50" s="17"/>
      <c r="M50" s="17"/>
      <c r="N50" s="17"/>
      <c r="O50" s="17"/>
      <c r="P50" s="17"/>
      <c r="Q50" s="17"/>
      <c r="R50" s="17"/>
      <c r="S50" s="17"/>
      <c r="T50" s="17"/>
      <c r="U50" s="17"/>
      <c r="V50" s="17"/>
      <c r="W50" s="17"/>
      <c r="X50" s="17"/>
      <c r="Y50" s="17"/>
      <c r="Z50" s="17"/>
      <c r="AA50" s="57"/>
    </row>
    <row r="51" spans="2:27" ht="207.75" customHeight="1">
      <c r="B51" s="17"/>
      <c r="C51" s="510" t="s">
        <v>689</v>
      </c>
      <c r="D51" s="510"/>
      <c r="E51" s="510"/>
      <c r="F51" s="510"/>
      <c r="G51" s="510"/>
      <c r="H51" s="510"/>
      <c r="I51" s="510"/>
      <c r="J51" s="510"/>
      <c r="K51" s="510"/>
      <c r="L51" s="510"/>
      <c r="M51" s="510"/>
      <c r="N51" s="17"/>
      <c r="O51" s="17"/>
      <c r="P51" s="17"/>
      <c r="Q51" s="17"/>
      <c r="R51" s="17"/>
      <c r="S51" s="17"/>
      <c r="T51" s="17"/>
      <c r="U51" s="17"/>
      <c r="V51" s="17"/>
      <c r="W51" s="17"/>
      <c r="X51" s="17"/>
      <c r="Y51" s="17"/>
      <c r="Z51" s="17"/>
      <c r="AA51" s="57"/>
    </row>
    <row r="52" spans="2:2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57"/>
    </row>
  </sheetData>
  <sheetProtection algorithmName="SHA-512" hashValue="rwlkiu6f0PICwEOQbus/u8wVTdZ7a6O78ShLOIbx+ON+jQ7RUiCbj/xxGUsb/iBXnVty3DUh5wX/I4NkpKoUxw==" saltValue="9jOIhCtOyFpOMqThoUu/og==" spinCount="100000" sheet="1" selectLockedCells="1"/>
  <mergeCells count="6">
    <mergeCell ref="C51:M51"/>
    <mergeCell ref="W28:X28"/>
    <mergeCell ref="C22:J22"/>
    <mergeCell ref="C23:J23"/>
    <mergeCell ref="E28:F28"/>
    <mergeCell ref="Q28:R2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Visio.Drawing.15" shapeId="3074" r:id="rId4">
          <objectPr defaultSize="0" autoPict="0" r:id="rId5">
            <anchor moveWithCells="1">
              <from>
                <xdr:col>2</xdr:col>
                <xdr:colOff>0</xdr:colOff>
                <xdr:row>28</xdr:row>
                <xdr:rowOff>66675</xdr:rowOff>
              </from>
              <to>
                <xdr:col>7</xdr:col>
                <xdr:colOff>619125</xdr:colOff>
                <xdr:row>43</xdr:row>
                <xdr:rowOff>123825</xdr:rowOff>
              </to>
            </anchor>
          </objectPr>
        </oleObject>
      </mc:Choice>
      <mc:Fallback>
        <oleObject progId="Visio.Drawing.15" shapeId="3074" r:id="rId4"/>
      </mc:Fallback>
    </mc:AlternateContent>
    <mc:AlternateContent xmlns:mc="http://schemas.openxmlformats.org/markup-compatibility/2006">
      <mc:Choice Requires="x14">
        <oleObject progId="Visio.Drawing.15" shapeId="3075" r:id="rId6">
          <objectPr defaultSize="0" autoPict="0" r:id="rId7">
            <anchor moveWithCells="1">
              <from>
                <xdr:col>8</xdr:col>
                <xdr:colOff>133350</xdr:colOff>
                <xdr:row>28</xdr:row>
                <xdr:rowOff>76200</xdr:rowOff>
              </from>
              <to>
                <xdr:col>13</xdr:col>
                <xdr:colOff>695325</xdr:colOff>
                <xdr:row>43</xdr:row>
                <xdr:rowOff>133350</xdr:rowOff>
              </to>
            </anchor>
          </objectPr>
        </oleObject>
      </mc:Choice>
      <mc:Fallback>
        <oleObject progId="Visio.Drawing.15" shapeId="3075" r:id="rId6"/>
      </mc:Fallback>
    </mc:AlternateContent>
    <mc:AlternateContent xmlns:mc="http://schemas.openxmlformats.org/markup-compatibility/2006">
      <mc:Choice Requires="x14">
        <oleObject progId="Visio.Drawing.15" shapeId="3076" r:id="rId8">
          <objectPr defaultSize="0" autoPict="0" r:id="rId9">
            <anchor moveWithCells="1">
              <from>
                <xdr:col>14</xdr:col>
                <xdr:colOff>152400</xdr:colOff>
                <xdr:row>28</xdr:row>
                <xdr:rowOff>66675</xdr:rowOff>
              </from>
              <to>
                <xdr:col>20</xdr:col>
                <xdr:colOff>104775</xdr:colOff>
                <xdr:row>43</xdr:row>
                <xdr:rowOff>123825</xdr:rowOff>
              </to>
            </anchor>
          </objectPr>
        </oleObject>
      </mc:Choice>
      <mc:Fallback>
        <oleObject progId="Visio.Drawing.15" shapeId="3076" r:id="rId8"/>
      </mc:Fallback>
    </mc:AlternateContent>
    <mc:AlternateContent xmlns:mc="http://schemas.openxmlformats.org/markup-compatibility/2006">
      <mc:Choice Requires="x14">
        <oleObject progId="Visio.Drawing.15" shapeId="3077" r:id="rId10">
          <objectPr defaultSize="0" autoPict="0" r:id="rId11">
            <anchor moveWithCells="1">
              <from>
                <xdr:col>20</xdr:col>
                <xdr:colOff>257175</xdr:colOff>
                <xdr:row>28</xdr:row>
                <xdr:rowOff>66675</xdr:rowOff>
              </from>
              <to>
                <xdr:col>26</xdr:col>
                <xdr:colOff>495300</xdr:colOff>
                <xdr:row>43</xdr:row>
                <xdr:rowOff>123825</xdr:rowOff>
              </to>
            </anchor>
          </objectPr>
        </oleObject>
      </mc:Choice>
      <mc:Fallback>
        <oleObject progId="Visio.Drawing.15" shapeId="3077" r:id="rId10"/>
      </mc:Fallback>
    </mc:AlternateContent>
  </oleObjects>
  <mc:AlternateContent xmlns:mc="http://schemas.openxmlformats.org/markup-compatibility/2006">
    <mc:Choice Requires="x14">
      <controls>
        <mc:AlternateContent xmlns:mc="http://schemas.openxmlformats.org/markup-compatibility/2006">
          <mc:Choice Requires="x14">
            <control shapeId="3073" r:id="rId12" name="Group Box 1">
              <controlPr defaultSize="0" autoFill="0" autoPict="0">
                <anchor moveWithCells="1">
                  <from>
                    <xdr:col>1</xdr:col>
                    <xdr:colOff>133350</xdr:colOff>
                    <xdr:row>25</xdr:row>
                    <xdr:rowOff>0</xdr:rowOff>
                  </from>
                  <to>
                    <xdr:col>22</xdr:col>
                    <xdr:colOff>228600</xdr:colOff>
                    <xdr:row>38</xdr:row>
                    <xdr:rowOff>180975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D9876-2530-49E2-834E-3526D7C142A5}">
  <dimension ref="B1:V62"/>
  <sheetViews>
    <sheetView topLeftCell="A4" zoomScaleNormal="100" workbookViewId="0">
      <selection activeCell="D11" sqref="D11"/>
    </sheetView>
  </sheetViews>
  <sheetFormatPr defaultRowHeight="15"/>
  <cols>
    <col min="3" max="3" width="17.5703125" customWidth="1"/>
    <col min="4" max="5" width="10.5703125" customWidth="1"/>
    <col min="6" max="6" width="11.140625" customWidth="1"/>
    <col min="7" max="9" width="10.5703125" customWidth="1"/>
    <col min="10" max="10" width="23.85546875" customWidth="1"/>
    <col min="11" max="11" width="18.5703125" customWidth="1"/>
    <col min="12" max="19" width="10.5703125" customWidth="1"/>
    <col min="20" max="21" width="12.5703125" customWidth="1"/>
  </cols>
  <sheetData>
    <row r="1" spans="2:22" ht="13.5" customHeight="1">
      <c r="B1" s="30"/>
      <c r="C1" s="31"/>
      <c r="D1" s="31"/>
      <c r="E1" s="31"/>
      <c r="F1" s="31"/>
      <c r="G1" s="31"/>
      <c r="H1" s="31"/>
      <c r="I1" s="31"/>
      <c r="J1" s="31"/>
      <c r="K1" s="31"/>
      <c r="L1" s="31"/>
      <c r="M1" s="22"/>
      <c r="N1" s="31"/>
      <c r="O1" s="31"/>
      <c r="P1" s="31"/>
      <c r="Q1" s="31"/>
      <c r="R1" s="31"/>
      <c r="S1" s="31"/>
      <c r="T1" s="31"/>
      <c r="U1" s="31"/>
      <c r="V1" s="32"/>
    </row>
    <row r="2" spans="2:22" ht="21">
      <c r="B2" s="33"/>
      <c r="C2" s="25" t="s">
        <v>0</v>
      </c>
      <c r="D2" s="22"/>
      <c r="E2" s="22"/>
      <c r="F2" s="22"/>
      <c r="G2" s="22"/>
      <c r="H2" s="47"/>
      <c r="I2" s="47"/>
      <c r="J2" s="47"/>
      <c r="K2" s="47"/>
      <c r="L2" s="47"/>
      <c r="M2" s="22"/>
      <c r="N2" s="47"/>
      <c r="O2" s="47"/>
      <c r="P2" s="47"/>
      <c r="Q2" s="47"/>
      <c r="R2" s="47"/>
      <c r="S2" s="47"/>
      <c r="T2" s="47"/>
      <c r="U2" s="47"/>
      <c r="V2" s="47"/>
    </row>
    <row r="3" spans="2:22" ht="25.5" customHeight="1">
      <c r="B3" s="33"/>
      <c r="C3" s="35" t="s">
        <v>462</v>
      </c>
      <c r="D3" s="22"/>
      <c r="E3" s="22"/>
      <c r="F3" s="22"/>
      <c r="G3" s="22"/>
      <c r="H3" s="47"/>
      <c r="I3" s="47"/>
      <c r="J3" s="47"/>
      <c r="K3" s="47"/>
      <c r="L3" s="47"/>
      <c r="M3" s="22"/>
      <c r="N3" s="47"/>
      <c r="O3" s="47"/>
      <c r="P3" s="47"/>
      <c r="Q3" s="47"/>
      <c r="R3" s="47"/>
      <c r="S3" s="47"/>
      <c r="T3" s="47"/>
      <c r="U3" s="47"/>
      <c r="V3" s="47"/>
    </row>
    <row r="4" spans="2:22" ht="13.5" customHeight="1">
      <c r="B4" s="33"/>
      <c r="C4" s="26"/>
      <c r="D4" s="22"/>
      <c r="E4" s="22"/>
      <c r="F4" s="22"/>
      <c r="G4" s="22"/>
      <c r="H4" s="22"/>
      <c r="I4" s="22"/>
      <c r="J4" s="22"/>
      <c r="K4" s="22"/>
      <c r="L4" s="22"/>
      <c r="M4" s="22"/>
      <c r="N4" s="22"/>
      <c r="O4" s="22"/>
      <c r="P4" s="22"/>
      <c r="Q4" s="22"/>
      <c r="R4" s="22"/>
      <c r="S4" s="22"/>
      <c r="T4" s="22"/>
      <c r="U4" s="22"/>
      <c r="V4" s="34"/>
    </row>
    <row r="5" spans="2:22">
      <c r="B5" s="53"/>
      <c r="C5" s="54"/>
      <c r="D5" s="54"/>
      <c r="E5" s="54"/>
      <c r="F5" s="54"/>
      <c r="G5" s="54"/>
      <c r="H5" s="54"/>
      <c r="I5" s="54"/>
      <c r="J5" s="54"/>
      <c r="K5" s="54"/>
      <c r="L5" s="54"/>
      <c r="M5" s="54"/>
      <c r="N5" s="54"/>
      <c r="O5" s="54"/>
      <c r="P5" s="54"/>
      <c r="Q5" s="54"/>
      <c r="R5" s="54"/>
      <c r="S5" s="54"/>
      <c r="T5" s="54"/>
      <c r="U5" s="54"/>
      <c r="V5" s="55"/>
    </row>
    <row r="6" spans="2:22" ht="20.25" thickBot="1">
      <c r="B6" s="56"/>
      <c r="C6" s="244" t="s">
        <v>463</v>
      </c>
      <c r="D6" s="244"/>
      <c r="E6" s="244"/>
      <c r="F6" s="244"/>
      <c r="G6" s="244"/>
      <c r="H6" s="17"/>
      <c r="I6" s="17"/>
      <c r="J6" s="17"/>
      <c r="K6" s="17"/>
      <c r="L6" s="17"/>
      <c r="M6" s="17"/>
      <c r="N6" s="17"/>
      <c r="O6" s="17"/>
      <c r="P6" s="17"/>
      <c r="Q6" s="17"/>
      <c r="R6" s="17"/>
      <c r="S6" s="17"/>
      <c r="T6" s="17"/>
      <c r="U6" s="17"/>
      <c r="V6" s="57"/>
    </row>
    <row r="7" spans="2:22" ht="7.5" customHeight="1" thickTop="1">
      <c r="B7" s="56"/>
      <c r="C7" s="224"/>
      <c r="D7" s="17"/>
      <c r="E7" s="17"/>
      <c r="F7" s="17"/>
      <c r="G7" s="17"/>
      <c r="H7" s="17"/>
      <c r="I7" s="17"/>
      <c r="J7" s="17"/>
      <c r="K7" s="17"/>
      <c r="L7" s="17"/>
      <c r="M7" s="17"/>
      <c r="N7" s="17"/>
      <c r="O7" s="17"/>
      <c r="P7" s="17"/>
      <c r="Q7" s="17"/>
      <c r="R7" s="17"/>
      <c r="S7" s="17"/>
      <c r="T7" s="17"/>
      <c r="U7" s="17"/>
      <c r="V7" s="57"/>
    </row>
    <row r="8" spans="2:22" ht="7.5" customHeight="1">
      <c r="B8" s="56"/>
      <c r="C8" s="224"/>
      <c r="D8" s="17"/>
      <c r="E8" s="17"/>
      <c r="F8" s="17"/>
      <c r="G8" s="17"/>
      <c r="H8" s="17"/>
      <c r="I8" s="17"/>
      <c r="J8" s="17"/>
      <c r="K8" s="17"/>
      <c r="L8" s="17"/>
      <c r="M8" s="17"/>
      <c r="N8" s="17"/>
      <c r="O8" s="17"/>
      <c r="P8" s="17"/>
      <c r="Q8" s="17"/>
      <c r="R8" s="17"/>
      <c r="S8" s="17"/>
      <c r="T8" s="17"/>
      <c r="U8" s="17"/>
      <c r="V8" s="57"/>
    </row>
    <row r="9" spans="2:22" ht="15.75" customHeight="1">
      <c r="B9" s="56"/>
      <c r="C9" s="333"/>
      <c r="D9" s="335"/>
      <c r="E9" s="335"/>
      <c r="F9" s="335"/>
      <c r="G9" s="335"/>
      <c r="H9" s="335"/>
      <c r="I9" s="335"/>
      <c r="J9" s="335"/>
      <c r="K9" s="335"/>
      <c r="L9" s="335"/>
      <c r="M9" s="335"/>
      <c r="N9" s="335"/>
      <c r="O9" s="335"/>
      <c r="P9" s="17"/>
      <c r="Q9" s="17"/>
      <c r="R9" s="17"/>
      <c r="S9" s="17"/>
      <c r="T9" s="17"/>
      <c r="U9" s="17"/>
      <c r="V9" s="57"/>
    </row>
    <row r="10" spans="2:22" ht="15.75" customHeight="1">
      <c r="B10" s="56"/>
      <c r="C10" s="516" t="s">
        <v>464</v>
      </c>
      <c r="D10" s="517" t="s">
        <v>465</v>
      </c>
      <c r="E10" s="517"/>
      <c r="F10" s="517"/>
      <c r="G10" s="517"/>
      <c r="H10" s="517"/>
      <c r="I10" s="336"/>
      <c r="J10" s="337"/>
      <c r="K10" s="518" t="s">
        <v>466</v>
      </c>
      <c r="L10" s="517"/>
      <c r="M10" s="517"/>
      <c r="N10" s="517"/>
      <c r="O10" s="517"/>
      <c r="P10" s="17"/>
      <c r="Q10" s="17"/>
      <c r="R10" s="17"/>
      <c r="S10" s="17"/>
      <c r="T10" s="17"/>
      <c r="U10" s="17"/>
      <c r="V10" s="57"/>
    </row>
    <row r="11" spans="2:22" ht="33" customHeight="1">
      <c r="B11" s="56"/>
      <c r="C11" s="516"/>
      <c r="D11" s="249"/>
      <c r="E11" s="249" t="s">
        <v>467</v>
      </c>
      <c r="F11" s="249" t="s">
        <v>468</v>
      </c>
      <c r="G11" s="249" t="s">
        <v>469</v>
      </c>
      <c r="H11" s="249" t="s">
        <v>470</v>
      </c>
      <c r="I11" s="249" t="s">
        <v>471</v>
      </c>
      <c r="J11" s="249"/>
      <c r="K11" s="250"/>
      <c r="L11" s="242"/>
      <c r="M11" s="249" t="s">
        <v>468</v>
      </c>
      <c r="N11" s="249" t="s">
        <v>469</v>
      </c>
      <c r="O11" s="249" t="s">
        <v>470</v>
      </c>
      <c r="P11" s="412" t="s">
        <v>471</v>
      </c>
      <c r="Q11" s="17"/>
      <c r="R11" s="17"/>
      <c r="S11" s="17"/>
      <c r="T11" s="17"/>
      <c r="U11" s="17"/>
      <c r="V11" s="57"/>
    </row>
    <row r="12" spans="2:22" ht="19.5" customHeight="1">
      <c r="B12" s="56"/>
      <c r="C12" s="516"/>
      <c r="D12" s="255" t="s">
        <v>472</v>
      </c>
      <c r="E12" s="255" t="s">
        <v>473</v>
      </c>
      <c r="F12" s="255" t="s">
        <v>474</v>
      </c>
      <c r="G12" s="257" t="s">
        <v>443</v>
      </c>
      <c r="H12" s="255" t="s">
        <v>444</v>
      </c>
      <c r="I12" s="255"/>
      <c r="J12" s="255"/>
      <c r="K12" s="256"/>
      <c r="L12" s="255" t="s">
        <v>472</v>
      </c>
      <c r="M12" s="255" t="s">
        <v>474</v>
      </c>
      <c r="N12" s="257" t="s">
        <v>443</v>
      </c>
      <c r="O12" s="255" t="s">
        <v>444</v>
      </c>
      <c r="P12" s="17"/>
      <c r="Q12" s="17"/>
      <c r="R12" s="17"/>
      <c r="S12" s="17"/>
      <c r="T12" s="17"/>
      <c r="U12" s="17"/>
      <c r="V12" s="57"/>
    </row>
    <row r="13" spans="2:22" ht="20.25" customHeight="1">
      <c r="B13" s="56"/>
      <c r="C13" s="255" t="s">
        <v>445</v>
      </c>
      <c r="D13" s="251">
        <v>300</v>
      </c>
      <c r="E13" s="251">
        <v>149</v>
      </c>
      <c r="F13" s="251"/>
      <c r="G13" s="251"/>
      <c r="H13" s="251"/>
      <c r="I13" s="410">
        <f>PI()*(E13/2000)^2</f>
        <v>1.7436624625586747E-2</v>
      </c>
      <c r="J13" s="339"/>
      <c r="K13" s="255" t="s">
        <v>445</v>
      </c>
      <c r="L13" s="251">
        <v>250</v>
      </c>
      <c r="M13" s="251">
        <v>100</v>
      </c>
      <c r="N13" s="251">
        <v>50</v>
      </c>
      <c r="O13" s="251">
        <v>177</v>
      </c>
      <c r="P13" s="410">
        <f>(((O13-(2*N13))*M13)+PI()*N13^2)/(1000^2)</f>
        <v>1.5553981633974484E-2</v>
      </c>
      <c r="Q13" s="17"/>
      <c r="R13" s="17"/>
      <c r="S13" s="17"/>
      <c r="T13" s="17"/>
      <c r="U13" s="17"/>
      <c r="V13" s="57"/>
    </row>
    <row r="14" spans="2:22" ht="20.25" customHeight="1">
      <c r="B14" s="56"/>
      <c r="C14" s="255" t="s">
        <v>446</v>
      </c>
      <c r="D14" s="251">
        <v>325</v>
      </c>
      <c r="E14" s="251">
        <v>199</v>
      </c>
      <c r="F14" s="251"/>
      <c r="G14" s="251"/>
      <c r="H14" s="251"/>
      <c r="I14" s="410">
        <f t="shared" ref="I14:I15" si="0">PI()*(E14/2000)^2</f>
        <v>3.1102552668702352E-2</v>
      </c>
      <c r="J14" s="339"/>
      <c r="K14" s="255" t="s">
        <v>446</v>
      </c>
      <c r="L14" s="251">
        <v>250</v>
      </c>
      <c r="M14" s="251">
        <v>100</v>
      </c>
      <c r="N14" s="251">
        <v>50</v>
      </c>
      <c r="O14" s="251">
        <v>256</v>
      </c>
      <c r="P14" s="410">
        <f t="shared" ref="P14:P15" si="1">(((O14-(2*N14))*M14)+PI()*N14^2)/(1000^2)</f>
        <v>2.3453981633974483E-2</v>
      </c>
      <c r="Q14" s="17"/>
      <c r="R14" s="17"/>
      <c r="S14" s="17"/>
      <c r="T14" s="17"/>
      <c r="U14" s="17"/>
      <c r="V14" s="57"/>
    </row>
    <row r="15" spans="2:22" ht="20.25" customHeight="1">
      <c r="B15" s="56"/>
      <c r="C15" s="255" t="s">
        <v>31</v>
      </c>
      <c r="D15" s="251">
        <v>350</v>
      </c>
      <c r="E15" s="251">
        <v>249</v>
      </c>
      <c r="F15" s="251"/>
      <c r="G15" s="251"/>
      <c r="H15" s="251"/>
      <c r="I15" s="410">
        <f t="shared" si="0"/>
        <v>4.8695471528805191E-2</v>
      </c>
      <c r="J15" s="339"/>
      <c r="K15" s="255" t="s">
        <v>31</v>
      </c>
      <c r="L15" s="251">
        <v>250</v>
      </c>
      <c r="M15" s="251">
        <v>100</v>
      </c>
      <c r="N15" s="251">
        <v>50</v>
      </c>
      <c r="O15" s="251">
        <v>334</v>
      </c>
      <c r="P15" s="410">
        <f t="shared" si="1"/>
        <v>3.1253981633974484E-2</v>
      </c>
      <c r="Q15" s="17"/>
      <c r="R15" s="17"/>
      <c r="S15" s="17"/>
      <c r="T15" s="17"/>
      <c r="U15" s="17"/>
      <c r="V15" s="57"/>
    </row>
    <row r="16" spans="2:22" ht="20.25" customHeight="1">
      <c r="B16" s="56"/>
      <c r="C16" s="255" t="s">
        <v>447</v>
      </c>
      <c r="D16" s="251">
        <v>375</v>
      </c>
      <c r="E16" s="251"/>
      <c r="F16" s="251">
        <v>275</v>
      </c>
      <c r="G16" s="251">
        <v>137.5</v>
      </c>
      <c r="H16" s="251">
        <v>313</v>
      </c>
      <c r="I16" s="410">
        <f>(((H16-(2*G16))*F16)+PI()*G16^2)/(1000^2)</f>
        <v>6.9845736106932024E-2</v>
      </c>
      <c r="J16" s="339"/>
      <c r="K16" s="255" t="s">
        <v>447</v>
      </c>
      <c r="L16" s="251">
        <v>250</v>
      </c>
      <c r="M16" s="251">
        <v>100</v>
      </c>
      <c r="N16" s="251">
        <v>50</v>
      </c>
      <c r="O16" s="251">
        <v>413</v>
      </c>
      <c r="P16" s="410">
        <f>(((O16-(2*N16))*M16)+PI()*N16^2)/(1000^2)</f>
        <v>3.9153981633974488E-2</v>
      </c>
      <c r="Q16" s="17"/>
      <c r="R16" s="17"/>
      <c r="S16" s="17"/>
      <c r="T16" s="17"/>
      <c r="U16" s="17"/>
      <c r="V16" s="57"/>
    </row>
    <row r="17" spans="2:22" ht="20.25" customHeight="1">
      <c r="B17" s="56"/>
      <c r="C17" s="255" t="s">
        <v>448</v>
      </c>
      <c r="D17" s="251">
        <v>400</v>
      </c>
      <c r="E17" s="251"/>
      <c r="F17" s="251">
        <v>300</v>
      </c>
      <c r="G17" s="251">
        <v>150</v>
      </c>
      <c r="H17" s="251">
        <v>377</v>
      </c>
      <c r="I17" s="410">
        <f t="shared" ref="I17:I18" si="2">(((H17-(2*G17))*F17)+PI()*G17^2)/(1000^2)</f>
        <v>9.3785834705770357E-2</v>
      </c>
      <c r="J17" s="339"/>
      <c r="K17" s="255" t="s">
        <v>448</v>
      </c>
      <c r="L17" s="251">
        <v>250</v>
      </c>
      <c r="M17" s="251">
        <v>150</v>
      </c>
      <c r="N17" s="251">
        <v>75</v>
      </c>
      <c r="O17" s="251">
        <v>463</v>
      </c>
      <c r="P17" s="410">
        <f t="shared" ref="P17:P18" si="3">(((O17-(2*N17))*M17)+PI()*N17^2)/(1000^2)</f>
        <v>6.4621458676442589E-2</v>
      </c>
      <c r="Q17" s="17"/>
      <c r="R17" s="17"/>
      <c r="S17" s="17"/>
      <c r="T17" s="17"/>
      <c r="U17" s="17"/>
      <c r="V17" s="57"/>
    </row>
    <row r="18" spans="2:22" ht="20.25" customHeight="1">
      <c r="B18" s="56"/>
      <c r="C18" s="255" t="s">
        <v>449</v>
      </c>
      <c r="D18" s="251">
        <v>425</v>
      </c>
      <c r="E18" s="251"/>
      <c r="F18" s="251">
        <v>325</v>
      </c>
      <c r="G18" s="251">
        <v>162.5</v>
      </c>
      <c r="H18" s="251">
        <v>441</v>
      </c>
      <c r="I18" s="410">
        <f t="shared" si="2"/>
        <v>0.12065768100885547</v>
      </c>
      <c r="J18" s="339"/>
      <c r="K18" s="255" t="s">
        <v>449</v>
      </c>
      <c r="L18" s="251">
        <v>250</v>
      </c>
      <c r="M18" s="251">
        <v>200</v>
      </c>
      <c r="N18" s="251">
        <v>100</v>
      </c>
      <c r="O18" s="251">
        <v>513</v>
      </c>
      <c r="P18" s="410">
        <f t="shared" si="3"/>
        <v>9.4015926535897937E-2</v>
      </c>
      <c r="Q18" s="17"/>
      <c r="R18" s="17"/>
      <c r="S18" s="17"/>
      <c r="T18" s="17"/>
      <c r="U18" s="17"/>
      <c r="V18" s="57"/>
    </row>
    <row r="19" spans="2:22" ht="15.75">
      <c r="B19" s="56"/>
      <c r="C19" s="17"/>
      <c r="D19" s="224"/>
      <c r="E19" s="17"/>
      <c r="F19" s="17"/>
      <c r="G19" s="17"/>
      <c r="H19" s="17"/>
      <c r="I19" s="17"/>
      <c r="J19" s="340"/>
      <c r="K19" s="17"/>
      <c r="L19" s="17"/>
      <c r="M19" s="17"/>
      <c r="N19" s="17"/>
      <c r="O19" s="252"/>
      <c r="P19" s="17"/>
      <c r="Q19" s="243"/>
      <c r="R19" s="17"/>
      <c r="S19" s="17"/>
      <c r="T19" s="243"/>
      <c r="U19" s="17"/>
      <c r="V19" s="57"/>
    </row>
    <row r="20" spans="2:22" ht="15.75">
      <c r="B20" s="56"/>
      <c r="C20" s="17"/>
      <c r="D20" s="224"/>
      <c r="E20" s="17"/>
      <c r="F20" s="17"/>
      <c r="G20" s="17"/>
      <c r="H20" s="17"/>
      <c r="I20" s="17"/>
      <c r="J20" s="340"/>
      <c r="K20" s="17"/>
      <c r="L20" s="17"/>
      <c r="M20" s="17"/>
      <c r="N20" s="17"/>
      <c r="O20" s="17"/>
      <c r="P20" s="17"/>
      <c r="Q20" s="17"/>
      <c r="R20" s="17"/>
      <c r="S20" s="17"/>
      <c r="T20" s="17"/>
      <c r="U20" s="17"/>
      <c r="V20" s="57"/>
    </row>
    <row r="21" spans="2:22" ht="15.75">
      <c r="B21" s="56"/>
      <c r="C21" s="16"/>
      <c r="D21" s="245"/>
      <c r="E21" s="16"/>
      <c r="F21" s="16"/>
      <c r="G21" s="16"/>
      <c r="H21" s="16"/>
      <c r="I21" s="16"/>
      <c r="J21" s="341"/>
      <c r="K21" s="16"/>
      <c r="L21" s="16"/>
      <c r="M21" s="16"/>
      <c r="N21" s="16"/>
      <c r="O21" s="16"/>
      <c r="P21" s="16"/>
      <c r="Q21" s="16"/>
      <c r="R21" s="16"/>
      <c r="S21" s="16"/>
      <c r="T21" s="16"/>
      <c r="U21" s="16"/>
      <c r="V21" s="57"/>
    </row>
    <row r="22" spans="2:22" ht="15.75">
      <c r="B22" s="56"/>
      <c r="C22" s="16"/>
      <c r="D22" s="245"/>
      <c r="E22" s="16"/>
      <c r="F22" s="16" t="s">
        <v>475</v>
      </c>
      <c r="G22" s="16"/>
      <c r="H22" s="16"/>
      <c r="I22" s="16"/>
      <c r="J22" s="341"/>
      <c r="K22" s="16"/>
      <c r="L22" s="16"/>
      <c r="M22" s="16"/>
      <c r="N22" s="16"/>
      <c r="P22" s="63" t="s">
        <v>476</v>
      </c>
      <c r="R22" s="16"/>
      <c r="S22" s="16"/>
      <c r="T22" s="16"/>
      <c r="U22" s="16"/>
      <c r="V22" s="57"/>
    </row>
    <row r="23" spans="2:22" ht="15.75">
      <c r="B23" s="56"/>
      <c r="C23" s="16"/>
      <c r="D23" s="245"/>
      <c r="E23" s="16"/>
      <c r="F23" s="16"/>
      <c r="G23" s="16"/>
      <c r="H23" s="16"/>
      <c r="I23" s="16"/>
      <c r="J23" s="341"/>
      <c r="K23" s="16"/>
      <c r="L23" s="16"/>
      <c r="M23" s="16"/>
      <c r="N23" s="16"/>
      <c r="O23" s="16"/>
      <c r="P23" s="16"/>
      <c r="Q23" s="16"/>
      <c r="R23" s="16"/>
      <c r="S23" s="16"/>
      <c r="T23" s="16"/>
      <c r="U23" s="16"/>
      <c r="V23" s="57"/>
    </row>
    <row r="24" spans="2:22" ht="15.75">
      <c r="B24" s="56"/>
      <c r="C24" s="16"/>
      <c r="D24" s="245"/>
      <c r="E24" s="16"/>
      <c r="F24" s="16"/>
      <c r="G24" s="16"/>
      <c r="H24" s="16"/>
      <c r="I24" s="16"/>
      <c r="J24" s="341"/>
      <c r="K24" s="16"/>
      <c r="L24" s="16"/>
      <c r="M24" s="16"/>
      <c r="N24" s="16"/>
      <c r="O24" s="16"/>
      <c r="P24" s="16"/>
      <c r="Q24" s="16"/>
      <c r="R24" s="16"/>
      <c r="S24" s="16"/>
      <c r="T24" s="16"/>
      <c r="U24" s="16"/>
      <c r="V24" s="57"/>
    </row>
    <row r="25" spans="2:22" ht="15.75">
      <c r="B25" s="56"/>
      <c r="C25" s="16"/>
      <c r="D25" s="245"/>
      <c r="E25" s="16"/>
      <c r="F25" s="16"/>
      <c r="G25" s="16"/>
      <c r="H25" s="16"/>
      <c r="I25" s="16"/>
      <c r="J25" s="341"/>
      <c r="K25" s="16"/>
      <c r="L25" s="16"/>
      <c r="M25" s="16"/>
      <c r="N25" s="16"/>
      <c r="O25" s="16"/>
      <c r="P25" s="16"/>
      <c r="Q25" s="16"/>
      <c r="R25" s="16"/>
      <c r="S25" s="16"/>
      <c r="T25" s="16"/>
      <c r="U25" s="16"/>
      <c r="V25" s="57"/>
    </row>
    <row r="26" spans="2:22" ht="15.75">
      <c r="B26" s="56"/>
      <c r="C26" s="16"/>
      <c r="D26" s="245"/>
      <c r="E26" s="16"/>
      <c r="F26" s="16"/>
      <c r="G26" s="16"/>
      <c r="H26" s="16"/>
      <c r="I26" s="16"/>
      <c r="J26" s="341"/>
      <c r="K26" s="16"/>
      <c r="L26" s="16"/>
      <c r="M26" s="16"/>
      <c r="N26" s="16"/>
      <c r="O26" s="16"/>
      <c r="P26" s="16"/>
      <c r="Q26" s="16"/>
      <c r="R26" s="16"/>
      <c r="S26" s="16"/>
      <c r="T26" s="16"/>
      <c r="U26" s="16"/>
      <c r="V26" s="57"/>
    </row>
    <row r="27" spans="2:22" ht="15.75">
      <c r="B27" s="56"/>
      <c r="C27" s="16"/>
      <c r="D27" s="245"/>
      <c r="E27" s="16"/>
      <c r="F27" s="16"/>
      <c r="G27" s="16"/>
      <c r="H27" s="16"/>
      <c r="I27" s="16"/>
      <c r="J27" s="341"/>
      <c r="K27" s="16"/>
      <c r="L27" s="16"/>
      <c r="M27" s="16"/>
      <c r="N27" s="16"/>
      <c r="O27" s="16"/>
      <c r="P27" s="16"/>
      <c r="Q27" s="16"/>
      <c r="R27" s="16"/>
      <c r="S27" s="16"/>
      <c r="T27" s="16"/>
      <c r="U27" s="16"/>
      <c r="V27" s="57"/>
    </row>
    <row r="28" spans="2:22" ht="15.75">
      <c r="B28" s="56"/>
      <c r="C28" s="16"/>
      <c r="D28" s="245"/>
      <c r="E28" s="16"/>
      <c r="F28" s="16"/>
      <c r="G28" s="16"/>
      <c r="H28" s="16"/>
      <c r="I28" s="16"/>
      <c r="J28" s="341"/>
      <c r="K28" s="16"/>
      <c r="L28" s="16"/>
      <c r="M28" s="16"/>
      <c r="N28" s="16"/>
      <c r="O28" s="16"/>
      <c r="P28" s="16"/>
      <c r="Q28" s="16"/>
      <c r="R28" s="16"/>
      <c r="S28" s="16"/>
      <c r="T28" s="16"/>
      <c r="U28" s="16"/>
      <c r="V28" s="57"/>
    </row>
    <row r="29" spans="2:22" ht="15.75">
      <c r="B29" s="56"/>
      <c r="C29" s="16"/>
      <c r="D29" s="245"/>
      <c r="E29" s="16"/>
      <c r="F29" s="16"/>
      <c r="G29" s="16"/>
      <c r="H29" s="16"/>
      <c r="I29" s="16"/>
      <c r="J29" s="341"/>
      <c r="K29" s="16"/>
      <c r="L29" s="16"/>
      <c r="M29" s="16"/>
      <c r="N29" s="16"/>
      <c r="O29" s="16"/>
      <c r="P29" s="16"/>
      <c r="Q29" s="16"/>
      <c r="R29" s="16"/>
      <c r="S29" s="16"/>
      <c r="T29" s="16"/>
      <c r="U29" s="16"/>
      <c r="V29" s="57"/>
    </row>
    <row r="30" spans="2:22" ht="15.75">
      <c r="B30" s="56"/>
      <c r="C30" s="16"/>
      <c r="D30" s="245"/>
      <c r="E30" s="16"/>
      <c r="F30" s="16"/>
      <c r="G30" s="16"/>
      <c r="H30" s="16"/>
      <c r="I30" s="16"/>
      <c r="J30" s="341"/>
      <c r="K30" s="16"/>
      <c r="L30" s="16"/>
      <c r="M30" s="16"/>
      <c r="N30" s="16"/>
      <c r="O30" s="16"/>
      <c r="P30" s="16"/>
      <c r="Q30" s="16"/>
      <c r="R30" s="16"/>
      <c r="S30" s="16"/>
      <c r="T30" s="16"/>
      <c r="U30" s="16"/>
      <c r="V30" s="57"/>
    </row>
    <row r="31" spans="2:22" ht="15.75">
      <c r="B31" s="56"/>
      <c r="C31" s="16"/>
      <c r="D31" s="245"/>
      <c r="E31" s="16"/>
      <c r="F31" s="16"/>
      <c r="G31" s="16"/>
      <c r="H31" s="16"/>
      <c r="I31" s="16"/>
      <c r="J31" s="341"/>
      <c r="K31" s="16"/>
      <c r="L31" s="16"/>
      <c r="M31" s="16"/>
      <c r="N31" s="16"/>
      <c r="O31" s="16"/>
      <c r="P31" s="16"/>
      <c r="Q31" s="16"/>
      <c r="R31" s="16"/>
      <c r="S31" s="16"/>
      <c r="T31" s="16"/>
      <c r="U31" s="16"/>
      <c r="V31" s="57"/>
    </row>
    <row r="32" spans="2:22" ht="15.75">
      <c r="B32" s="56"/>
      <c r="C32" s="16"/>
      <c r="D32" s="245"/>
      <c r="E32" s="16"/>
      <c r="F32" s="16"/>
      <c r="G32" s="16"/>
      <c r="H32" s="16"/>
      <c r="I32" s="16"/>
      <c r="J32" s="341"/>
      <c r="K32" s="16"/>
      <c r="L32" s="16"/>
      <c r="M32" s="16"/>
      <c r="N32" s="16"/>
      <c r="O32" s="16"/>
      <c r="P32" s="16"/>
      <c r="Q32" s="16"/>
      <c r="R32" s="16"/>
      <c r="S32" s="16"/>
      <c r="T32" s="16"/>
      <c r="U32" s="16"/>
      <c r="V32" s="57"/>
    </row>
    <row r="33" spans="2:22" ht="15.75">
      <c r="B33" s="56"/>
      <c r="C33" s="16"/>
      <c r="D33" s="245"/>
      <c r="E33" s="16"/>
      <c r="G33" s="16"/>
      <c r="H33" s="16"/>
      <c r="I33" s="16"/>
      <c r="J33" s="341"/>
      <c r="K33" s="16"/>
      <c r="L33" s="16"/>
      <c r="M33" s="16"/>
      <c r="N33" s="16"/>
      <c r="O33" s="16"/>
      <c r="P33" s="16"/>
      <c r="Q33" s="16"/>
      <c r="R33" s="16"/>
      <c r="S33" s="16"/>
      <c r="T33" s="16"/>
      <c r="U33" s="16"/>
      <c r="V33" s="57"/>
    </row>
    <row r="34" spans="2:22" ht="15.75">
      <c r="B34" s="56"/>
      <c r="C34" s="16"/>
      <c r="D34" s="245"/>
      <c r="E34" s="16"/>
      <c r="F34" s="16"/>
      <c r="G34" s="16"/>
      <c r="H34" s="16"/>
      <c r="I34" s="16"/>
      <c r="J34" s="341"/>
      <c r="K34" s="16"/>
      <c r="L34" s="16"/>
      <c r="M34" s="16"/>
      <c r="N34" s="16"/>
      <c r="O34" s="16"/>
      <c r="P34" s="16"/>
      <c r="Q34" s="16"/>
      <c r="R34" s="16"/>
      <c r="S34" s="16"/>
      <c r="T34" s="16"/>
      <c r="U34" s="16"/>
      <c r="V34" s="57"/>
    </row>
    <row r="35" spans="2:22" ht="15.75">
      <c r="B35" s="56"/>
      <c r="C35" s="16"/>
      <c r="D35" s="245"/>
      <c r="E35" s="16"/>
      <c r="F35" s="63" t="s">
        <v>477</v>
      </c>
      <c r="G35" s="16"/>
      <c r="H35" s="16"/>
      <c r="I35" s="16"/>
      <c r="J35" s="341"/>
      <c r="K35" s="16"/>
      <c r="L35" s="16"/>
      <c r="M35" s="16"/>
      <c r="N35" s="16"/>
      <c r="O35" s="16"/>
      <c r="P35" s="16"/>
      <c r="Q35" s="16"/>
      <c r="R35" s="16"/>
      <c r="S35" s="16"/>
      <c r="T35" s="16"/>
      <c r="U35" s="16"/>
      <c r="V35" s="57"/>
    </row>
    <row r="36" spans="2:22" ht="15.75">
      <c r="B36" s="56"/>
      <c r="C36" s="16"/>
      <c r="D36" s="245"/>
      <c r="E36" s="16"/>
      <c r="F36" s="16"/>
      <c r="G36" s="16"/>
      <c r="H36" s="16"/>
      <c r="I36" s="16"/>
      <c r="J36" s="341"/>
      <c r="K36" s="16"/>
      <c r="L36" s="16"/>
      <c r="M36" s="16"/>
      <c r="N36" s="16"/>
      <c r="O36" s="16"/>
      <c r="P36" s="16"/>
      <c r="Q36" s="16"/>
      <c r="R36" s="16"/>
      <c r="S36" s="16"/>
      <c r="T36" s="16"/>
      <c r="U36" s="16"/>
      <c r="V36" s="57"/>
    </row>
    <row r="37" spans="2:22" ht="15.75">
      <c r="B37" s="56"/>
      <c r="C37" s="16"/>
      <c r="D37" s="245"/>
      <c r="E37" s="16"/>
      <c r="F37" s="16"/>
      <c r="G37" s="16"/>
      <c r="H37" s="16"/>
      <c r="I37" s="16"/>
      <c r="J37" s="341"/>
      <c r="K37" s="16"/>
      <c r="L37" s="16"/>
      <c r="M37" s="16"/>
      <c r="N37" s="16"/>
      <c r="O37" s="16"/>
      <c r="P37" s="16"/>
      <c r="Q37" s="16"/>
      <c r="R37" s="16"/>
      <c r="S37" s="16"/>
      <c r="T37" s="16"/>
      <c r="U37" s="16"/>
      <c r="V37" s="57"/>
    </row>
    <row r="38" spans="2:22" ht="15.75">
      <c r="B38" s="56"/>
      <c r="C38" s="16"/>
      <c r="D38" s="245"/>
      <c r="E38" s="16"/>
      <c r="F38" s="16"/>
      <c r="G38" s="16"/>
      <c r="H38" s="16"/>
      <c r="I38" s="16"/>
      <c r="J38" s="341"/>
      <c r="K38" s="16"/>
      <c r="L38" s="16"/>
      <c r="M38" s="16"/>
      <c r="N38" s="16"/>
      <c r="O38" s="16"/>
      <c r="P38" s="16"/>
      <c r="Q38" s="16"/>
      <c r="R38" s="16"/>
      <c r="S38" s="16"/>
      <c r="T38" s="16"/>
      <c r="U38" s="16"/>
      <c r="V38" s="57"/>
    </row>
    <row r="39" spans="2:22" ht="15.75">
      <c r="B39" s="56"/>
      <c r="C39" s="16"/>
      <c r="D39" s="245"/>
      <c r="E39" s="16"/>
      <c r="F39" s="16"/>
      <c r="G39" s="16"/>
      <c r="H39" s="16"/>
      <c r="I39" s="16"/>
      <c r="J39" s="341"/>
      <c r="K39" s="16"/>
      <c r="L39" s="16"/>
      <c r="M39" s="16"/>
      <c r="N39" s="16"/>
      <c r="O39" s="16"/>
      <c r="P39" s="16"/>
      <c r="Q39" s="16"/>
      <c r="R39" s="16"/>
      <c r="S39" s="16"/>
      <c r="T39" s="16"/>
      <c r="U39" s="16"/>
      <c r="V39" s="57"/>
    </row>
    <row r="40" spans="2:22" ht="15.75">
      <c r="B40" s="56"/>
      <c r="C40" s="16"/>
      <c r="D40" s="245"/>
      <c r="E40" s="16"/>
      <c r="F40" s="16"/>
      <c r="G40" s="16"/>
      <c r="H40" s="16"/>
      <c r="I40" s="16"/>
      <c r="J40" s="341"/>
      <c r="K40" s="16"/>
      <c r="L40" s="16"/>
      <c r="M40" s="16"/>
      <c r="N40" s="16"/>
      <c r="O40" s="16"/>
      <c r="P40" s="16"/>
      <c r="Q40" s="16"/>
      <c r="R40" s="16"/>
      <c r="S40" s="16"/>
      <c r="T40" s="16"/>
      <c r="U40" s="16"/>
      <c r="V40" s="57"/>
    </row>
    <row r="41" spans="2:22" ht="15.75">
      <c r="B41" s="56"/>
      <c r="C41" s="16"/>
      <c r="D41" s="245"/>
      <c r="E41" s="16"/>
      <c r="F41" s="16"/>
      <c r="G41" s="16"/>
      <c r="H41" s="16"/>
      <c r="I41" s="16"/>
      <c r="J41" s="341"/>
      <c r="K41" s="16"/>
      <c r="L41" s="16"/>
      <c r="M41" s="16"/>
      <c r="N41" s="16"/>
      <c r="O41" s="16"/>
      <c r="P41" s="16"/>
      <c r="Q41" s="16"/>
      <c r="R41" s="16"/>
      <c r="S41" s="16"/>
      <c r="T41" s="16"/>
      <c r="U41" s="16"/>
      <c r="V41" s="57"/>
    </row>
    <row r="42" spans="2:22" ht="15.75">
      <c r="B42" s="56"/>
      <c r="C42" s="16"/>
      <c r="D42" s="245"/>
      <c r="E42" s="16"/>
      <c r="F42" s="16"/>
      <c r="G42" s="16"/>
      <c r="H42" s="16"/>
      <c r="I42" s="16"/>
      <c r="J42" s="341"/>
      <c r="K42" s="16"/>
      <c r="L42" s="16"/>
      <c r="M42" s="16"/>
      <c r="N42" s="16"/>
      <c r="O42" s="16"/>
      <c r="P42" s="16"/>
      <c r="Q42" s="16"/>
      <c r="R42" s="16"/>
      <c r="S42" s="16"/>
      <c r="T42" s="16"/>
      <c r="U42" s="16"/>
      <c r="V42" s="57"/>
    </row>
    <row r="43" spans="2:22" ht="15.75">
      <c r="B43" s="56"/>
      <c r="C43" s="16"/>
      <c r="D43" s="245"/>
      <c r="E43" s="16"/>
      <c r="F43" s="16"/>
      <c r="G43" s="16"/>
      <c r="H43" s="16"/>
      <c r="I43" s="16"/>
      <c r="J43" s="341"/>
      <c r="K43" s="16"/>
      <c r="L43" s="16"/>
      <c r="M43" s="16"/>
      <c r="N43" s="16"/>
      <c r="O43" s="16"/>
      <c r="P43" s="16"/>
      <c r="Q43" s="16"/>
      <c r="R43" s="247"/>
      <c r="S43" s="16"/>
      <c r="T43" s="16"/>
      <c r="U43" s="16"/>
      <c r="V43" s="57"/>
    </row>
    <row r="44" spans="2:22" ht="15.75">
      <c r="B44" s="56"/>
      <c r="C44" s="16"/>
      <c r="D44" s="245"/>
      <c r="E44" s="16"/>
      <c r="F44" s="16"/>
      <c r="G44" s="16"/>
      <c r="H44" s="16"/>
      <c r="I44" s="16"/>
      <c r="J44" s="341"/>
      <c r="K44" s="16"/>
      <c r="L44" s="16"/>
      <c r="M44" s="16"/>
      <c r="N44" s="16"/>
      <c r="O44" s="16"/>
      <c r="P44" s="16"/>
      <c r="Q44" s="515"/>
      <c r="R44" s="515"/>
      <c r="S44" s="16"/>
      <c r="T44" s="16"/>
      <c r="U44" s="16"/>
      <c r="V44" s="57"/>
    </row>
    <row r="45" spans="2:22" ht="15.75">
      <c r="B45" s="56"/>
      <c r="C45" s="16"/>
      <c r="D45" s="245"/>
      <c r="E45" s="16"/>
      <c r="F45" s="16"/>
      <c r="G45" s="16"/>
      <c r="H45" s="16"/>
      <c r="I45" s="16"/>
      <c r="J45" s="341"/>
      <c r="K45" s="16"/>
      <c r="L45" s="16"/>
      <c r="M45" s="16"/>
      <c r="N45" s="16"/>
      <c r="O45" s="16"/>
      <c r="P45" s="16"/>
      <c r="Q45" s="16"/>
      <c r="R45" s="16"/>
      <c r="S45" s="16"/>
      <c r="T45" s="16"/>
      <c r="U45" s="16"/>
      <c r="V45" s="57"/>
    </row>
    <row r="46" spans="2:22" ht="15.75">
      <c r="B46" s="56"/>
      <c r="C46" s="16"/>
      <c r="D46" s="245"/>
      <c r="E46" s="16"/>
      <c r="F46" s="16"/>
      <c r="G46" s="16"/>
      <c r="H46" s="16"/>
      <c r="I46" s="16"/>
      <c r="J46" s="341"/>
      <c r="K46" s="16"/>
      <c r="L46" s="16"/>
      <c r="M46" s="16"/>
      <c r="N46" s="16"/>
      <c r="O46" s="16"/>
      <c r="P46" s="246"/>
      <c r="Q46" s="16"/>
      <c r="R46" s="16"/>
      <c r="S46" s="16"/>
      <c r="T46" s="246"/>
      <c r="U46" s="16"/>
      <c r="V46" s="57"/>
    </row>
    <row r="47" spans="2:22" ht="15.75">
      <c r="B47" s="56"/>
      <c r="C47" s="16"/>
      <c r="D47" s="245"/>
      <c r="E47" s="16"/>
      <c r="F47" s="16"/>
      <c r="G47" s="16"/>
      <c r="H47" s="16"/>
      <c r="I47" s="16"/>
      <c r="J47" s="341"/>
      <c r="K47" s="16"/>
      <c r="L47" s="16"/>
      <c r="M47" s="16"/>
      <c r="N47" s="16"/>
      <c r="O47" s="16"/>
      <c r="P47" s="254"/>
      <c r="Q47" s="16"/>
      <c r="R47" s="16"/>
      <c r="S47" s="16" t="s">
        <v>478</v>
      </c>
      <c r="T47" s="16"/>
      <c r="U47" s="16"/>
      <c r="V47" s="57"/>
    </row>
    <row r="48" spans="2:22" ht="15.75">
      <c r="B48" s="56"/>
      <c r="C48" s="16"/>
      <c r="D48" s="245"/>
      <c r="E48" s="16"/>
      <c r="F48" s="16"/>
      <c r="G48" s="16"/>
      <c r="H48" s="16"/>
      <c r="I48" s="16"/>
      <c r="J48" s="16"/>
      <c r="K48" s="16"/>
      <c r="L48" s="16"/>
      <c r="M48" s="16"/>
      <c r="N48" s="16"/>
      <c r="O48" s="16"/>
      <c r="P48" s="254"/>
      <c r="Q48" s="16"/>
      <c r="R48" s="16"/>
      <c r="S48" s="16"/>
      <c r="T48" s="16"/>
      <c r="U48" s="16"/>
      <c r="V48" s="57"/>
    </row>
    <row r="49" spans="2:22" ht="15.75">
      <c r="B49" s="56"/>
      <c r="C49" s="17"/>
      <c r="D49" s="224"/>
      <c r="E49" s="17"/>
      <c r="F49" s="17"/>
      <c r="G49" s="17"/>
      <c r="H49" s="17"/>
      <c r="I49" s="17"/>
      <c r="J49" s="17"/>
      <c r="K49" s="17"/>
      <c r="L49" s="17"/>
      <c r="M49" s="17"/>
      <c r="N49" s="17"/>
      <c r="O49" s="17"/>
      <c r="P49" s="17"/>
      <c r="Q49" s="17"/>
      <c r="R49" s="17"/>
      <c r="S49" s="17"/>
      <c r="T49" s="17"/>
      <c r="U49" s="17"/>
      <c r="V49" s="57"/>
    </row>
    <row r="50" spans="2:22">
      <c r="B50" s="56"/>
      <c r="C50" s="516" t="s">
        <v>479</v>
      </c>
      <c r="D50" s="517" t="s">
        <v>475</v>
      </c>
      <c r="E50" s="517"/>
      <c r="F50" s="340"/>
      <c r="G50" s="518" t="s">
        <v>477</v>
      </c>
      <c r="H50" s="517"/>
      <c r="I50" s="517"/>
      <c r="J50" s="517"/>
      <c r="K50" s="517"/>
      <c r="L50" s="517"/>
      <c r="M50" s="413"/>
      <c r="N50" s="17"/>
      <c r="O50" s="17"/>
      <c r="P50" s="17"/>
      <c r="Q50" s="17"/>
      <c r="R50" s="17"/>
      <c r="S50" s="17"/>
      <c r="T50" s="17"/>
      <c r="U50" s="17"/>
      <c r="V50" s="57"/>
    </row>
    <row r="51" spans="2:22" ht="33.75">
      <c r="B51" s="56"/>
      <c r="C51" s="516"/>
      <c r="D51" s="249"/>
      <c r="E51" s="249" t="s">
        <v>467</v>
      </c>
      <c r="F51" s="411" t="s">
        <v>471</v>
      </c>
      <c r="G51" s="250"/>
      <c r="H51" s="17"/>
      <c r="I51" s="242"/>
      <c r="J51" s="249" t="s">
        <v>468</v>
      </c>
      <c r="K51" s="249" t="s">
        <v>469</v>
      </c>
      <c r="L51" s="249" t="s">
        <v>470</v>
      </c>
      <c r="M51" s="249" t="s">
        <v>471</v>
      </c>
      <c r="N51" s="17"/>
      <c r="O51" s="17"/>
      <c r="P51" s="17"/>
      <c r="Q51" s="17"/>
      <c r="R51" s="17"/>
      <c r="S51" s="17"/>
      <c r="T51" s="17"/>
      <c r="U51" s="17"/>
      <c r="V51" s="57"/>
    </row>
    <row r="52" spans="2:22" ht="18.75">
      <c r="B52" s="56"/>
      <c r="C52" s="516"/>
      <c r="D52" s="255" t="s">
        <v>472</v>
      </c>
      <c r="E52" s="255" t="s">
        <v>473</v>
      </c>
      <c r="F52" s="410"/>
      <c r="G52" s="256"/>
      <c r="H52" s="17"/>
      <c r="I52" s="255" t="s">
        <v>472</v>
      </c>
      <c r="J52" s="255" t="s">
        <v>474</v>
      </c>
      <c r="K52" s="257" t="s">
        <v>443</v>
      </c>
      <c r="L52" s="255" t="s">
        <v>444</v>
      </c>
      <c r="M52" s="17"/>
      <c r="N52" s="17"/>
      <c r="O52" s="17"/>
      <c r="P52" s="17"/>
      <c r="Q52" s="17"/>
      <c r="R52" s="17"/>
      <c r="S52" s="17"/>
      <c r="T52" s="17"/>
      <c r="U52" s="17"/>
      <c r="V52" s="57"/>
    </row>
    <row r="53" spans="2:22" ht="15.75">
      <c r="B53" s="56"/>
      <c r="C53" s="255" t="s">
        <v>451</v>
      </c>
      <c r="D53" s="251">
        <v>300</v>
      </c>
      <c r="E53" s="251">
        <v>159</v>
      </c>
      <c r="F53" s="410">
        <f>PI()*(E53/2000)^2</f>
        <v>1.9855650968850891E-2</v>
      </c>
      <c r="G53" s="253"/>
      <c r="H53" s="17"/>
      <c r="I53" s="251"/>
      <c r="J53" s="251"/>
      <c r="K53" s="251"/>
      <c r="L53" s="251"/>
      <c r="M53" s="17"/>
      <c r="N53" s="17"/>
      <c r="O53" s="17"/>
      <c r="P53" s="17"/>
      <c r="Q53" s="17"/>
      <c r="R53" s="17"/>
      <c r="S53" s="17"/>
      <c r="T53" s="17"/>
      <c r="U53" s="17"/>
      <c r="V53" s="57"/>
    </row>
    <row r="54" spans="2:22" ht="15.75">
      <c r="B54" s="56"/>
      <c r="C54" s="255" t="s">
        <v>446</v>
      </c>
      <c r="D54" s="251">
        <v>325</v>
      </c>
      <c r="E54" s="251">
        <v>199</v>
      </c>
      <c r="F54" s="410">
        <f t="shared" ref="F54:F58" si="4">PI()*(E54/2000)^2</f>
        <v>3.1102552668702352E-2</v>
      </c>
      <c r="G54" s="253"/>
      <c r="H54" s="17"/>
      <c r="I54" s="251"/>
      <c r="J54" s="251"/>
      <c r="K54" s="251"/>
      <c r="L54" s="251"/>
      <c r="M54" s="17"/>
      <c r="N54" s="17"/>
      <c r="O54" s="17"/>
      <c r="P54" s="17"/>
      <c r="Q54" s="17"/>
      <c r="R54" s="17"/>
      <c r="S54" s="17"/>
      <c r="T54" s="17"/>
      <c r="U54" s="17"/>
      <c r="V54" s="57"/>
    </row>
    <row r="55" spans="2:22" ht="15.75">
      <c r="B55" s="56"/>
      <c r="C55" s="255" t="s">
        <v>31</v>
      </c>
      <c r="D55" s="251">
        <v>375</v>
      </c>
      <c r="E55" s="251">
        <v>249</v>
      </c>
      <c r="F55" s="410">
        <f t="shared" si="4"/>
        <v>4.8695471528805191E-2</v>
      </c>
      <c r="G55" s="253"/>
      <c r="H55" s="17"/>
      <c r="I55" s="251"/>
      <c r="J55" s="251"/>
      <c r="K55" s="251"/>
      <c r="L55" s="251"/>
      <c r="M55" s="17"/>
      <c r="N55" s="17"/>
      <c r="O55" s="17"/>
      <c r="P55" s="17"/>
      <c r="Q55" s="17"/>
      <c r="R55" s="17"/>
      <c r="S55" s="17"/>
      <c r="T55" s="17"/>
      <c r="U55" s="17"/>
      <c r="V55" s="57"/>
    </row>
    <row r="56" spans="2:22" ht="15.75">
      <c r="B56" s="56"/>
      <c r="C56" s="255" t="s">
        <v>452</v>
      </c>
      <c r="D56" s="251">
        <f>375+65</f>
        <v>440</v>
      </c>
      <c r="E56" s="251">
        <v>314</v>
      </c>
      <c r="F56" s="410">
        <f t="shared" si="4"/>
        <v>7.7437117318334817E-2</v>
      </c>
      <c r="G56" s="513" t="s">
        <v>453</v>
      </c>
      <c r="H56" s="514"/>
      <c r="I56" s="251">
        <v>375</v>
      </c>
      <c r="J56" s="251">
        <v>250</v>
      </c>
      <c r="K56" s="251">
        <v>125</v>
      </c>
      <c r="L56" s="251">
        <v>351</v>
      </c>
      <c r="M56" s="410">
        <f>(((L56-(2*K56))*J56)+PI()*K56^2)/(1000^2)</f>
        <v>7.4337385212340512E-2</v>
      </c>
      <c r="N56" s="17"/>
      <c r="O56" s="17"/>
      <c r="P56" s="17"/>
      <c r="Q56" s="17"/>
      <c r="R56" s="17"/>
      <c r="S56" s="17"/>
      <c r="T56" s="17"/>
      <c r="U56" s="17"/>
      <c r="V56" s="57"/>
    </row>
    <row r="57" spans="2:22" ht="15.75">
      <c r="B57" s="56"/>
      <c r="C57" s="255" t="s">
        <v>30</v>
      </c>
      <c r="D57" s="251">
        <f>440+40</f>
        <v>480</v>
      </c>
      <c r="E57" s="251">
        <v>354</v>
      </c>
      <c r="F57" s="410">
        <f t="shared" si="4"/>
        <v>9.8422956244314616E-2</v>
      </c>
      <c r="G57" s="513" t="s">
        <v>454</v>
      </c>
      <c r="H57" s="514"/>
      <c r="I57" s="251">
        <v>385</v>
      </c>
      <c r="J57" s="251">
        <v>260</v>
      </c>
      <c r="K57" s="251">
        <v>130</v>
      </c>
      <c r="L57" s="251">
        <v>408</v>
      </c>
      <c r="M57" s="410">
        <f t="shared" ref="M57:M58" si="5">(((L57-(2*K57))*J57)+PI()*K57^2)/(1000^2)</f>
        <v>9.1572915845667513E-2</v>
      </c>
      <c r="N57" s="17"/>
      <c r="O57" s="17"/>
      <c r="P57" s="17"/>
      <c r="Q57" s="17"/>
      <c r="R57" s="17"/>
      <c r="S57" s="17"/>
      <c r="T57" s="17"/>
      <c r="U57" s="17"/>
      <c r="V57" s="57"/>
    </row>
    <row r="58" spans="2:22" ht="15.75">
      <c r="B58" s="56"/>
      <c r="C58" s="255" t="s">
        <v>449</v>
      </c>
      <c r="D58" s="251">
        <f>480+45</f>
        <v>525</v>
      </c>
      <c r="E58" s="251">
        <v>399</v>
      </c>
      <c r="F58" s="410">
        <f t="shared" si="4"/>
        <v>0.12503617301103717</v>
      </c>
      <c r="G58" s="513" t="s">
        <v>450</v>
      </c>
      <c r="H58" s="514"/>
      <c r="I58" s="251">
        <v>420</v>
      </c>
      <c r="J58" s="251">
        <v>295</v>
      </c>
      <c r="K58" s="251">
        <v>147.5</v>
      </c>
      <c r="L58" s="251">
        <v>458</v>
      </c>
      <c r="M58" s="410">
        <f t="shared" si="5"/>
        <v>0.11643427516966294</v>
      </c>
      <c r="N58" s="17"/>
      <c r="O58" s="17"/>
      <c r="P58" s="17"/>
      <c r="Q58" s="17"/>
      <c r="R58" s="17"/>
      <c r="S58" s="17"/>
      <c r="T58" s="17"/>
      <c r="U58" s="17"/>
      <c r="V58" s="57"/>
    </row>
    <row r="59" spans="2:22">
      <c r="B59" s="58"/>
      <c r="C59" s="59"/>
      <c r="D59" s="59"/>
      <c r="E59" s="59"/>
      <c r="F59" s="59"/>
      <c r="G59" s="59"/>
      <c r="H59" s="59"/>
      <c r="I59" s="59"/>
      <c r="J59" s="59"/>
      <c r="K59" s="59"/>
      <c r="L59" s="59"/>
      <c r="M59" s="59"/>
      <c r="N59" s="59"/>
      <c r="O59" s="59"/>
      <c r="P59" s="59"/>
      <c r="Q59" s="59"/>
      <c r="R59" s="59"/>
      <c r="S59" s="59"/>
      <c r="T59" s="59"/>
      <c r="U59" s="59"/>
      <c r="V59" s="60"/>
    </row>
    <row r="60" spans="2:22" ht="14.65" customHeight="1"/>
    <row r="62" spans="2:22" ht="17.649999999999999" customHeight="1"/>
  </sheetData>
  <sheetProtection algorithmName="SHA-512" hashValue="VqsP7mdQLyBJOXFqasGizP+VKeiowFLDhhNK9l1kr3Z7rK1+kg17eJ+jjoIJylvaPiPnDtGJ+9VDgqTA9CSibA==" saltValue="xEC0Bok4erUtgyzyb+z9cA==" spinCount="100000" sheet="1" objects="1" selectLockedCells="1"/>
  <mergeCells count="10">
    <mergeCell ref="G58:H58"/>
    <mergeCell ref="G57:H57"/>
    <mergeCell ref="G56:H56"/>
    <mergeCell ref="Q44:R44"/>
    <mergeCell ref="C10:C12"/>
    <mergeCell ref="C50:C52"/>
    <mergeCell ref="D50:E50"/>
    <mergeCell ref="K10:O10"/>
    <mergeCell ref="D10:H10"/>
    <mergeCell ref="G50:L5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Visio.Drawing.15" shapeId="8227" r:id="rId4">
          <objectPr defaultSize="0" autoPict="0" r:id="rId5">
            <anchor moveWithCells="1">
              <from>
                <xdr:col>1</xdr:col>
                <xdr:colOff>647700</xdr:colOff>
                <xdr:row>21</xdr:row>
                <xdr:rowOff>200025</xdr:rowOff>
              </from>
              <to>
                <xdr:col>9</xdr:col>
                <xdr:colOff>1428750</xdr:colOff>
                <xdr:row>32</xdr:row>
                <xdr:rowOff>171450</xdr:rowOff>
              </to>
            </anchor>
          </objectPr>
        </oleObject>
      </mc:Choice>
      <mc:Fallback>
        <oleObject progId="Visio.Drawing.15" shapeId="8227" r:id="rId4"/>
      </mc:Fallback>
    </mc:AlternateContent>
    <mc:AlternateContent xmlns:mc="http://schemas.openxmlformats.org/markup-compatibility/2006">
      <mc:Choice Requires="x14">
        <oleObject progId="Visio.Drawing.15" shapeId="8229" r:id="rId6">
          <objectPr defaultSize="0" autoPict="0" r:id="rId7">
            <anchor moveWithCells="1">
              <from>
                <xdr:col>2</xdr:col>
                <xdr:colOff>0</xdr:colOff>
                <xdr:row>35</xdr:row>
                <xdr:rowOff>152400</xdr:rowOff>
              </from>
              <to>
                <xdr:col>9</xdr:col>
                <xdr:colOff>1428750</xdr:colOff>
                <xdr:row>46</xdr:row>
                <xdr:rowOff>142875</xdr:rowOff>
              </to>
            </anchor>
          </objectPr>
        </oleObject>
      </mc:Choice>
      <mc:Fallback>
        <oleObject progId="Visio.Drawing.15" shapeId="8229" r:id="rId6"/>
      </mc:Fallback>
    </mc:AlternateContent>
    <mc:AlternateContent xmlns:mc="http://schemas.openxmlformats.org/markup-compatibility/2006">
      <mc:Choice Requires="x14">
        <oleObject progId="Visio.Drawing.15" shapeId="8232" r:id="rId8">
          <objectPr defaultSize="0" autoPict="0" r:id="rId9">
            <anchor moveWithCells="1">
              <from>
                <xdr:col>10</xdr:col>
                <xdr:colOff>400050</xdr:colOff>
                <xdr:row>22</xdr:row>
                <xdr:rowOff>114300</xdr:rowOff>
              </from>
              <to>
                <xdr:col>19</xdr:col>
                <xdr:colOff>276225</xdr:colOff>
                <xdr:row>31</xdr:row>
                <xdr:rowOff>47625</xdr:rowOff>
              </to>
            </anchor>
          </objectPr>
        </oleObject>
      </mc:Choice>
      <mc:Fallback>
        <oleObject progId="Visio.Drawing.15" shapeId="8232" r:id="rId8"/>
      </mc:Fallback>
    </mc:AlternateContent>
  </oleObjects>
  <mc:AlternateContent xmlns:mc="http://schemas.openxmlformats.org/markup-compatibility/2006">
    <mc:Choice Requires="x14">
      <controls>
        <mc:AlternateContent xmlns:mc="http://schemas.openxmlformats.org/markup-compatibility/2006">
          <mc:Choice Requires="x14">
            <control shapeId="8193" r:id="rId10" name="Group Box 1">
              <controlPr defaultSize="0" autoFill="0" autoPict="0">
                <anchor moveWithCells="1">
                  <from>
                    <xdr:col>1</xdr:col>
                    <xdr:colOff>133350</xdr:colOff>
                    <xdr:row>6</xdr:row>
                    <xdr:rowOff>76200</xdr:rowOff>
                  </from>
                  <to>
                    <xdr:col>20</xdr:col>
                    <xdr:colOff>676275</xdr:colOff>
                    <xdr:row>17</xdr:row>
                    <xdr:rowOff>228600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CAF2C-EDA0-4854-9F81-9ABBE1D17753}">
  <dimension ref="A4:A6"/>
  <sheetViews>
    <sheetView zoomScale="115" zoomScaleNormal="115" workbookViewId="0">
      <selection activeCell="E6" sqref="E6"/>
    </sheetView>
  </sheetViews>
  <sheetFormatPr defaultRowHeight="15"/>
  <cols>
    <col min="2" max="2" width="81.140625" customWidth="1"/>
  </cols>
  <sheetData>
    <row r="4" ht="140.1" customHeight="1"/>
    <row r="5" ht="140.1" customHeight="1"/>
    <row r="6" ht="140.1" customHeight="1"/>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Visio.Drawing.15" shapeId="15365" r:id="rId4">
          <objectPr defaultSize="0" r:id="rId5">
            <anchor moveWithCells="1">
              <from>
                <xdr:col>1</xdr:col>
                <xdr:colOff>0</xdr:colOff>
                <xdr:row>4</xdr:row>
                <xdr:rowOff>0</xdr:rowOff>
              </from>
              <to>
                <xdr:col>2</xdr:col>
                <xdr:colOff>0</xdr:colOff>
                <xdr:row>4</xdr:row>
                <xdr:rowOff>1743075</xdr:rowOff>
              </to>
            </anchor>
          </objectPr>
        </oleObject>
      </mc:Choice>
      <mc:Fallback>
        <oleObject progId="Visio.Drawing.15" shapeId="15365" r:id="rId4"/>
      </mc:Fallback>
    </mc:AlternateContent>
    <mc:AlternateContent xmlns:mc="http://schemas.openxmlformats.org/markup-compatibility/2006">
      <mc:Choice Requires="x14">
        <oleObject progId="Visio.Drawing.15" shapeId="15366" r:id="rId6">
          <objectPr defaultSize="0" r:id="rId7">
            <anchor moveWithCells="1">
              <from>
                <xdr:col>1</xdr:col>
                <xdr:colOff>0</xdr:colOff>
                <xdr:row>3</xdr:row>
                <xdr:rowOff>0</xdr:rowOff>
              </from>
              <to>
                <xdr:col>2</xdr:col>
                <xdr:colOff>0</xdr:colOff>
                <xdr:row>3</xdr:row>
                <xdr:rowOff>1733550</xdr:rowOff>
              </to>
            </anchor>
          </objectPr>
        </oleObject>
      </mc:Choice>
      <mc:Fallback>
        <oleObject progId="Visio.Drawing.15" shapeId="15366" r:id="rId6"/>
      </mc:Fallback>
    </mc:AlternateContent>
    <mc:AlternateContent xmlns:mc="http://schemas.openxmlformats.org/markup-compatibility/2006">
      <mc:Choice Requires="x14">
        <oleObject progId="Visio.Drawing.15" shapeId="15367" r:id="rId8">
          <objectPr defaultSize="0" r:id="rId9">
            <anchor moveWithCells="1">
              <from>
                <xdr:col>1</xdr:col>
                <xdr:colOff>0</xdr:colOff>
                <xdr:row>5</xdr:row>
                <xdr:rowOff>0</xdr:rowOff>
              </from>
              <to>
                <xdr:col>2</xdr:col>
                <xdr:colOff>0</xdr:colOff>
                <xdr:row>5</xdr:row>
                <xdr:rowOff>1381125</xdr:rowOff>
              </to>
            </anchor>
          </objectPr>
        </oleObject>
      </mc:Choice>
      <mc:Fallback>
        <oleObject progId="Visio.Drawing.15" shapeId="15367" r:id="rId8"/>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002B2-A916-42E3-A264-A84D048BAA7F}">
  <sheetPr>
    <tabColor theme="9"/>
  </sheetPr>
  <dimension ref="A1:B10"/>
  <sheetViews>
    <sheetView zoomScaleNormal="100" workbookViewId="0">
      <selection activeCell="K7" sqref="K7"/>
    </sheetView>
  </sheetViews>
  <sheetFormatPr defaultRowHeight="15"/>
  <cols>
    <col min="1" max="1" width="7.7109375" customWidth="1"/>
    <col min="2" max="2" width="5" customWidth="1"/>
    <col min="3" max="3" width="65.28515625" customWidth="1"/>
  </cols>
  <sheetData>
    <row r="1" spans="1:2">
      <c r="A1" t="s">
        <v>436</v>
      </c>
      <c r="B1" t="str">
        <f>Data!B54</f>
        <v>4w</v>
      </c>
    </row>
    <row r="3" spans="1:2" ht="36" customHeight="1">
      <c r="A3" s="461"/>
      <c r="B3" t="s">
        <v>486</v>
      </c>
    </row>
    <row r="4" spans="1:2" ht="36" customHeight="1">
      <c r="A4" s="461"/>
      <c r="B4" t="s">
        <v>487</v>
      </c>
    </row>
    <row r="5" spans="1:2" ht="36" customHeight="1">
      <c r="A5" s="461"/>
      <c r="B5" t="s">
        <v>488</v>
      </c>
    </row>
    <row r="6" spans="1:2" ht="36" customHeight="1">
      <c r="A6" s="461"/>
      <c r="B6" t="s">
        <v>489</v>
      </c>
    </row>
    <row r="7" spans="1:2" ht="230.1" customHeight="1"/>
    <row r="8" spans="1:2" ht="230.1" customHeight="1"/>
    <row r="9" spans="1:2" ht="230.1" customHeight="1"/>
    <row r="10" spans="1:2" ht="230.1" customHeight="1"/>
  </sheetData>
  <pageMargins left="0.7" right="0.7" top="0.75" bottom="0.75" header="0.3" footer="0.3"/>
  <drawing r:id="rId1"/>
  <legacyDrawing r:id="rId2"/>
  <oleObjects>
    <mc:AlternateContent xmlns:mc="http://schemas.openxmlformats.org/markup-compatibility/2006">
      <mc:Choice Requires="x14">
        <oleObject progId="Visio.Drawing.15" shapeId="20719" r:id="rId3">
          <objectPr defaultSize="0" r:id="rId4">
            <anchor moveWithCells="1">
              <from>
                <xdr:col>0</xdr:col>
                <xdr:colOff>28575</xdr:colOff>
                <xdr:row>2</xdr:row>
                <xdr:rowOff>28575</xdr:rowOff>
              </from>
              <to>
                <xdr:col>0</xdr:col>
                <xdr:colOff>438150</xdr:colOff>
                <xdr:row>2</xdr:row>
                <xdr:rowOff>438150</xdr:rowOff>
              </to>
            </anchor>
          </objectPr>
        </oleObject>
      </mc:Choice>
      <mc:Fallback>
        <oleObject progId="Visio.Drawing.15" shapeId="20719" r:id="rId3"/>
      </mc:Fallback>
    </mc:AlternateContent>
    <mc:AlternateContent xmlns:mc="http://schemas.openxmlformats.org/markup-compatibility/2006">
      <mc:Choice Requires="x14">
        <oleObject progId="Visio.Drawing.15" shapeId="20723" r:id="rId5">
          <objectPr defaultSize="0" r:id="rId6">
            <anchor moveWithCells="1">
              <from>
                <xdr:col>0</xdr:col>
                <xdr:colOff>9525</xdr:colOff>
                <xdr:row>4</xdr:row>
                <xdr:rowOff>28575</xdr:rowOff>
              </from>
              <to>
                <xdr:col>0</xdr:col>
                <xdr:colOff>485775</xdr:colOff>
                <xdr:row>4</xdr:row>
                <xdr:rowOff>438150</xdr:rowOff>
              </to>
            </anchor>
          </objectPr>
        </oleObject>
      </mc:Choice>
      <mc:Fallback>
        <oleObject progId="Visio.Drawing.15" shapeId="20723" r:id="rId5"/>
      </mc:Fallback>
    </mc:AlternateContent>
    <mc:AlternateContent xmlns:mc="http://schemas.openxmlformats.org/markup-compatibility/2006">
      <mc:Choice Requires="x14">
        <oleObject progId="Visio.Drawing.15" shapeId="20724" r:id="rId7">
          <objectPr defaultSize="0" r:id="rId8">
            <anchor moveWithCells="1">
              <from>
                <xdr:col>0</xdr:col>
                <xdr:colOff>9525</xdr:colOff>
                <xdr:row>5</xdr:row>
                <xdr:rowOff>9525</xdr:rowOff>
              </from>
              <to>
                <xdr:col>0</xdr:col>
                <xdr:colOff>447675</xdr:colOff>
                <xdr:row>5</xdr:row>
                <xdr:rowOff>447675</xdr:rowOff>
              </to>
            </anchor>
          </objectPr>
        </oleObject>
      </mc:Choice>
      <mc:Fallback>
        <oleObject progId="Visio.Drawing.15" shapeId="20724" r:id="rId7"/>
      </mc:Fallback>
    </mc:AlternateContent>
    <mc:AlternateContent xmlns:mc="http://schemas.openxmlformats.org/markup-compatibility/2006">
      <mc:Choice Requires="x14">
        <oleObject progId="Visio.Drawing.15" shapeId="20725" r:id="rId9">
          <objectPr defaultSize="0" r:id="rId10">
            <anchor moveWithCells="1">
              <from>
                <xdr:col>0</xdr:col>
                <xdr:colOff>9525</xdr:colOff>
                <xdr:row>3</xdr:row>
                <xdr:rowOff>19050</xdr:rowOff>
              </from>
              <to>
                <xdr:col>0</xdr:col>
                <xdr:colOff>447675</xdr:colOff>
                <xdr:row>3</xdr:row>
                <xdr:rowOff>438150</xdr:rowOff>
              </to>
            </anchor>
          </objectPr>
        </oleObject>
      </mc:Choice>
      <mc:Fallback>
        <oleObject progId="Visio.Drawing.15" shapeId="20725" r:id="rId9"/>
      </mc:Fallback>
    </mc:AlternateContent>
    <mc:AlternateContent xmlns:mc="http://schemas.openxmlformats.org/markup-compatibility/2006">
      <mc:Choice Requires="x14">
        <oleObject progId="Visio.Drawing.15" shapeId="20764" r:id="rId11">
          <objectPr defaultSize="0" r:id="rId12">
            <anchor moveWithCells="1">
              <from>
                <xdr:col>2</xdr:col>
                <xdr:colOff>0</xdr:colOff>
                <xdr:row>6</xdr:row>
                <xdr:rowOff>0</xdr:rowOff>
              </from>
              <to>
                <xdr:col>3</xdr:col>
                <xdr:colOff>0</xdr:colOff>
                <xdr:row>7</xdr:row>
                <xdr:rowOff>0</xdr:rowOff>
              </to>
            </anchor>
          </objectPr>
        </oleObject>
      </mc:Choice>
      <mc:Fallback>
        <oleObject progId="Visio.Drawing.15" shapeId="20764" r:id="rId11"/>
      </mc:Fallback>
    </mc:AlternateContent>
    <mc:AlternateContent xmlns:mc="http://schemas.openxmlformats.org/markup-compatibility/2006">
      <mc:Choice Requires="x14">
        <oleObject progId="Visio.Drawing.15" shapeId="20765" r:id="rId13">
          <objectPr defaultSize="0" r:id="rId14">
            <anchor moveWithCells="1">
              <from>
                <xdr:col>2</xdr:col>
                <xdr:colOff>0</xdr:colOff>
                <xdr:row>7</xdr:row>
                <xdr:rowOff>0</xdr:rowOff>
              </from>
              <to>
                <xdr:col>3</xdr:col>
                <xdr:colOff>0</xdr:colOff>
                <xdr:row>8</xdr:row>
                <xdr:rowOff>0</xdr:rowOff>
              </to>
            </anchor>
          </objectPr>
        </oleObject>
      </mc:Choice>
      <mc:Fallback>
        <oleObject progId="Visio.Drawing.15" shapeId="20765" r:id="rId13"/>
      </mc:Fallback>
    </mc:AlternateContent>
    <mc:AlternateContent xmlns:mc="http://schemas.openxmlformats.org/markup-compatibility/2006">
      <mc:Choice Requires="x14">
        <oleObject progId="Visio.Drawing.15" shapeId="20766" r:id="rId15">
          <objectPr defaultSize="0" r:id="rId16">
            <anchor moveWithCells="1">
              <from>
                <xdr:col>2</xdr:col>
                <xdr:colOff>0</xdr:colOff>
                <xdr:row>8</xdr:row>
                <xdr:rowOff>0</xdr:rowOff>
              </from>
              <to>
                <xdr:col>3</xdr:col>
                <xdr:colOff>9525</xdr:colOff>
                <xdr:row>9</xdr:row>
                <xdr:rowOff>0</xdr:rowOff>
              </to>
            </anchor>
          </objectPr>
        </oleObject>
      </mc:Choice>
      <mc:Fallback>
        <oleObject progId="Visio.Drawing.15" shapeId="20766" r:id="rId15"/>
      </mc:Fallback>
    </mc:AlternateContent>
    <mc:AlternateContent xmlns:mc="http://schemas.openxmlformats.org/markup-compatibility/2006">
      <mc:Choice Requires="x14">
        <oleObject progId="Visio.Drawing.15" shapeId="20767" r:id="rId17">
          <objectPr defaultSize="0" r:id="rId18">
            <anchor moveWithCells="1">
              <from>
                <xdr:col>2</xdr:col>
                <xdr:colOff>0</xdr:colOff>
                <xdr:row>9</xdr:row>
                <xdr:rowOff>0</xdr:rowOff>
              </from>
              <to>
                <xdr:col>3</xdr:col>
                <xdr:colOff>0</xdr:colOff>
                <xdr:row>10</xdr:row>
                <xdr:rowOff>0</xdr:rowOff>
              </to>
            </anchor>
          </objectPr>
        </oleObject>
      </mc:Choice>
      <mc:Fallback>
        <oleObject progId="Visio.Drawing.15" shapeId="20767" r:id="rId17"/>
      </mc:Fallback>
    </mc:AlternateContent>
  </oleObjec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0"/>
  <sheetViews>
    <sheetView view="pageLayout" zoomScaleNormal="100" workbookViewId="0">
      <selection activeCell="B2" sqref="B2:G2"/>
    </sheetView>
  </sheetViews>
  <sheetFormatPr defaultColWidth="9.140625" defaultRowHeight="15"/>
  <cols>
    <col min="1" max="1" width="25.7109375" customWidth="1"/>
    <col min="2" max="2" width="7.42578125" customWidth="1"/>
    <col min="3" max="3" width="6" customWidth="1"/>
    <col min="4" max="4" width="5.42578125" customWidth="1"/>
    <col min="5" max="5" width="27.5703125" customWidth="1"/>
    <col min="6" max="6" width="7.42578125" customWidth="1"/>
    <col min="7" max="7" width="7.7109375" customWidth="1"/>
  </cols>
  <sheetData>
    <row r="1" spans="1:9" ht="33" customHeight="1">
      <c r="A1" s="232"/>
      <c r="B1" s="233" t="s">
        <v>579</v>
      </c>
      <c r="C1" s="234"/>
      <c r="D1" s="234"/>
      <c r="E1" s="234"/>
      <c r="F1" s="234"/>
      <c r="G1" s="234"/>
      <c r="H1" s="226"/>
      <c r="I1" s="226"/>
    </row>
    <row r="2" spans="1:9" ht="14.25" customHeight="1">
      <c r="A2" s="312" t="s">
        <v>580</v>
      </c>
      <c r="B2" s="521" t="str">
        <f>'HSC-FD'!D5</f>
        <v>&lt;Project Name&gt;</v>
      </c>
      <c r="C2" s="521"/>
      <c r="D2" s="521"/>
      <c r="E2" s="521"/>
      <c r="F2" s="521"/>
      <c r="G2" s="521"/>
      <c r="H2" s="227"/>
      <c r="I2" s="226"/>
    </row>
    <row r="3" spans="1:9" ht="14.25" customHeight="1">
      <c r="A3" s="312" t="s">
        <v>581</v>
      </c>
      <c r="B3" s="521" t="s">
        <v>582</v>
      </c>
      <c r="C3" s="521"/>
      <c r="D3" s="521"/>
      <c r="E3" s="521"/>
      <c r="F3" s="521"/>
      <c r="G3" s="521"/>
      <c r="H3" s="227"/>
      <c r="I3" s="226"/>
    </row>
    <row r="4" spans="1:9" ht="14.25" customHeight="1">
      <c r="A4" s="312" t="s">
        <v>583</v>
      </c>
      <c r="B4" s="521" t="s">
        <v>582</v>
      </c>
      <c r="C4" s="521"/>
      <c r="D4" s="521"/>
      <c r="E4" s="521"/>
      <c r="F4" s="521"/>
      <c r="G4" s="521"/>
      <c r="H4" s="227"/>
      <c r="I4" s="226"/>
    </row>
    <row r="5" spans="1:9" ht="14.25" customHeight="1">
      <c r="A5" s="311"/>
      <c r="B5" s="310"/>
      <c r="C5" s="311"/>
      <c r="D5" s="311"/>
      <c r="E5" s="311"/>
      <c r="F5" s="311"/>
      <c r="G5" s="311"/>
      <c r="H5" s="227"/>
      <c r="I5" s="226"/>
    </row>
    <row r="6" spans="1:9" ht="14.25" customHeight="1">
      <c r="A6" s="321" t="s">
        <v>584</v>
      </c>
      <c r="B6" s="318" t="s">
        <v>585</v>
      </c>
      <c r="C6" s="311"/>
      <c r="D6" s="311"/>
      <c r="E6" s="311"/>
      <c r="F6" s="311"/>
      <c r="G6" s="311"/>
      <c r="H6" s="227"/>
      <c r="I6" s="226"/>
    </row>
    <row r="7" spans="1:9" ht="14.25" customHeight="1">
      <c r="A7" s="321"/>
      <c r="B7" s="318" t="s">
        <v>586</v>
      </c>
      <c r="C7" s="311"/>
      <c r="D7" s="311"/>
      <c r="E7" s="311"/>
      <c r="F7" s="311"/>
      <c r="G7" s="311"/>
      <c r="H7" s="227"/>
      <c r="I7" s="226"/>
    </row>
    <row r="8" spans="1:9" ht="14.25" customHeight="1">
      <c r="A8" s="318" t="s">
        <v>587</v>
      </c>
      <c r="B8" s="318" t="str">
        <f>Data!B41</f>
        <v>DN355-R0</v>
      </c>
      <c r="C8" s="317"/>
      <c r="D8" s="311"/>
      <c r="E8" s="311"/>
      <c r="F8" s="311"/>
      <c r="G8" s="311"/>
      <c r="H8" s="227"/>
      <c r="I8" s="226"/>
    </row>
    <row r="9" spans="1:9" ht="14.25" customHeight="1">
      <c r="A9" s="318" t="s">
        <v>7</v>
      </c>
      <c r="B9" s="318" t="str">
        <f>'HSC-FD'!M9</f>
        <v>4 Way (360°)</v>
      </c>
      <c r="C9" s="311"/>
      <c r="D9" s="311"/>
      <c r="E9" s="311"/>
      <c r="F9" s="311"/>
      <c r="G9" s="311"/>
      <c r="H9" s="227"/>
      <c r="I9" s="226"/>
    </row>
    <row r="10" spans="1:9" ht="14.25" customHeight="1">
      <c r="A10" s="318" t="s">
        <v>41</v>
      </c>
      <c r="B10" s="318" t="str">
        <f>Data!B107</f>
        <v>Closed ceiling</v>
      </c>
      <c r="C10" s="311"/>
      <c r="D10" s="311"/>
      <c r="E10" s="311"/>
      <c r="F10" s="311"/>
      <c r="G10" s="311"/>
      <c r="H10" s="227"/>
      <c r="I10" s="226"/>
    </row>
    <row r="11" spans="1:9" ht="14.25" customHeight="1">
      <c r="A11" s="318" t="str">
        <f>Data!B57</f>
        <v/>
      </c>
      <c r="B11" s="318" t="str">
        <f>Data!C57</f>
        <v/>
      </c>
      <c r="C11" s="311"/>
      <c r="D11" s="311"/>
      <c r="E11" s="311"/>
      <c r="F11" s="311"/>
      <c r="G11" s="311"/>
      <c r="H11" s="227"/>
      <c r="I11" s="226"/>
    </row>
    <row r="12" spans="1:9" ht="14.25" customHeight="1">
      <c r="A12" s="321" t="s">
        <v>564</v>
      </c>
      <c r="B12" s="322"/>
      <c r="C12" s="311"/>
      <c r="D12" s="311"/>
      <c r="E12" s="311"/>
      <c r="F12" s="311"/>
      <c r="G12" s="311"/>
      <c r="H12" s="227"/>
      <c r="I12" s="226"/>
    </row>
    <row r="13" spans="1:9" ht="14.25" customHeight="1">
      <c r="A13" s="318" t="s">
        <v>588</v>
      </c>
      <c r="B13" s="318" t="str">
        <f ca="1">Data!E78</f>
        <v>120 L/s @ 8.8 Pa static</v>
      </c>
      <c r="C13" s="234"/>
      <c r="D13" s="237"/>
      <c r="E13" s="236"/>
      <c r="F13" s="235"/>
      <c r="G13" s="235"/>
      <c r="H13" s="227"/>
      <c r="I13" s="226"/>
    </row>
    <row r="14" spans="1:9" ht="14.25" customHeight="1">
      <c r="A14" s="318" t="s">
        <v>589</v>
      </c>
      <c r="B14" s="318" t="str">
        <f ca="1">Data!E80</f>
        <v>120 L/s (CAV)</v>
      </c>
      <c r="C14" s="311"/>
      <c r="D14" s="311"/>
      <c r="E14" s="311"/>
      <c r="H14" s="227"/>
      <c r="I14" s="226"/>
    </row>
    <row r="15" spans="1:9" ht="14.25" customHeight="1">
      <c r="A15" s="318" t="s">
        <v>64</v>
      </c>
      <c r="B15" s="318" t="str">
        <f ca="1">Data!E81</f>
        <v>47.8 L/s (40%) @ ΔT = -12 K</v>
      </c>
      <c r="C15" s="311"/>
      <c r="D15" s="311"/>
      <c r="E15" s="311"/>
      <c r="F15" s="238"/>
      <c r="G15" s="235"/>
      <c r="H15" s="227"/>
      <c r="I15" s="226"/>
    </row>
    <row r="16" spans="1:9" ht="14.25" customHeight="1">
      <c r="A16" s="318" t="str">
        <f>Data!B109</f>
        <v>Max Heating ΔT @ 2.3 L/s/m²</v>
      </c>
      <c r="B16" s="318" t="str">
        <f ca="1">Data!B108</f>
        <v>+9.7 K  (centre zones) / +6.5 K  (perimeter zones)</v>
      </c>
      <c r="D16" s="311"/>
      <c r="E16" s="246"/>
    </row>
    <row r="17" spans="1:9" ht="14.25" customHeight="1">
      <c r="A17" s="318"/>
      <c r="B17" s="318"/>
      <c r="D17" s="311"/>
      <c r="E17" s="246"/>
      <c r="H17" s="227"/>
      <c r="I17" s="226"/>
    </row>
    <row r="18" spans="1:9" ht="14.25" customHeight="1">
      <c r="A18" s="321" t="s">
        <v>590</v>
      </c>
      <c r="B18" s="318"/>
      <c r="C18" s="311"/>
      <c r="D18" s="522" t="s">
        <v>591</v>
      </c>
      <c r="E18" s="522"/>
      <c r="F18" s="522"/>
      <c r="G18" s="522"/>
      <c r="H18" s="227"/>
      <c r="I18" s="226"/>
    </row>
    <row r="19" spans="1:9" ht="14.25" customHeight="1">
      <c r="A19" s="318" t="s">
        <v>567</v>
      </c>
      <c r="B19" s="318" t="str">
        <f ca="1">Data!E87</f>
        <v>27.2 dB(A)</v>
      </c>
      <c r="D19" s="522"/>
      <c r="E19" s="522"/>
      <c r="F19" s="522"/>
      <c r="G19" s="522"/>
      <c r="H19" s="227"/>
      <c r="I19" s="226"/>
    </row>
    <row r="20" spans="1:9" ht="14.25" customHeight="1">
      <c r="A20" s="318" t="s">
        <v>568</v>
      </c>
      <c r="B20" s="318" t="str">
        <f ca="1">Data!E88</f>
        <v>12.2 NC</v>
      </c>
      <c r="D20" s="315" t="s">
        <v>684</v>
      </c>
      <c r="H20" s="227"/>
      <c r="I20" s="226"/>
    </row>
    <row r="21" spans="1:9" ht="14.25" customHeight="1">
      <c r="A21" s="520" t="s">
        <v>569</v>
      </c>
      <c r="B21" s="318" t="str">
        <f ca="1">Data!C100</f>
        <v>DN250</v>
      </c>
      <c r="H21" s="227"/>
      <c r="I21" s="226"/>
    </row>
    <row r="22" spans="1:9" ht="14.25" customHeight="1">
      <c r="A22" s="520"/>
      <c r="B22" s="318" t="str">
        <f ca="1">Data!E101</f>
        <v>DN300 (Low Profile Box)</v>
      </c>
      <c r="G22" s="316"/>
      <c r="H22" s="227"/>
      <c r="I22" s="226"/>
    </row>
    <row r="23" spans="1:9" ht="14.25" customHeight="1">
      <c r="A23" s="519" t="str">
        <f>Data!B110</f>
        <v/>
      </c>
      <c r="B23" s="519"/>
      <c r="C23" s="519"/>
      <c r="D23" s="519"/>
      <c r="E23" s="519"/>
      <c r="F23" s="519"/>
      <c r="G23" s="519"/>
      <c r="H23" s="227"/>
      <c r="I23" s="226"/>
    </row>
    <row r="24" spans="1:9" ht="14.25" customHeight="1">
      <c r="A24" s="457"/>
      <c r="B24" s="457"/>
      <c r="C24" s="457"/>
      <c r="D24" s="457"/>
      <c r="E24" s="457"/>
      <c r="F24" s="457"/>
      <c r="G24" s="457"/>
      <c r="H24" s="227"/>
      <c r="I24" s="226"/>
    </row>
    <row r="25" spans="1:9" ht="14.25" customHeight="1">
      <c r="A25" s="312" t="s">
        <v>592</v>
      </c>
      <c r="B25" s="235"/>
      <c r="C25" s="235"/>
      <c r="D25" s="235"/>
      <c r="G25" s="235"/>
      <c r="H25" s="227"/>
      <c r="I25" s="226"/>
    </row>
    <row r="26" spans="1:9" ht="14.25" customHeight="1">
      <c r="A26" s="318" t="s">
        <v>593</v>
      </c>
      <c r="B26" s="318" t="str">
        <f>Data!D133</f>
        <v>≥ 90% ADPI</v>
      </c>
      <c r="C26" s="310"/>
      <c r="D26" s="310"/>
      <c r="E26" s="310"/>
      <c r="F26" s="235"/>
      <c r="G26" s="235"/>
      <c r="H26" s="227"/>
      <c r="I26" s="226"/>
    </row>
    <row r="27" spans="1:9" ht="14.25" customHeight="1">
      <c r="A27" s="318" t="s">
        <v>594</v>
      </c>
      <c r="B27" s="319" t="str">
        <f ca="1">Data!D135</f>
        <v>0.1 m/s @ 2.3 L/s/m² (7.3 m spacing)</v>
      </c>
      <c r="C27" s="318"/>
      <c r="D27" s="318"/>
      <c r="E27" s="235"/>
      <c r="F27" s="235"/>
      <c r="G27" s="235"/>
      <c r="H27" s="227"/>
      <c r="I27" s="226"/>
    </row>
    <row r="28" spans="1:9" ht="14.25" customHeight="1">
      <c r="A28" s="318" t="s">
        <v>595</v>
      </c>
      <c r="B28" s="318" t="str">
        <f ca="1">Data!D136</f>
        <v>7.7% @ room temperature of 23 ºC</v>
      </c>
      <c r="C28" s="318"/>
      <c r="D28" s="318"/>
      <c r="E28" s="235"/>
      <c r="F28" s="235"/>
      <c r="G28" s="235"/>
      <c r="H28" s="227"/>
      <c r="I28" s="226"/>
    </row>
    <row r="29" spans="1:9" ht="14.25" customHeight="1">
      <c r="A29" s="318" t="s">
        <v>356</v>
      </c>
      <c r="B29" s="318" t="str">
        <f ca="1">Data!D137</f>
        <v>5.2%</v>
      </c>
      <c r="C29" s="318"/>
      <c r="D29" s="318"/>
      <c r="E29" s="235"/>
      <c r="F29" s="235"/>
      <c r="G29" s="235"/>
      <c r="H29" s="227"/>
      <c r="I29" s="226"/>
    </row>
    <row r="30" spans="1:9" ht="14.25" customHeight="1">
      <c r="A30" s="318" t="s">
        <v>596</v>
      </c>
      <c r="B30" s="318" t="str">
        <f ca="1">"Category "&amp;Data!B138</f>
        <v>Category A</v>
      </c>
      <c r="C30" s="320"/>
      <c r="D30" s="318"/>
      <c r="E30" s="235"/>
      <c r="F30" s="235"/>
      <c r="G30" s="235"/>
      <c r="H30" s="227"/>
      <c r="I30" s="226"/>
    </row>
    <row r="31" spans="1:9" ht="14.25" customHeight="1">
      <c r="A31" s="318" t="s">
        <v>597</v>
      </c>
      <c r="B31" s="318" t="str">
        <f ca="1">Data!D139</f>
        <v>-0.2 &lt; PMV &lt; +0.2</v>
      </c>
      <c r="C31" s="318"/>
      <c r="D31" s="318"/>
      <c r="E31" s="235"/>
      <c r="F31" s="235"/>
      <c r="G31" s="235"/>
      <c r="H31" s="227"/>
      <c r="I31" s="226"/>
    </row>
    <row r="32" spans="1:9" ht="14.25" customHeight="1">
      <c r="A32" s="323" t="s">
        <v>598</v>
      </c>
      <c r="B32" s="235"/>
      <c r="C32" s="235"/>
      <c r="D32" s="235"/>
      <c r="E32" s="235"/>
      <c r="F32" s="235"/>
      <c r="G32" s="235"/>
      <c r="H32" s="227"/>
      <c r="I32" s="226"/>
    </row>
    <row r="33" spans="1:9" ht="14.25" customHeight="1">
      <c r="A33" s="234"/>
      <c r="B33" s="235"/>
      <c r="C33" s="235"/>
      <c r="D33" s="235"/>
      <c r="E33" s="235"/>
      <c r="F33" s="235"/>
      <c r="G33" s="235"/>
      <c r="H33" s="227"/>
      <c r="I33" s="226"/>
    </row>
    <row r="34" spans="1:9" ht="14.25" customHeight="1">
      <c r="A34" s="310" t="str">
        <f ca="1">Data!B127</f>
        <v>C Max = 12.7 m / 11.5 m (centre/perimeter zones)</v>
      </c>
      <c r="B34" s="235"/>
      <c r="C34" s="235"/>
      <c r="D34" s="235"/>
      <c r="E34" s="235"/>
      <c r="F34" s="235"/>
      <c r="G34" s="235"/>
      <c r="H34" s="227"/>
      <c r="I34" s="226"/>
    </row>
    <row r="35" spans="1:9" ht="14.25" customHeight="1">
      <c r="A35" s="310" t="str">
        <f ca="1">Data!B128</f>
        <v>C Min = 2.5 m</v>
      </c>
      <c r="B35" s="235"/>
      <c r="C35" s="235"/>
      <c r="D35" s="235"/>
      <c r="E35" s="235"/>
      <c r="F35" s="235"/>
      <c r="G35" s="235"/>
      <c r="H35" s="227"/>
      <c r="I35" s="226"/>
    </row>
    <row r="36" spans="1:9" ht="14.25" customHeight="1">
      <c r="A36" s="310" t="str">
        <f>Data!B129</f>
        <v>Nominal C = 7.3 m</v>
      </c>
      <c r="F36" s="235"/>
      <c r="G36" s="235"/>
      <c r="H36" s="227"/>
      <c r="I36" s="226"/>
    </row>
    <row r="37" spans="1:9" ht="14.25" customHeight="1">
      <c r="A37" s="310" t="str">
        <f>Data!B130</f>
        <v>Specific Airflow Rate @ Nominal C = 2.3 L/s/m²</v>
      </c>
      <c r="F37" s="235"/>
      <c r="G37" s="235"/>
      <c r="H37" s="227"/>
      <c r="I37" s="226"/>
    </row>
    <row r="38" spans="1:9" ht="14.25" customHeight="1">
      <c r="D38" s="311"/>
      <c r="E38" s="311"/>
      <c r="F38" s="246"/>
      <c r="H38" s="227"/>
      <c r="I38" s="226"/>
    </row>
    <row r="39" spans="1:9" ht="14.25" customHeight="1">
      <c r="A39" s="310" t="str">
        <f>Data!B122</f>
        <v>Min Recommended Diffuser Height = 2.4 m</v>
      </c>
      <c r="D39" s="311"/>
      <c r="E39" s="311"/>
      <c r="F39" s="246"/>
      <c r="H39" s="227"/>
      <c r="I39" s="226"/>
    </row>
    <row r="40" spans="1:9" ht="14.25" customHeight="1">
      <c r="A40" s="310" t="str">
        <f>Data!B123</f>
        <v>Selected Diffuser Height = 2.7 m</v>
      </c>
      <c r="D40" s="311"/>
      <c r="E40" s="311"/>
      <c r="F40" s="246"/>
      <c r="H40" s="227"/>
      <c r="I40" s="226"/>
    </row>
    <row r="41" spans="1:9" ht="14.25" customHeight="1">
      <c r="D41" s="311"/>
      <c r="E41" s="311"/>
      <c r="F41" s="246"/>
      <c r="H41" s="227"/>
      <c r="I41" s="226"/>
    </row>
    <row r="42" spans="1:9" ht="14.25" customHeight="1">
      <c r="A42" s="312" t="s">
        <v>599</v>
      </c>
      <c r="B42" s="311" t="str">
        <f>Data!B147</f>
        <v>Diffuser size DN355 with no reducer</v>
      </c>
      <c r="C42" s="311"/>
      <c r="D42" s="324"/>
      <c r="E42" s="324"/>
      <c r="F42" s="324"/>
      <c r="G42" s="227"/>
      <c r="H42" s="227"/>
      <c r="I42" s="226"/>
    </row>
    <row r="43" spans="1:9" ht="14.25" customHeight="1">
      <c r="A43" s="312"/>
      <c r="B43" s="311" t="str">
        <f>Data!C49</f>
        <v>□ 595 mm square face*</v>
      </c>
      <c r="C43" s="311"/>
      <c r="D43" s="324"/>
      <c r="E43" s="324"/>
      <c r="F43" s="324"/>
      <c r="G43" s="226"/>
      <c r="H43" s="227"/>
      <c r="I43" s="226"/>
    </row>
    <row r="44" spans="1:9" ht="14.25" customHeight="1">
      <c r="A44" s="311"/>
      <c r="B44" s="311" t="str">
        <f>Data!B148</f>
        <v>4 Way (360°) discharge</v>
      </c>
      <c r="C44" s="311"/>
      <c r="D44" s="226"/>
      <c r="H44" s="226"/>
      <c r="I44" s="226"/>
    </row>
    <row r="45" spans="1:9" ht="14.25" customHeight="1">
      <c r="A45" s="311"/>
      <c r="B45" s="311" t="str">
        <f>Data!B149</f>
        <v>No perforated face plate</v>
      </c>
      <c r="C45" s="311"/>
    </row>
    <row r="46" spans="1:9" ht="14.25" customHeight="1">
      <c r="B46" s="311" t="str">
        <f>Data!B150</f>
        <v>Powder coated to RAL9003</v>
      </c>
    </row>
    <row r="47" spans="1:9" ht="14.25" customHeight="1">
      <c r="A47" s="324"/>
      <c r="B47" s="311" t="str">
        <f>Data!C64</f>
        <v>No connection box</v>
      </c>
      <c r="C47" s="324"/>
    </row>
    <row r="48" spans="1:9" ht="14.25" customHeight="1">
      <c r="A48" s="312" t="s">
        <v>120</v>
      </c>
      <c r="B48" s="312" t="str">
        <f>Data!B71</f>
        <v>SMARTEMP HSC-FD-DN355-S595-R0-4w-P0-RAL9003-0</v>
      </c>
      <c r="G48" s="409" t="str">
        <f>'HSC-FD'!U7</f>
        <v>v 10.14 [09/2025]</v>
      </c>
    </row>
    <row r="49" spans="1:7" ht="14.25" customHeight="1">
      <c r="A49" s="312"/>
      <c r="B49" s="312"/>
      <c r="G49" s="409"/>
    </row>
    <row r="50" spans="1:7" ht="14.25" customHeight="1">
      <c r="C50" s="311"/>
      <c r="D50" s="311"/>
      <c r="E50" s="311"/>
    </row>
  </sheetData>
  <sheetProtection algorithmName="SHA-512" hashValue="8u6NY/TFnFKc+E9c6DutnMEhu+usNsMzMLBve4/TErmH2EMRt2Hz8q5YJW7IqwuVLUPwz6vhgEhdkoagrhsMqA==" saltValue="VF8PAxMCp1eT7kAkMRuvvA==" spinCount="100000" sheet="1" selectLockedCells="1"/>
  <mergeCells count="6">
    <mergeCell ref="A23:G23"/>
    <mergeCell ref="A21:A22"/>
    <mergeCell ref="B2:G2"/>
    <mergeCell ref="B3:G3"/>
    <mergeCell ref="B4:G4"/>
    <mergeCell ref="D18:G19"/>
  </mergeCells>
  <conditionalFormatting sqref="B8">
    <cfRule type="expression" dxfId="1" priority="2">
      <formula>LEFT($B$8,1)="p"</formula>
    </cfRule>
  </conditionalFormatting>
  <pageMargins left="0.7" right="0.7" top="0.75" bottom="0.75" header="0.3" footer="0.3"/>
  <pageSetup paperSize="9" orientation="portrait" horizontalDpi="1200" verticalDpi="1200" r:id="rId1"/>
  <headerFooter>
    <oddFooter>&amp;R&amp;10&amp;K01+030© 2023 SMARTAIR DIFFUSION</oddFooter>
  </headerFooter>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03" id="{56A280DF-F9DF-4978-A28A-ADA994115CF3}">
            <xm:f>Data!#REF!&lt;Data!#REF!</xm:f>
            <x14:dxf>
              <font>
                <color rgb="FFC00000"/>
              </font>
            </x14:dxf>
          </x14:cfRule>
          <xm:sqref>B14:B15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4504A946ECCA4C952722432686889E" ma:contentTypeVersion="18" ma:contentTypeDescription="Create a new document." ma:contentTypeScope="" ma:versionID="24da48cf75f9bf0b3e5df95da4e49eef">
  <xsd:schema xmlns:xsd="http://www.w3.org/2001/XMLSchema" xmlns:xs="http://www.w3.org/2001/XMLSchema" xmlns:p="http://schemas.microsoft.com/office/2006/metadata/properties" xmlns:ns2="14bbb3e3-3c65-4cbd-bb41-bc965094d10a" xmlns:ns3="376dd4ba-df4a-4846-a89c-1b53ce3cc703" targetNamespace="http://schemas.microsoft.com/office/2006/metadata/properties" ma:root="true" ma:fieldsID="642a4977956073b86c85c9bb1891e1f6" ns2:_="" ns3:_="">
    <xsd:import namespace="14bbb3e3-3c65-4cbd-bb41-bc965094d10a"/>
    <xsd:import namespace="376dd4ba-df4a-4846-a89c-1b53ce3cc70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bbb3e3-3c65-4cbd-bb41-bc965094d1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5099de3-f43e-464c-81e1-892210f7193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6dd4ba-df4a-4846-a89c-1b53ce3cc70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2a1b3306-80d9-4625-86be-7037c69e3b39}" ma:internalName="TaxCatchAll" ma:showField="CatchAllData" ma:web="376dd4ba-df4a-4846-a89c-1b53ce3cc7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4bbb3e3-3c65-4cbd-bb41-bc965094d10a">
      <Terms xmlns="http://schemas.microsoft.com/office/infopath/2007/PartnerControls"/>
    </lcf76f155ced4ddcb4097134ff3c332f>
    <TaxCatchAll xmlns="376dd4ba-df4a-4846-a89c-1b53ce3cc703" xsi:nil="true"/>
  </documentManagement>
</p:properties>
</file>

<file path=customXml/itemProps1.xml><?xml version="1.0" encoding="utf-8"?>
<ds:datastoreItem xmlns:ds="http://schemas.openxmlformats.org/officeDocument/2006/customXml" ds:itemID="{D58099B2-9504-4806-9D62-6D81ABA4E2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bbb3e3-3c65-4cbd-bb41-bc965094d10a"/>
    <ds:schemaRef ds:uri="376dd4ba-df4a-4846-a89c-1b53ce3cc7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0E4E94-5441-48B8-81FC-014CC02ED9F1}">
  <ds:schemaRefs>
    <ds:schemaRef ds:uri="http://schemas.microsoft.com/sharepoint/v3/contenttype/forms"/>
  </ds:schemaRefs>
</ds:datastoreItem>
</file>

<file path=customXml/itemProps3.xml><?xml version="1.0" encoding="utf-8"?>
<ds:datastoreItem xmlns:ds="http://schemas.openxmlformats.org/officeDocument/2006/customXml" ds:itemID="{CC6BB1BF-9276-48FC-9FB2-1D08A5929131}">
  <ds:schemaRefs>
    <ds:schemaRef ds:uri="http://schemas.microsoft.com/office/2006/metadata/properties"/>
    <ds:schemaRef ds:uri="http://schemas.microsoft.com/office/infopath/2007/PartnerControls"/>
    <ds:schemaRef ds:uri="14bbb3e3-3c65-4cbd-bb41-bc965094d10a"/>
    <ds:schemaRef ds:uri="376dd4ba-df4a-4846-a89c-1b53ce3cc70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HSC-FD</vt:lpstr>
      <vt:lpstr>HSC-FD Equations</vt:lpstr>
      <vt:lpstr>Data</vt:lpstr>
      <vt:lpstr>Reducer Selector</vt:lpstr>
      <vt:lpstr>Notes</vt:lpstr>
      <vt:lpstr>Plenum Box Details</vt:lpstr>
      <vt:lpstr>Box Diagrams</vt:lpstr>
      <vt:lpstr>layout diagrams</vt:lpstr>
      <vt:lpstr>Selection Summary</vt:lpstr>
      <vt:lpstr>_order_code</vt:lpstr>
      <vt:lpstr>adpi.</vt:lpstr>
      <vt:lpstr>dischargedirection.</vt:lpstr>
      <vt:lpstr>necksize.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HSC-FD Selection</dc:title>
  <dc:subject/>
  <dc:creator>Peter Tran</dc:creator>
  <cp:keywords/>
  <dc:description/>
  <cp:lastModifiedBy>Peter Tran</cp:lastModifiedBy>
  <cp:revision/>
  <dcterms:created xsi:type="dcterms:W3CDTF">2016-08-19T02:09:50Z</dcterms:created>
  <dcterms:modified xsi:type="dcterms:W3CDTF">2025-09-13T13:03:00Z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0x010100E34504A946ECCA4C952722432686889E</vt:lpwstr>
  </property>
  <property fmtid="{D5CDD505-2E9C-101B-9397-08002B2CF9AE}" pid="3" name="MediaServiceImageTags">
    <vt:lpwstr/>
  </property>
</Properties>
</file>