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drawings/drawing6.xml" ContentType="application/vnd.openxmlformats-officedocument.drawing+xml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drawings/drawing7.xml" ContentType="application/vnd.openxmlformats-officedocument.drawing+xml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drawings/drawing8.xml" ContentType="application/vnd.openxmlformats-officedocument.drawing+xml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drawings/drawing9.xml" ContentType="application/vnd.openxmlformats-officedocument.drawing+xml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drawings/drawing10.xml" ContentType="application/vnd.openxmlformats-officedocument.drawing+xml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88369f42e4cf940/Documents/Work/Smartair/BMW-AD/"/>
    </mc:Choice>
  </mc:AlternateContent>
  <xr:revisionPtr revIDLastSave="875" documentId="13_ncr:1_{11006F34-0F57-4C37-863A-AA76763BA184}" xr6:coauthVersionLast="47" xr6:coauthVersionMax="47" xr10:uidLastSave="{DA24FE00-1C8C-4C1C-9B8A-B1C597998D5C}"/>
  <workbookProtection workbookAlgorithmName="SHA-512" workbookHashValue="zFRllq2jUXtXB1Z4ua83c4zCZxyNaZV3n1nX+Mzw0TZgY+13DzEkSa8dRAAKUhvdAFlx9DyoQKiPAyAtD8RQwg==" workbookSaltValue="SbHjTCCHv7b62Isw+8WCtQ==" workbookSpinCount="100000" lockStructure="1"/>
  <bookViews>
    <workbookView xWindow="-120" yWindow="-120" windowWidth="56790" windowHeight="24240" xr2:uid="{6CDA51A1-DA2D-4702-89C3-EDBF051A33C3}"/>
  </bookViews>
  <sheets>
    <sheet name="BMW-AD-Std Size Calculator" sheetId="9" r:id="rId1"/>
    <sheet name="BMW_Std_Eqn" sheetId="13" state="hidden" r:id="rId2"/>
    <sheet name="BMW-Std-selection" sheetId="10" state="hidden" r:id="rId3"/>
    <sheet name="BMW-AD Std Summary" sheetId="17" r:id="rId4"/>
    <sheet name="BMW-AD Bespoke Calculator" sheetId="12" r:id="rId5"/>
    <sheet name="BMW_Be_Eqn" sheetId="18" state="hidden" r:id="rId6"/>
    <sheet name="BMW-Be-Selection" sheetId="19" state="hidden" r:id="rId7"/>
    <sheet name="BMW-AD Bespoke Summary" sheetId="16" r:id="rId8"/>
    <sheet name="Tables Old" sheetId="1" state="hidden" r:id="rId9"/>
    <sheet name="DN600, DN950, DN1500 Calculator" sheetId="8" state="hidden" r:id="rId10"/>
    <sheet name="old Bespoke Calculator" sheetId="7" state="hidden" r:id="rId11"/>
    <sheet name="DN 600" sheetId="4" state="hidden" r:id="rId12"/>
    <sheet name="DN 950" sheetId="5" state="hidden" r:id="rId13"/>
    <sheet name="DN 1500" sheetId="6" state="hidden" r:id="rId14"/>
  </sheets>
  <definedNames>
    <definedName name="adpi.">'BMW-Std-selection'!$A$2:$A$5</definedName>
    <definedName name="solver_adj" localSheetId="0" hidden="1">'BMW-AD-Std Size Calculator'!$E$8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'BMW-AD-Std Size Calculator'!$I$34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30</definedName>
    <definedName name="solver_ver" localSheetId="0" hidden="1">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9" i="18" l="1"/>
  <c r="B91" i="19" l="1"/>
  <c r="Q269" i="13"/>
  <c r="D66" i="13"/>
  <c r="E66" i="13"/>
  <c r="F66" i="13"/>
  <c r="G66" i="13"/>
  <c r="H66" i="13"/>
  <c r="I66" i="13"/>
  <c r="J66" i="13"/>
  <c r="K66" i="13"/>
  <c r="L66" i="13"/>
  <c r="M66" i="13"/>
  <c r="N66" i="13"/>
  <c r="C66" i="13"/>
  <c r="D64" i="13"/>
  <c r="D71" i="13" s="1"/>
  <c r="E64" i="13"/>
  <c r="E71" i="13" s="1"/>
  <c r="F64" i="13"/>
  <c r="F71" i="13" s="1"/>
  <c r="G64" i="13"/>
  <c r="G71" i="13" s="1"/>
  <c r="H64" i="13"/>
  <c r="I64" i="13"/>
  <c r="I71" i="13" s="1"/>
  <c r="J64" i="13"/>
  <c r="K64" i="13"/>
  <c r="K71" i="13" s="1"/>
  <c r="L64" i="13"/>
  <c r="L71" i="13" s="1"/>
  <c r="M64" i="13"/>
  <c r="M71" i="13" s="1"/>
  <c r="N64" i="13"/>
  <c r="N71" i="13" s="1"/>
  <c r="C64" i="13"/>
  <c r="C71" i="13" s="1"/>
  <c r="D69" i="19"/>
  <c r="D63" i="10"/>
  <c r="H71" i="13"/>
  <c r="J71" i="13"/>
  <c r="B3" i="16"/>
  <c r="C69" i="19"/>
  <c r="B69" i="19"/>
  <c r="F102" i="19" s="1"/>
  <c r="B144" i="19" l="1"/>
  <c r="B9" i="19"/>
  <c r="B10" i="19"/>
  <c r="B11" i="19"/>
  <c r="B12" i="19"/>
  <c r="B13" i="19"/>
  <c r="B14" i="19"/>
  <c r="B15" i="19"/>
  <c r="B16" i="19"/>
  <c r="B8" i="19"/>
  <c r="C63" i="10" l="1"/>
  <c r="B143" i="10" s="1"/>
  <c r="B63" i="10"/>
  <c r="F98" i="10" s="1"/>
  <c r="H64" i="9" l="1"/>
  <c r="A90" i="10"/>
  <c r="B41" i="17" s="1"/>
  <c r="B136" i="10"/>
  <c r="B4" i="13"/>
  <c r="B40" i="13"/>
  <c r="I209" i="13"/>
  <c r="B173" i="19" l="1"/>
  <c r="B178" i="10"/>
  <c r="A191" i="10"/>
  <c r="A29" i="17" s="1"/>
  <c r="B170" i="10"/>
  <c r="A185" i="19"/>
  <c r="B164" i="19"/>
  <c r="B172" i="19" s="1"/>
  <c r="B155" i="19" l="1"/>
  <c r="J38" i="12" s="1"/>
  <c r="C108" i="19"/>
  <c r="D39" i="12" s="1"/>
  <c r="B150" i="10"/>
  <c r="T30" i="9" s="1"/>
  <c r="E106" i="10"/>
  <c r="C31" i="9" s="1"/>
  <c r="C90" i="19"/>
  <c r="B90" i="19"/>
  <c r="I102" i="19" s="1"/>
  <c r="C35" i="19"/>
  <c r="B35" i="19"/>
  <c r="C40" i="19" s="1"/>
  <c r="B102" i="19" s="1"/>
  <c r="C84" i="10"/>
  <c r="B84" i="10"/>
  <c r="I98" i="10" s="1"/>
  <c r="C14" i="10"/>
  <c r="B14" i="10"/>
  <c r="B98" i="10" s="1"/>
  <c r="M270" i="13" l="1"/>
  <c r="L270" i="13"/>
  <c r="K270" i="13"/>
  <c r="J270" i="13"/>
  <c r="E270" i="13"/>
  <c r="I270" i="13"/>
  <c r="P270" i="13"/>
  <c r="H270" i="13"/>
  <c r="O270" i="13"/>
  <c r="G270" i="13"/>
  <c r="N270" i="13"/>
  <c r="F270" i="13"/>
  <c r="D101" i="19"/>
  <c r="E101" i="19"/>
  <c r="D97" i="10"/>
  <c r="E97" i="10"/>
  <c r="B18" i="18" l="1"/>
  <c r="B23" i="18" l="1"/>
  <c r="B142" i="19"/>
  <c r="B141" i="10"/>
  <c r="B138" i="19" l="1"/>
  <c r="B137" i="10"/>
  <c r="B22" i="16"/>
  <c r="B141" i="19"/>
  <c r="B139" i="19"/>
  <c r="C86" i="19"/>
  <c r="A99" i="19" s="1"/>
  <c r="B45" i="16" s="1"/>
  <c r="B86" i="19"/>
  <c r="H102" i="19" s="1"/>
  <c r="C78" i="19"/>
  <c r="B78" i="19"/>
  <c r="G102" i="19" s="1"/>
  <c r="C61" i="19"/>
  <c r="A97" i="19" s="1"/>
  <c r="B43" i="16" s="1"/>
  <c r="B61" i="19"/>
  <c r="C52" i="19"/>
  <c r="B174" i="19" s="1"/>
  <c r="A30" i="16" s="1"/>
  <c r="B52" i="19"/>
  <c r="B3" i="19"/>
  <c r="B4" i="19"/>
  <c r="B40" i="19" l="1"/>
  <c r="A96" i="19"/>
  <c r="B42" i="16" s="1"/>
  <c r="D78" i="19"/>
  <c r="A98" i="19" s="1"/>
  <c r="B44" i="16" s="1"/>
  <c r="V7" i="12"/>
  <c r="C5" i="18" l="1"/>
  <c r="C183" i="18" s="1"/>
  <c r="C4" i="18"/>
  <c r="C138" i="19" s="1"/>
  <c r="F29" i="12" l="1"/>
  <c r="D138" i="19"/>
  <c r="C75" i="18"/>
  <c r="C76" i="18"/>
  <c r="B50" i="18"/>
  <c r="B47" i="18"/>
  <c r="B42" i="18"/>
  <c r="B37" i="18"/>
  <c r="B36" i="18"/>
  <c r="B19" i="18"/>
  <c r="B33" i="18" s="1"/>
  <c r="B17" i="18"/>
  <c r="B222" i="18" s="1"/>
  <c r="B16" i="18"/>
  <c r="B15" i="18"/>
  <c r="B7" i="18"/>
  <c r="B4" i="18"/>
  <c r="E219" i="18" s="1"/>
  <c r="E220" i="18" s="1"/>
  <c r="E297" i="18"/>
  <c r="E328" i="18" s="1"/>
  <c r="B6" i="18"/>
  <c r="B135" i="19" s="1"/>
  <c r="B140" i="19" s="1"/>
  <c r="B147" i="19" s="1"/>
  <c r="D5" i="18"/>
  <c r="C199" i="18" s="1"/>
  <c r="D304" i="18"/>
  <c r="C83" i="18" l="1"/>
  <c r="C79" i="18"/>
  <c r="C78" i="18"/>
  <c r="C80" i="18"/>
  <c r="C82" i="18" s="1"/>
  <c r="C81" i="18"/>
  <c r="C77" i="18"/>
  <c r="E268" i="18" s="1"/>
  <c r="B51" i="18"/>
  <c r="D58" i="18"/>
  <c r="B14" i="16"/>
  <c r="B186" i="18"/>
  <c r="B185" i="18"/>
  <c r="B9" i="18"/>
  <c r="B10" i="18"/>
  <c r="E267" i="18"/>
  <c r="E298" i="18" s="1"/>
  <c r="E329" i="18" s="1"/>
  <c r="B39" i="18"/>
  <c r="B38" i="18"/>
  <c r="B187" i="18" s="1"/>
  <c r="B49" i="18"/>
  <c r="B48" i="18"/>
  <c r="D59" i="18"/>
  <c r="D60" i="18"/>
  <c r="A61" i="18"/>
  <c r="B14" i="18"/>
  <c r="D4" i="18"/>
  <c r="G43" i="12" s="1"/>
  <c r="E38" i="18"/>
  <c r="B21" i="17"/>
  <c r="B140" i="10"/>
  <c r="B138" i="10"/>
  <c r="C86" i="18" l="1"/>
  <c r="C87" i="18" s="1"/>
  <c r="C84" i="18"/>
  <c r="E272" i="18" s="1"/>
  <c r="C88" i="18"/>
  <c r="C89" i="18" s="1"/>
  <c r="C85" i="18"/>
  <c r="C214" i="18" s="1"/>
  <c r="E269" i="18"/>
  <c r="E300" i="18" s="1"/>
  <c r="E331" i="18" s="1"/>
  <c r="B109" i="19" s="1"/>
  <c r="F219" i="18"/>
  <c r="F220" i="18" s="1"/>
  <c r="E299" i="18"/>
  <c r="B52" i="18"/>
  <c r="C90" i="18" s="1"/>
  <c r="H37" i="12"/>
  <c r="B107" i="19"/>
  <c r="B11" i="18"/>
  <c r="H9" i="12" s="1"/>
  <c r="E273" i="18"/>
  <c r="E304" i="18" s="1"/>
  <c r="E335" i="18" s="1"/>
  <c r="E271" i="18"/>
  <c r="E270" i="18"/>
  <c r="D38" i="18"/>
  <c r="G27" i="12" s="1"/>
  <c r="B22" i="18"/>
  <c r="B40" i="18"/>
  <c r="C80" i="10"/>
  <c r="A92" i="10" s="1"/>
  <c r="B43" i="17" s="1"/>
  <c r="B80" i="10"/>
  <c r="H98" i="10" s="1"/>
  <c r="C72" i="10"/>
  <c r="B72" i="10"/>
  <c r="G98" i="10" s="1"/>
  <c r="C55" i="10"/>
  <c r="B55" i="10"/>
  <c r="E98" i="10" s="1"/>
  <c r="C46" i="10"/>
  <c r="A88" i="10" s="1"/>
  <c r="B46" i="10"/>
  <c r="D98" i="10" s="1"/>
  <c r="B31" i="10"/>
  <c r="C31" i="10"/>
  <c r="B15" i="13"/>
  <c r="B32" i="10" l="1"/>
  <c r="C98" i="10" s="1"/>
  <c r="B99" i="10" s="1"/>
  <c r="B33" i="10"/>
  <c r="A87" i="10"/>
  <c r="E274" i="18"/>
  <c r="E305" i="18" s="1"/>
  <c r="E336" i="18" s="1"/>
  <c r="H44" i="12" s="1"/>
  <c r="C93" i="18"/>
  <c r="C96" i="18" s="1"/>
  <c r="E276" i="18"/>
  <c r="C95" i="18"/>
  <c r="D40" i="18"/>
  <c r="G29" i="12" s="1"/>
  <c r="B191" i="18"/>
  <c r="B189" i="18" s="1"/>
  <c r="B190" i="18" s="1"/>
  <c r="H39" i="12"/>
  <c r="A89" i="10"/>
  <c r="B40" i="17" s="1"/>
  <c r="B39" i="17"/>
  <c r="H43" i="12"/>
  <c r="B113" i="19"/>
  <c r="B148" i="19" s="1"/>
  <c r="C94" i="18"/>
  <c r="C232" i="18"/>
  <c r="C125" i="18"/>
  <c r="C132" i="18" s="1"/>
  <c r="C233" i="18"/>
  <c r="E330" i="18"/>
  <c r="B108" i="19" s="1"/>
  <c r="B41" i="19" s="1"/>
  <c r="E301" i="18"/>
  <c r="E332" i="18" s="1"/>
  <c r="E302" i="18"/>
  <c r="E333" i="18" s="1"/>
  <c r="C122" i="18"/>
  <c r="E275" i="18"/>
  <c r="E306" i="18" s="1"/>
  <c r="E337" i="18" s="1"/>
  <c r="D72" i="10"/>
  <c r="A91" i="10" s="1"/>
  <c r="B42" i="17" s="1"/>
  <c r="B179" i="10"/>
  <c r="A30" i="17" s="1"/>
  <c r="C5" i="13"/>
  <c r="B6" i="13"/>
  <c r="C4" i="13"/>
  <c r="C137" i="10" s="1"/>
  <c r="B9" i="16" l="1"/>
  <c r="A94" i="19"/>
  <c r="B40" i="16" s="1"/>
  <c r="B114" i="19"/>
  <c r="B160" i="19" s="1"/>
  <c r="B18" i="16" s="1"/>
  <c r="B15" i="16"/>
  <c r="B133" i="10"/>
  <c r="B139" i="10" s="1"/>
  <c r="B159" i="10" s="1"/>
  <c r="B13" i="17" s="1"/>
  <c r="B29" i="13"/>
  <c r="H41" i="12"/>
  <c r="B111" i="19"/>
  <c r="B45" i="17"/>
  <c r="D5" i="13"/>
  <c r="D137" i="10"/>
  <c r="B36" i="17"/>
  <c r="B9" i="17"/>
  <c r="H40" i="12"/>
  <c r="B110" i="19"/>
  <c r="H38" i="12"/>
  <c r="H45" i="12"/>
  <c r="B115" i="19"/>
  <c r="B161" i="19" s="1"/>
  <c r="B19" i="16" s="1"/>
  <c r="C123" i="18"/>
  <c r="C124" i="18"/>
  <c r="D4" i="13"/>
  <c r="F35" i="9" s="1"/>
  <c r="P17" i="9"/>
  <c r="E28" i="13"/>
  <c r="D305" i="13"/>
  <c r="E299" i="13"/>
  <c r="E330" i="13" s="1"/>
  <c r="F299" i="13"/>
  <c r="F330" i="13" s="1"/>
  <c r="G299" i="13"/>
  <c r="G330" i="13" s="1"/>
  <c r="H299" i="13"/>
  <c r="H330" i="13" s="1"/>
  <c r="I299" i="13"/>
  <c r="I330" i="13" s="1"/>
  <c r="J299" i="13"/>
  <c r="J330" i="13" s="1"/>
  <c r="K299" i="13"/>
  <c r="K330" i="13" s="1"/>
  <c r="L299" i="13"/>
  <c r="L330" i="13" s="1"/>
  <c r="M299" i="13"/>
  <c r="M330" i="13" s="1"/>
  <c r="N299" i="13"/>
  <c r="N330" i="13" s="1"/>
  <c r="O299" i="13"/>
  <c r="O330" i="13" s="1"/>
  <c r="P299" i="13"/>
  <c r="P330" i="13" s="1"/>
  <c r="F298" i="13"/>
  <c r="F329" i="13" s="1"/>
  <c r="G298" i="13"/>
  <c r="G329" i="13" s="1"/>
  <c r="H298" i="13"/>
  <c r="H329" i="13" s="1"/>
  <c r="I298" i="13"/>
  <c r="I329" i="13" s="1"/>
  <c r="J298" i="13"/>
  <c r="J329" i="13" s="1"/>
  <c r="K298" i="13"/>
  <c r="K329" i="13" s="1"/>
  <c r="L298" i="13"/>
  <c r="L329" i="13" s="1"/>
  <c r="M298" i="13"/>
  <c r="M329" i="13" s="1"/>
  <c r="N298" i="13"/>
  <c r="N329" i="13" s="1"/>
  <c r="O298" i="13"/>
  <c r="O329" i="13" s="1"/>
  <c r="P298" i="13"/>
  <c r="P329" i="13" s="1"/>
  <c r="E298" i="13"/>
  <c r="E329" i="13" s="1"/>
  <c r="E301" i="13"/>
  <c r="E332" i="13" s="1"/>
  <c r="G31" i="9" s="1"/>
  <c r="F301" i="13"/>
  <c r="F332" i="13" s="1"/>
  <c r="H31" i="9" s="1"/>
  <c r="G301" i="13"/>
  <c r="G332" i="13" s="1"/>
  <c r="I31" i="9" s="1"/>
  <c r="H301" i="13"/>
  <c r="H332" i="13" s="1"/>
  <c r="J31" i="9" s="1"/>
  <c r="I301" i="13"/>
  <c r="I332" i="13" s="1"/>
  <c r="K31" i="9" s="1"/>
  <c r="J301" i="13"/>
  <c r="J332" i="13" s="1"/>
  <c r="L31" i="9" s="1"/>
  <c r="K301" i="13"/>
  <c r="K332" i="13" s="1"/>
  <c r="L301" i="13"/>
  <c r="L332" i="13" s="1"/>
  <c r="N31" i="9" s="1"/>
  <c r="M301" i="13"/>
  <c r="M332" i="13" s="1"/>
  <c r="O31" i="9" s="1"/>
  <c r="N301" i="13"/>
  <c r="N332" i="13" s="1"/>
  <c r="P31" i="9" s="1"/>
  <c r="O301" i="13"/>
  <c r="O332" i="13" s="1"/>
  <c r="Q31" i="9" s="1"/>
  <c r="P301" i="13"/>
  <c r="P332" i="13" s="1"/>
  <c r="R31" i="9" s="1"/>
  <c r="E272" i="13"/>
  <c r="E303" i="13" s="1"/>
  <c r="E334" i="13" s="1"/>
  <c r="G33" i="9" s="1"/>
  <c r="F272" i="13"/>
  <c r="F303" i="13" s="1"/>
  <c r="F334" i="13" s="1"/>
  <c r="H33" i="9" s="1"/>
  <c r="G272" i="13"/>
  <c r="G303" i="13" s="1"/>
  <c r="G334" i="13" s="1"/>
  <c r="I33" i="9" s="1"/>
  <c r="H272" i="13"/>
  <c r="H303" i="13" s="1"/>
  <c r="H334" i="13" s="1"/>
  <c r="J33" i="9" s="1"/>
  <c r="I272" i="13"/>
  <c r="I303" i="13" s="1"/>
  <c r="I334" i="13" s="1"/>
  <c r="K33" i="9" s="1"/>
  <c r="J272" i="13"/>
  <c r="J303" i="13" s="1"/>
  <c r="J334" i="13" s="1"/>
  <c r="L33" i="9" s="1"/>
  <c r="K272" i="13"/>
  <c r="K303" i="13" s="1"/>
  <c r="K334" i="13" s="1"/>
  <c r="L272" i="13"/>
  <c r="L303" i="13" s="1"/>
  <c r="L334" i="13" s="1"/>
  <c r="N33" i="9" s="1"/>
  <c r="M272" i="13"/>
  <c r="M303" i="13" s="1"/>
  <c r="M334" i="13" s="1"/>
  <c r="O33" i="9" s="1"/>
  <c r="N272" i="13"/>
  <c r="N303" i="13" s="1"/>
  <c r="N334" i="13" s="1"/>
  <c r="P33" i="9" s="1"/>
  <c r="O272" i="13"/>
  <c r="O303" i="13" s="1"/>
  <c r="O334" i="13" s="1"/>
  <c r="Q33" i="9" s="1"/>
  <c r="P272" i="13"/>
  <c r="P303" i="13" s="1"/>
  <c r="P334" i="13" s="1"/>
  <c r="R33" i="9" s="1"/>
  <c r="C212" i="13" l="1"/>
  <c r="C192" i="13"/>
  <c r="B42" i="19"/>
  <c r="A95" i="19" s="1"/>
  <c r="B41" i="16" s="1"/>
  <c r="F68" i="9"/>
  <c r="D105" i="10"/>
  <c r="M31" i="9"/>
  <c r="D107" i="10"/>
  <c r="M33" i="9"/>
  <c r="D109" i="10"/>
  <c r="B7" i="13"/>
  <c r="B27" i="13"/>
  <c r="B26" i="13"/>
  <c r="B32" i="13"/>
  <c r="B10" i="16" l="1"/>
  <c r="B195" i="13"/>
  <c r="B194" i="13"/>
  <c r="B28" i="13"/>
  <c r="B196" i="13" l="1"/>
  <c r="C102" i="19"/>
  <c r="B16" i="13"/>
  <c r="B37" i="13"/>
  <c r="C72" i="13" s="1"/>
  <c r="B14" i="13"/>
  <c r="B11" i="13"/>
  <c r="B13" i="13"/>
  <c r="B10" i="13"/>
  <c r="C73" i="13" s="1"/>
  <c r="C74" i="13" s="1"/>
  <c r="C69" i="13" l="1"/>
  <c r="E273" i="13" s="1"/>
  <c r="H69" i="13"/>
  <c r="J273" i="13" s="1"/>
  <c r="J69" i="13"/>
  <c r="L273" i="13" s="1"/>
  <c r="F69" i="13"/>
  <c r="H273" i="13" s="1"/>
  <c r="I69" i="13"/>
  <c r="K273" i="13" s="1"/>
  <c r="K69" i="13"/>
  <c r="M273" i="13" s="1"/>
  <c r="N69" i="13"/>
  <c r="P273" i="13" s="1"/>
  <c r="D69" i="13"/>
  <c r="F273" i="13" s="1"/>
  <c r="L69" i="13"/>
  <c r="N273" i="13" s="1"/>
  <c r="E69" i="13"/>
  <c r="G273" i="13" s="1"/>
  <c r="M69" i="13"/>
  <c r="O273" i="13" s="1"/>
  <c r="G69" i="13"/>
  <c r="I273" i="13" s="1"/>
  <c r="H70" i="13"/>
  <c r="I70" i="13"/>
  <c r="N70" i="13"/>
  <c r="J70" i="13"/>
  <c r="E70" i="13"/>
  <c r="C70" i="13"/>
  <c r="K70" i="13"/>
  <c r="M70" i="13"/>
  <c r="D70" i="13"/>
  <c r="L70" i="13"/>
  <c r="F70" i="13"/>
  <c r="G70" i="13"/>
  <c r="H73" i="13"/>
  <c r="D73" i="13"/>
  <c r="L73" i="13"/>
  <c r="E73" i="13"/>
  <c r="M73" i="13"/>
  <c r="N73" i="13"/>
  <c r="G73" i="13"/>
  <c r="I73" i="13"/>
  <c r="K73" i="13"/>
  <c r="J73" i="13"/>
  <c r="F73" i="13"/>
  <c r="B38" i="13"/>
  <c r="J38" i="13"/>
  <c r="A51" i="13"/>
  <c r="D28" i="13"/>
  <c r="Q15" i="9" s="1"/>
  <c r="G72" i="13"/>
  <c r="I274" i="13" s="1"/>
  <c r="E274" i="13"/>
  <c r="H72" i="13"/>
  <c r="J274" i="13" s="1"/>
  <c r="I72" i="13"/>
  <c r="K274" i="13" s="1"/>
  <c r="J72" i="13"/>
  <c r="L274" i="13" s="1"/>
  <c r="N72" i="13"/>
  <c r="P274" i="13" s="1"/>
  <c r="K72" i="13"/>
  <c r="M274" i="13" s="1"/>
  <c r="D72" i="13"/>
  <c r="F274" i="13" s="1"/>
  <c r="L72" i="13"/>
  <c r="N274" i="13" s="1"/>
  <c r="E72" i="13"/>
  <c r="G274" i="13" s="1"/>
  <c r="M72" i="13"/>
  <c r="O274" i="13" s="1"/>
  <c r="F72" i="13"/>
  <c r="H274" i="13" s="1"/>
  <c r="B223" i="13"/>
  <c r="B23" i="13"/>
  <c r="B41" i="13" s="1"/>
  <c r="B39" i="13"/>
  <c r="H55" i="13"/>
  <c r="B42" i="13" l="1"/>
  <c r="M305" i="13"/>
  <c r="M336" i="13" s="1"/>
  <c r="O35" i="9" s="1"/>
  <c r="F305" i="13"/>
  <c r="F336" i="13" s="1"/>
  <c r="H35" i="9" s="1"/>
  <c r="P305" i="13"/>
  <c r="P336" i="13" s="1"/>
  <c r="R35" i="9" s="1"/>
  <c r="L305" i="13"/>
  <c r="L336" i="13" s="1"/>
  <c r="N35" i="9" s="1"/>
  <c r="H305" i="13"/>
  <c r="H336" i="13" s="1"/>
  <c r="J35" i="9" s="1"/>
  <c r="K305" i="13"/>
  <c r="K336" i="13" s="1"/>
  <c r="G305" i="13"/>
  <c r="G336" i="13" s="1"/>
  <c r="I35" i="9" s="1"/>
  <c r="O305" i="13"/>
  <c r="O336" i="13" s="1"/>
  <c r="Q35" i="9" s="1"/>
  <c r="J305" i="13"/>
  <c r="J336" i="13" s="1"/>
  <c r="L35" i="9" s="1"/>
  <c r="E305" i="13"/>
  <c r="E336" i="13" s="1"/>
  <c r="G35" i="9" s="1"/>
  <c r="N305" i="13"/>
  <c r="N336" i="13" s="1"/>
  <c r="P35" i="9" s="1"/>
  <c r="I305" i="13"/>
  <c r="I336" i="13" s="1"/>
  <c r="K35" i="9" s="1"/>
  <c r="N74" i="13"/>
  <c r="P276" i="13" s="1"/>
  <c r="P307" i="13" s="1"/>
  <c r="P275" i="13"/>
  <c r="P306" i="13" s="1"/>
  <c r="M74" i="13"/>
  <c r="O276" i="13" s="1"/>
  <c r="O307" i="13" s="1"/>
  <c r="O275" i="13"/>
  <c r="O306" i="13" s="1"/>
  <c r="K74" i="13"/>
  <c r="M276" i="13" s="1"/>
  <c r="M307" i="13" s="1"/>
  <c r="M275" i="13"/>
  <c r="M306" i="13" s="1"/>
  <c r="F74" i="13"/>
  <c r="H276" i="13" s="1"/>
  <c r="H307" i="13" s="1"/>
  <c r="H275" i="13"/>
  <c r="H306" i="13" s="1"/>
  <c r="G74" i="13"/>
  <c r="I276" i="13" s="1"/>
  <c r="I307" i="13" s="1"/>
  <c r="I275" i="13"/>
  <c r="I306" i="13" s="1"/>
  <c r="L74" i="13"/>
  <c r="N276" i="13" s="1"/>
  <c r="N307" i="13" s="1"/>
  <c r="N275" i="13"/>
  <c r="N306" i="13" s="1"/>
  <c r="E276" i="13"/>
  <c r="E307" i="13" s="1"/>
  <c r="E275" i="13"/>
  <c r="E306" i="13" s="1"/>
  <c r="H74" i="13"/>
  <c r="J276" i="13" s="1"/>
  <c r="J307" i="13" s="1"/>
  <c r="J275" i="13"/>
  <c r="J306" i="13" s="1"/>
  <c r="I74" i="13"/>
  <c r="K276" i="13" s="1"/>
  <c r="K307" i="13" s="1"/>
  <c r="K275" i="13"/>
  <c r="K306" i="13" s="1"/>
  <c r="E74" i="13"/>
  <c r="G276" i="13" s="1"/>
  <c r="G307" i="13" s="1"/>
  <c r="G275" i="13"/>
  <c r="G306" i="13" s="1"/>
  <c r="J74" i="13"/>
  <c r="L276" i="13" s="1"/>
  <c r="L307" i="13" s="1"/>
  <c r="L275" i="13"/>
  <c r="L306" i="13" s="1"/>
  <c r="D74" i="13"/>
  <c r="F276" i="13" s="1"/>
  <c r="F307" i="13" s="1"/>
  <c r="F275" i="13"/>
  <c r="F306" i="13" s="1"/>
  <c r="B12" i="13"/>
  <c r="C107" i="13" s="1"/>
  <c r="D215" i="13"/>
  <c r="L215" i="13"/>
  <c r="H215" i="13"/>
  <c r="K215" i="13"/>
  <c r="E215" i="13"/>
  <c r="M215" i="13"/>
  <c r="F215" i="13"/>
  <c r="N215" i="13"/>
  <c r="G215" i="13"/>
  <c r="C215" i="13"/>
  <c r="I215" i="13"/>
  <c r="J215" i="13"/>
  <c r="D48" i="13"/>
  <c r="D49" i="13"/>
  <c r="D50" i="13"/>
  <c r="B30" i="13"/>
  <c r="D110" i="13" l="1"/>
  <c r="D117" i="13" s="1"/>
  <c r="C80" i="13"/>
  <c r="C87" i="13" s="1"/>
  <c r="C75" i="13"/>
  <c r="C78" i="13"/>
  <c r="C79" i="13"/>
  <c r="N78" i="13"/>
  <c r="N95" i="13" s="1"/>
  <c r="C109" i="13"/>
  <c r="D78" i="13"/>
  <c r="D81" i="13" s="1"/>
  <c r="D79" i="13"/>
  <c r="D96" i="13" s="1"/>
  <c r="L79" i="13"/>
  <c r="L96" i="13" s="1"/>
  <c r="E79" i="13"/>
  <c r="E86" i="13" s="1"/>
  <c r="M79" i="13"/>
  <c r="M99" i="13" s="1"/>
  <c r="G79" i="13"/>
  <c r="G99" i="13" s="1"/>
  <c r="F79" i="13"/>
  <c r="F96" i="13" s="1"/>
  <c r="N79" i="13"/>
  <c r="N86" i="13" s="1"/>
  <c r="H79" i="13"/>
  <c r="I79" i="13"/>
  <c r="I99" i="13" s="1"/>
  <c r="J79" i="13"/>
  <c r="J99" i="13" s="1"/>
  <c r="K79" i="13"/>
  <c r="K99" i="13" s="1"/>
  <c r="E80" i="13"/>
  <c r="E97" i="13" s="1"/>
  <c r="M80" i="13"/>
  <c r="M90" i="13" s="1"/>
  <c r="G80" i="13"/>
  <c r="G97" i="13" s="1"/>
  <c r="L80" i="13"/>
  <c r="L100" i="13" s="1"/>
  <c r="F80" i="13"/>
  <c r="F100" i="13" s="1"/>
  <c r="N80" i="13"/>
  <c r="N97" i="13" s="1"/>
  <c r="D80" i="13"/>
  <c r="D97" i="13" s="1"/>
  <c r="H80" i="13"/>
  <c r="H97" i="13" s="1"/>
  <c r="J80" i="13"/>
  <c r="J100" i="13" s="1"/>
  <c r="I80" i="13"/>
  <c r="I90" i="13" s="1"/>
  <c r="K80" i="13"/>
  <c r="K100" i="13" s="1"/>
  <c r="D107" i="13"/>
  <c r="D108" i="13" s="1"/>
  <c r="F107" i="13"/>
  <c r="F109" i="13" s="1"/>
  <c r="N107" i="13"/>
  <c r="N108" i="13" s="1"/>
  <c r="L107" i="13"/>
  <c r="L108" i="13" s="1"/>
  <c r="G107" i="13"/>
  <c r="G109" i="13" s="1"/>
  <c r="I107" i="13"/>
  <c r="I108" i="13" s="1"/>
  <c r="M107" i="13"/>
  <c r="M108" i="13" s="1"/>
  <c r="H107" i="13"/>
  <c r="H109" i="13" s="1"/>
  <c r="J107" i="13"/>
  <c r="J108" i="13" s="1"/>
  <c r="K107" i="13"/>
  <c r="K108" i="13" s="1"/>
  <c r="E107" i="13"/>
  <c r="E108" i="13" s="1"/>
  <c r="G55" i="13"/>
  <c r="H56" i="13" s="1"/>
  <c r="C233" i="13"/>
  <c r="D30" i="13"/>
  <c r="Q17" i="9" s="1"/>
  <c r="B202" i="13"/>
  <c r="B200" i="13" s="1"/>
  <c r="B201" i="13" s="1"/>
  <c r="M35" i="9"/>
  <c r="D111" i="10"/>
  <c r="B160" i="10" s="1"/>
  <c r="G338" i="13"/>
  <c r="I37" i="9" s="1"/>
  <c r="N338" i="13"/>
  <c r="P37" i="9" s="1"/>
  <c r="O338" i="13"/>
  <c r="Q37" i="9" s="1"/>
  <c r="K338" i="13"/>
  <c r="I338" i="13"/>
  <c r="K37" i="9" s="1"/>
  <c r="P338" i="13"/>
  <c r="R37" i="9" s="1"/>
  <c r="F338" i="13"/>
  <c r="H37" i="9" s="1"/>
  <c r="J338" i="13"/>
  <c r="L37" i="9" s="1"/>
  <c r="H338" i="13"/>
  <c r="J37" i="9" s="1"/>
  <c r="L338" i="13"/>
  <c r="N37" i="9" s="1"/>
  <c r="E338" i="13"/>
  <c r="G37" i="9" s="1"/>
  <c r="M338" i="13"/>
  <c r="O37" i="9" s="1"/>
  <c r="J234" i="13"/>
  <c r="K234" i="13"/>
  <c r="D234" i="13"/>
  <c r="L234" i="13"/>
  <c r="N234" i="13"/>
  <c r="E234" i="13"/>
  <c r="M234" i="13"/>
  <c r="F234" i="13"/>
  <c r="G234" i="13"/>
  <c r="C234" i="13"/>
  <c r="H234" i="13"/>
  <c r="I234" i="13"/>
  <c r="L337" i="13"/>
  <c r="N36" i="9" s="1"/>
  <c r="E337" i="13"/>
  <c r="G36" i="9" s="1"/>
  <c r="M337" i="13"/>
  <c r="O36" i="9" s="1"/>
  <c r="G337" i="13"/>
  <c r="I36" i="9" s="1"/>
  <c r="N337" i="13"/>
  <c r="P36" i="9" s="1"/>
  <c r="O337" i="13"/>
  <c r="Q36" i="9" s="1"/>
  <c r="F337" i="13"/>
  <c r="H36" i="9" s="1"/>
  <c r="H337" i="13"/>
  <c r="J36" i="9" s="1"/>
  <c r="J337" i="13"/>
  <c r="L36" i="9" s="1"/>
  <c r="K337" i="13"/>
  <c r="I337" i="13"/>
  <c r="K36" i="9" s="1"/>
  <c r="P337" i="13"/>
  <c r="R36" i="9" s="1"/>
  <c r="H233" i="13"/>
  <c r="D233" i="13"/>
  <c r="H304" i="13"/>
  <c r="G304" i="13"/>
  <c r="O304" i="13"/>
  <c r="L304" i="13"/>
  <c r="M304" i="13"/>
  <c r="K304" i="13"/>
  <c r="J304" i="13"/>
  <c r="N304" i="13"/>
  <c r="I304" i="13"/>
  <c r="F304" i="13"/>
  <c r="E304" i="13"/>
  <c r="P304" i="13"/>
  <c r="I233" i="13"/>
  <c r="E233" i="13"/>
  <c r="G233" i="13"/>
  <c r="K233" i="13"/>
  <c r="M233" i="13"/>
  <c r="J233" i="13"/>
  <c r="N233" i="13"/>
  <c r="L233" i="13"/>
  <c r="F233" i="13"/>
  <c r="L78" i="13"/>
  <c r="L81" i="13" s="1"/>
  <c r="E78" i="13"/>
  <c r="E95" i="13" s="1"/>
  <c r="M78" i="13"/>
  <c r="M83" i="13" s="1"/>
  <c r="F78" i="13"/>
  <c r="F98" i="13" s="1"/>
  <c r="G78" i="13"/>
  <c r="G95" i="13" s="1"/>
  <c r="H78" i="13"/>
  <c r="H83" i="13" s="1"/>
  <c r="I78" i="13"/>
  <c r="I98" i="13" s="1"/>
  <c r="J78" i="13"/>
  <c r="J98" i="13" s="1"/>
  <c r="K78" i="13"/>
  <c r="K95" i="13" s="1"/>
  <c r="G110" i="13"/>
  <c r="N110" i="13"/>
  <c r="H110" i="13"/>
  <c r="L110" i="13"/>
  <c r="I110" i="13"/>
  <c r="J110" i="13"/>
  <c r="E110" i="13"/>
  <c r="K110" i="13"/>
  <c r="M110" i="13"/>
  <c r="F110" i="13"/>
  <c r="C110" i="13"/>
  <c r="J75" i="13"/>
  <c r="D75" i="13"/>
  <c r="N75" i="13"/>
  <c r="K75" i="13"/>
  <c r="G75" i="13"/>
  <c r="H75" i="13"/>
  <c r="M75" i="13"/>
  <c r="I75" i="13"/>
  <c r="F75" i="13"/>
  <c r="L75" i="13"/>
  <c r="E75" i="13"/>
  <c r="C90" i="13" l="1"/>
  <c r="C86" i="13"/>
  <c r="C89" i="13"/>
  <c r="C85" i="13"/>
  <c r="C91" i="13" s="1"/>
  <c r="C88" i="13"/>
  <c r="C93" i="13" s="1"/>
  <c r="C108" i="13"/>
  <c r="C111" i="13" s="1"/>
  <c r="G231" i="13"/>
  <c r="C96" i="13"/>
  <c r="K231" i="13"/>
  <c r="N231" i="13"/>
  <c r="B14" i="17"/>
  <c r="M37" i="9"/>
  <c r="D113" i="10"/>
  <c r="B167" i="10" s="1"/>
  <c r="B18" i="17" s="1"/>
  <c r="M36" i="9"/>
  <c r="D112" i="10"/>
  <c r="B166" i="10" s="1"/>
  <c r="D231" i="13"/>
  <c r="N277" i="13"/>
  <c r="N308" i="13" s="1"/>
  <c r="N339" i="13" s="1"/>
  <c r="P277" i="13"/>
  <c r="P308" i="13" s="1"/>
  <c r="P339" i="13" s="1"/>
  <c r="H277" i="13"/>
  <c r="H308" i="13" s="1"/>
  <c r="H339" i="13" s="1"/>
  <c r="F277" i="13"/>
  <c r="F308" i="13" s="1"/>
  <c r="F339" i="13" s="1"/>
  <c r="M277" i="13"/>
  <c r="M308" i="13" s="1"/>
  <c r="M339" i="13" s="1"/>
  <c r="K277" i="13"/>
  <c r="L277" i="13"/>
  <c r="L308" i="13" s="1"/>
  <c r="L339" i="13" s="1"/>
  <c r="O277" i="13"/>
  <c r="O308" i="13" s="1"/>
  <c r="O339" i="13" s="1"/>
  <c r="G277" i="13"/>
  <c r="G308" i="13" s="1"/>
  <c r="G339" i="13" s="1"/>
  <c r="J277" i="13"/>
  <c r="J308" i="13" s="1"/>
  <c r="J339" i="13" s="1"/>
  <c r="I277" i="13"/>
  <c r="I308" i="13" s="1"/>
  <c r="I339" i="13" s="1"/>
  <c r="E277" i="13"/>
  <c r="E308" i="13" s="1"/>
  <c r="E339" i="13" s="1"/>
  <c r="F231" i="13"/>
  <c r="P335" i="13"/>
  <c r="R34" i="9" s="1"/>
  <c r="N335" i="13"/>
  <c r="P34" i="9" s="1"/>
  <c r="L335" i="13"/>
  <c r="N34" i="9" s="1"/>
  <c r="E335" i="13"/>
  <c r="G34" i="9" s="1"/>
  <c r="J335" i="13"/>
  <c r="L34" i="9" s="1"/>
  <c r="O335" i="13"/>
  <c r="Q34" i="9" s="1"/>
  <c r="F335" i="13"/>
  <c r="H34" i="9" s="1"/>
  <c r="K335" i="13"/>
  <c r="G335" i="13"/>
  <c r="I34" i="9" s="1"/>
  <c r="I335" i="13"/>
  <c r="K34" i="9" s="1"/>
  <c r="M335" i="13"/>
  <c r="O34" i="9" s="1"/>
  <c r="H335" i="13"/>
  <c r="J34" i="9" s="1"/>
  <c r="L231" i="13"/>
  <c r="I231" i="13"/>
  <c r="H231" i="13"/>
  <c r="E231" i="13"/>
  <c r="C231" i="13"/>
  <c r="J231" i="13"/>
  <c r="M231" i="13"/>
  <c r="I109" i="13"/>
  <c r="H108" i="13"/>
  <c r="F108" i="13"/>
  <c r="N109" i="13"/>
  <c r="E109" i="13"/>
  <c r="L109" i="13"/>
  <c r="M109" i="13"/>
  <c r="K109" i="13"/>
  <c r="D109" i="13"/>
  <c r="J109" i="13"/>
  <c r="G108" i="13"/>
  <c r="J103" i="13"/>
  <c r="N101" i="13"/>
  <c r="I103" i="13"/>
  <c r="E101" i="13"/>
  <c r="G101" i="13"/>
  <c r="F103" i="13"/>
  <c r="K101" i="13"/>
  <c r="K88" i="13"/>
  <c r="K93" i="13" s="1"/>
  <c r="K81" i="13"/>
  <c r="K85" i="13"/>
  <c r="K91" i="13" s="1"/>
  <c r="K98" i="13"/>
  <c r="K83" i="13"/>
  <c r="M86" i="13"/>
  <c r="H98" i="13"/>
  <c r="M85" i="13"/>
  <c r="M91" i="13" s="1"/>
  <c r="M98" i="13"/>
  <c r="I81" i="13"/>
  <c r="H95" i="13"/>
  <c r="N88" i="13"/>
  <c r="N93" i="13" s="1"/>
  <c r="M96" i="13"/>
  <c r="D86" i="13"/>
  <c r="M88" i="13"/>
  <c r="M93" i="13" s="1"/>
  <c r="J82" i="13"/>
  <c r="G88" i="13"/>
  <c r="G93" i="13" s="1"/>
  <c r="J89" i="13"/>
  <c r="E85" i="13"/>
  <c r="E91" i="13" s="1"/>
  <c r="J96" i="13"/>
  <c r="I85" i="13"/>
  <c r="I91" i="13" s="1"/>
  <c r="K90" i="13"/>
  <c r="I95" i="13"/>
  <c r="M89" i="13"/>
  <c r="M94" i="13" s="1"/>
  <c r="H81" i="13"/>
  <c r="L86" i="13"/>
  <c r="H85" i="13"/>
  <c r="H91" i="13" s="1"/>
  <c r="M81" i="13"/>
  <c r="M95" i="13"/>
  <c r="J88" i="13"/>
  <c r="J93" i="13" s="1"/>
  <c r="J85" i="13"/>
  <c r="J91" i="13" s="1"/>
  <c r="K87" i="13"/>
  <c r="E87" i="13"/>
  <c r="E92" i="13" s="1"/>
  <c r="C84" i="13"/>
  <c r="F97" i="13"/>
  <c r="L89" i="13"/>
  <c r="C99" i="13"/>
  <c r="J81" i="13"/>
  <c r="D87" i="13"/>
  <c r="K97" i="13"/>
  <c r="D83" i="13"/>
  <c r="J97" i="13"/>
  <c r="E96" i="13"/>
  <c r="L87" i="13"/>
  <c r="D85" i="13"/>
  <c r="D91" i="13" s="1"/>
  <c r="D100" i="13"/>
  <c r="N100" i="13"/>
  <c r="G87" i="13"/>
  <c r="L84" i="13"/>
  <c r="D95" i="13"/>
  <c r="E100" i="13"/>
  <c r="G90" i="13"/>
  <c r="J83" i="13"/>
  <c r="D90" i="13"/>
  <c r="L90" i="13"/>
  <c r="D98" i="13"/>
  <c r="L97" i="13"/>
  <c r="K84" i="13"/>
  <c r="K89" i="13"/>
  <c r="J87" i="13"/>
  <c r="F89" i="13"/>
  <c r="C81" i="13"/>
  <c r="N87" i="13"/>
  <c r="N92" i="13" s="1"/>
  <c r="F99" i="13"/>
  <c r="C98" i="13"/>
  <c r="N90" i="13"/>
  <c r="C95" i="13"/>
  <c r="K82" i="13"/>
  <c r="J90" i="13"/>
  <c r="C83" i="13"/>
  <c r="D89" i="13"/>
  <c r="K86" i="13"/>
  <c r="L82" i="13"/>
  <c r="E90" i="13"/>
  <c r="N83" i="13"/>
  <c r="H88" i="13"/>
  <c r="H93" i="13" s="1"/>
  <c r="J84" i="13"/>
  <c r="N85" i="13"/>
  <c r="N91" i="13" s="1"/>
  <c r="K96" i="13"/>
  <c r="F81" i="13"/>
  <c r="N81" i="13"/>
  <c r="D88" i="13"/>
  <c r="D93" i="13" s="1"/>
  <c r="I88" i="13"/>
  <c r="I93" i="13" s="1"/>
  <c r="F85" i="13"/>
  <c r="F91" i="13" s="1"/>
  <c r="I83" i="13"/>
  <c r="J86" i="13"/>
  <c r="E81" i="13"/>
  <c r="E99" i="13"/>
  <c r="I97" i="13"/>
  <c r="I87" i="13"/>
  <c r="I100" i="13"/>
  <c r="F90" i="13"/>
  <c r="G84" i="13"/>
  <c r="F87" i="13"/>
  <c r="N99" i="13"/>
  <c r="F82" i="13"/>
  <c r="M82" i="13"/>
  <c r="M84" i="13"/>
  <c r="M100" i="13"/>
  <c r="I96" i="13"/>
  <c r="N96" i="13"/>
  <c r="M87" i="13"/>
  <c r="H87" i="13"/>
  <c r="H84" i="13"/>
  <c r="H89" i="13"/>
  <c r="I84" i="13"/>
  <c r="H99" i="13"/>
  <c r="F84" i="13"/>
  <c r="M97" i="13"/>
  <c r="H100" i="13"/>
  <c r="D84" i="13"/>
  <c r="H90" i="13"/>
  <c r="L95" i="13"/>
  <c r="C82" i="13"/>
  <c r="L83" i="13"/>
  <c r="G81" i="13"/>
  <c r="G82" i="13"/>
  <c r="E84" i="13"/>
  <c r="D99" i="13"/>
  <c r="G83" i="13"/>
  <c r="G86" i="13"/>
  <c r="I89" i="13"/>
  <c r="I94" i="13" s="1"/>
  <c r="F86" i="13"/>
  <c r="E89" i="13"/>
  <c r="F83" i="13"/>
  <c r="E83" i="13"/>
  <c r="N89" i="13"/>
  <c r="G100" i="13"/>
  <c r="J95" i="13"/>
  <c r="L99" i="13"/>
  <c r="F95" i="13"/>
  <c r="N98" i="13"/>
  <c r="I86" i="13"/>
  <c r="E82" i="13"/>
  <c r="N82" i="13"/>
  <c r="C97" i="13"/>
  <c r="L85" i="13"/>
  <c r="L91" i="13" s="1"/>
  <c r="N84" i="13"/>
  <c r="C100" i="13"/>
  <c r="G85" i="13"/>
  <c r="G91" i="13" s="1"/>
  <c r="G89" i="13"/>
  <c r="I82" i="13"/>
  <c r="F88" i="13"/>
  <c r="F93" i="13" s="1"/>
  <c r="E88" i="13"/>
  <c r="E93" i="13" s="1"/>
  <c r="H82" i="13"/>
  <c r="H96" i="13"/>
  <c r="L98" i="13"/>
  <c r="D82" i="13"/>
  <c r="H86" i="13"/>
  <c r="L88" i="13"/>
  <c r="L93" i="13" s="1"/>
  <c r="G98" i="13"/>
  <c r="G96" i="13"/>
  <c r="E98" i="13"/>
  <c r="K104" i="13"/>
  <c r="J104" i="13"/>
  <c r="D102" i="13"/>
  <c r="O76" i="7"/>
  <c r="I65" i="7"/>
  <c r="C92" i="13" l="1"/>
  <c r="B17" i="17"/>
  <c r="L38" i="9"/>
  <c r="H235" i="13"/>
  <c r="I38" i="9"/>
  <c r="E235" i="13"/>
  <c r="P38" i="9"/>
  <c r="L235" i="13"/>
  <c r="O38" i="9"/>
  <c r="K235" i="13"/>
  <c r="J38" i="9"/>
  <c r="F235" i="13"/>
  <c r="R38" i="9"/>
  <c r="N235" i="13"/>
  <c r="Q38" i="9"/>
  <c r="M235" i="13"/>
  <c r="H38" i="9"/>
  <c r="D235" i="13"/>
  <c r="K38" i="9"/>
  <c r="G235" i="13"/>
  <c r="N38" i="9"/>
  <c r="J235" i="13"/>
  <c r="G38" i="9"/>
  <c r="C235" i="13"/>
  <c r="M34" i="9"/>
  <c r="D110" i="10"/>
  <c r="B158" i="10" s="1"/>
  <c r="K308" i="13"/>
  <c r="K339" i="13" s="1"/>
  <c r="I235" i="13" s="1"/>
  <c r="F104" i="13"/>
  <c r="M103" i="13"/>
  <c r="L103" i="13"/>
  <c r="N103" i="13"/>
  <c r="N102" i="13"/>
  <c r="I101" i="13"/>
  <c r="H103" i="13"/>
  <c r="D103" i="13"/>
  <c r="H102" i="13"/>
  <c r="L104" i="13"/>
  <c r="M104" i="13"/>
  <c r="I104" i="13"/>
  <c r="C101" i="13"/>
  <c r="E102" i="13"/>
  <c r="F102" i="13"/>
  <c r="M101" i="13"/>
  <c r="J101" i="13"/>
  <c r="D101" i="13"/>
  <c r="K103" i="13"/>
  <c r="E103" i="13"/>
  <c r="F101" i="13"/>
  <c r="G102" i="13"/>
  <c r="G103" i="13"/>
  <c r="C102" i="13"/>
  <c r="G104" i="13"/>
  <c r="L101" i="13"/>
  <c r="C103" i="13"/>
  <c r="L102" i="13"/>
  <c r="H101" i="13"/>
  <c r="H92" i="13"/>
  <c r="K92" i="13"/>
  <c r="N104" i="13"/>
  <c r="M92" i="13"/>
  <c r="M102" i="13"/>
  <c r="J94" i="13"/>
  <c r="D92" i="13"/>
  <c r="D104" i="13"/>
  <c r="J102" i="13"/>
  <c r="C94" i="13"/>
  <c r="L94" i="13"/>
  <c r="G94" i="13"/>
  <c r="I92" i="13"/>
  <c r="C104" i="13"/>
  <c r="L92" i="13"/>
  <c r="K94" i="13"/>
  <c r="K102" i="13"/>
  <c r="G92" i="13"/>
  <c r="J92" i="13"/>
  <c r="D94" i="13"/>
  <c r="F94" i="13"/>
  <c r="E94" i="13"/>
  <c r="I102" i="13"/>
  <c r="F92" i="13"/>
  <c r="N94" i="13"/>
  <c r="E104" i="13"/>
  <c r="H104" i="13"/>
  <c r="H94" i="13"/>
  <c r="BH151" i="8"/>
  <c r="BG151" i="8"/>
  <c r="BF151" i="8"/>
  <c r="BE151" i="8"/>
  <c r="BC151" i="8"/>
  <c r="BB151" i="8"/>
  <c r="BA151" i="8"/>
  <c r="AZ151" i="8"/>
  <c r="AX151" i="8"/>
  <c r="AW151" i="8"/>
  <c r="AV151" i="8"/>
  <c r="AU151" i="8"/>
  <c r="AS151" i="8"/>
  <c r="AR151" i="8"/>
  <c r="AQ151" i="8"/>
  <c r="AP151" i="8"/>
  <c r="AN151" i="8"/>
  <c r="AM151" i="8"/>
  <c r="AL151" i="8"/>
  <c r="AK151" i="8"/>
  <c r="AI151" i="8"/>
  <c r="AH151" i="8"/>
  <c r="AG151" i="8"/>
  <c r="AF151" i="8"/>
  <c r="AD151" i="8"/>
  <c r="AC151" i="8"/>
  <c r="AB151" i="8"/>
  <c r="AA151" i="8"/>
  <c r="Y151" i="8"/>
  <c r="X151" i="8"/>
  <c r="W151" i="8"/>
  <c r="V151" i="8"/>
  <c r="T151" i="8"/>
  <c r="S151" i="8"/>
  <c r="R151" i="8"/>
  <c r="Q151" i="8"/>
  <c r="O151" i="8"/>
  <c r="N151" i="8"/>
  <c r="M151" i="8"/>
  <c r="L151" i="8"/>
  <c r="J151" i="8"/>
  <c r="I151" i="8"/>
  <c r="H151" i="8"/>
  <c r="G151" i="8"/>
  <c r="BH150" i="8"/>
  <c r="BG150" i="8"/>
  <c r="BF150" i="8"/>
  <c r="BE150" i="8"/>
  <c r="BC150" i="8"/>
  <c r="BB150" i="8"/>
  <c r="BA150" i="8"/>
  <c r="AZ150" i="8"/>
  <c r="AX150" i="8"/>
  <c r="AW150" i="8"/>
  <c r="AV150" i="8"/>
  <c r="AU150" i="8"/>
  <c r="AS150" i="8"/>
  <c r="AR150" i="8"/>
  <c r="AQ150" i="8"/>
  <c r="AP150" i="8"/>
  <c r="AN150" i="8"/>
  <c r="AM150" i="8"/>
  <c r="AL150" i="8"/>
  <c r="AK150" i="8"/>
  <c r="AI150" i="8"/>
  <c r="AH150" i="8"/>
  <c r="AG150" i="8"/>
  <c r="AF150" i="8"/>
  <c r="AD150" i="8"/>
  <c r="AC150" i="8"/>
  <c r="AB150" i="8"/>
  <c r="AA150" i="8"/>
  <c r="Y150" i="8"/>
  <c r="X150" i="8"/>
  <c r="W150" i="8"/>
  <c r="V150" i="8"/>
  <c r="T150" i="8"/>
  <c r="S150" i="8"/>
  <c r="R150" i="8"/>
  <c r="Q150" i="8"/>
  <c r="O150" i="8"/>
  <c r="N150" i="8"/>
  <c r="M150" i="8"/>
  <c r="L150" i="8"/>
  <c r="J150" i="8"/>
  <c r="I150" i="8"/>
  <c r="H150" i="8"/>
  <c r="G150" i="8"/>
  <c r="G149" i="8"/>
  <c r="H149" i="8"/>
  <c r="I149" i="8"/>
  <c r="J149" i="8"/>
  <c r="L149" i="8"/>
  <c r="M149" i="8"/>
  <c r="N149" i="8"/>
  <c r="O149" i="8"/>
  <c r="Q149" i="8"/>
  <c r="R149" i="8"/>
  <c r="S149" i="8"/>
  <c r="T149" i="8"/>
  <c r="V149" i="8"/>
  <c r="W149" i="8"/>
  <c r="X149" i="8"/>
  <c r="Y149" i="8"/>
  <c r="AA149" i="8"/>
  <c r="AB149" i="8"/>
  <c r="AC149" i="8"/>
  <c r="AD149" i="8"/>
  <c r="AF149" i="8"/>
  <c r="AG149" i="8"/>
  <c r="AH149" i="8"/>
  <c r="AI149" i="8"/>
  <c r="AK149" i="8"/>
  <c r="AL149" i="8"/>
  <c r="AM149" i="8"/>
  <c r="AN149" i="8"/>
  <c r="AP149" i="8"/>
  <c r="AQ149" i="8"/>
  <c r="AR149" i="8"/>
  <c r="AS149" i="8"/>
  <c r="AU149" i="8"/>
  <c r="AV149" i="8"/>
  <c r="AW149" i="8"/>
  <c r="AX149" i="8"/>
  <c r="AZ149" i="8"/>
  <c r="BA149" i="8"/>
  <c r="BB149" i="8"/>
  <c r="BC149" i="8"/>
  <c r="BE149" i="8"/>
  <c r="BF149" i="8"/>
  <c r="BG149" i="8"/>
  <c r="BH149" i="8"/>
  <c r="G148" i="8"/>
  <c r="H148" i="8"/>
  <c r="I148" i="8"/>
  <c r="J148" i="8"/>
  <c r="L148" i="8"/>
  <c r="M148" i="8"/>
  <c r="N148" i="8"/>
  <c r="O148" i="8"/>
  <c r="Q148" i="8"/>
  <c r="R148" i="8"/>
  <c r="S148" i="8"/>
  <c r="T148" i="8"/>
  <c r="V148" i="8"/>
  <c r="W148" i="8"/>
  <c r="X148" i="8"/>
  <c r="Y148" i="8"/>
  <c r="AA148" i="8"/>
  <c r="AB148" i="8"/>
  <c r="AC148" i="8"/>
  <c r="AD148" i="8"/>
  <c r="AF148" i="8"/>
  <c r="AG148" i="8"/>
  <c r="AH148" i="8"/>
  <c r="AI148" i="8"/>
  <c r="AK148" i="8"/>
  <c r="AL148" i="8"/>
  <c r="AM148" i="8"/>
  <c r="AN148" i="8"/>
  <c r="AP148" i="8"/>
  <c r="AQ148" i="8"/>
  <c r="AR148" i="8"/>
  <c r="AS148" i="8"/>
  <c r="AU148" i="8"/>
  <c r="AV148" i="8"/>
  <c r="AW148" i="8"/>
  <c r="AX148" i="8"/>
  <c r="AZ148" i="8"/>
  <c r="BA148" i="8"/>
  <c r="BB148" i="8"/>
  <c r="BC148" i="8"/>
  <c r="BE148" i="8"/>
  <c r="BF148" i="8"/>
  <c r="BG148" i="8"/>
  <c r="BH148" i="8"/>
  <c r="BH147" i="8"/>
  <c r="BG147" i="8"/>
  <c r="BF147" i="8"/>
  <c r="BE147" i="8"/>
  <c r="BC147" i="8"/>
  <c r="BB147" i="8"/>
  <c r="BA147" i="8"/>
  <c r="AZ147" i="8"/>
  <c r="AX147" i="8"/>
  <c r="AW147" i="8"/>
  <c r="AV147" i="8"/>
  <c r="AU147" i="8"/>
  <c r="AS147" i="8"/>
  <c r="AR147" i="8"/>
  <c r="AQ147" i="8"/>
  <c r="AP147" i="8"/>
  <c r="AN147" i="8"/>
  <c r="AM147" i="8"/>
  <c r="AL147" i="8"/>
  <c r="AK147" i="8"/>
  <c r="AI147" i="8"/>
  <c r="AH147" i="8"/>
  <c r="AG147" i="8"/>
  <c r="AF147" i="8"/>
  <c r="AD147" i="8"/>
  <c r="AC147" i="8"/>
  <c r="AB147" i="8"/>
  <c r="AA147" i="8"/>
  <c r="Y147" i="8"/>
  <c r="X147" i="8"/>
  <c r="W147" i="8"/>
  <c r="V147" i="8"/>
  <c r="T147" i="8"/>
  <c r="S147" i="8"/>
  <c r="R147" i="8"/>
  <c r="Q147" i="8"/>
  <c r="O147" i="8"/>
  <c r="N147" i="8"/>
  <c r="M147" i="8"/>
  <c r="L147" i="8"/>
  <c r="J147" i="8"/>
  <c r="I147" i="8"/>
  <c r="H147" i="8"/>
  <c r="G147" i="8"/>
  <c r="BH146" i="8"/>
  <c r="BG146" i="8"/>
  <c r="BF146" i="8"/>
  <c r="BE146" i="8"/>
  <c r="BC146" i="8"/>
  <c r="BB146" i="8"/>
  <c r="BA146" i="8"/>
  <c r="AZ146" i="8"/>
  <c r="AX146" i="8"/>
  <c r="AW146" i="8"/>
  <c r="AV146" i="8"/>
  <c r="AU146" i="8"/>
  <c r="AS146" i="8"/>
  <c r="AR146" i="8"/>
  <c r="AQ146" i="8"/>
  <c r="AP146" i="8"/>
  <c r="AN146" i="8"/>
  <c r="AM146" i="8"/>
  <c r="AL146" i="8"/>
  <c r="AK146" i="8"/>
  <c r="AI146" i="8"/>
  <c r="AH146" i="8"/>
  <c r="AG146" i="8"/>
  <c r="AF146" i="8"/>
  <c r="AD146" i="8"/>
  <c r="AC146" i="8"/>
  <c r="AB146" i="8"/>
  <c r="AA146" i="8"/>
  <c r="Y146" i="8"/>
  <c r="X146" i="8"/>
  <c r="W146" i="8"/>
  <c r="V146" i="8"/>
  <c r="T146" i="8"/>
  <c r="S146" i="8"/>
  <c r="R146" i="8"/>
  <c r="Q146" i="8"/>
  <c r="O146" i="8"/>
  <c r="N146" i="8"/>
  <c r="M146" i="8"/>
  <c r="L146" i="8"/>
  <c r="J146" i="8"/>
  <c r="I146" i="8"/>
  <c r="H146" i="8"/>
  <c r="G146" i="8"/>
  <c r="G145" i="8"/>
  <c r="H145" i="8"/>
  <c r="I145" i="8"/>
  <c r="J145" i="8"/>
  <c r="L145" i="8"/>
  <c r="M145" i="8"/>
  <c r="N145" i="8"/>
  <c r="O145" i="8"/>
  <c r="Q145" i="8"/>
  <c r="R145" i="8"/>
  <c r="S145" i="8"/>
  <c r="T145" i="8"/>
  <c r="V145" i="8"/>
  <c r="W145" i="8"/>
  <c r="X145" i="8"/>
  <c r="Y145" i="8"/>
  <c r="AA145" i="8"/>
  <c r="AB145" i="8"/>
  <c r="AC145" i="8"/>
  <c r="AD145" i="8"/>
  <c r="AF145" i="8"/>
  <c r="AG145" i="8"/>
  <c r="AH145" i="8"/>
  <c r="AI145" i="8"/>
  <c r="AK145" i="8"/>
  <c r="AL145" i="8"/>
  <c r="AM145" i="8"/>
  <c r="AN145" i="8"/>
  <c r="AP145" i="8"/>
  <c r="AQ145" i="8"/>
  <c r="AR145" i="8"/>
  <c r="AS145" i="8"/>
  <c r="AU145" i="8"/>
  <c r="AV145" i="8"/>
  <c r="AW145" i="8"/>
  <c r="AX145" i="8"/>
  <c r="AZ145" i="8"/>
  <c r="BA145" i="8"/>
  <c r="BB145" i="8"/>
  <c r="BC145" i="8"/>
  <c r="BE145" i="8"/>
  <c r="BF145" i="8"/>
  <c r="BG145" i="8"/>
  <c r="BH145" i="8"/>
  <c r="G144" i="8"/>
  <c r="H144" i="8"/>
  <c r="I144" i="8"/>
  <c r="J144" i="8"/>
  <c r="L144" i="8"/>
  <c r="M144" i="8"/>
  <c r="N144" i="8"/>
  <c r="O144" i="8"/>
  <c r="Q144" i="8"/>
  <c r="R144" i="8"/>
  <c r="S144" i="8"/>
  <c r="T144" i="8"/>
  <c r="V144" i="8"/>
  <c r="W144" i="8"/>
  <c r="X144" i="8"/>
  <c r="Y144" i="8"/>
  <c r="AA144" i="8"/>
  <c r="AB144" i="8"/>
  <c r="AC144" i="8"/>
  <c r="AD144" i="8"/>
  <c r="AF144" i="8"/>
  <c r="AG144" i="8"/>
  <c r="AH144" i="8"/>
  <c r="AI144" i="8"/>
  <c r="AK144" i="8"/>
  <c r="AL144" i="8"/>
  <c r="AM144" i="8"/>
  <c r="AN144" i="8"/>
  <c r="AP144" i="8"/>
  <c r="AQ144" i="8"/>
  <c r="AR144" i="8"/>
  <c r="AS144" i="8"/>
  <c r="AU144" i="8"/>
  <c r="AV144" i="8"/>
  <c r="AW144" i="8"/>
  <c r="AX144" i="8"/>
  <c r="AZ144" i="8"/>
  <c r="BA144" i="8"/>
  <c r="BB144" i="8"/>
  <c r="BC144" i="8"/>
  <c r="BE144" i="8"/>
  <c r="BF144" i="8"/>
  <c r="BG144" i="8"/>
  <c r="BH144" i="8"/>
  <c r="BH143" i="8"/>
  <c r="BG143" i="8"/>
  <c r="BF143" i="8"/>
  <c r="BE143" i="8"/>
  <c r="BC143" i="8"/>
  <c r="BB143" i="8"/>
  <c r="BA143" i="8"/>
  <c r="AZ143" i="8"/>
  <c r="AX143" i="8"/>
  <c r="AW143" i="8"/>
  <c r="AV143" i="8"/>
  <c r="AU143" i="8"/>
  <c r="AS143" i="8"/>
  <c r="AR143" i="8"/>
  <c r="AQ143" i="8"/>
  <c r="AP143" i="8"/>
  <c r="AN143" i="8"/>
  <c r="AM143" i="8"/>
  <c r="AL143" i="8"/>
  <c r="AK143" i="8"/>
  <c r="AI143" i="8"/>
  <c r="AH143" i="8"/>
  <c r="AG143" i="8"/>
  <c r="AF143" i="8"/>
  <c r="AD143" i="8"/>
  <c r="AC143" i="8"/>
  <c r="AB143" i="8"/>
  <c r="AA143" i="8"/>
  <c r="Y143" i="8"/>
  <c r="X143" i="8"/>
  <c r="W143" i="8"/>
  <c r="V143" i="8"/>
  <c r="T143" i="8"/>
  <c r="S143" i="8"/>
  <c r="R143" i="8"/>
  <c r="Q143" i="8"/>
  <c r="O143" i="8"/>
  <c r="N143" i="8"/>
  <c r="M143" i="8"/>
  <c r="L143" i="8"/>
  <c r="J143" i="8"/>
  <c r="I143" i="8"/>
  <c r="H143" i="8"/>
  <c r="G143" i="8"/>
  <c r="BH142" i="8"/>
  <c r="BG142" i="8"/>
  <c r="BF142" i="8"/>
  <c r="BE142" i="8"/>
  <c r="BC142" i="8"/>
  <c r="BB142" i="8"/>
  <c r="BA142" i="8"/>
  <c r="AZ142" i="8"/>
  <c r="AX142" i="8"/>
  <c r="AW142" i="8"/>
  <c r="AV142" i="8"/>
  <c r="AU142" i="8"/>
  <c r="AS142" i="8"/>
  <c r="AR142" i="8"/>
  <c r="AQ142" i="8"/>
  <c r="AP142" i="8"/>
  <c r="AN142" i="8"/>
  <c r="AM142" i="8"/>
  <c r="AL142" i="8"/>
  <c r="AK142" i="8"/>
  <c r="AI142" i="8"/>
  <c r="AH142" i="8"/>
  <c r="AG142" i="8"/>
  <c r="AF142" i="8"/>
  <c r="AD142" i="8"/>
  <c r="AC142" i="8"/>
  <c r="AB142" i="8"/>
  <c r="AA142" i="8"/>
  <c r="Y142" i="8"/>
  <c r="X142" i="8"/>
  <c r="W142" i="8"/>
  <c r="V142" i="8"/>
  <c r="T142" i="8"/>
  <c r="S142" i="8"/>
  <c r="R142" i="8"/>
  <c r="Q142" i="8"/>
  <c r="O142" i="8"/>
  <c r="N142" i="8"/>
  <c r="M142" i="8"/>
  <c r="L142" i="8"/>
  <c r="J142" i="8"/>
  <c r="I142" i="8"/>
  <c r="H142" i="8"/>
  <c r="G142" i="8"/>
  <c r="G141" i="8"/>
  <c r="H141" i="8"/>
  <c r="I141" i="8"/>
  <c r="J141" i="8"/>
  <c r="L141" i="8"/>
  <c r="M141" i="8"/>
  <c r="N141" i="8"/>
  <c r="O141" i="8"/>
  <c r="Q141" i="8"/>
  <c r="R141" i="8"/>
  <c r="S141" i="8"/>
  <c r="T141" i="8"/>
  <c r="V141" i="8"/>
  <c r="W141" i="8"/>
  <c r="X141" i="8"/>
  <c r="Y141" i="8"/>
  <c r="AA141" i="8"/>
  <c r="AB141" i="8"/>
  <c r="AC141" i="8"/>
  <c r="AD141" i="8"/>
  <c r="AF141" i="8"/>
  <c r="AG141" i="8"/>
  <c r="AH141" i="8"/>
  <c r="AI141" i="8"/>
  <c r="AK141" i="8"/>
  <c r="AL141" i="8"/>
  <c r="AM141" i="8"/>
  <c r="AN141" i="8"/>
  <c r="AP141" i="8"/>
  <c r="AQ141" i="8"/>
  <c r="AR141" i="8"/>
  <c r="AS141" i="8"/>
  <c r="AU141" i="8"/>
  <c r="AV141" i="8"/>
  <c r="AW141" i="8"/>
  <c r="AX141" i="8"/>
  <c r="AZ141" i="8"/>
  <c r="BA141" i="8"/>
  <c r="BB141" i="8"/>
  <c r="BC141" i="8"/>
  <c r="BE141" i="8"/>
  <c r="BF141" i="8"/>
  <c r="BG141" i="8"/>
  <c r="BH141" i="8"/>
  <c r="G140" i="8"/>
  <c r="H140" i="8"/>
  <c r="I140" i="8"/>
  <c r="J140" i="8"/>
  <c r="L140" i="8"/>
  <c r="M140" i="8"/>
  <c r="N140" i="8"/>
  <c r="O140" i="8"/>
  <c r="Q140" i="8"/>
  <c r="R140" i="8"/>
  <c r="S140" i="8"/>
  <c r="T140" i="8"/>
  <c r="V140" i="8"/>
  <c r="W140" i="8"/>
  <c r="X140" i="8"/>
  <c r="Y140" i="8"/>
  <c r="AA140" i="8"/>
  <c r="AB140" i="8"/>
  <c r="AC140" i="8"/>
  <c r="AD140" i="8"/>
  <c r="AF140" i="8"/>
  <c r="AG140" i="8"/>
  <c r="AH140" i="8"/>
  <c r="AI140" i="8"/>
  <c r="AK140" i="8"/>
  <c r="AL140" i="8"/>
  <c r="AM140" i="8"/>
  <c r="AN140" i="8"/>
  <c r="AP140" i="8"/>
  <c r="AQ140" i="8"/>
  <c r="AR140" i="8"/>
  <c r="AS140" i="8"/>
  <c r="AU140" i="8"/>
  <c r="AV140" i="8"/>
  <c r="AW140" i="8"/>
  <c r="AX140" i="8"/>
  <c r="AZ140" i="8"/>
  <c r="BA140" i="8"/>
  <c r="BB140" i="8"/>
  <c r="BC140" i="8"/>
  <c r="BE140" i="8"/>
  <c r="BF140" i="8"/>
  <c r="BG140" i="8"/>
  <c r="BH140" i="8"/>
  <c r="G139" i="8"/>
  <c r="H139" i="8"/>
  <c r="I139" i="8"/>
  <c r="J139" i="8"/>
  <c r="L139" i="8"/>
  <c r="M139" i="8"/>
  <c r="N139" i="8"/>
  <c r="O139" i="8"/>
  <c r="Q139" i="8"/>
  <c r="R139" i="8"/>
  <c r="S139" i="8"/>
  <c r="T139" i="8"/>
  <c r="V139" i="8"/>
  <c r="W139" i="8"/>
  <c r="X139" i="8"/>
  <c r="Y139" i="8"/>
  <c r="AA139" i="8"/>
  <c r="AB139" i="8"/>
  <c r="AC139" i="8"/>
  <c r="AD139" i="8"/>
  <c r="AF139" i="8"/>
  <c r="AG139" i="8"/>
  <c r="AH139" i="8"/>
  <c r="AI139" i="8"/>
  <c r="AK139" i="8"/>
  <c r="AL139" i="8"/>
  <c r="AM139" i="8"/>
  <c r="AN139" i="8"/>
  <c r="AP139" i="8"/>
  <c r="AQ139" i="8"/>
  <c r="AR139" i="8"/>
  <c r="AS139" i="8"/>
  <c r="AU139" i="8"/>
  <c r="AV139" i="8"/>
  <c r="AW139" i="8"/>
  <c r="AX139" i="8"/>
  <c r="AZ139" i="8"/>
  <c r="BA139" i="8"/>
  <c r="BB139" i="8"/>
  <c r="BC139" i="8"/>
  <c r="BE139" i="8"/>
  <c r="BF139" i="8"/>
  <c r="BG139" i="8"/>
  <c r="BH139" i="8"/>
  <c r="F85" i="8"/>
  <c r="B12" i="17" l="1"/>
  <c r="M38" i="9"/>
  <c r="D114" i="10"/>
  <c r="B180" i="10" s="1"/>
  <c r="C127" i="13"/>
  <c r="C117" i="13"/>
  <c r="C130" i="13"/>
  <c r="C120" i="13"/>
  <c r="L130" i="13"/>
  <c r="L120" i="13"/>
  <c r="L127" i="13"/>
  <c r="L117" i="13"/>
  <c r="D115" i="13"/>
  <c r="D121" i="13" s="1"/>
  <c r="D137" i="13" s="1"/>
  <c r="D151" i="13" s="1"/>
  <c r="D128" i="13"/>
  <c r="D133" i="13" s="1"/>
  <c r="D147" i="13" s="1"/>
  <c r="D161" i="13" s="1"/>
  <c r="D118" i="13"/>
  <c r="D123" i="13" s="1"/>
  <c r="D139" i="13" s="1"/>
  <c r="D153" i="13" s="1"/>
  <c r="D125" i="13"/>
  <c r="D131" i="13" s="1"/>
  <c r="D145" i="13" s="1"/>
  <c r="D159" i="13" s="1"/>
  <c r="D113" i="13"/>
  <c r="D143" i="13" s="1"/>
  <c r="D157" i="13" s="1"/>
  <c r="D111" i="13"/>
  <c r="D141" i="13" s="1"/>
  <c r="D155" i="13" s="1"/>
  <c r="M130" i="13"/>
  <c r="M120" i="13"/>
  <c r="M127" i="13"/>
  <c r="M117" i="13"/>
  <c r="I127" i="13"/>
  <c r="I117" i="13"/>
  <c r="I130" i="13"/>
  <c r="I120" i="13"/>
  <c r="D126" i="13"/>
  <c r="D116" i="13"/>
  <c r="D114" i="13"/>
  <c r="D144" i="13" s="1"/>
  <c r="D158" i="13" s="1"/>
  <c r="D112" i="13"/>
  <c r="D142" i="13" s="1"/>
  <c r="D156" i="13" s="1"/>
  <c r="D129" i="13"/>
  <c r="D119" i="13"/>
  <c r="G120" i="13"/>
  <c r="G127" i="13"/>
  <c r="G117" i="13"/>
  <c r="G130" i="13"/>
  <c r="F130" i="13"/>
  <c r="F120" i="13"/>
  <c r="F127" i="13"/>
  <c r="F117" i="13"/>
  <c r="E130" i="13"/>
  <c r="E120" i="13"/>
  <c r="E127" i="13"/>
  <c r="E117" i="13"/>
  <c r="K130" i="13"/>
  <c r="K120" i="13"/>
  <c r="K127" i="13"/>
  <c r="K117" i="13"/>
  <c r="N130" i="13"/>
  <c r="N120" i="13"/>
  <c r="N127" i="13"/>
  <c r="N117" i="13"/>
  <c r="D130" i="13"/>
  <c r="D120" i="13"/>
  <c r="D127" i="13"/>
  <c r="H120" i="13"/>
  <c r="H127" i="13"/>
  <c r="H117" i="13"/>
  <c r="H130" i="13"/>
  <c r="J127" i="13"/>
  <c r="J117" i="13"/>
  <c r="J130" i="13"/>
  <c r="J120" i="13"/>
  <c r="Z66" i="8"/>
  <c r="AT66" i="8"/>
  <c r="Z67" i="8"/>
  <c r="AT67" i="8"/>
  <c r="F71" i="8"/>
  <c r="Z71" i="8" s="1"/>
  <c r="Z74" i="8"/>
  <c r="AT74" i="8"/>
  <c r="F88" i="8"/>
  <c r="F89" i="8" s="1"/>
  <c r="Z88" i="8"/>
  <c r="Z89" i="8" s="1"/>
  <c r="AT88" i="8"/>
  <c r="AT89" i="8" s="1"/>
  <c r="F92" i="8"/>
  <c r="G92" i="8"/>
  <c r="H92" i="8"/>
  <c r="I92" i="8"/>
  <c r="J92" i="8"/>
  <c r="K92" i="8"/>
  <c r="L92" i="8"/>
  <c r="M92" i="8"/>
  <c r="N92" i="8"/>
  <c r="O92" i="8"/>
  <c r="P92" i="8"/>
  <c r="Q92" i="8"/>
  <c r="R92" i="8"/>
  <c r="S92" i="8"/>
  <c r="T92" i="8"/>
  <c r="U92" i="8"/>
  <c r="V92" i="8"/>
  <c r="W92" i="8"/>
  <c r="X92" i="8"/>
  <c r="Y92" i="8"/>
  <c r="Z92" i="8"/>
  <c r="AA92" i="8"/>
  <c r="AB92" i="8"/>
  <c r="AC92" i="8"/>
  <c r="AD92" i="8"/>
  <c r="AE92" i="8"/>
  <c r="AF92" i="8"/>
  <c r="AG92" i="8"/>
  <c r="AH92" i="8"/>
  <c r="AI92" i="8"/>
  <c r="AJ92" i="8"/>
  <c r="AK92" i="8"/>
  <c r="AL92" i="8"/>
  <c r="AM92" i="8"/>
  <c r="AN92" i="8"/>
  <c r="AO92" i="8"/>
  <c r="AP92" i="8"/>
  <c r="AQ92" i="8"/>
  <c r="AR92" i="8"/>
  <c r="AS92" i="8"/>
  <c r="AT92" i="8"/>
  <c r="AU92" i="8"/>
  <c r="AV92" i="8"/>
  <c r="AW92" i="8"/>
  <c r="AX92" i="8"/>
  <c r="AY92" i="8"/>
  <c r="AZ92" i="8"/>
  <c r="BA92" i="8"/>
  <c r="BB92" i="8"/>
  <c r="BC92" i="8"/>
  <c r="BD92" i="8"/>
  <c r="BE92" i="8"/>
  <c r="BF92" i="8"/>
  <c r="BG92" i="8"/>
  <c r="BH92" i="8"/>
  <c r="BI92" i="8"/>
  <c r="D124" i="13" l="1"/>
  <c r="B181" i="10"/>
  <c r="A31" i="17"/>
  <c r="F282" i="13"/>
  <c r="F313" i="13" s="1"/>
  <c r="F344" i="13" s="1"/>
  <c r="H43" i="9" s="1"/>
  <c r="F284" i="13"/>
  <c r="F315" i="13" s="1"/>
  <c r="F346" i="13" s="1"/>
  <c r="H45" i="9" s="1"/>
  <c r="F286" i="13"/>
  <c r="F317" i="13" s="1"/>
  <c r="F348" i="13" s="1"/>
  <c r="H47" i="9" s="1"/>
  <c r="F285" i="13"/>
  <c r="F316" i="13" s="1"/>
  <c r="F347" i="13" s="1"/>
  <c r="H46" i="9" s="1"/>
  <c r="F283" i="13"/>
  <c r="F314" i="13" s="1"/>
  <c r="F345" i="13" s="1"/>
  <c r="H44" i="9" s="1"/>
  <c r="F288" i="13"/>
  <c r="F319" i="13" s="1"/>
  <c r="F350" i="13" s="1"/>
  <c r="H49" i="9" s="1"/>
  <c r="F280" i="13"/>
  <c r="F311" i="13" s="1"/>
  <c r="F342" i="13" s="1"/>
  <c r="H41" i="9" s="1"/>
  <c r="F278" i="13"/>
  <c r="F309" i="13" s="1"/>
  <c r="F340" i="13" s="1"/>
  <c r="H39" i="9" s="1"/>
  <c r="D182" i="13"/>
  <c r="D179" i="13"/>
  <c r="D180" i="13"/>
  <c r="D122" i="13"/>
  <c r="D138" i="13" s="1"/>
  <c r="D152" i="13" s="1"/>
  <c r="D134" i="13"/>
  <c r="D148" i="13" s="1"/>
  <c r="D162" i="13" s="1"/>
  <c r="J125" i="13"/>
  <c r="J131" i="13" s="1"/>
  <c r="J145" i="13" s="1"/>
  <c r="J159" i="13" s="1"/>
  <c r="J115" i="13"/>
  <c r="J121" i="13" s="1"/>
  <c r="J137" i="13" s="1"/>
  <c r="J151" i="13" s="1"/>
  <c r="J113" i="13"/>
  <c r="J143" i="13" s="1"/>
  <c r="J157" i="13" s="1"/>
  <c r="J111" i="13"/>
  <c r="J141" i="13" s="1"/>
  <c r="J155" i="13" s="1"/>
  <c r="J128" i="13"/>
  <c r="J133" i="13" s="1"/>
  <c r="J147" i="13" s="1"/>
  <c r="J161" i="13" s="1"/>
  <c r="J118" i="13"/>
  <c r="J123" i="13" s="1"/>
  <c r="J139" i="13" s="1"/>
  <c r="J153" i="13" s="1"/>
  <c r="J129" i="13"/>
  <c r="J134" i="13" s="1"/>
  <c r="J148" i="13" s="1"/>
  <c r="J162" i="13" s="1"/>
  <c r="J119" i="13"/>
  <c r="J124" i="13" s="1"/>
  <c r="J140" i="13" s="1"/>
  <c r="J154" i="13" s="1"/>
  <c r="J126" i="13"/>
  <c r="J132" i="13" s="1"/>
  <c r="J146" i="13" s="1"/>
  <c r="J160" i="13" s="1"/>
  <c r="J116" i="13"/>
  <c r="J122" i="13" s="1"/>
  <c r="J138" i="13" s="1"/>
  <c r="J152" i="13" s="1"/>
  <c r="J114" i="13"/>
  <c r="J144" i="13" s="1"/>
  <c r="J158" i="13" s="1"/>
  <c r="J112" i="13"/>
  <c r="J142" i="13" s="1"/>
  <c r="J156" i="13" s="1"/>
  <c r="I129" i="13"/>
  <c r="I134" i="13" s="1"/>
  <c r="I148" i="13" s="1"/>
  <c r="I162" i="13" s="1"/>
  <c r="I119" i="13"/>
  <c r="I124" i="13" s="1"/>
  <c r="I140" i="13" s="1"/>
  <c r="I154" i="13" s="1"/>
  <c r="I126" i="13"/>
  <c r="I132" i="13" s="1"/>
  <c r="I146" i="13" s="1"/>
  <c r="I160" i="13" s="1"/>
  <c r="I116" i="13"/>
  <c r="I122" i="13" s="1"/>
  <c r="I114" i="13"/>
  <c r="I144" i="13" s="1"/>
  <c r="I158" i="13" s="1"/>
  <c r="I112" i="13"/>
  <c r="I142" i="13" s="1"/>
  <c r="I156" i="13" s="1"/>
  <c r="M128" i="13"/>
  <c r="M133" i="13" s="1"/>
  <c r="M147" i="13" s="1"/>
  <c r="M161" i="13" s="1"/>
  <c r="M118" i="13"/>
  <c r="M123" i="13" s="1"/>
  <c r="M139" i="13" s="1"/>
  <c r="M153" i="13" s="1"/>
  <c r="M125" i="13"/>
  <c r="M131" i="13" s="1"/>
  <c r="M145" i="13" s="1"/>
  <c r="M159" i="13" s="1"/>
  <c r="M115" i="13"/>
  <c r="M121" i="13" s="1"/>
  <c r="M137" i="13" s="1"/>
  <c r="M151" i="13" s="1"/>
  <c r="M113" i="13"/>
  <c r="M143" i="13" s="1"/>
  <c r="M157" i="13" s="1"/>
  <c r="M111" i="13"/>
  <c r="M141" i="13" s="1"/>
  <c r="M155" i="13" s="1"/>
  <c r="H126" i="13"/>
  <c r="H132" i="13" s="1"/>
  <c r="H146" i="13" s="1"/>
  <c r="H160" i="13" s="1"/>
  <c r="H112" i="13"/>
  <c r="H142" i="13" s="1"/>
  <c r="H156" i="13" s="1"/>
  <c r="H116" i="13"/>
  <c r="H122" i="13" s="1"/>
  <c r="H138" i="13" s="1"/>
  <c r="H152" i="13" s="1"/>
  <c r="H129" i="13"/>
  <c r="H134" i="13" s="1"/>
  <c r="H148" i="13" s="1"/>
  <c r="H162" i="13" s="1"/>
  <c r="H119" i="13"/>
  <c r="H124" i="13" s="1"/>
  <c r="H114" i="13"/>
  <c r="H144" i="13" s="1"/>
  <c r="H158" i="13" s="1"/>
  <c r="L125" i="13"/>
  <c r="L131" i="13" s="1"/>
  <c r="L145" i="13" s="1"/>
  <c r="L159" i="13" s="1"/>
  <c r="L111" i="13"/>
  <c r="L141" i="13" s="1"/>
  <c r="L155" i="13" s="1"/>
  <c r="L128" i="13"/>
  <c r="L133" i="13" s="1"/>
  <c r="L147" i="13" s="1"/>
  <c r="L161" i="13" s="1"/>
  <c r="L118" i="13"/>
  <c r="L123" i="13" s="1"/>
  <c r="L139" i="13" s="1"/>
  <c r="L153" i="13" s="1"/>
  <c r="L113" i="13"/>
  <c r="L143" i="13" s="1"/>
  <c r="L157" i="13" s="1"/>
  <c r="L115" i="13"/>
  <c r="L121" i="13" s="1"/>
  <c r="L137" i="13" s="1"/>
  <c r="L151" i="13" s="1"/>
  <c r="I125" i="13"/>
  <c r="I131" i="13" s="1"/>
  <c r="I145" i="13" s="1"/>
  <c r="I159" i="13" s="1"/>
  <c r="I115" i="13"/>
  <c r="I121" i="13" s="1"/>
  <c r="I137" i="13" s="1"/>
  <c r="I151" i="13" s="1"/>
  <c r="I113" i="13"/>
  <c r="I143" i="13" s="1"/>
  <c r="I157" i="13" s="1"/>
  <c r="I111" i="13"/>
  <c r="I141" i="13" s="1"/>
  <c r="I155" i="13" s="1"/>
  <c r="I128" i="13"/>
  <c r="I133" i="13" s="1"/>
  <c r="I147" i="13" s="1"/>
  <c r="I161" i="13" s="1"/>
  <c r="I118" i="13"/>
  <c r="I123" i="13" s="1"/>
  <c r="I139" i="13" s="1"/>
  <c r="I153" i="13" s="1"/>
  <c r="M126" i="13"/>
  <c r="M132" i="13" s="1"/>
  <c r="M146" i="13" s="1"/>
  <c r="M160" i="13" s="1"/>
  <c r="M116" i="13"/>
  <c r="M122" i="13" s="1"/>
  <c r="M138" i="13" s="1"/>
  <c r="M152" i="13" s="1"/>
  <c r="M114" i="13"/>
  <c r="M144" i="13" s="1"/>
  <c r="M158" i="13" s="1"/>
  <c r="M112" i="13"/>
  <c r="M142" i="13" s="1"/>
  <c r="M156" i="13" s="1"/>
  <c r="M129" i="13"/>
  <c r="M134" i="13" s="1"/>
  <c r="M148" i="13" s="1"/>
  <c r="M162" i="13" s="1"/>
  <c r="M119" i="13"/>
  <c r="M124" i="13" s="1"/>
  <c r="M140" i="13" s="1"/>
  <c r="M154" i="13" s="1"/>
  <c r="H125" i="13"/>
  <c r="H131" i="13" s="1"/>
  <c r="H145" i="13" s="1"/>
  <c r="H159" i="13" s="1"/>
  <c r="H115" i="13"/>
  <c r="H121" i="13" s="1"/>
  <c r="H137" i="13" s="1"/>
  <c r="H151" i="13" s="1"/>
  <c r="H113" i="13"/>
  <c r="H143" i="13" s="1"/>
  <c r="H157" i="13" s="1"/>
  <c r="H111" i="13"/>
  <c r="H141" i="13" s="1"/>
  <c r="H155" i="13" s="1"/>
  <c r="H118" i="13"/>
  <c r="H123" i="13" s="1"/>
  <c r="H139" i="13" s="1"/>
  <c r="H153" i="13" s="1"/>
  <c r="H128" i="13"/>
  <c r="H133" i="13" s="1"/>
  <c r="H147" i="13" s="1"/>
  <c r="H161" i="13" s="1"/>
  <c r="N126" i="13"/>
  <c r="N132" i="13" s="1"/>
  <c r="N146" i="13" s="1"/>
  <c r="N160" i="13" s="1"/>
  <c r="N116" i="13"/>
  <c r="N122" i="13" s="1"/>
  <c r="N138" i="13" s="1"/>
  <c r="N152" i="13" s="1"/>
  <c r="N114" i="13"/>
  <c r="N144" i="13" s="1"/>
  <c r="N158" i="13" s="1"/>
  <c r="N112" i="13"/>
  <c r="N142" i="13" s="1"/>
  <c r="N156" i="13" s="1"/>
  <c r="N129" i="13"/>
  <c r="N134" i="13" s="1"/>
  <c r="N148" i="13" s="1"/>
  <c r="N162" i="13" s="1"/>
  <c r="N119" i="13"/>
  <c r="N124" i="13" s="1"/>
  <c r="N140" i="13" s="1"/>
  <c r="N154" i="13" s="1"/>
  <c r="N128" i="13"/>
  <c r="N133" i="13" s="1"/>
  <c r="N147" i="13" s="1"/>
  <c r="N161" i="13" s="1"/>
  <c r="N118" i="13"/>
  <c r="N123" i="13" s="1"/>
  <c r="N139" i="13" s="1"/>
  <c r="N153" i="13" s="1"/>
  <c r="N125" i="13"/>
  <c r="N131" i="13" s="1"/>
  <c r="N145" i="13" s="1"/>
  <c r="N159" i="13" s="1"/>
  <c r="N115" i="13"/>
  <c r="N121" i="13" s="1"/>
  <c r="N137" i="13" s="1"/>
  <c r="N151" i="13" s="1"/>
  <c r="N113" i="13"/>
  <c r="N143" i="13" s="1"/>
  <c r="N157" i="13" s="1"/>
  <c r="N111" i="13"/>
  <c r="N141" i="13" s="1"/>
  <c r="N155" i="13" s="1"/>
  <c r="K111" i="13"/>
  <c r="K141" i="13" s="1"/>
  <c r="K155" i="13" s="1"/>
  <c r="K128" i="13"/>
  <c r="K133" i="13" s="1"/>
  <c r="K147" i="13" s="1"/>
  <c r="K161" i="13" s="1"/>
  <c r="K118" i="13"/>
  <c r="K123" i="13" s="1"/>
  <c r="K139" i="13" s="1"/>
  <c r="K153" i="13" s="1"/>
  <c r="K115" i="13"/>
  <c r="K121" i="13" s="1"/>
  <c r="K137" i="13" s="1"/>
  <c r="K151" i="13" s="1"/>
  <c r="K125" i="13"/>
  <c r="K131" i="13" s="1"/>
  <c r="K145" i="13" s="1"/>
  <c r="K159" i="13" s="1"/>
  <c r="K113" i="13"/>
  <c r="K143" i="13" s="1"/>
  <c r="K157" i="13" s="1"/>
  <c r="C129" i="13"/>
  <c r="C112" i="13"/>
  <c r="C142" i="13" s="1"/>
  <c r="C156" i="13" s="1"/>
  <c r="C126" i="13"/>
  <c r="C116" i="13"/>
  <c r="C122" i="13" s="1"/>
  <c r="C138" i="13" s="1"/>
  <c r="C152" i="13" s="1"/>
  <c r="C114" i="13"/>
  <c r="C144" i="13" s="1"/>
  <c r="C158" i="13" s="1"/>
  <c r="C119" i="13"/>
  <c r="C124" i="13" s="1"/>
  <c r="F126" i="13"/>
  <c r="F132" i="13" s="1"/>
  <c r="F146" i="13" s="1"/>
  <c r="F160" i="13" s="1"/>
  <c r="F116" i="13"/>
  <c r="F122" i="13" s="1"/>
  <c r="F138" i="13" s="1"/>
  <c r="F152" i="13" s="1"/>
  <c r="F114" i="13"/>
  <c r="F144" i="13" s="1"/>
  <c r="F158" i="13" s="1"/>
  <c r="F112" i="13"/>
  <c r="F142" i="13" s="1"/>
  <c r="F156" i="13" s="1"/>
  <c r="F129" i="13"/>
  <c r="F134" i="13" s="1"/>
  <c r="F148" i="13" s="1"/>
  <c r="F162" i="13" s="1"/>
  <c r="F119" i="13"/>
  <c r="F124" i="13" s="1"/>
  <c r="G126" i="13"/>
  <c r="G132" i="13" s="1"/>
  <c r="G146" i="13" s="1"/>
  <c r="G160" i="13" s="1"/>
  <c r="G116" i="13"/>
  <c r="G122" i="13" s="1"/>
  <c r="G114" i="13"/>
  <c r="G144" i="13" s="1"/>
  <c r="G158" i="13" s="1"/>
  <c r="G129" i="13"/>
  <c r="G134" i="13" s="1"/>
  <c r="G148" i="13" s="1"/>
  <c r="G162" i="13" s="1"/>
  <c r="G119" i="13"/>
  <c r="G124" i="13" s="1"/>
  <c r="G140" i="13" s="1"/>
  <c r="G154" i="13" s="1"/>
  <c r="G112" i="13"/>
  <c r="G142" i="13" s="1"/>
  <c r="G156" i="13" s="1"/>
  <c r="K129" i="13"/>
  <c r="K134" i="13" s="1"/>
  <c r="K148" i="13" s="1"/>
  <c r="K162" i="13" s="1"/>
  <c r="K119" i="13"/>
  <c r="K124" i="13" s="1"/>
  <c r="K140" i="13" s="1"/>
  <c r="K154" i="13" s="1"/>
  <c r="K126" i="13"/>
  <c r="K132" i="13" s="1"/>
  <c r="K146" i="13" s="1"/>
  <c r="K160" i="13" s="1"/>
  <c r="K116" i="13"/>
  <c r="K122" i="13" s="1"/>
  <c r="K114" i="13"/>
  <c r="K144" i="13" s="1"/>
  <c r="K158" i="13" s="1"/>
  <c r="K112" i="13"/>
  <c r="K142" i="13" s="1"/>
  <c r="K156" i="13" s="1"/>
  <c r="E126" i="13"/>
  <c r="E132" i="13" s="1"/>
  <c r="E146" i="13" s="1"/>
  <c r="E160" i="13" s="1"/>
  <c r="E116" i="13"/>
  <c r="E122" i="13" s="1"/>
  <c r="E138" i="13" s="1"/>
  <c r="E152" i="13" s="1"/>
  <c r="E114" i="13"/>
  <c r="E144" i="13" s="1"/>
  <c r="E158" i="13" s="1"/>
  <c r="E112" i="13"/>
  <c r="E142" i="13" s="1"/>
  <c r="E156" i="13" s="1"/>
  <c r="E129" i="13"/>
  <c r="E134" i="13" s="1"/>
  <c r="E148" i="13" s="1"/>
  <c r="E162" i="13" s="1"/>
  <c r="E119" i="13"/>
  <c r="E124" i="13" s="1"/>
  <c r="E140" i="13" s="1"/>
  <c r="E154" i="13" s="1"/>
  <c r="C113" i="13"/>
  <c r="C143" i="13" s="1"/>
  <c r="C157" i="13" s="1"/>
  <c r="C125" i="13"/>
  <c r="C115" i="13"/>
  <c r="C121" i="13" s="1"/>
  <c r="C137" i="13" s="1"/>
  <c r="C151" i="13" s="1"/>
  <c r="C128" i="13"/>
  <c r="C118" i="13"/>
  <c r="C123" i="13" s="1"/>
  <c r="C141" i="13"/>
  <c r="C155" i="13" s="1"/>
  <c r="F128" i="13"/>
  <c r="F133" i="13" s="1"/>
  <c r="F147" i="13" s="1"/>
  <c r="F161" i="13" s="1"/>
  <c r="F118" i="13"/>
  <c r="F123" i="13" s="1"/>
  <c r="F139" i="13" s="1"/>
  <c r="F153" i="13" s="1"/>
  <c r="F125" i="13"/>
  <c r="F131" i="13" s="1"/>
  <c r="F145" i="13" s="1"/>
  <c r="F159" i="13" s="1"/>
  <c r="F115" i="13"/>
  <c r="F121" i="13" s="1"/>
  <c r="F137" i="13" s="1"/>
  <c r="F151" i="13" s="1"/>
  <c r="F113" i="13"/>
  <c r="F143" i="13" s="1"/>
  <c r="F157" i="13" s="1"/>
  <c r="F111" i="13"/>
  <c r="F141" i="13" s="1"/>
  <c r="F155" i="13" s="1"/>
  <c r="D132" i="13"/>
  <c r="D146" i="13" s="1"/>
  <c r="D160" i="13" s="1"/>
  <c r="L129" i="13"/>
  <c r="L134" i="13" s="1"/>
  <c r="L148" i="13" s="1"/>
  <c r="L162" i="13" s="1"/>
  <c r="L119" i="13"/>
  <c r="L124" i="13" s="1"/>
  <c r="L140" i="13" s="1"/>
  <c r="L154" i="13" s="1"/>
  <c r="L126" i="13"/>
  <c r="L132" i="13" s="1"/>
  <c r="L146" i="13" s="1"/>
  <c r="L160" i="13" s="1"/>
  <c r="L116" i="13"/>
  <c r="L122" i="13" s="1"/>
  <c r="L138" i="13" s="1"/>
  <c r="L152" i="13" s="1"/>
  <c r="L114" i="13"/>
  <c r="L144" i="13" s="1"/>
  <c r="L158" i="13" s="1"/>
  <c r="L112" i="13"/>
  <c r="L142" i="13" s="1"/>
  <c r="L156" i="13" s="1"/>
  <c r="G111" i="13"/>
  <c r="G141" i="13" s="1"/>
  <c r="G155" i="13" s="1"/>
  <c r="G128" i="13"/>
  <c r="G133" i="13" s="1"/>
  <c r="G147" i="13" s="1"/>
  <c r="G161" i="13" s="1"/>
  <c r="G118" i="13"/>
  <c r="G123" i="13" s="1"/>
  <c r="G139" i="13" s="1"/>
  <c r="G153" i="13" s="1"/>
  <c r="G125" i="13"/>
  <c r="G131" i="13" s="1"/>
  <c r="G145" i="13" s="1"/>
  <c r="G159" i="13" s="1"/>
  <c r="G115" i="13"/>
  <c r="G121" i="13" s="1"/>
  <c r="G137" i="13" s="1"/>
  <c r="G151" i="13" s="1"/>
  <c r="G113" i="13"/>
  <c r="G143" i="13" s="1"/>
  <c r="G157" i="13" s="1"/>
  <c r="E128" i="13"/>
  <c r="E133" i="13" s="1"/>
  <c r="E147" i="13" s="1"/>
  <c r="E161" i="13" s="1"/>
  <c r="E118" i="13"/>
  <c r="E123" i="13" s="1"/>
  <c r="E139" i="13" s="1"/>
  <c r="E153" i="13" s="1"/>
  <c r="E125" i="13"/>
  <c r="E131" i="13" s="1"/>
  <c r="E145" i="13" s="1"/>
  <c r="E159" i="13" s="1"/>
  <c r="E115" i="13"/>
  <c r="E121" i="13" s="1"/>
  <c r="E137" i="13" s="1"/>
  <c r="E151" i="13" s="1"/>
  <c r="E113" i="13"/>
  <c r="E143" i="13" s="1"/>
  <c r="E157" i="13" s="1"/>
  <c r="E111" i="13"/>
  <c r="E141" i="13" s="1"/>
  <c r="E155" i="13" s="1"/>
  <c r="AT71" i="8"/>
  <c r="B3" i="7"/>
  <c r="F3" i="7" s="1"/>
  <c r="B4" i="7"/>
  <c r="O17" i="7"/>
  <c r="O18" i="7"/>
  <c r="O20" i="7"/>
  <c r="O19" i="7"/>
  <c r="O21" i="7"/>
  <c r="B3" i="17"/>
  <c r="F19" i="8"/>
  <c r="F4" i="8" s="1"/>
  <c r="F18" i="8"/>
  <c r="F82" i="8" s="1"/>
  <c r="F20" i="8"/>
  <c r="B5" i="8"/>
  <c r="B5" i="7"/>
  <c r="B4" i="8"/>
  <c r="B3" i="8"/>
  <c r="F21" i="8" s="1"/>
  <c r="G27" i="8"/>
  <c r="H27" i="8"/>
  <c r="I27" i="8"/>
  <c r="J27" i="8"/>
  <c r="K27" i="8"/>
  <c r="L27" i="8"/>
  <c r="M27" i="8"/>
  <c r="N27" i="8"/>
  <c r="O27" i="8"/>
  <c r="P27" i="8"/>
  <c r="Q27" i="8"/>
  <c r="R27" i="8"/>
  <c r="S27" i="8"/>
  <c r="T27" i="8"/>
  <c r="U27" i="8"/>
  <c r="V27" i="8"/>
  <c r="W27" i="8"/>
  <c r="X27" i="8"/>
  <c r="Y27" i="8"/>
  <c r="Z27" i="8"/>
  <c r="AA27" i="8"/>
  <c r="AB27" i="8"/>
  <c r="AC27" i="8"/>
  <c r="AD27" i="8"/>
  <c r="AE27" i="8"/>
  <c r="AF27" i="8"/>
  <c r="AG27" i="8"/>
  <c r="AH27" i="8"/>
  <c r="AI27" i="8"/>
  <c r="AJ27" i="8"/>
  <c r="AK27" i="8"/>
  <c r="AL27" i="8"/>
  <c r="AM27" i="8"/>
  <c r="AN27" i="8"/>
  <c r="AO27" i="8"/>
  <c r="AP27" i="8"/>
  <c r="AQ27" i="8"/>
  <c r="AR27" i="8"/>
  <c r="AS27" i="8"/>
  <c r="AT27" i="8"/>
  <c r="AU27" i="8"/>
  <c r="AV27" i="8"/>
  <c r="AW27" i="8"/>
  <c r="AX27" i="8"/>
  <c r="AY27" i="8"/>
  <c r="AZ27" i="8"/>
  <c r="BA27" i="8"/>
  <c r="BB27" i="8"/>
  <c r="BC27" i="8"/>
  <c r="BD27" i="8"/>
  <c r="BE27" i="8"/>
  <c r="BF27" i="8"/>
  <c r="BG27" i="8"/>
  <c r="BH27" i="8"/>
  <c r="BI27" i="8"/>
  <c r="F27" i="8"/>
  <c r="AT10" i="8"/>
  <c r="AT3" i="8"/>
  <c r="AT2" i="8"/>
  <c r="Z10" i="8"/>
  <c r="Z3" i="8"/>
  <c r="Z2" i="8"/>
  <c r="AT23" i="8"/>
  <c r="AT24" i="8" s="1"/>
  <c r="Z23" i="8"/>
  <c r="Z24" i="8" s="1"/>
  <c r="F23" i="8"/>
  <c r="F24" i="8" s="1"/>
  <c r="F7" i="8"/>
  <c r="AT7" i="8" s="1"/>
  <c r="F112" i="4"/>
  <c r="F111" i="4"/>
  <c r="F110" i="4"/>
  <c r="F81" i="4"/>
  <c r="F80" i="4"/>
  <c r="F79" i="4"/>
  <c r="F50" i="4"/>
  <c r="F49" i="4"/>
  <c r="F48" i="4"/>
  <c r="I11" i="7"/>
  <c r="AS112" i="6"/>
  <c r="AR112" i="6"/>
  <c r="AQ112" i="6"/>
  <c r="AP112" i="6"/>
  <c r="AO112" i="6"/>
  <c r="AN112" i="6"/>
  <c r="AS111" i="6"/>
  <c r="AR111" i="6"/>
  <c r="AQ111" i="6"/>
  <c r="AP111" i="6"/>
  <c r="AO111" i="6"/>
  <c r="AN111" i="6"/>
  <c r="AS110" i="6"/>
  <c r="AR110" i="6"/>
  <c r="AQ110" i="6"/>
  <c r="AP110" i="6"/>
  <c r="AO110" i="6"/>
  <c r="AN110" i="6"/>
  <c r="AM112" i="6"/>
  <c r="AL112" i="6"/>
  <c r="AK112" i="6"/>
  <c r="AJ112" i="6"/>
  <c r="AI112" i="6"/>
  <c r="AH112" i="6"/>
  <c r="AG112" i="6"/>
  <c r="AF112" i="6"/>
  <c r="AE112" i="6"/>
  <c r="AD112" i="6"/>
  <c r="AC112" i="6"/>
  <c r="AB112" i="6"/>
  <c r="AA112" i="6"/>
  <c r="Z112" i="6"/>
  <c r="Y112" i="6"/>
  <c r="X112" i="6"/>
  <c r="W112" i="6"/>
  <c r="V112" i="6"/>
  <c r="U112" i="6"/>
  <c r="T112" i="6"/>
  <c r="S112" i="6"/>
  <c r="AM111" i="6"/>
  <c r="AL111" i="6"/>
  <c r="AK111" i="6"/>
  <c r="AJ111" i="6"/>
  <c r="AI111" i="6"/>
  <c r="AH111" i="6"/>
  <c r="AG111" i="6"/>
  <c r="AF111" i="6"/>
  <c r="AE111" i="6"/>
  <c r="AD111" i="6"/>
  <c r="AC111" i="6"/>
  <c r="AB111" i="6"/>
  <c r="AA111" i="6"/>
  <c r="Z111" i="6"/>
  <c r="Y111" i="6"/>
  <c r="X111" i="6"/>
  <c r="W111" i="6"/>
  <c r="V111" i="6"/>
  <c r="U111" i="6"/>
  <c r="T111" i="6"/>
  <c r="S111" i="6"/>
  <c r="AM110" i="6"/>
  <c r="AL110" i="6"/>
  <c r="AK110" i="6"/>
  <c r="AJ110" i="6"/>
  <c r="AI110" i="6"/>
  <c r="AH110" i="6"/>
  <c r="AG110" i="6"/>
  <c r="AF110" i="6"/>
  <c r="AE110" i="6"/>
  <c r="AD110" i="6"/>
  <c r="AC110" i="6"/>
  <c r="AB110" i="6"/>
  <c r="AA110" i="6"/>
  <c r="Z110" i="6"/>
  <c r="Y110" i="6"/>
  <c r="X110" i="6"/>
  <c r="W110" i="6"/>
  <c r="V110" i="6"/>
  <c r="U110" i="6"/>
  <c r="T110" i="6"/>
  <c r="S110" i="6"/>
  <c r="F112" i="6"/>
  <c r="F111" i="6"/>
  <c r="F110" i="6"/>
  <c r="AN81" i="6"/>
  <c r="AM81" i="6"/>
  <c r="AL81" i="6"/>
  <c r="AK81" i="6"/>
  <c r="AJ81" i="6"/>
  <c r="AN80" i="6"/>
  <c r="AM80" i="6"/>
  <c r="AL80" i="6"/>
  <c r="AK80" i="6"/>
  <c r="AJ80" i="6"/>
  <c r="AN79" i="6"/>
  <c r="AM79" i="6"/>
  <c r="AL79" i="6"/>
  <c r="AK79" i="6"/>
  <c r="AJ79" i="6"/>
  <c r="AI81" i="6"/>
  <c r="AH81" i="6"/>
  <c r="AG81" i="6"/>
  <c r="AF81" i="6"/>
  <c r="AE81" i="6"/>
  <c r="AD81" i="6"/>
  <c r="AC81" i="6"/>
  <c r="AB81" i="6"/>
  <c r="AA81" i="6"/>
  <c r="Z81" i="6"/>
  <c r="Y81" i="6"/>
  <c r="X81" i="6"/>
  <c r="W81" i="6"/>
  <c r="V81" i="6"/>
  <c r="U81" i="6"/>
  <c r="T81" i="6"/>
  <c r="S81" i="6"/>
  <c r="R81" i="6"/>
  <c r="Q81" i="6"/>
  <c r="P81" i="6"/>
  <c r="AI80" i="6"/>
  <c r="AH80" i="6"/>
  <c r="AG80" i="6"/>
  <c r="AF80" i="6"/>
  <c r="AE80" i="6"/>
  <c r="AD80" i="6"/>
  <c r="AC80" i="6"/>
  <c r="AB80" i="6"/>
  <c r="AA80" i="6"/>
  <c r="Z80" i="6"/>
  <c r="Y80" i="6"/>
  <c r="X80" i="6"/>
  <c r="W80" i="6"/>
  <c r="V80" i="6"/>
  <c r="U80" i="6"/>
  <c r="T80" i="6"/>
  <c r="S80" i="6"/>
  <c r="R80" i="6"/>
  <c r="Q80" i="6"/>
  <c r="P80" i="6"/>
  <c r="AI79" i="6"/>
  <c r="AH79" i="6"/>
  <c r="AG79" i="6"/>
  <c r="AF79" i="6"/>
  <c r="AE79" i="6"/>
  <c r="AD79" i="6"/>
  <c r="AC79" i="6"/>
  <c r="AB79" i="6"/>
  <c r="AA79" i="6"/>
  <c r="Z79" i="6"/>
  <c r="Y79" i="6"/>
  <c r="X79" i="6"/>
  <c r="W79" i="6"/>
  <c r="V79" i="6"/>
  <c r="U79" i="6"/>
  <c r="T79" i="6"/>
  <c r="S79" i="6"/>
  <c r="R79" i="6"/>
  <c r="Q79" i="6"/>
  <c r="P79" i="6"/>
  <c r="F81" i="6"/>
  <c r="F80" i="6"/>
  <c r="F79" i="6"/>
  <c r="AI50" i="6"/>
  <c r="AH50" i="6"/>
  <c r="AG50" i="6"/>
  <c r="AF50" i="6"/>
  <c r="AE50" i="6"/>
  <c r="AD50" i="6"/>
  <c r="AI49" i="6"/>
  <c r="AH49" i="6"/>
  <c r="AG49" i="6"/>
  <c r="AF49" i="6"/>
  <c r="AE49" i="6"/>
  <c r="AD49" i="6"/>
  <c r="AI48" i="6"/>
  <c r="AH48" i="6"/>
  <c r="AG48" i="6"/>
  <c r="AF48" i="6"/>
  <c r="AE48" i="6"/>
  <c r="AD48" i="6"/>
  <c r="AC50" i="6"/>
  <c r="AB50" i="6"/>
  <c r="AA50" i="6"/>
  <c r="Z50" i="6"/>
  <c r="Y50" i="6"/>
  <c r="X50" i="6"/>
  <c r="W50" i="6"/>
  <c r="V50" i="6"/>
  <c r="U50" i="6"/>
  <c r="T50" i="6"/>
  <c r="S50" i="6"/>
  <c r="R50" i="6"/>
  <c r="Q50" i="6"/>
  <c r="P50" i="6"/>
  <c r="O50" i="6"/>
  <c r="N50" i="6"/>
  <c r="M50" i="6"/>
  <c r="L50" i="6"/>
  <c r="AC49" i="6"/>
  <c r="AB49" i="6"/>
  <c r="AA49" i="6"/>
  <c r="Z49" i="6"/>
  <c r="Y49" i="6"/>
  <c r="X49" i="6"/>
  <c r="W49" i="6"/>
  <c r="V49" i="6"/>
  <c r="U49" i="6"/>
  <c r="T49" i="6"/>
  <c r="S49" i="6"/>
  <c r="R49" i="6"/>
  <c r="Q49" i="6"/>
  <c r="P49" i="6"/>
  <c r="O49" i="6"/>
  <c r="N49" i="6"/>
  <c r="M49" i="6"/>
  <c r="L49" i="6"/>
  <c r="AC48" i="6"/>
  <c r="AB48" i="6"/>
  <c r="AA48" i="6"/>
  <c r="Z48" i="6"/>
  <c r="Y48" i="6"/>
  <c r="X48" i="6"/>
  <c r="W48" i="6"/>
  <c r="V48" i="6"/>
  <c r="U48" i="6"/>
  <c r="T48" i="6"/>
  <c r="S48" i="6"/>
  <c r="R48" i="6"/>
  <c r="Q48" i="6"/>
  <c r="P48" i="6"/>
  <c r="O48" i="6"/>
  <c r="N48" i="6"/>
  <c r="M48" i="6"/>
  <c r="L48" i="6"/>
  <c r="F50" i="6"/>
  <c r="F49" i="6"/>
  <c r="F48" i="6"/>
  <c r="AC19" i="6"/>
  <c r="AB19" i="6"/>
  <c r="AA19" i="6"/>
  <c r="Z19" i="6"/>
  <c r="Y19" i="6"/>
  <c r="X19" i="6"/>
  <c r="W19" i="6"/>
  <c r="AC18" i="6"/>
  <c r="AB18" i="6"/>
  <c r="AA18" i="6"/>
  <c r="Z18" i="6"/>
  <c r="Y18" i="6"/>
  <c r="X18" i="6"/>
  <c r="W18" i="6"/>
  <c r="AC17" i="6"/>
  <c r="AB17" i="6"/>
  <c r="AA17" i="6"/>
  <c r="Z17" i="6"/>
  <c r="Y17" i="6"/>
  <c r="X17" i="6"/>
  <c r="W17" i="6"/>
  <c r="V19" i="6"/>
  <c r="U19" i="6"/>
  <c r="T19" i="6"/>
  <c r="S19" i="6"/>
  <c r="R19" i="6"/>
  <c r="Q19" i="6"/>
  <c r="P19" i="6"/>
  <c r="O19" i="6"/>
  <c r="N19" i="6"/>
  <c r="M19" i="6"/>
  <c r="L19" i="6"/>
  <c r="K19" i="6"/>
  <c r="J19" i="6"/>
  <c r="I19" i="6"/>
  <c r="F19" i="6"/>
  <c r="V18" i="6"/>
  <c r="U18" i="6"/>
  <c r="T18" i="6"/>
  <c r="S18" i="6"/>
  <c r="R18" i="6"/>
  <c r="Q18" i="6"/>
  <c r="P18" i="6"/>
  <c r="O18" i="6"/>
  <c r="N18" i="6"/>
  <c r="M18" i="6"/>
  <c r="L18" i="6"/>
  <c r="K18" i="6"/>
  <c r="J18" i="6"/>
  <c r="I18" i="6"/>
  <c r="F18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F17" i="6"/>
  <c r="F9" i="6"/>
  <c r="F8" i="6" s="1"/>
  <c r="AG119" i="6" s="1"/>
  <c r="F7" i="6"/>
  <c r="F6" i="6"/>
  <c r="F5" i="6"/>
  <c r="F4" i="6"/>
  <c r="AG112" i="4"/>
  <c r="AF112" i="4"/>
  <c r="AE112" i="4"/>
  <c r="AD112" i="4"/>
  <c r="AC112" i="4"/>
  <c r="AB112" i="4"/>
  <c r="AA112" i="4"/>
  <c r="Z112" i="4"/>
  <c r="Y112" i="4"/>
  <c r="X112" i="4"/>
  <c r="W112" i="4"/>
  <c r="V112" i="4"/>
  <c r="U112" i="4"/>
  <c r="T112" i="4"/>
  <c r="S112" i="4"/>
  <c r="R112" i="4"/>
  <c r="Q112" i="4"/>
  <c r="P112" i="4"/>
  <c r="O112" i="4"/>
  <c r="N112" i="4"/>
  <c r="M112" i="4"/>
  <c r="AG111" i="4"/>
  <c r="AF111" i="4"/>
  <c r="AE111" i="4"/>
  <c r="AD111" i="4"/>
  <c r="AC111" i="4"/>
  <c r="AB111" i="4"/>
  <c r="AA111" i="4"/>
  <c r="Z111" i="4"/>
  <c r="Y111" i="4"/>
  <c r="X111" i="4"/>
  <c r="W111" i="4"/>
  <c r="V111" i="4"/>
  <c r="U111" i="4"/>
  <c r="T111" i="4"/>
  <c r="S111" i="4"/>
  <c r="R111" i="4"/>
  <c r="Q111" i="4"/>
  <c r="P111" i="4"/>
  <c r="O111" i="4"/>
  <c r="N111" i="4"/>
  <c r="M111" i="4"/>
  <c r="AG110" i="4"/>
  <c r="AF110" i="4"/>
  <c r="AE110" i="4"/>
  <c r="AD110" i="4"/>
  <c r="AC110" i="4"/>
  <c r="AB110" i="4"/>
  <c r="AA110" i="4"/>
  <c r="Z110" i="4"/>
  <c r="Y110" i="4"/>
  <c r="X110" i="4"/>
  <c r="W110" i="4"/>
  <c r="V110" i="4"/>
  <c r="U110" i="4"/>
  <c r="T110" i="4"/>
  <c r="S110" i="4"/>
  <c r="R110" i="4"/>
  <c r="Q110" i="4"/>
  <c r="P110" i="4"/>
  <c r="O110" i="4"/>
  <c r="N110" i="4"/>
  <c r="M110" i="4"/>
  <c r="L81" i="4"/>
  <c r="L80" i="4"/>
  <c r="L79" i="4"/>
  <c r="AG88" i="6"/>
  <c r="AB81" i="4"/>
  <c r="AA81" i="4"/>
  <c r="Z81" i="4"/>
  <c r="Y81" i="4"/>
  <c r="X81" i="4"/>
  <c r="W81" i="4"/>
  <c r="V81" i="4"/>
  <c r="U81" i="4"/>
  <c r="T81" i="4"/>
  <c r="S81" i="4"/>
  <c r="R81" i="4"/>
  <c r="Q81" i="4"/>
  <c r="P81" i="4"/>
  <c r="O81" i="4"/>
  <c r="N81" i="4"/>
  <c r="M81" i="4"/>
  <c r="AB80" i="4"/>
  <c r="AA80" i="4"/>
  <c r="Z80" i="4"/>
  <c r="Y80" i="4"/>
  <c r="X80" i="4"/>
  <c r="W80" i="4"/>
  <c r="V80" i="4"/>
  <c r="U80" i="4"/>
  <c r="T80" i="4"/>
  <c r="S80" i="4"/>
  <c r="R80" i="4"/>
  <c r="Q80" i="4"/>
  <c r="P80" i="4"/>
  <c r="O80" i="4"/>
  <c r="N80" i="4"/>
  <c r="M80" i="4"/>
  <c r="AB79" i="4"/>
  <c r="AA79" i="4"/>
  <c r="Z79" i="4"/>
  <c r="Y79" i="4"/>
  <c r="X79" i="4"/>
  <c r="W79" i="4"/>
  <c r="V79" i="4"/>
  <c r="U79" i="4"/>
  <c r="T79" i="4"/>
  <c r="S79" i="4"/>
  <c r="R79" i="4"/>
  <c r="Q79" i="4"/>
  <c r="P79" i="4"/>
  <c r="O79" i="4"/>
  <c r="N79" i="4"/>
  <c r="M79" i="4"/>
  <c r="W50" i="4"/>
  <c r="V50" i="4"/>
  <c r="U50" i="4"/>
  <c r="T50" i="4"/>
  <c r="S50" i="4"/>
  <c r="R50" i="4"/>
  <c r="Q50" i="4"/>
  <c r="P50" i="4"/>
  <c r="O50" i="4"/>
  <c r="N50" i="4"/>
  <c r="M50" i="4"/>
  <c r="L50" i="4"/>
  <c r="K50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Q19" i="4"/>
  <c r="P19" i="4"/>
  <c r="O19" i="4"/>
  <c r="N19" i="4"/>
  <c r="M19" i="4"/>
  <c r="L19" i="4"/>
  <c r="K19" i="4"/>
  <c r="J19" i="4"/>
  <c r="I19" i="4"/>
  <c r="Q18" i="4"/>
  <c r="P18" i="4"/>
  <c r="O18" i="4"/>
  <c r="N18" i="4"/>
  <c r="M18" i="4"/>
  <c r="L18" i="4"/>
  <c r="K18" i="4"/>
  <c r="J18" i="4"/>
  <c r="I18" i="4"/>
  <c r="Q17" i="4"/>
  <c r="P17" i="4"/>
  <c r="O17" i="4"/>
  <c r="N17" i="4"/>
  <c r="M17" i="4"/>
  <c r="L17" i="4"/>
  <c r="K17" i="4"/>
  <c r="J17" i="4"/>
  <c r="I17" i="4"/>
  <c r="F19" i="4"/>
  <c r="F18" i="4"/>
  <c r="F17" i="4"/>
  <c r="F9" i="4"/>
  <c r="F8" i="4" s="1"/>
  <c r="F7" i="4"/>
  <c r="F6" i="4"/>
  <c r="F5" i="4"/>
  <c r="F4" i="4"/>
  <c r="F7" i="5"/>
  <c r="F9" i="5"/>
  <c r="F8" i="5" s="1"/>
  <c r="F4" i="5"/>
  <c r="F6" i="5"/>
  <c r="F5" i="5"/>
  <c r="AM111" i="5"/>
  <c r="AL111" i="5"/>
  <c r="AK111" i="5"/>
  <c r="AJ111" i="5"/>
  <c r="AI111" i="5"/>
  <c r="AH111" i="5"/>
  <c r="AG111" i="5"/>
  <c r="AF111" i="5"/>
  <c r="AE111" i="5"/>
  <c r="AD111" i="5"/>
  <c r="AC111" i="5"/>
  <c r="AB111" i="5"/>
  <c r="AA111" i="5"/>
  <c r="Z111" i="5"/>
  <c r="Y111" i="5"/>
  <c r="X111" i="5"/>
  <c r="W111" i="5"/>
  <c r="V111" i="5"/>
  <c r="U111" i="5"/>
  <c r="T111" i="5"/>
  <c r="S111" i="5"/>
  <c r="R111" i="5"/>
  <c r="Q111" i="5"/>
  <c r="P111" i="5"/>
  <c r="O111" i="5"/>
  <c r="F111" i="5"/>
  <c r="AI80" i="5"/>
  <c r="AH80" i="5"/>
  <c r="AG80" i="5"/>
  <c r="AF80" i="5"/>
  <c r="AE80" i="5"/>
  <c r="AD80" i="5"/>
  <c r="AC80" i="5"/>
  <c r="AB80" i="5"/>
  <c r="AA80" i="5"/>
  <c r="Z80" i="5"/>
  <c r="Y80" i="5"/>
  <c r="X80" i="5"/>
  <c r="W80" i="5"/>
  <c r="V80" i="5"/>
  <c r="U80" i="5"/>
  <c r="T80" i="5"/>
  <c r="S80" i="5"/>
  <c r="R80" i="5"/>
  <c r="Q80" i="5"/>
  <c r="P80" i="5"/>
  <c r="O80" i="5"/>
  <c r="N80" i="5"/>
  <c r="M80" i="5"/>
  <c r="F80" i="5"/>
  <c r="AC49" i="5"/>
  <c r="AB49" i="5"/>
  <c r="AA49" i="5"/>
  <c r="Z49" i="5"/>
  <c r="Y49" i="5"/>
  <c r="X49" i="5"/>
  <c r="W49" i="5"/>
  <c r="V49" i="5"/>
  <c r="U49" i="5"/>
  <c r="T49" i="5"/>
  <c r="S49" i="5"/>
  <c r="R49" i="5"/>
  <c r="Q49" i="5"/>
  <c r="P49" i="5"/>
  <c r="O49" i="5"/>
  <c r="N49" i="5"/>
  <c r="M49" i="5"/>
  <c r="L49" i="5"/>
  <c r="K49" i="5"/>
  <c r="F49" i="5"/>
  <c r="V18" i="5"/>
  <c r="U18" i="5"/>
  <c r="T18" i="5"/>
  <c r="S18" i="5"/>
  <c r="R18" i="5"/>
  <c r="Q18" i="5"/>
  <c r="P18" i="5"/>
  <c r="O18" i="5"/>
  <c r="N18" i="5"/>
  <c r="M18" i="5"/>
  <c r="L18" i="5"/>
  <c r="K18" i="5"/>
  <c r="J18" i="5"/>
  <c r="I18" i="5"/>
  <c r="F18" i="5"/>
  <c r="AI79" i="5"/>
  <c r="AI81" i="5"/>
  <c r="AE110" i="5"/>
  <c r="AF110" i="5"/>
  <c r="AG110" i="5"/>
  <c r="AH110" i="5"/>
  <c r="AI110" i="5"/>
  <c r="AJ110" i="5"/>
  <c r="AK110" i="5"/>
  <c r="AL110" i="5"/>
  <c r="AM110" i="5"/>
  <c r="AE112" i="5"/>
  <c r="AF112" i="5"/>
  <c r="AG112" i="5"/>
  <c r="AH112" i="5"/>
  <c r="AI112" i="5"/>
  <c r="AJ112" i="5"/>
  <c r="AK112" i="5"/>
  <c r="AL112" i="5"/>
  <c r="AM112" i="5"/>
  <c r="Z79" i="5"/>
  <c r="AA79" i="5"/>
  <c r="AB79" i="5"/>
  <c r="AC79" i="5"/>
  <c r="AD79" i="5"/>
  <c r="AE79" i="5"/>
  <c r="AF79" i="5"/>
  <c r="AG79" i="5"/>
  <c r="AH79" i="5"/>
  <c r="Z81" i="5"/>
  <c r="AA81" i="5"/>
  <c r="AB81" i="5"/>
  <c r="AC81" i="5"/>
  <c r="AD81" i="5"/>
  <c r="AE81" i="5"/>
  <c r="AF81" i="5"/>
  <c r="AG81" i="5"/>
  <c r="AH81" i="5"/>
  <c r="U48" i="5"/>
  <c r="V48" i="5"/>
  <c r="W48" i="5"/>
  <c r="X48" i="5"/>
  <c r="Y48" i="5"/>
  <c r="Z48" i="5"/>
  <c r="AA48" i="5"/>
  <c r="AB48" i="5"/>
  <c r="AC48" i="5"/>
  <c r="U50" i="5"/>
  <c r="V50" i="5"/>
  <c r="W50" i="5"/>
  <c r="X50" i="5"/>
  <c r="Y50" i="5"/>
  <c r="Z50" i="5"/>
  <c r="AA50" i="5"/>
  <c r="AB50" i="5"/>
  <c r="AC50" i="5"/>
  <c r="O17" i="5"/>
  <c r="P17" i="5"/>
  <c r="Q17" i="5"/>
  <c r="R17" i="5"/>
  <c r="S17" i="5"/>
  <c r="T17" i="5"/>
  <c r="U17" i="5"/>
  <c r="V17" i="5"/>
  <c r="O19" i="5"/>
  <c r="P19" i="5"/>
  <c r="Q19" i="5"/>
  <c r="R19" i="5"/>
  <c r="S19" i="5"/>
  <c r="T19" i="5"/>
  <c r="U19" i="5"/>
  <c r="V19" i="5"/>
  <c r="AD112" i="5"/>
  <c r="AC112" i="5"/>
  <c r="AB112" i="5"/>
  <c r="AA112" i="5"/>
  <c r="Z112" i="5"/>
  <c r="Y112" i="5"/>
  <c r="X112" i="5"/>
  <c r="W112" i="5"/>
  <c r="V112" i="5"/>
  <c r="U112" i="5"/>
  <c r="T112" i="5"/>
  <c r="S112" i="5"/>
  <c r="R112" i="5"/>
  <c r="Q112" i="5"/>
  <c r="P112" i="5"/>
  <c r="O112" i="5"/>
  <c r="F112" i="5"/>
  <c r="AD110" i="5"/>
  <c r="AC110" i="5"/>
  <c r="AB110" i="5"/>
  <c r="AA110" i="5"/>
  <c r="Z110" i="5"/>
  <c r="Y110" i="5"/>
  <c r="X110" i="5"/>
  <c r="W110" i="5"/>
  <c r="V110" i="5"/>
  <c r="U110" i="5"/>
  <c r="T110" i="5"/>
  <c r="S110" i="5"/>
  <c r="R110" i="5"/>
  <c r="Q110" i="5"/>
  <c r="P110" i="5"/>
  <c r="O110" i="5"/>
  <c r="F110" i="5"/>
  <c r="Y81" i="5"/>
  <c r="X81" i="5"/>
  <c r="W81" i="5"/>
  <c r="V81" i="5"/>
  <c r="U81" i="5"/>
  <c r="T81" i="5"/>
  <c r="S81" i="5"/>
  <c r="R81" i="5"/>
  <c r="Q81" i="5"/>
  <c r="P81" i="5"/>
  <c r="O81" i="5"/>
  <c r="N81" i="5"/>
  <c r="M81" i="5"/>
  <c r="F81" i="5"/>
  <c r="Y79" i="5"/>
  <c r="X79" i="5"/>
  <c r="W79" i="5"/>
  <c r="V79" i="5"/>
  <c r="U79" i="5"/>
  <c r="T79" i="5"/>
  <c r="S79" i="5"/>
  <c r="R79" i="5"/>
  <c r="Q79" i="5"/>
  <c r="P79" i="5"/>
  <c r="O79" i="5"/>
  <c r="N79" i="5"/>
  <c r="M79" i="5"/>
  <c r="F79" i="5"/>
  <c r="T50" i="5"/>
  <c r="S50" i="5"/>
  <c r="R50" i="5"/>
  <c r="Q50" i="5"/>
  <c r="P50" i="5"/>
  <c r="O50" i="5"/>
  <c r="N50" i="5"/>
  <c r="M50" i="5"/>
  <c r="L50" i="5"/>
  <c r="K50" i="5"/>
  <c r="F50" i="5"/>
  <c r="T48" i="5"/>
  <c r="S48" i="5"/>
  <c r="R48" i="5"/>
  <c r="Q48" i="5"/>
  <c r="P48" i="5"/>
  <c r="O48" i="5"/>
  <c r="N48" i="5"/>
  <c r="M48" i="5"/>
  <c r="L48" i="5"/>
  <c r="K48" i="5"/>
  <c r="F48" i="5"/>
  <c r="N19" i="5"/>
  <c r="M19" i="5"/>
  <c r="L19" i="5"/>
  <c r="K19" i="5"/>
  <c r="J19" i="5"/>
  <c r="I19" i="5"/>
  <c r="F19" i="5"/>
  <c r="N17" i="5"/>
  <c r="M17" i="5"/>
  <c r="L17" i="5"/>
  <c r="K17" i="5"/>
  <c r="J17" i="5"/>
  <c r="I17" i="5"/>
  <c r="F17" i="5"/>
  <c r="D36" i="1"/>
  <c r="AG37" i="1" s="1"/>
  <c r="AG38" i="1" s="1"/>
  <c r="D32" i="1"/>
  <c r="M33" i="1" s="1"/>
  <c r="M34" i="1" s="1"/>
  <c r="D28" i="1"/>
  <c r="W29" i="1" s="1"/>
  <c r="W30" i="1" s="1"/>
  <c r="D24" i="1"/>
  <c r="N25" i="1" s="1"/>
  <c r="N26" i="1" s="1"/>
  <c r="D54" i="1"/>
  <c r="W55" i="1" s="1"/>
  <c r="W56" i="1" s="1"/>
  <c r="D50" i="1"/>
  <c r="AE51" i="1" s="1"/>
  <c r="AE52" i="1" s="1"/>
  <c r="D46" i="1"/>
  <c r="P47" i="1" s="1"/>
  <c r="P48" i="1" s="1"/>
  <c r="D42" i="1"/>
  <c r="N43" i="1" s="1"/>
  <c r="N44" i="1" s="1"/>
  <c r="U33" i="1"/>
  <c r="U34" i="1" s="1"/>
  <c r="Q29" i="1"/>
  <c r="Q30" i="1" s="1"/>
  <c r="O55" i="1"/>
  <c r="O56" i="1" s="1"/>
  <c r="I43" i="1"/>
  <c r="I44" i="1" s="1"/>
  <c r="AB19" i="1"/>
  <c r="AB20" i="1" s="1"/>
  <c r="AA19" i="1"/>
  <c r="AA20" i="1" s="1"/>
  <c r="Z19" i="1"/>
  <c r="Z20" i="1" s="1"/>
  <c r="Y19" i="1"/>
  <c r="Y20" i="1" s="1"/>
  <c r="X19" i="1"/>
  <c r="X20" i="1" s="1"/>
  <c r="W19" i="1"/>
  <c r="W20" i="1" s="1"/>
  <c r="V19" i="1"/>
  <c r="V20" i="1" s="1"/>
  <c r="U19" i="1"/>
  <c r="U20" i="1" s="1"/>
  <c r="T19" i="1"/>
  <c r="T20" i="1" s="1"/>
  <c r="S19" i="1"/>
  <c r="S20" i="1" s="1"/>
  <c r="R19" i="1"/>
  <c r="R20" i="1" s="1"/>
  <c r="Q19" i="1"/>
  <c r="Q20" i="1" s="1"/>
  <c r="P19" i="1"/>
  <c r="P20" i="1" s="1"/>
  <c r="O19" i="1"/>
  <c r="O20" i="1" s="1"/>
  <c r="N19" i="1"/>
  <c r="N20" i="1" s="1"/>
  <c r="M19" i="1"/>
  <c r="M20" i="1" s="1"/>
  <c r="L19" i="1"/>
  <c r="L20" i="1" s="1"/>
  <c r="K19" i="1"/>
  <c r="K20" i="1" s="1"/>
  <c r="X15" i="1"/>
  <c r="X16" i="1" s="1"/>
  <c r="W15" i="1"/>
  <c r="W16" i="1"/>
  <c r="V15" i="1"/>
  <c r="V16" i="1" s="1"/>
  <c r="U15" i="1"/>
  <c r="U16" i="1" s="1"/>
  <c r="T15" i="1"/>
  <c r="T16" i="1" s="1"/>
  <c r="S15" i="1"/>
  <c r="S16" i="1" s="1"/>
  <c r="R15" i="1"/>
  <c r="R16" i="1" s="1"/>
  <c r="Q15" i="1"/>
  <c r="Q16" i="1" s="1"/>
  <c r="P15" i="1"/>
  <c r="P16" i="1" s="1"/>
  <c r="O15" i="1"/>
  <c r="O16" i="1" s="1"/>
  <c r="N15" i="1"/>
  <c r="N16" i="1" s="1"/>
  <c r="M15" i="1"/>
  <c r="M16" i="1" s="1"/>
  <c r="L15" i="1"/>
  <c r="L16" i="1" s="1"/>
  <c r="K15" i="1"/>
  <c r="K16" i="1" s="1"/>
  <c r="J15" i="1"/>
  <c r="J16" i="1" s="1"/>
  <c r="S11" i="1"/>
  <c r="S12" i="1" s="1"/>
  <c r="R11" i="1"/>
  <c r="R12" i="1" s="1"/>
  <c r="Q11" i="1"/>
  <c r="Q12" i="1" s="1"/>
  <c r="P11" i="1"/>
  <c r="P12" i="1" s="1"/>
  <c r="O11" i="1"/>
  <c r="O12" i="1" s="1"/>
  <c r="N11" i="1"/>
  <c r="N12" i="1" s="1"/>
  <c r="M11" i="1"/>
  <c r="M12" i="1" s="1"/>
  <c r="L11" i="1"/>
  <c r="L12" i="1" s="1"/>
  <c r="K11" i="1"/>
  <c r="K12" i="1" s="1"/>
  <c r="J11" i="1"/>
  <c r="J12" i="1" s="1"/>
  <c r="I11" i="1"/>
  <c r="I12" i="1" s="1"/>
  <c r="O7" i="1"/>
  <c r="O8" i="1" s="1"/>
  <c r="N7" i="1"/>
  <c r="N8" i="1" s="1"/>
  <c r="M7" i="1"/>
  <c r="M8" i="1" s="1"/>
  <c r="L7" i="1"/>
  <c r="L8" i="1" s="1"/>
  <c r="K7" i="1"/>
  <c r="K8" i="1" s="1"/>
  <c r="J7" i="1"/>
  <c r="J8" i="1" s="1"/>
  <c r="I7" i="1"/>
  <c r="I8" i="1" s="1"/>
  <c r="H7" i="1"/>
  <c r="H8" i="1"/>
  <c r="G7" i="1"/>
  <c r="G8" i="1" s="1"/>
  <c r="AJ49" i="1"/>
  <c r="AJ50" i="1"/>
  <c r="AH49" i="1"/>
  <c r="AI49" i="1"/>
  <c r="AH50" i="1"/>
  <c r="AI50" i="1"/>
  <c r="AQ53" i="1"/>
  <c r="AQ54" i="1"/>
  <c r="AN53" i="1"/>
  <c r="AO53" i="1"/>
  <c r="AP53" i="1"/>
  <c r="AN54" i="1"/>
  <c r="AO54" i="1"/>
  <c r="AP54" i="1"/>
  <c r="AA45" i="1"/>
  <c r="AB45" i="1"/>
  <c r="AA46" i="1"/>
  <c r="AB46" i="1"/>
  <c r="U41" i="1"/>
  <c r="U42" i="1"/>
  <c r="AH35" i="1"/>
  <c r="AH36" i="1"/>
  <c r="AF35" i="1"/>
  <c r="AG35" i="1"/>
  <c r="AF36" i="1"/>
  <c r="AG36" i="1"/>
  <c r="AA31" i="1"/>
  <c r="AB31" i="1"/>
  <c r="AC31" i="1"/>
  <c r="AA32" i="1"/>
  <c r="AB32" i="1"/>
  <c r="AC32" i="1"/>
  <c r="V27" i="1"/>
  <c r="W27" i="1"/>
  <c r="V28" i="1"/>
  <c r="W28" i="1"/>
  <c r="Q23" i="1"/>
  <c r="Q24" i="1"/>
  <c r="X13" i="1"/>
  <c r="X14" i="1"/>
  <c r="W13" i="1"/>
  <c r="W14" i="1"/>
  <c r="S9" i="1"/>
  <c r="S10" i="1"/>
  <c r="O5" i="1"/>
  <c r="O6" i="1"/>
  <c r="T35" i="1"/>
  <c r="U35" i="1"/>
  <c r="V35" i="1"/>
  <c r="W35" i="1"/>
  <c r="X35" i="1"/>
  <c r="Y35" i="1"/>
  <c r="Z35" i="1"/>
  <c r="AA35" i="1"/>
  <c r="AB35" i="1"/>
  <c r="AC35" i="1"/>
  <c r="AD35" i="1"/>
  <c r="AE35" i="1"/>
  <c r="T36" i="1"/>
  <c r="U36" i="1"/>
  <c r="V36" i="1"/>
  <c r="W36" i="1"/>
  <c r="X36" i="1"/>
  <c r="Y36" i="1"/>
  <c r="Z36" i="1"/>
  <c r="AA36" i="1"/>
  <c r="AB36" i="1"/>
  <c r="AC36" i="1"/>
  <c r="AD36" i="1"/>
  <c r="AE36" i="1"/>
  <c r="Y31" i="1"/>
  <c r="Z31" i="1"/>
  <c r="Y32" i="1"/>
  <c r="Z32" i="1"/>
  <c r="R31" i="1"/>
  <c r="S31" i="1"/>
  <c r="T31" i="1"/>
  <c r="U31" i="1"/>
  <c r="V31" i="1"/>
  <c r="W31" i="1"/>
  <c r="X31" i="1"/>
  <c r="R32" i="1"/>
  <c r="S32" i="1"/>
  <c r="T32" i="1"/>
  <c r="U32" i="1"/>
  <c r="V32" i="1"/>
  <c r="W32" i="1"/>
  <c r="X32" i="1"/>
  <c r="T27" i="1"/>
  <c r="U27" i="1"/>
  <c r="T28" i="1"/>
  <c r="U28" i="1"/>
  <c r="O27" i="1"/>
  <c r="P27" i="1"/>
  <c r="Q27" i="1"/>
  <c r="R27" i="1"/>
  <c r="S27" i="1"/>
  <c r="O28" i="1"/>
  <c r="P28" i="1"/>
  <c r="Q28" i="1"/>
  <c r="R28" i="1"/>
  <c r="S28" i="1"/>
  <c r="M23" i="1"/>
  <c r="N23" i="1"/>
  <c r="O23" i="1"/>
  <c r="P23" i="1"/>
  <c r="M24" i="1"/>
  <c r="N24" i="1"/>
  <c r="O24" i="1"/>
  <c r="P24" i="1"/>
  <c r="K45" i="1"/>
  <c r="M49" i="1"/>
  <c r="V53" i="1"/>
  <c r="W53" i="1"/>
  <c r="X53" i="1"/>
  <c r="Y53" i="1"/>
  <c r="Z53" i="1"/>
  <c r="AA53" i="1"/>
  <c r="AB53" i="1"/>
  <c r="AC53" i="1"/>
  <c r="AD53" i="1"/>
  <c r="AE53" i="1"/>
  <c r="AF53" i="1"/>
  <c r="AG53" i="1"/>
  <c r="AH53" i="1"/>
  <c r="AI53" i="1"/>
  <c r="AJ53" i="1"/>
  <c r="AK53" i="1"/>
  <c r="AL53" i="1"/>
  <c r="AM53" i="1"/>
  <c r="V54" i="1"/>
  <c r="W54" i="1"/>
  <c r="X54" i="1"/>
  <c r="Y54" i="1"/>
  <c r="Z54" i="1"/>
  <c r="AA54" i="1"/>
  <c r="AB54" i="1"/>
  <c r="AC54" i="1"/>
  <c r="AD54" i="1"/>
  <c r="AE54" i="1"/>
  <c r="AF54" i="1"/>
  <c r="AG54" i="1"/>
  <c r="AH54" i="1"/>
  <c r="AI54" i="1"/>
  <c r="AJ54" i="1"/>
  <c r="AK54" i="1"/>
  <c r="AL54" i="1"/>
  <c r="AM54" i="1"/>
  <c r="T41" i="1"/>
  <c r="T42" i="1"/>
  <c r="AE49" i="1"/>
  <c r="AF49" i="1"/>
  <c r="AG49" i="1"/>
  <c r="AE50" i="1"/>
  <c r="AF50" i="1"/>
  <c r="AG50" i="1"/>
  <c r="S49" i="1"/>
  <c r="T49" i="1"/>
  <c r="U49" i="1"/>
  <c r="V49" i="1"/>
  <c r="W49" i="1"/>
  <c r="X49" i="1"/>
  <c r="Y49" i="1"/>
  <c r="Z49" i="1"/>
  <c r="AA49" i="1"/>
  <c r="AB49" i="1"/>
  <c r="AC49" i="1"/>
  <c r="AD49" i="1"/>
  <c r="S50" i="1"/>
  <c r="T50" i="1"/>
  <c r="U50" i="1"/>
  <c r="V50" i="1"/>
  <c r="W50" i="1"/>
  <c r="X50" i="1"/>
  <c r="Y50" i="1"/>
  <c r="Z50" i="1"/>
  <c r="AA50" i="1"/>
  <c r="AB50" i="1"/>
  <c r="AC50" i="1"/>
  <c r="AD50" i="1"/>
  <c r="X45" i="1"/>
  <c r="Y45" i="1"/>
  <c r="Z45" i="1"/>
  <c r="X46" i="1"/>
  <c r="Y46" i="1"/>
  <c r="Z46" i="1"/>
  <c r="Q45" i="1"/>
  <c r="R45" i="1"/>
  <c r="S45" i="1"/>
  <c r="T45" i="1"/>
  <c r="U45" i="1"/>
  <c r="V45" i="1"/>
  <c r="W45" i="1"/>
  <c r="Q46" i="1"/>
  <c r="R46" i="1"/>
  <c r="S46" i="1"/>
  <c r="T46" i="1"/>
  <c r="U46" i="1"/>
  <c r="V46" i="1"/>
  <c r="W46" i="1"/>
  <c r="N41" i="1"/>
  <c r="O41" i="1"/>
  <c r="P41" i="1"/>
  <c r="Q41" i="1"/>
  <c r="R41" i="1"/>
  <c r="S41" i="1"/>
  <c r="N42" i="1"/>
  <c r="O42" i="1"/>
  <c r="P42" i="1"/>
  <c r="Q42" i="1"/>
  <c r="R42" i="1"/>
  <c r="S42" i="1"/>
  <c r="G5" i="1"/>
  <c r="U13" i="1"/>
  <c r="V13" i="1"/>
  <c r="U14" i="1"/>
  <c r="V14" i="1"/>
  <c r="Q13" i="1"/>
  <c r="R13" i="1"/>
  <c r="S13" i="1"/>
  <c r="T13" i="1"/>
  <c r="Q14" i="1"/>
  <c r="R14" i="1"/>
  <c r="S14" i="1"/>
  <c r="T14" i="1"/>
  <c r="Q9" i="1"/>
  <c r="R9" i="1"/>
  <c r="Q10" i="1"/>
  <c r="R10" i="1"/>
  <c r="O9" i="1"/>
  <c r="P9" i="1"/>
  <c r="O10" i="1"/>
  <c r="P10" i="1"/>
  <c r="M5" i="1"/>
  <c r="N5" i="1"/>
  <c r="M6" i="1"/>
  <c r="N6" i="1"/>
  <c r="S17" i="1"/>
  <c r="T17" i="1"/>
  <c r="U17" i="1"/>
  <c r="V17" i="1"/>
  <c r="W17" i="1"/>
  <c r="X17" i="1"/>
  <c r="Y17" i="1"/>
  <c r="Z17" i="1"/>
  <c r="AA17" i="1"/>
  <c r="AB17" i="1"/>
  <c r="S18" i="1"/>
  <c r="T18" i="1"/>
  <c r="U18" i="1"/>
  <c r="V18" i="1"/>
  <c r="W18" i="1"/>
  <c r="X18" i="1"/>
  <c r="Y18" i="1"/>
  <c r="Z18" i="1"/>
  <c r="AA18" i="1"/>
  <c r="AB18" i="1"/>
  <c r="K23" i="1"/>
  <c r="L23" i="1"/>
  <c r="K24" i="1"/>
  <c r="L24" i="1"/>
  <c r="R35" i="1"/>
  <c r="S35" i="1"/>
  <c r="R36" i="1"/>
  <c r="S36" i="1"/>
  <c r="P31" i="1"/>
  <c r="Q31" i="1"/>
  <c r="P32" i="1"/>
  <c r="Q32" i="1"/>
  <c r="N27" i="1"/>
  <c r="N28" i="1"/>
  <c r="AT54" i="1"/>
  <c r="AT53" i="1"/>
  <c r="AT50" i="1"/>
  <c r="AT49" i="1"/>
  <c r="AT46" i="1"/>
  <c r="AT45" i="1"/>
  <c r="AT42" i="1"/>
  <c r="AT41" i="1"/>
  <c r="AT36" i="1"/>
  <c r="AT35" i="1"/>
  <c r="AT32" i="1"/>
  <c r="AT31" i="1"/>
  <c r="AT28" i="1"/>
  <c r="AT27" i="1"/>
  <c r="AT24" i="1"/>
  <c r="AT23" i="1"/>
  <c r="Q36" i="1"/>
  <c r="P36" i="1"/>
  <c r="O36" i="1"/>
  <c r="Q35" i="1"/>
  <c r="P35" i="1"/>
  <c r="O35" i="1"/>
  <c r="N35" i="1"/>
  <c r="M35" i="1"/>
  <c r="L35" i="1"/>
  <c r="K35" i="1"/>
  <c r="O32" i="1"/>
  <c r="N32" i="1"/>
  <c r="M32" i="1"/>
  <c r="O31" i="1"/>
  <c r="N31" i="1"/>
  <c r="M31" i="1"/>
  <c r="L31" i="1"/>
  <c r="K31" i="1"/>
  <c r="J31" i="1"/>
  <c r="M28" i="1"/>
  <c r="L28" i="1"/>
  <c r="K28" i="1"/>
  <c r="M27" i="1"/>
  <c r="L27" i="1"/>
  <c r="K27" i="1"/>
  <c r="J27" i="1"/>
  <c r="I27" i="1"/>
  <c r="I24" i="1"/>
  <c r="J24" i="1"/>
  <c r="I23" i="1"/>
  <c r="J23" i="1"/>
  <c r="H23" i="1"/>
  <c r="J13" i="1"/>
  <c r="I6" i="1"/>
  <c r="I41" i="1"/>
  <c r="AT18" i="1"/>
  <c r="AT17" i="1"/>
  <c r="AT14" i="1"/>
  <c r="AT13" i="1"/>
  <c r="AT10" i="1"/>
  <c r="AT9" i="1"/>
  <c r="AT6" i="1"/>
  <c r="AT5" i="1"/>
  <c r="J41" i="1"/>
  <c r="H5" i="1"/>
  <c r="K41" i="1"/>
  <c r="K42" i="1"/>
  <c r="I5" i="1"/>
  <c r="I9" i="1"/>
  <c r="M42" i="1"/>
  <c r="L42" i="1"/>
  <c r="P46" i="1"/>
  <c r="O46" i="1"/>
  <c r="N46" i="1"/>
  <c r="M46" i="1"/>
  <c r="R50" i="1"/>
  <c r="Q50" i="1"/>
  <c r="P50" i="1"/>
  <c r="O50" i="1"/>
  <c r="U53" i="1"/>
  <c r="T53" i="1"/>
  <c r="S53" i="1"/>
  <c r="R53" i="1"/>
  <c r="Q53" i="1"/>
  <c r="P53" i="1"/>
  <c r="O53" i="1"/>
  <c r="R49" i="1"/>
  <c r="Q49" i="1"/>
  <c r="P49" i="1"/>
  <c r="O49" i="1"/>
  <c r="N49" i="1"/>
  <c r="P45" i="1"/>
  <c r="O45" i="1"/>
  <c r="N45" i="1"/>
  <c r="M45" i="1"/>
  <c r="L45" i="1"/>
  <c r="M41" i="1"/>
  <c r="L41" i="1"/>
  <c r="R18" i="1"/>
  <c r="Q18" i="1"/>
  <c r="P18" i="1"/>
  <c r="O18" i="1"/>
  <c r="N18" i="1"/>
  <c r="M18" i="1"/>
  <c r="L18" i="1"/>
  <c r="P14" i="1"/>
  <c r="O14" i="1"/>
  <c r="N14" i="1"/>
  <c r="M14" i="1"/>
  <c r="L14" i="1"/>
  <c r="K14" i="1"/>
  <c r="N10" i="1"/>
  <c r="M10" i="1"/>
  <c r="L10" i="1"/>
  <c r="K10" i="1"/>
  <c r="J10" i="1"/>
  <c r="K6" i="1"/>
  <c r="L6" i="1"/>
  <c r="J6" i="1"/>
  <c r="R54" i="1"/>
  <c r="S54" i="1"/>
  <c r="T54" i="1"/>
  <c r="U54" i="1"/>
  <c r="Q54" i="1"/>
  <c r="R17" i="1"/>
  <c r="Q17" i="1"/>
  <c r="P17" i="1"/>
  <c r="O17" i="1"/>
  <c r="N17" i="1"/>
  <c r="M17" i="1"/>
  <c r="L17" i="1"/>
  <c r="K17" i="1"/>
  <c r="P13" i="1"/>
  <c r="O13" i="1"/>
  <c r="N13" i="1"/>
  <c r="M13" i="1"/>
  <c r="L13" i="1"/>
  <c r="K13" i="1"/>
  <c r="N9" i="1"/>
  <c r="M9" i="1"/>
  <c r="L9" i="1"/>
  <c r="K9" i="1"/>
  <c r="J9" i="1"/>
  <c r="K5" i="1"/>
  <c r="L5" i="1"/>
  <c r="J5" i="1"/>
  <c r="C53" i="1"/>
  <c r="C49" i="1"/>
  <c r="C45" i="1"/>
  <c r="C41" i="1"/>
  <c r="C40" i="1"/>
  <c r="C35" i="1"/>
  <c r="C31" i="1"/>
  <c r="C27" i="1"/>
  <c r="C23" i="1"/>
  <c r="C22" i="1"/>
  <c r="C5" i="1"/>
  <c r="C9" i="1"/>
  <c r="C13" i="1"/>
  <c r="C17" i="1"/>
  <c r="C3" i="1"/>
  <c r="D140" i="13" l="1"/>
  <c r="D154" i="13" s="1"/>
  <c r="C140" i="13"/>
  <c r="C154" i="13" s="1"/>
  <c r="C168" i="13"/>
  <c r="C169" i="13"/>
  <c r="Y26" i="6"/>
  <c r="S37" i="1"/>
  <c r="S38" i="1" s="1"/>
  <c r="AD93" i="6"/>
  <c r="AC51" i="1"/>
  <c r="AC52" i="1" s="1"/>
  <c r="AG51" i="1"/>
  <c r="AG52" i="1" s="1"/>
  <c r="O29" i="1"/>
  <c r="O30" i="1" s="1"/>
  <c r="AI51" i="1"/>
  <c r="AI52" i="1" s="1"/>
  <c r="AD55" i="1"/>
  <c r="AD56" i="1" s="1"/>
  <c r="AO55" i="1"/>
  <c r="AO56" i="1" s="1"/>
  <c r="Q51" i="1"/>
  <c r="Q52" i="1" s="1"/>
  <c r="T55" i="1"/>
  <c r="T56" i="1" s="1"/>
  <c r="W51" i="1"/>
  <c r="W52" i="1" s="1"/>
  <c r="P94" i="5"/>
  <c r="AJ119" i="5"/>
  <c r="N57" i="5"/>
  <c r="AI88" i="5"/>
  <c r="J26" i="5"/>
  <c r="J33" i="5" s="1"/>
  <c r="AF126" i="5"/>
  <c r="AF136" i="5" s="1"/>
  <c r="S88" i="5"/>
  <c r="AB57" i="5"/>
  <c r="V119" i="5"/>
  <c r="P125" i="5"/>
  <c r="AD119" i="5"/>
  <c r="V26" i="5"/>
  <c r="V33" i="5" s="1"/>
  <c r="V22" i="5" s="1"/>
  <c r="Q31" i="5"/>
  <c r="Q36" i="5" s="1"/>
  <c r="V95" i="5"/>
  <c r="V105" i="5" s="1"/>
  <c r="F94" i="5"/>
  <c r="F83" i="5" s="1"/>
  <c r="AL119" i="5"/>
  <c r="AG88" i="5"/>
  <c r="AG119" i="5"/>
  <c r="U64" i="5"/>
  <c r="U71" i="5" s="1"/>
  <c r="O57" i="5"/>
  <c r="X88" i="5"/>
  <c r="AD95" i="5"/>
  <c r="AD105" i="5" s="1"/>
  <c r="AK126" i="5"/>
  <c r="AK136" i="5" s="1"/>
  <c r="AB88" i="5"/>
  <c r="X57" i="5"/>
  <c r="F26" i="5"/>
  <c r="S31" i="5"/>
  <c r="S23" i="5" s="1"/>
  <c r="S29" i="5" s="1"/>
  <c r="L63" i="5"/>
  <c r="M51" i="1"/>
  <c r="M52" i="1" s="1"/>
  <c r="P29" i="1"/>
  <c r="P30" i="1" s="1"/>
  <c r="M37" i="1"/>
  <c r="M38" i="1" s="1"/>
  <c r="U51" i="1"/>
  <c r="U52" i="1" s="1"/>
  <c r="AI55" i="1"/>
  <c r="AI56" i="1" s="1"/>
  <c r="L31" i="5"/>
  <c r="P63" i="5"/>
  <c r="P70" i="5" s="1"/>
  <c r="R125" i="5"/>
  <c r="R117" i="5" s="1"/>
  <c r="AF93" i="5"/>
  <c r="AF82" i="5" s="1"/>
  <c r="AF89" i="5" s="1"/>
  <c r="J29" i="1"/>
  <c r="J30" i="1" s="1"/>
  <c r="R29" i="1"/>
  <c r="R30" i="1" s="1"/>
  <c r="V37" i="1"/>
  <c r="V38" i="1" s="1"/>
  <c r="K29" i="1"/>
  <c r="K30" i="1" s="1"/>
  <c r="S29" i="1"/>
  <c r="S30" i="1" s="1"/>
  <c r="J43" i="1"/>
  <c r="J44" i="1" s="1"/>
  <c r="L29" i="1"/>
  <c r="L30" i="1" s="1"/>
  <c r="U29" i="1"/>
  <c r="U30" i="1" s="1"/>
  <c r="L43" i="1"/>
  <c r="L44" i="1" s="1"/>
  <c r="T63" i="5"/>
  <c r="T55" i="5" s="1"/>
  <c r="X94" i="5"/>
  <c r="X101" i="5" s="1"/>
  <c r="AE94" i="5"/>
  <c r="M29" i="1"/>
  <c r="M30" i="1" s="1"/>
  <c r="V29" i="1"/>
  <c r="V30" i="1" s="1"/>
  <c r="R43" i="1"/>
  <c r="R44" i="1" s="1"/>
  <c r="Q93" i="5"/>
  <c r="Q100" i="5" s="1"/>
  <c r="Q106" i="5" s="1"/>
  <c r="O125" i="5"/>
  <c r="O135" i="5" s="1"/>
  <c r="W125" i="5"/>
  <c r="W135" i="5" s="1"/>
  <c r="W63" i="5"/>
  <c r="W73" i="5" s="1"/>
  <c r="N95" i="5"/>
  <c r="N87" i="5" s="1"/>
  <c r="I29" i="1"/>
  <c r="I30" i="1" s="1"/>
  <c r="O51" i="1"/>
  <c r="O52" i="1" s="1"/>
  <c r="Y55" i="1"/>
  <c r="Y56" i="1" s="1"/>
  <c r="AL93" i="6"/>
  <c r="AL100" i="6" s="1"/>
  <c r="AL106" i="6" s="1"/>
  <c r="S94" i="5"/>
  <c r="S104" i="5" s="1"/>
  <c r="Q124" i="5"/>
  <c r="Q116" i="5" s="1"/>
  <c r="Q122" i="5" s="1"/>
  <c r="Y125" i="5"/>
  <c r="Y114" i="5" s="1"/>
  <c r="AB94" i="5"/>
  <c r="I286" i="13"/>
  <c r="I317" i="13" s="1"/>
  <c r="I348" i="13" s="1"/>
  <c r="K47" i="9" s="1"/>
  <c r="P288" i="13"/>
  <c r="P319" i="13" s="1"/>
  <c r="P350" i="13" s="1"/>
  <c r="R49" i="9" s="1"/>
  <c r="N287" i="13"/>
  <c r="N318" i="13" s="1"/>
  <c r="N349" i="13" s="1"/>
  <c r="P48" i="9" s="1"/>
  <c r="J288" i="13"/>
  <c r="J319" i="13" s="1"/>
  <c r="J350" i="13" s="1"/>
  <c r="L49" i="9" s="1"/>
  <c r="O283" i="13"/>
  <c r="O314" i="13" s="1"/>
  <c r="O345" i="13" s="1"/>
  <c r="Q44" i="9" s="1"/>
  <c r="J285" i="13"/>
  <c r="J316" i="13" s="1"/>
  <c r="J347" i="13" s="1"/>
  <c r="L46" i="9" s="1"/>
  <c r="O286" i="13"/>
  <c r="O317" i="13" s="1"/>
  <c r="O348" i="13" s="1"/>
  <c r="Q47" i="9" s="1"/>
  <c r="G284" i="13"/>
  <c r="G315" i="13" s="1"/>
  <c r="G346" i="13" s="1"/>
  <c r="I45" i="9" s="1"/>
  <c r="N289" i="13"/>
  <c r="N320" i="13" s="1"/>
  <c r="N351" i="13" s="1"/>
  <c r="P50" i="9" s="1"/>
  <c r="G283" i="13"/>
  <c r="G314" i="13" s="1"/>
  <c r="G345" i="13" s="1"/>
  <c r="I44" i="9" s="1"/>
  <c r="M288" i="13"/>
  <c r="M319" i="13" s="1"/>
  <c r="M350" i="13" s="1"/>
  <c r="O49" i="9" s="1"/>
  <c r="J282" i="13"/>
  <c r="J313" i="13" s="1"/>
  <c r="J344" i="13" s="1"/>
  <c r="L43" i="9" s="1"/>
  <c r="J289" i="13"/>
  <c r="J320" i="13" s="1"/>
  <c r="J351" i="13" s="1"/>
  <c r="L50" i="9" s="1"/>
  <c r="L283" i="13"/>
  <c r="L314" i="13" s="1"/>
  <c r="L345" i="13" s="1"/>
  <c r="N44" i="9" s="1"/>
  <c r="L282" i="13"/>
  <c r="L313" i="13" s="1"/>
  <c r="L344" i="13" s="1"/>
  <c r="N43" i="9" s="1"/>
  <c r="G289" i="13"/>
  <c r="G320" i="13" s="1"/>
  <c r="G351" i="13" s="1"/>
  <c r="I50" i="9" s="1"/>
  <c r="O285" i="13"/>
  <c r="O316" i="13" s="1"/>
  <c r="O347" i="13" s="1"/>
  <c r="Q46" i="9" s="1"/>
  <c r="I288" i="13"/>
  <c r="I319" i="13" s="1"/>
  <c r="I350" i="13" s="1"/>
  <c r="K49" i="9" s="1"/>
  <c r="F287" i="13"/>
  <c r="F318" i="13" s="1"/>
  <c r="F349" i="13" s="1"/>
  <c r="H48" i="9" s="1"/>
  <c r="G285" i="13"/>
  <c r="G316" i="13" s="1"/>
  <c r="G347" i="13" s="1"/>
  <c r="I46" i="9" s="1"/>
  <c r="M289" i="13"/>
  <c r="M320" i="13" s="1"/>
  <c r="M351" i="13" s="1"/>
  <c r="O50" i="9" s="1"/>
  <c r="H289" i="13"/>
  <c r="H320" i="13" s="1"/>
  <c r="H351" i="13" s="1"/>
  <c r="J50" i="9" s="1"/>
  <c r="M282" i="13"/>
  <c r="M313" i="13" s="1"/>
  <c r="M344" i="13" s="1"/>
  <c r="O43" i="9" s="1"/>
  <c r="P289" i="13"/>
  <c r="P320" i="13" s="1"/>
  <c r="P351" i="13" s="1"/>
  <c r="R50" i="9" s="1"/>
  <c r="J284" i="13"/>
  <c r="J315" i="13" s="1"/>
  <c r="J346" i="13" s="1"/>
  <c r="L45" i="9" s="1"/>
  <c r="O287" i="13"/>
  <c r="O318" i="13" s="1"/>
  <c r="O349" i="13" s="1"/>
  <c r="Q48" i="9" s="1"/>
  <c r="N284" i="13"/>
  <c r="N315" i="13" s="1"/>
  <c r="N346" i="13" s="1"/>
  <c r="P45" i="9" s="1"/>
  <c r="O288" i="13"/>
  <c r="O319" i="13" s="1"/>
  <c r="O350" i="13" s="1"/>
  <c r="Q49" i="9" s="1"/>
  <c r="L285" i="13"/>
  <c r="L316" i="13" s="1"/>
  <c r="L347" i="13" s="1"/>
  <c r="N46" i="9" s="1"/>
  <c r="L284" i="13"/>
  <c r="L315" i="13" s="1"/>
  <c r="L346" i="13" s="1"/>
  <c r="N45" i="9" s="1"/>
  <c r="I287" i="13"/>
  <c r="I318" i="13" s="1"/>
  <c r="I349" i="13" s="1"/>
  <c r="K48" i="9" s="1"/>
  <c r="K286" i="13"/>
  <c r="G286" i="13"/>
  <c r="G317" i="13" s="1"/>
  <c r="G348" i="13" s="1"/>
  <c r="I47" i="9" s="1"/>
  <c r="I282" i="13"/>
  <c r="I313" i="13" s="1"/>
  <c r="I344" i="13" s="1"/>
  <c r="K43" i="9" s="1"/>
  <c r="H282" i="13"/>
  <c r="H313" i="13" s="1"/>
  <c r="H344" i="13" s="1"/>
  <c r="J43" i="9" s="1"/>
  <c r="I283" i="13"/>
  <c r="I314" i="13" s="1"/>
  <c r="I345" i="13" s="1"/>
  <c r="K44" i="9" s="1"/>
  <c r="H283" i="13"/>
  <c r="H314" i="13" s="1"/>
  <c r="H345" i="13" s="1"/>
  <c r="J44" i="9" s="1"/>
  <c r="P282" i="13"/>
  <c r="P313" i="13" s="1"/>
  <c r="P344" i="13" s="1"/>
  <c r="R43" i="9" s="1"/>
  <c r="P283" i="13"/>
  <c r="P314" i="13" s="1"/>
  <c r="P345" i="13" s="1"/>
  <c r="R44" i="9" s="1"/>
  <c r="J283" i="13"/>
  <c r="J314" i="13" s="1"/>
  <c r="J345" i="13" s="1"/>
  <c r="L44" i="9" s="1"/>
  <c r="K283" i="13"/>
  <c r="G282" i="13"/>
  <c r="G313" i="13" s="1"/>
  <c r="G344" i="13" s="1"/>
  <c r="I43" i="9" s="1"/>
  <c r="L288" i="13"/>
  <c r="L319" i="13" s="1"/>
  <c r="L350" i="13" s="1"/>
  <c r="N49" i="9" s="1"/>
  <c r="N283" i="13"/>
  <c r="N314" i="13" s="1"/>
  <c r="N345" i="13" s="1"/>
  <c r="P44" i="9" s="1"/>
  <c r="H284" i="13"/>
  <c r="H315" i="13" s="1"/>
  <c r="H346" i="13" s="1"/>
  <c r="J45" i="9" s="1"/>
  <c r="G287" i="13"/>
  <c r="G318" i="13" s="1"/>
  <c r="G349" i="13" s="1"/>
  <c r="I48" i="9" s="1"/>
  <c r="H285" i="13"/>
  <c r="H316" i="13" s="1"/>
  <c r="H347" i="13" s="1"/>
  <c r="J46" i="9" s="1"/>
  <c r="P284" i="13"/>
  <c r="P315" i="13" s="1"/>
  <c r="P346" i="13" s="1"/>
  <c r="R45" i="9" s="1"/>
  <c r="P285" i="13"/>
  <c r="P316" i="13" s="1"/>
  <c r="P347" i="13" s="1"/>
  <c r="R46" i="9" s="1"/>
  <c r="J286" i="13"/>
  <c r="J317" i="13" s="1"/>
  <c r="J348" i="13" s="1"/>
  <c r="L47" i="9" s="1"/>
  <c r="K288" i="13"/>
  <c r="N288" i="13"/>
  <c r="N319" i="13" s="1"/>
  <c r="N350" i="13" s="1"/>
  <c r="P49" i="9" s="1"/>
  <c r="J287" i="13"/>
  <c r="J318" i="13" s="1"/>
  <c r="J349" i="13" s="1"/>
  <c r="L48" i="9" s="1"/>
  <c r="K285" i="13"/>
  <c r="L287" i="13"/>
  <c r="L318" i="13" s="1"/>
  <c r="L349" i="13" s="1"/>
  <c r="N48" i="9" s="1"/>
  <c r="L286" i="13"/>
  <c r="L317" i="13" s="1"/>
  <c r="L348" i="13" s="1"/>
  <c r="N47" i="9" s="1"/>
  <c r="H288" i="13"/>
  <c r="H319" i="13" s="1"/>
  <c r="H350" i="13" s="1"/>
  <c r="J49" i="9" s="1"/>
  <c r="K289" i="13"/>
  <c r="G288" i="13"/>
  <c r="G319" i="13" s="1"/>
  <c r="G350" i="13" s="1"/>
  <c r="I49" i="9" s="1"/>
  <c r="N285" i="13"/>
  <c r="N316" i="13" s="1"/>
  <c r="N347" i="13" s="1"/>
  <c r="P46" i="9" s="1"/>
  <c r="M283" i="13"/>
  <c r="M314" i="13" s="1"/>
  <c r="M345" i="13" s="1"/>
  <c r="O44" i="9" s="1"/>
  <c r="I289" i="13"/>
  <c r="I320" i="13" s="1"/>
  <c r="I351" i="13" s="1"/>
  <c r="K50" i="9" s="1"/>
  <c r="M284" i="13"/>
  <c r="M315" i="13" s="1"/>
  <c r="M346" i="13" s="1"/>
  <c r="O45" i="9" s="1"/>
  <c r="K282" i="13"/>
  <c r="N282" i="13"/>
  <c r="N313" i="13" s="1"/>
  <c r="N344" i="13" s="1"/>
  <c r="P43" i="9" s="1"/>
  <c r="O282" i="13"/>
  <c r="O313" i="13" s="1"/>
  <c r="O344" i="13" s="1"/>
  <c r="Q43" i="9" s="1"/>
  <c r="F289" i="13"/>
  <c r="F320" i="13" s="1"/>
  <c r="F351" i="13" s="1"/>
  <c r="H50" i="9" s="1"/>
  <c r="M287" i="13"/>
  <c r="M318" i="13" s="1"/>
  <c r="M349" i="13" s="1"/>
  <c r="O48" i="9" s="1"/>
  <c r="I284" i="13"/>
  <c r="I315" i="13" s="1"/>
  <c r="I346" i="13" s="1"/>
  <c r="K45" i="9" s="1"/>
  <c r="H286" i="13"/>
  <c r="H317" i="13" s="1"/>
  <c r="H348" i="13" s="1"/>
  <c r="J47" i="9" s="1"/>
  <c r="M285" i="13"/>
  <c r="M316" i="13" s="1"/>
  <c r="M347" i="13" s="1"/>
  <c r="O46" i="9" s="1"/>
  <c r="I285" i="13"/>
  <c r="I316" i="13" s="1"/>
  <c r="I347" i="13" s="1"/>
  <c r="K46" i="9" s="1"/>
  <c r="H287" i="13"/>
  <c r="H318" i="13" s="1"/>
  <c r="H349" i="13" s="1"/>
  <c r="J48" i="9" s="1"/>
  <c r="M286" i="13"/>
  <c r="M317" i="13" s="1"/>
  <c r="M348" i="13" s="1"/>
  <c r="O47" i="9" s="1"/>
  <c r="P286" i="13"/>
  <c r="P317" i="13" s="1"/>
  <c r="P348" i="13" s="1"/>
  <c r="R47" i="9" s="1"/>
  <c r="P287" i="13"/>
  <c r="P318" i="13" s="1"/>
  <c r="P349" i="13" s="1"/>
  <c r="R48" i="9" s="1"/>
  <c r="O289" i="13"/>
  <c r="O320" i="13" s="1"/>
  <c r="O351" i="13" s="1"/>
  <c r="Q50" i="9" s="1"/>
  <c r="K284" i="13"/>
  <c r="N286" i="13"/>
  <c r="N317" i="13" s="1"/>
  <c r="N348" i="13" s="1"/>
  <c r="P47" i="9" s="1"/>
  <c r="O284" i="13"/>
  <c r="O315" i="13" s="1"/>
  <c r="O346" i="13" s="1"/>
  <c r="Q45" i="9" s="1"/>
  <c r="K287" i="13"/>
  <c r="L289" i="13"/>
  <c r="L320" i="13" s="1"/>
  <c r="L351" i="13" s="1"/>
  <c r="N50" i="9" s="1"/>
  <c r="E285" i="13"/>
  <c r="E316" i="13" s="1"/>
  <c r="E347" i="13" s="1"/>
  <c r="G46" i="9" s="1"/>
  <c r="E284" i="13"/>
  <c r="E315" i="13" s="1"/>
  <c r="E346" i="13" s="1"/>
  <c r="G45" i="9" s="1"/>
  <c r="E283" i="13"/>
  <c r="E314" i="13" s="1"/>
  <c r="E345" i="13" s="1"/>
  <c r="G44" i="9" s="1"/>
  <c r="E282" i="13"/>
  <c r="E313" i="13" s="1"/>
  <c r="E344" i="13" s="1"/>
  <c r="G43" i="9" s="1"/>
  <c r="I278" i="13"/>
  <c r="I309" i="13" s="1"/>
  <c r="I340" i="13" s="1"/>
  <c r="K39" i="9" s="1"/>
  <c r="H280" i="13"/>
  <c r="H311" i="13" s="1"/>
  <c r="H342" i="13" s="1"/>
  <c r="J41" i="9" s="1"/>
  <c r="G281" i="13"/>
  <c r="G312" i="13" s="1"/>
  <c r="G343" i="13" s="1"/>
  <c r="I42" i="9" s="1"/>
  <c r="M278" i="13"/>
  <c r="M309" i="13" s="1"/>
  <c r="M340" i="13" s="1"/>
  <c r="O39" i="9" s="1"/>
  <c r="P280" i="13"/>
  <c r="P311" i="13" s="1"/>
  <c r="P342" i="13" s="1"/>
  <c r="R41" i="9" s="1"/>
  <c r="K278" i="13"/>
  <c r="O278" i="13"/>
  <c r="O309" i="13" s="1"/>
  <c r="O340" i="13" s="1"/>
  <c r="Q39" i="9" s="1"/>
  <c r="K281" i="13"/>
  <c r="L280" i="13"/>
  <c r="L311" i="13" s="1"/>
  <c r="L342" i="13" s="1"/>
  <c r="N41" i="9" s="1"/>
  <c r="F279" i="13"/>
  <c r="F310" i="13" s="1"/>
  <c r="F341" i="13" s="1"/>
  <c r="H40" i="9" s="1"/>
  <c r="N281" i="13"/>
  <c r="N312" i="13" s="1"/>
  <c r="N343" i="13" s="1"/>
  <c r="P42" i="9" s="1"/>
  <c r="M281" i="13"/>
  <c r="M312" i="13" s="1"/>
  <c r="M343" i="13" s="1"/>
  <c r="O42" i="9" s="1"/>
  <c r="P281" i="13"/>
  <c r="P312" i="13" s="1"/>
  <c r="P343" i="13" s="1"/>
  <c r="R42" i="9" s="1"/>
  <c r="O279" i="13"/>
  <c r="O310" i="13" s="1"/>
  <c r="O341" i="13" s="1"/>
  <c r="Q40" i="9" s="1"/>
  <c r="N278" i="13"/>
  <c r="N309" i="13" s="1"/>
  <c r="N340" i="13" s="1"/>
  <c r="P39" i="9" s="1"/>
  <c r="O280" i="13"/>
  <c r="O311" i="13" s="1"/>
  <c r="O342" i="13" s="1"/>
  <c r="Q41" i="9" s="1"/>
  <c r="I280" i="13"/>
  <c r="I311" i="13" s="1"/>
  <c r="I342" i="13" s="1"/>
  <c r="K41" i="9" s="1"/>
  <c r="G278" i="13"/>
  <c r="G309" i="13" s="1"/>
  <c r="G340" i="13" s="1"/>
  <c r="I39" i="9" s="1"/>
  <c r="J279" i="13"/>
  <c r="J310" i="13" s="1"/>
  <c r="J341" i="13" s="1"/>
  <c r="L40" i="9" s="1"/>
  <c r="J280" i="13"/>
  <c r="J311" i="13" s="1"/>
  <c r="J342" i="13" s="1"/>
  <c r="L41" i="9" s="1"/>
  <c r="G279" i="13"/>
  <c r="G310" i="13" s="1"/>
  <c r="G341" i="13" s="1"/>
  <c r="I40" i="9" s="1"/>
  <c r="J278" i="13"/>
  <c r="J309" i="13" s="1"/>
  <c r="J340" i="13" s="1"/>
  <c r="L39" i="9" s="1"/>
  <c r="K280" i="13"/>
  <c r="N280" i="13"/>
  <c r="N311" i="13" s="1"/>
  <c r="N342" i="13" s="1"/>
  <c r="P41" i="9" s="1"/>
  <c r="L279" i="13"/>
  <c r="L310" i="13" s="1"/>
  <c r="L341" i="13" s="1"/>
  <c r="N40" i="9" s="1"/>
  <c r="L278" i="13"/>
  <c r="L309" i="13" s="1"/>
  <c r="L340" i="13" s="1"/>
  <c r="N39" i="9" s="1"/>
  <c r="G280" i="13"/>
  <c r="G311" i="13" s="1"/>
  <c r="G342" i="13" s="1"/>
  <c r="I41" i="9" s="1"/>
  <c r="I281" i="13"/>
  <c r="I312" i="13" s="1"/>
  <c r="I343" i="13" s="1"/>
  <c r="K42" i="9" s="1"/>
  <c r="H278" i="13"/>
  <c r="H309" i="13" s="1"/>
  <c r="H340" i="13" s="1"/>
  <c r="J39" i="9" s="1"/>
  <c r="H279" i="13"/>
  <c r="H310" i="13" s="1"/>
  <c r="H341" i="13" s="1"/>
  <c r="J40" i="9" s="1"/>
  <c r="P278" i="13"/>
  <c r="P309" i="13" s="1"/>
  <c r="P340" i="13" s="1"/>
  <c r="R39" i="9" s="1"/>
  <c r="P279" i="13"/>
  <c r="P310" i="13" s="1"/>
  <c r="P341" i="13" s="1"/>
  <c r="R40" i="9" s="1"/>
  <c r="O281" i="13"/>
  <c r="O312" i="13" s="1"/>
  <c r="O343" i="13" s="1"/>
  <c r="Q42" i="9" s="1"/>
  <c r="L281" i="13"/>
  <c r="L312" i="13" s="1"/>
  <c r="L343" i="13" s="1"/>
  <c r="N42" i="9" s="1"/>
  <c r="M280" i="13"/>
  <c r="M311" i="13" s="1"/>
  <c r="M342" i="13" s="1"/>
  <c r="O41" i="9" s="1"/>
  <c r="N279" i="13"/>
  <c r="N310" i="13" s="1"/>
  <c r="N341" i="13" s="1"/>
  <c r="P40" i="9" s="1"/>
  <c r="E279" i="13"/>
  <c r="E310" i="13" s="1"/>
  <c r="E341" i="13" s="1"/>
  <c r="G40" i="9" s="1"/>
  <c r="E278" i="13"/>
  <c r="E309" i="13" s="1"/>
  <c r="E340" i="13" s="1"/>
  <c r="G39" i="9" s="1"/>
  <c r="F84" i="8"/>
  <c r="F73" i="8" s="1"/>
  <c r="F9" i="8"/>
  <c r="AT9" i="8" s="1"/>
  <c r="G184" i="13"/>
  <c r="J182" i="13"/>
  <c r="L183" i="13"/>
  <c r="K182" i="13"/>
  <c r="N182" i="13"/>
  <c r="I183" i="13"/>
  <c r="G182" i="13"/>
  <c r="N184" i="13"/>
  <c r="J184" i="13"/>
  <c r="M184" i="13"/>
  <c r="E183" i="13"/>
  <c r="H182" i="13"/>
  <c r="H183" i="13"/>
  <c r="J183" i="13"/>
  <c r="F184" i="13"/>
  <c r="F183" i="13"/>
  <c r="N183" i="13"/>
  <c r="E184" i="13"/>
  <c r="K184" i="13"/>
  <c r="K138" i="13"/>
  <c r="K152" i="13" s="1"/>
  <c r="K183" i="13"/>
  <c r="G183" i="13"/>
  <c r="L182" i="13"/>
  <c r="F182" i="13"/>
  <c r="H184" i="13"/>
  <c r="D183" i="13"/>
  <c r="F140" i="13"/>
  <c r="F154" i="13" s="1"/>
  <c r="I182" i="13"/>
  <c r="H140" i="13"/>
  <c r="H154" i="13" s="1"/>
  <c r="M182" i="13"/>
  <c r="I184" i="13"/>
  <c r="D184" i="13"/>
  <c r="L184" i="13"/>
  <c r="G138" i="13"/>
  <c r="G152" i="13" s="1"/>
  <c r="I138" i="13"/>
  <c r="I152" i="13" s="1"/>
  <c r="E182" i="13"/>
  <c r="M183" i="13"/>
  <c r="C134" i="13"/>
  <c r="C148" i="13" s="1"/>
  <c r="C162" i="13" s="1"/>
  <c r="D181" i="13"/>
  <c r="G181" i="13"/>
  <c r="K180" i="13"/>
  <c r="H180" i="13"/>
  <c r="I180" i="13"/>
  <c r="H179" i="13"/>
  <c r="G179" i="13"/>
  <c r="F179" i="13"/>
  <c r="F181" i="13"/>
  <c r="K179" i="13"/>
  <c r="K181" i="13"/>
  <c r="J180" i="13"/>
  <c r="J179" i="13"/>
  <c r="J181" i="13"/>
  <c r="L180" i="13"/>
  <c r="F180" i="13"/>
  <c r="N181" i="13"/>
  <c r="N179" i="13"/>
  <c r="N180" i="13"/>
  <c r="I179" i="13"/>
  <c r="L179" i="13"/>
  <c r="L181" i="13"/>
  <c r="M181" i="13"/>
  <c r="M179" i="13"/>
  <c r="E181" i="13"/>
  <c r="E179" i="13"/>
  <c r="M180" i="13"/>
  <c r="E180" i="13"/>
  <c r="C133" i="13"/>
  <c r="C147" i="13" s="1"/>
  <c r="C161" i="13" s="1"/>
  <c r="C132" i="13"/>
  <c r="C131" i="13"/>
  <c r="L176" i="13"/>
  <c r="D176" i="13"/>
  <c r="E176" i="13"/>
  <c r="N177" i="13"/>
  <c r="C139" i="13"/>
  <c r="Z76" i="8"/>
  <c r="F69" i="8"/>
  <c r="AT69" i="8" s="1"/>
  <c r="F29" i="8"/>
  <c r="N26" i="4"/>
  <c r="N33" i="4" s="1"/>
  <c r="U88" i="4"/>
  <c r="F88" i="4"/>
  <c r="W119" i="4"/>
  <c r="X126" i="4"/>
  <c r="X115" i="4" s="1"/>
  <c r="S88" i="4"/>
  <c r="W124" i="4"/>
  <c r="W116" i="4" s="1"/>
  <c r="W122" i="4" s="1"/>
  <c r="AA88" i="4"/>
  <c r="V88" i="4"/>
  <c r="P119" i="4"/>
  <c r="X88" i="4"/>
  <c r="AB101" i="5"/>
  <c r="AB83" i="5"/>
  <c r="N94" i="4"/>
  <c r="N86" i="4" s="1"/>
  <c r="J33" i="1"/>
  <c r="J34" i="1" s="1"/>
  <c r="Y37" i="1"/>
  <c r="Y38" i="1" s="1"/>
  <c r="T47" i="1"/>
  <c r="T48" i="1" s="1"/>
  <c r="Y51" i="1"/>
  <c r="Y52" i="1" s="1"/>
  <c r="Q62" i="5"/>
  <c r="Q72" i="5" s="1"/>
  <c r="Q77" i="5" s="1"/>
  <c r="M94" i="4"/>
  <c r="M86" i="4" s="1"/>
  <c r="Z124" i="4"/>
  <c r="Z113" i="4" s="1"/>
  <c r="Z120" i="4" s="1"/>
  <c r="K37" i="1"/>
  <c r="K38" i="1" s="1"/>
  <c r="AB37" i="1"/>
  <c r="AB38" i="1" s="1"/>
  <c r="X47" i="1"/>
  <c r="X48" i="1" s="1"/>
  <c r="AA51" i="1"/>
  <c r="AA52" i="1" s="1"/>
  <c r="T64" i="5"/>
  <c r="T74" i="5" s="1"/>
  <c r="Y95" i="5"/>
  <c r="Y87" i="5" s="1"/>
  <c r="V63" i="5"/>
  <c r="P32" i="4"/>
  <c r="P39" i="4" s="1"/>
  <c r="AA125" i="4"/>
  <c r="Q62" i="6"/>
  <c r="Q67" i="6" s="1"/>
  <c r="Y62" i="6"/>
  <c r="Y54" i="6" s="1"/>
  <c r="Y60" i="6" s="1"/>
  <c r="O33" i="1"/>
  <c r="O34" i="1" s="1"/>
  <c r="AH37" i="1"/>
  <c r="AH38" i="1" s="1"/>
  <c r="U74" i="5"/>
  <c r="F95" i="5"/>
  <c r="F84" i="5" s="1"/>
  <c r="AI126" i="5"/>
  <c r="AI133" i="5" s="1"/>
  <c r="U125" i="5"/>
  <c r="U132" i="5" s="1"/>
  <c r="Q32" i="5"/>
  <c r="AF94" i="5"/>
  <c r="AF86" i="5" s="1"/>
  <c r="R95" i="5"/>
  <c r="R84" i="5" s="1"/>
  <c r="AF124" i="5"/>
  <c r="AF129" i="5" s="1"/>
  <c r="P57" i="6"/>
  <c r="P64" i="6" s="1"/>
  <c r="V63" i="4"/>
  <c r="V73" i="4" s="1"/>
  <c r="Y63" i="6"/>
  <c r="Y55" i="6" s="1"/>
  <c r="P37" i="1"/>
  <c r="P38" i="1" s="1"/>
  <c r="S51" i="1"/>
  <c r="S52" i="1" s="1"/>
  <c r="L32" i="5"/>
  <c r="L42" i="5" s="1"/>
  <c r="N63" i="5"/>
  <c r="N70" i="5" s="1"/>
  <c r="O125" i="4"/>
  <c r="O114" i="4" s="1"/>
  <c r="P31" i="4"/>
  <c r="P41" i="4" s="1"/>
  <c r="P46" i="4" s="1"/>
  <c r="O62" i="4"/>
  <c r="O69" i="4" s="1"/>
  <c r="O75" i="4" s="1"/>
  <c r="W62" i="4"/>
  <c r="W69" i="4" s="1"/>
  <c r="W75" i="4" s="1"/>
  <c r="T119" i="6"/>
  <c r="O124" i="4"/>
  <c r="AF62" i="6"/>
  <c r="AF54" i="6" s="1"/>
  <c r="AF60" i="6" s="1"/>
  <c r="M62" i="6"/>
  <c r="M54" i="6" s="1"/>
  <c r="M60" i="6" s="1"/>
  <c r="I31" i="4"/>
  <c r="I36" i="4" s="1"/>
  <c r="P62" i="4"/>
  <c r="P72" i="4" s="1"/>
  <c r="P77" i="4" s="1"/>
  <c r="L47" i="1"/>
  <c r="L48" i="1" s="1"/>
  <c r="O117" i="5"/>
  <c r="L41" i="5"/>
  <c r="L46" i="5" s="1"/>
  <c r="L36" i="5"/>
  <c r="L23" i="5"/>
  <c r="L29" i="5" s="1"/>
  <c r="L38" i="5"/>
  <c r="L44" i="5" s="1"/>
  <c r="Y65" i="6"/>
  <c r="K33" i="1"/>
  <c r="K34" i="1" s="1"/>
  <c r="Z37" i="1"/>
  <c r="Z38" i="1" s="1"/>
  <c r="AF37" i="1"/>
  <c r="AF38" i="1" s="1"/>
  <c r="AB93" i="5"/>
  <c r="AF118" i="5"/>
  <c r="AF115" i="5"/>
  <c r="AF133" i="5"/>
  <c r="AI124" i="5"/>
  <c r="AI129" i="5" s="1"/>
  <c r="Q94" i="5"/>
  <c r="P73" i="5"/>
  <c r="P42" i="4"/>
  <c r="Q72" i="6"/>
  <c r="Q77" i="6" s="1"/>
  <c r="Q69" i="6"/>
  <c r="Q75" i="6" s="1"/>
  <c r="N37" i="1"/>
  <c r="N38" i="1" s="1"/>
  <c r="U37" i="1"/>
  <c r="U38" i="1" s="1"/>
  <c r="AA37" i="1"/>
  <c r="AA38" i="1" s="1"/>
  <c r="T43" i="1"/>
  <c r="T44" i="1" s="1"/>
  <c r="AB47" i="1"/>
  <c r="AB48" i="1" s="1"/>
  <c r="P55" i="1"/>
  <c r="P56" i="1" s="1"/>
  <c r="U55" i="1"/>
  <c r="U56" i="1" s="1"/>
  <c r="Z55" i="1"/>
  <c r="Z56" i="1" s="1"/>
  <c r="AF55" i="1"/>
  <c r="AF56" i="1" s="1"/>
  <c r="AK55" i="1"/>
  <c r="AK56" i="1" s="1"/>
  <c r="AP55" i="1"/>
  <c r="AP56" i="1" s="1"/>
  <c r="T29" i="1"/>
  <c r="T30" i="1" s="1"/>
  <c r="N29" i="1"/>
  <c r="N30" i="1" s="1"/>
  <c r="L70" i="5"/>
  <c r="F33" i="5"/>
  <c r="Q88" i="5"/>
  <c r="Q63" i="5"/>
  <c r="P21" i="4"/>
  <c r="Z94" i="5"/>
  <c r="AA55" i="1"/>
  <c r="AA56" i="1" s="1"/>
  <c r="Y33" i="1"/>
  <c r="Y34" i="1" s="1"/>
  <c r="S33" i="1"/>
  <c r="S34" i="1" s="1"/>
  <c r="S36" i="5"/>
  <c r="S38" i="5"/>
  <c r="S44" i="5" s="1"/>
  <c r="M93" i="5"/>
  <c r="M85" i="5" s="1"/>
  <c r="M91" i="5" s="1"/>
  <c r="S93" i="5"/>
  <c r="AJ124" i="5"/>
  <c r="Y93" i="5"/>
  <c r="O31" i="4"/>
  <c r="O20" i="4" s="1"/>
  <c r="O27" i="4" s="1"/>
  <c r="O32" i="4"/>
  <c r="O42" i="4" s="1"/>
  <c r="AO126" i="6"/>
  <c r="AO118" i="6" s="1"/>
  <c r="AD126" i="6"/>
  <c r="AD115" i="6" s="1"/>
  <c r="AO125" i="6"/>
  <c r="AO135" i="6" s="1"/>
  <c r="Q55" i="1"/>
  <c r="Q56" i="1" s="1"/>
  <c r="AB55" i="1"/>
  <c r="AB56" i="1" s="1"/>
  <c r="AG55" i="1"/>
  <c r="AG56" i="1" s="1"/>
  <c r="AL55" i="1"/>
  <c r="AL56" i="1" s="1"/>
  <c r="AQ55" i="1"/>
  <c r="AQ56" i="1" s="1"/>
  <c r="AE37" i="1"/>
  <c r="AE38" i="1" s="1"/>
  <c r="T37" i="1"/>
  <c r="T38" i="1" s="1"/>
  <c r="O37" i="1"/>
  <c r="O38" i="1" s="1"/>
  <c r="F93" i="5"/>
  <c r="F85" i="5" s="1"/>
  <c r="F91" i="5" s="1"/>
  <c r="P132" i="5"/>
  <c r="P135" i="5"/>
  <c r="AB86" i="5"/>
  <c r="AB104" i="5"/>
  <c r="V124" i="5"/>
  <c r="AI118" i="5"/>
  <c r="AI136" i="5"/>
  <c r="U124" i="5"/>
  <c r="U129" i="5" s="1"/>
  <c r="AC124" i="5"/>
  <c r="AF119" i="5"/>
  <c r="F88" i="5"/>
  <c r="V57" i="5"/>
  <c r="I26" i="5"/>
  <c r="I33" i="5" s="1"/>
  <c r="R119" i="5"/>
  <c r="P57" i="5"/>
  <c r="R26" i="5"/>
  <c r="AI95" i="5"/>
  <c r="AC126" i="5"/>
  <c r="AC133" i="5" s="1"/>
  <c r="R64" i="5"/>
  <c r="Q126" i="5"/>
  <c r="W64" i="5"/>
  <c r="W56" i="5" s="1"/>
  <c r="M32" i="5"/>
  <c r="AI119" i="5"/>
  <c r="T26" i="5"/>
  <c r="M26" i="5"/>
  <c r="M33" i="5" s="1"/>
  <c r="R31" i="5"/>
  <c r="AH88" i="5"/>
  <c r="Z119" i="5"/>
  <c r="F57" i="5"/>
  <c r="N95" i="4"/>
  <c r="AB125" i="4"/>
  <c r="O94" i="4"/>
  <c r="O64" i="4"/>
  <c r="T64" i="4"/>
  <c r="T125" i="4"/>
  <c r="T132" i="4" s="1"/>
  <c r="M64" i="4"/>
  <c r="M53" i="4" s="1"/>
  <c r="J32" i="4"/>
  <c r="L64" i="4"/>
  <c r="L71" i="4" s="1"/>
  <c r="AF72" i="6"/>
  <c r="AF77" i="6" s="1"/>
  <c r="M67" i="6"/>
  <c r="AC33" i="1"/>
  <c r="AC34" i="1" s="1"/>
  <c r="Q37" i="1"/>
  <c r="Q38" i="1" s="1"/>
  <c r="W37" i="1"/>
  <c r="W38" i="1" s="1"/>
  <c r="AC37" i="1"/>
  <c r="AC38" i="1" s="1"/>
  <c r="R55" i="1"/>
  <c r="R56" i="1" s="1"/>
  <c r="N62" i="5"/>
  <c r="N72" i="5" s="1"/>
  <c r="N77" i="5" s="1"/>
  <c r="U53" i="5"/>
  <c r="U56" i="5"/>
  <c r="X62" i="5"/>
  <c r="X63" i="5"/>
  <c r="F31" i="4"/>
  <c r="F38" i="4" s="1"/>
  <c r="F44" i="4" s="1"/>
  <c r="Y51" i="6"/>
  <c r="Y58" i="6" s="1"/>
  <c r="AJ55" i="1"/>
  <c r="AJ56" i="1" s="1"/>
  <c r="AE55" i="1"/>
  <c r="AE56" i="1" s="1"/>
  <c r="V55" i="1"/>
  <c r="V56" i="1" s="1"/>
  <c r="X55" i="1"/>
  <c r="X56" i="1" s="1"/>
  <c r="AC55" i="1"/>
  <c r="AC56" i="1" s="1"/>
  <c r="AH55" i="1"/>
  <c r="AH56" i="1" s="1"/>
  <c r="AM55" i="1"/>
  <c r="AM56" i="1" s="1"/>
  <c r="N47" i="1"/>
  <c r="N48" i="1" s="1"/>
  <c r="R47" i="1"/>
  <c r="R48" i="1" s="1"/>
  <c r="K47" i="1"/>
  <c r="K48" i="1" s="1"/>
  <c r="F87" i="5"/>
  <c r="W66" i="5"/>
  <c r="R124" i="5"/>
  <c r="P101" i="5"/>
  <c r="P86" i="5"/>
  <c r="V87" i="5"/>
  <c r="M63" i="5"/>
  <c r="M62" i="5"/>
  <c r="W124" i="5"/>
  <c r="W127" i="5" s="1"/>
  <c r="O32" i="5"/>
  <c r="O31" i="5"/>
  <c r="AD93" i="5"/>
  <c r="AD85" i="5" s="1"/>
  <c r="AD91" i="5" s="1"/>
  <c r="AI93" i="5"/>
  <c r="AI85" i="5" s="1"/>
  <c r="AI91" i="5" s="1"/>
  <c r="AI94" i="5"/>
  <c r="M101" i="4"/>
  <c r="V125" i="6"/>
  <c r="L37" i="1"/>
  <c r="L38" i="1" s="1"/>
  <c r="R37" i="1"/>
  <c r="R38" i="1" s="1"/>
  <c r="X37" i="1"/>
  <c r="X38" i="1" s="1"/>
  <c r="AD37" i="1"/>
  <c r="AD38" i="1" s="1"/>
  <c r="P43" i="1"/>
  <c r="P44" i="1" s="1"/>
  <c r="V47" i="1"/>
  <c r="V48" i="1" s="1"/>
  <c r="S55" i="1"/>
  <c r="S56" i="1" s="1"/>
  <c r="AN55" i="1"/>
  <c r="AN56" i="1" s="1"/>
  <c r="Z124" i="5"/>
  <c r="Z134" i="5" s="1"/>
  <c r="Z139" i="5" s="1"/>
  <c r="T93" i="4"/>
  <c r="AM88" i="6"/>
  <c r="AM95" i="6" s="1"/>
  <c r="AC62" i="6"/>
  <c r="AA126" i="5"/>
  <c r="AA133" i="5" s="1"/>
  <c r="F64" i="5"/>
  <c r="F71" i="5" s="1"/>
  <c r="Z93" i="5"/>
  <c r="Y64" i="5"/>
  <c r="Y53" i="5" s="1"/>
  <c r="U126" i="5"/>
  <c r="AA63" i="5"/>
  <c r="Z63" i="5"/>
  <c r="AB64" i="5"/>
  <c r="AC64" i="5"/>
  <c r="AC71" i="5" s="1"/>
  <c r="N32" i="5"/>
  <c r="N21" i="5" s="1"/>
  <c r="X93" i="4"/>
  <c r="X98" i="4" s="1"/>
  <c r="O116" i="4"/>
  <c r="O122" i="4" s="1"/>
  <c r="O127" i="4"/>
  <c r="X62" i="6"/>
  <c r="X54" i="6" s="1"/>
  <c r="X60" i="6" s="1"/>
  <c r="V94" i="6"/>
  <c r="AA94" i="4"/>
  <c r="AA104" i="4" s="1"/>
  <c r="V26" i="6"/>
  <c r="P26" i="6"/>
  <c r="P33" i="6" s="1"/>
  <c r="P25" i="6" s="1"/>
  <c r="AH63" i="6"/>
  <c r="AB124" i="6"/>
  <c r="AJ124" i="6"/>
  <c r="AJ127" i="6" s="1"/>
  <c r="X124" i="5"/>
  <c r="X125" i="5"/>
  <c r="V62" i="5"/>
  <c r="V51" i="5" s="1"/>
  <c r="V58" i="5" s="1"/>
  <c r="AC93" i="5"/>
  <c r="AC82" i="5" s="1"/>
  <c r="AC89" i="5" s="1"/>
  <c r="N57" i="6"/>
  <c r="T31" i="6"/>
  <c r="AI125" i="5"/>
  <c r="AA93" i="4"/>
  <c r="AA85" i="4" s="1"/>
  <c r="AA91" i="4" s="1"/>
  <c r="F93" i="6"/>
  <c r="AG124" i="4"/>
  <c r="L31" i="4"/>
  <c r="L41" i="4" s="1"/>
  <c r="L46" i="4" s="1"/>
  <c r="S62" i="4"/>
  <c r="S72" i="4" s="1"/>
  <c r="S77" i="4" s="1"/>
  <c r="N31" i="5"/>
  <c r="N23" i="5" s="1"/>
  <c r="N29" i="5" s="1"/>
  <c r="F63" i="5"/>
  <c r="F52" i="5" s="1"/>
  <c r="V94" i="5"/>
  <c r="V104" i="5" s="1"/>
  <c r="T124" i="5"/>
  <c r="T129" i="5" s="1"/>
  <c r="AB125" i="5"/>
  <c r="R32" i="5"/>
  <c r="Z62" i="5"/>
  <c r="Z54" i="5" s="1"/>
  <c r="Z60" i="5" s="1"/>
  <c r="AF125" i="5"/>
  <c r="N119" i="4"/>
  <c r="M31" i="4"/>
  <c r="M23" i="4" s="1"/>
  <c r="M29" i="4" s="1"/>
  <c r="S119" i="4"/>
  <c r="K25" i="1"/>
  <c r="K26" i="1" s="1"/>
  <c r="O25" i="1"/>
  <c r="O26" i="1" s="1"/>
  <c r="AB33" i="1"/>
  <c r="AB34" i="1" s="1"/>
  <c r="X33" i="1"/>
  <c r="X34" i="1" s="1"/>
  <c r="T33" i="1"/>
  <c r="T34" i="1" s="1"/>
  <c r="P33" i="1"/>
  <c r="P34" i="1" s="1"/>
  <c r="Z33" i="1"/>
  <c r="Z34" i="1" s="1"/>
  <c r="V33" i="1"/>
  <c r="V34" i="1" s="1"/>
  <c r="R33" i="1"/>
  <c r="R34" i="1" s="1"/>
  <c r="N33" i="1"/>
  <c r="N34" i="1" s="1"/>
  <c r="V25" i="5"/>
  <c r="P25" i="1"/>
  <c r="P26" i="1" s="1"/>
  <c r="AA33" i="1"/>
  <c r="AA34" i="1" s="1"/>
  <c r="U43" i="1"/>
  <c r="U44" i="1" s="1"/>
  <c r="Q43" i="1"/>
  <c r="Q44" i="1" s="1"/>
  <c r="M43" i="1"/>
  <c r="M44" i="1" s="1"/>
  <c r="S43" i="1"/>
  <c r="S44" i="1" s="1"/>
  <c r="O43" i="1"/>
  <c r="O44" i="1" s="1"/>
  <c r="K43" i="1"/>
  <c r="K44" i="1" s="1"/>
  <c r="H25" i="1"/>
  <c r="H26" i="1" s="1"/>
  <c r="I25" i="1"/>
  <c r="I26" i="1" s="1"/>
  <c r="M25" i="1"/>
  <c r="M26" i="1" s="1"/>
  <c r="Q25" i="1"/>
  <c r="Q26" i="1" s="1"/>
  <c r="L33" i="1"/>
  <c r="L34" i="1" s="1"/>
  <c r="Q33" i="1"/>
  <c r="Q34" i="1" s="1"/>
  <c r="AA47" i="1"/>
  <c r="AA48" i="1" s="1"/>
  <c r="W47" i="1"/>
  <c r="W48" i="1" s="1"/>
  <c r="S47" i="1"/>
  <c r="S48" i="1" s="1"/>
  <c r="O47" i="1"/>
  <c r="O48" i="1" s="1"/>
  <c r="Y47" i="1"/>
  <c r="Y48" i="1" s="1"/>
  <c r="U47" i="1"/>
  <c r="U48" i="1" s="1"/>
  <c r="Q47" i="1"/>
  <c r="Q48" i="1" s="1"/>
  <c r="M47" i="1"/>
  <c r="M48" i="1" s="1"/>
  <c r="L25" i="1"/>
  <c r="L26" i="1" s="1"/>
  <c r="W33" i="1"/>
  <c r="W34" i="1" s="1"/>
  <c r="Z47" i="1"/>
  <c r="Z48" i="1" s="1"/>
  <c r="AJ51" i="1"/>
  <c r="AJ52" i="1" s="1"/>
  <c r="AF51" i="1"/>
  <c r="AF52" i="1" s="1"/>
  <c r="AB51" i="1"/>
  <c r="AB52" i="1" s="1"/>
  <c r="X51" i="1"/>
  <c r="X52" i="1" s="1"/>
  <c r="T51" i="1"/>
  <c r="T52" i="1" s="1"/>
  <c r="P51" i="1"/>
  <c r="P52" i="1" s="1"/>
  <c r="AH51" i="1"/>
  <c r="AH52" i="1" s="1"/>
  <c r="AD51" i="1"/>
  <c r="AD52" i="1" s="1"/>
  <c r="Z51" i="1"/>
  <c r="Z52" i="1" s="1"/>
  <c r="V51" i="1"/>
  <c r="V52" i="1" s="1"/>
  <c r="R51" i="1"/>
  <c r="R52" i="1" s="1"/>
  <c r="N51" i="1"/>
  <c r="N52" i="1" s="1"/>
  <c r="Q39" i="5"/>
  <c r="Q24" i="5"/>
  <c r="J25" i="1"/>
  <c r="J26" i="1" s="1"/>
  <c r="O20" i="5"/>
  <c r="O27" i="5" s="1"/>
  <c r="Y117" i="5"/>
  <c r="AC125" i="5"/>
  <c r="L55" i="5"/>
  <c r="AB124" i="5"/>
  <c r="AC136" i="5"/>
  <c r="AC115" i="5"/>
  <c r="P104" i="5"/>
  <c r="F62" i="5"/>
  <c r="V93" i="5"/>
  <c r="J31" i="5"/>
  <c r="J32" i="5"/>
  <c r="R94" i="5"/>
  <c r="R93" i="5"/>
  <c r="AK124" i="5"/>
  <c r="T93" i="5"/>
  <c r="AG124" i="5"/>
  <c r="AH93" i="5"/>
  <c r="F31" i="5"/>
  <c r="O124" i="5"/>
  <c r="AH124" i="5"/>
  <c r="AA93" i="5"/>
  <c r="F124" i="5"/>
  <c r="AA62" i="5"/>
  <c r="X93" i="5"/>
  <c r="P62" i="5"/>
  <c r="AA124" i="5"/>
  <c r="AE93" i="5"/>
  <c r="W62" i="5"/>
  <c r="T62" i="5"/>
  <c r="P93" i="5"/>
  <c r="S124" i="5"/>
  <c r="AD124" i="5"/>
  <c r="U93" i="5"/>
  <c r="AL124" i="5"/>
  <c r="L62" i="5"/>
  <c r="AB62" i="5"/>
  <c r="F20" i="4"/>
  <c r="F27" i="4" s="1"/>
  <c r="F34" i="4"/>
  <c r="AD84" i="5"/>
  <c r="K31" i="5"/>
  <c r="K32" i="5"/>
  <c r="O63" i="5"/>
  <c r="O62" i="5"/>
  <c r="L20" i="5"/>
  <c r="L27" i="5" s="1"/>
  <c r="L34" i="5"/>
  <c r="AE83" i="5"/>
  <c r="AE101" i="5"/>
  <c r="P83" i="5"/>
  <c r="U114" i="5"/>
  <c r="U117" i="5"/>
  <c r="U134" i="5"/>
  <c r="U139" i="5" s="1"/>
  <c r="U135" i="5"/>
  <c r="S20" i="5"/>
  <c r="S27" i="5" s="1"/>
  <c r="S41" i="5"/>
  <c r="S46" i="5" s="1"/>
  <c r="S34" i="5"/>
  <c r="N102" i="5"/>
  <c r="T125" i="5"/>
  <c r="R63" i="5"/>
  <c r="R62" i="5"/>
  <c r="N94" i="5"/>
  <c r="N93" i="5"/>
  <c r="AG94" i="5"/>
  <c r="AG93" i="5"/>
  <c r="O39" i="5"/>
  <c r="X52" i="5"/>
  <c r="K63" i="5"/>
  <c r="K62" i="5"/>
  <c r="S62" i="5"/>
  <c r="S63" i="5"/>
  <c r="O94" i="5"/>
  <c r="O93" i="5"/>
  <c r="W94" i="5"/>
  <c r="W93" i="5"/>
  <c r="Y62" i="5"/>
  <c r="Y63" i="5"/>
  <c r="AM124" i="5"/>
  <c r="AM125" i="5"/>
  <c r="AE124" i="5"/>
  <c r="AE125" i="5"/>
  <c r="T95" i="5"/>
  <c r="AA125" i="5"/>
  <c r="O64" i="5"/>
  <c r="V125" i="5"/>
  <c r="F126" i="5"/>
  <c r="AH125" i="5"/>
  <c r="Q95" i="5"/>
  <c r="Q99" i="5" s="1"/>
  <c r="Q64" i="5"/>
  <c r="AD94" i="5"/>
  <c r="M95" i="5"/>
  <c r="F125" i="5"/>
  <c r="T31" i="5"/>
  <c r="T88" i="5"/>
  <c r="AA88" i="5"/>
  <c r="Z88" i="5"/>
  <c r="P119" i="5"/>
  <c r="W57" i="5"/>
  <c r="Y57" i="5"/>
  <c r="AD88" i="5"/>
  <c r="K26" i="5"/>
  <c r="K33" i="5" s="1"/>
  <c r="S57" i="5"/>
  <c r="AA57" i="5"/>
  <c r="U57" i="5"/>
  <c r="Q26" i="5"/>
  <c r="Q33" i="5" s="1"/>
  <c r="L57" i="5"/>
  <c r="AC57" i="5"/>
  <c r="AL126" i="5"/>
  <c r="AC95" i="5"/>
  <c r="S125" i="5"/>
  <c r="Y94" i="5"/>
  <c r="AD126" i="5"/>
  <c r="AA94" i="5"/>
  <c r="Z125" i="5"/>
  <c r="AB63" i="5"/>
  <c r="AK125" i="5"/>
  <c r="AE95" i="5"/>
  <c r="T32" i="5"/>
  <c r="R88" i="5"/>
  <c r="AE88" i="5"/>
  <c r="M88" i="5"/>
  <c r="M57" i="5"/>
  <c r="O26" i="5"/>
  <c r="O33" i="5" s="1"/>
  <c r="R57" i="5"/>
  <c r="U26" i="5"/>
  <c r="U33" i="5" s="1"/>
  <c r="K57" i="5"/>
  <c r="Z57" i="5"/>
  <c r="F32" i="5"/>
  <c r="S126" i="5"/>
  <c r="AA95" i="5"/>
  <c r="AA64" i="5"/>
  <c r="M94" i="5"/>
  <c r="AH126" i="5"/>
  <c r="U94" i="5"/>
  <c r="M64" i="5"/>
  <c r="L64" i="5"/>
  <c r="X126" i="5"/>
  <c r="AF95" i="5"/>
  <c r="AM126" i="5"/>
  <c r="T126" i="5"/>
  <c r="P32" i="5"/>
  <c r="S32" i="5"/>
  <c r="AK119" i="5"/>
  <c r="AB119" i="5"/>
  <c r="AA119" i="5"/>
  <c r="AE119" i="5"/>
  <c r="X119" i="5"/>
  <c r="AF88" i="5"/>
  <c r="T33" i="5"/>
  <c r="R33" i="5"/>
  <c r="AM119" i="5"/>
  <c r="N26" i="5"/>
  <c r="N33" i="5" s="1"/>
  <c r="Q57" i="5"/>
  <c r="S95" i="5"/>
  <c r="S64" i="5"/>
  <c r="O95" i="5"/>
  <c r="N64" i="5"/>
  <c r="AB126" i="5"/>
  <c r="Z126" i="5"/>
  <c r="AH95" i="5"/>
  <c r="O126" i="5"/>
  <c r="V64" i="5"/>
  <c r="AG126" i="5"/>
  <c r="U95" i="5"/>
  <c r="P126" i="5"/>
  <c r="P130" i="5" s="1"/>
  <c r="X95" i="5"/>
  <c r="X64" i="5"/>
  <c r="X68" i="5" s="1"/>
  <c r="AE126" i="5"/>
  <c r="AL125" i="5"/>
  <c r="P31" i="5"/>
  <c r="I32" i="5"/>
  <c r="AC119" i="5"/>
  <c r="T119" i="5"/>
  <c r="Q119" i="5"/>
  <c r="Y88" i="5"/>
  <c r="L26" i="5"/>
  <c r="L33" i="5" s="1"/>
  <c r="S26" i="5"/>
  <c r="S33" i="5" s="1"/>
  <c r="Y119" i="5"/>
  <c r="O119" i="5"/>
  <c r="W88" i="5"/>
  <c r="P26" i="5"/>
  <c r="P33" i="5" s="1"/>
  <c r="W119" i="5"/>
  <c r="AH94" i="5"/>
  <c r="Z95" i="5"/>
  <c r="W95" i="5"/>
  <c r="AJ126" i="5"/>
  <c r="AG95" i="5"/>
  <c r="T94" i="5"/>
  <c r="P95" i="5"/>
  <c r="P99" i="5" s="1"/>
  <c r="W126" i="5"/>
  <c r="AD125" i="5"/>
  <c r="I31" i="5"/>
  <c r="F119" i="5"/>
  <c r="O88" i="5"/>
  <c r="V88" i="5"/>
  <c r="AH119" i="5"/>
  <c r="K64" i="5"/>
  <c r="R126" i="5"/>
  <c r="Z64" i="5"/>
  <c r="Y126" i="5"/>
  <c r="AG125" i="5"/>
  <c r="P64" i="5"/>
  <c r="P68" i="5" s="1"/>
  <c r="V126" i="5"/>
  <c r="AB95" i="5"/>
  <c r="M31" i="5"/>
  <c r="U119" i="5"/>
  <c r="S119" i="5"/>
  <c r="N88" i="5"/>
  <c r="AC88" i="5"/>
  <c r="U88" i="5"/>
  <c r="T57" i="5"/>
  <c r="P88" i="5"/>
  <c r="V69" i="5"/>
  <c r="V75" i="5" s="1"/>
  <c r="P124" i="5"/>
  <c r="V31" i="5"/>
  <c r="V32" i="5"/>
  <c r="AC94" i="5"/>
  <c r="AJ125" i="5"/>
  <c r="Q125" i="5"/>
  <c r="Y124" i="5"/>
  <c r="U32" i="5"/>
  <c r="U31" i="5"/>
  <c r="AC62" i="5"/>
  <c r="AC63" i="5"/>
  <c r="U63" i="5"/>
  <c r="U62" i="5"/>
  <c r="P38" i="4"/>
  <c r="P44" i="4" s="1"/>
  <c r="W54" i="4"/>
  <c r="W60" i="4" s="1"/>
  <c r="W65" i="4"/>
  <c r="W51" i="4"/>
  <c r="W58" i="4" s="1"/>
  <c r="W72" i="4"/>
  <c r="W77" i="4" s="1"/>
  <c r="W67" i="4"/>
  <c r="AA86" i="4"/>
  <c r="X100" i="4"/>
  <c r="X106" i="4" s="1"/>
  <c r="L36" i="4"/>
  <c r="O38" i="4"/>
  <c r="O44" i="4" s="1"/>
  <c r="O23" i="4"/>
  <c r="O29" i="4" s="1"/>
  <c r="M20" i="4"/>
  <c r="M27" i="4" s="1"/>
  <c r="X136" i="4"/>
  <c r="Q31" i="4"/>
  <c r="Q32" i="4"/>
  <c r="S94" i="4"/>
  <c r="S93" i="4"/>
  <c r="T82" i="4"/>
  <c r="T89" i="4" s="1"/>
  <c r="O129" i="4"/>
  <c r="V57" i="4"/>
  <c r="T57" i="4"/>
  <c r="F32" i="4"/>
  <c r="L26" i="4"/>
  <c r="L33" i="4" s="1"/>
  <c r="L62" i="4"/>
  <c r="W93" i="4"/>
  <c r="J31" i="4"/>
  <c r="Y124" i="4"/>
  <c r="N125" i="4"/>
  <c r="AD126" i="4"/>
  <c r="Z95" i="4"/>
  <c r="Z88" i="4"/>
  <c r="Q88" i="4"/>
  <c r="F62" i="4"/>
  <c r="J26" i="4"/>
  <c r="J33" i="4" s="1"/>
  <c r="P63" i="4"/>
  <c r="Z125" i="4"/>
  <c r="AE126" i="4"/>
  <c r="F95" i="4"/>
  <c r="T124" i="4"/>
  <c r="K31" i="4"/>
  <c r="P24" i="4"/>
  <c r="O113" i="4"/>
  <c r="O120" i="4" s="1"/>
  <c r="O131" i="4"/>
  <c r="O137" i="4" s="1"/>
  <c r="O134" i="4"/>
  <c r="O139" i="4" s="1"/>
  <c r="T117" i="4"/>
  <c r="N64" i="4"/>
  <c r="O88" i="4"/>
  <c r="AD119" i="4"/>
  <c r="L57" i="4"/>
  <c r="U119" i="4"/>
  <c r="AA119" i="4"/>
  <c r="M88" i="4"/>
  <c r="Q26" i="4"/>
  <c r="Q33" i="4" s="1"/>
  <c r="M26" i="4"/>
  <c r="M33" i="4" s="1"/>
  <c r="F57" i="4"/>
  <c r="AE119" i="4"/>
  <c r="V119" i="4"/>
  <c r="Y119" i="4"/>
  <c r="P88" i="4"/>
  <c r="N57" i="4"/>
  <c r="AG119" i="4"/>
  <c r="K26" i="4"/>
  <c r="K33" i="4" s="1"/>
  <c r="O26" i="4"/>
  <c r="O33" i="4" s="1"/>
  <c r="Z119" i="4"/>
  <c r="T88" i="4"/>
  <c r="Y88" i="4"/>
  <c r="X119" i="4"/>
  <c r="M119" i="4"/>
  <c r="Q119" i="4"/>
  <c r="K57" i="4"/>
  <c r="F26" i="4"/>
  <c r="R119" i="4"/>
  <c r="AB119" i="4"/>
  <c r="P57" i="4"/>
  <c r="AF119" i="4"/>
  <c r="F119" i="4"/>
  <c r="W88" i="4"/>
  <c r="T119" i="4"/>
  <c r="O57" i="4"/>
  <c r="N88" i="4"/>
  <c r="I26" i="4"/>
  <c r="I33" i="4" s="1"/>
  <c r="L88" i="4"/>
  <c r="Q57" i="4"/>
  <c r="S57" i="4"/>
  <c r="M57" i="4"/>
  <c r="L32" i="4"/>
  <c r="K62" i="4"/>
  <c r="K63" i="4"/>
  <c r="S63" i="4"/>
  <c r="N93" i="4"/>
  <c r="AA96" i="4"/>
  <c r="R57" i="4"/>
  <c r="AC119" i="4"/>
  <c r="W57" i="4"/>
  <c r="F63" i="4"/>
  <c r="F33" i="4"/>
  <c r="N63" i="4"/>
  <c r="M93" i="4"/>
  <c r="AF124" i="4"/>
  <c r="M125" i="4"/>
  <c r="V64" i="4"/>
  <c r="R126" i="4"/>
  <c r="P126" i="4"/>
  <c r="M32" i="4"/>
  <c r="L63" i="4"/>
  <c r="O93" i="4"/>
  <c r="P69" i="4"/>
  <c r="P75" i="4" s="1"/>
  <c r="AB88" i="4"/>
  <c r="P26" i="4"/>
  <c r="P33" i="4" s="1"/>
  <c r="I32" i="4"/>
  <c r="Z93" i="4"/>
  <c r="R63" i="4"/>
  <c r="M62" i="4"/>
  <c r="AA124" i="4"/>
  <c r="Q125" i="4"/>
  <c r="AF126" i="4"/>
  <c r="Z126" i="4"/>
  <c r="K64" i="4"/>
  <c r="U57" i="4"/>
  <c r="R88" i="4"/>
  <c r="O119" i="4"/>
  <c r="T94" i="4"/>
  <c r="N31" i="4"/>
  <c r="S124" i="4"/>
  <c r="R125" i="4"/>
  <c r="F64" i="4"/>
  <c r="AB95" i="4"/>
  <c r="O83" i="4"/>
  <c r="O101" i="4"/>
  <c r="AA132" i="4"/>
  <c r="AA117" i="4"/>
  <c r="AA135" i="4"/>
  <c r="AA114" i="4"/>
  <c r="M56" i="4"/>
  <c r="M74" i="4"/>
  <c r="AC126" i="4"/>
  <c r="AA95" i="4"/>
  <c r="F126" i="4"/>
  <c r="AA126" i="4"/>
  <c r="AA128" i="4" s="1"/>
  <c r="P64" i="4"/>
  <c r="N126" i="4"/>
  <c r="Y126" i="4"/>
  <c r="AC125" i="4"/>
  <c r="L94" i="4"/>
  <c r="W125" i="4"/>
  <c r="F93" i="4"/>
  <c r="U126" i="4"/>
  <c r="AG126" i="4"/>
  <c r="M95" i="4"/>
  <c r="S126" i="4"/>
  <c r="Q126" i="4"/>
  <c r="W95" i="4"/>
  <c r="W64" i="4"/>
  <c r="AF125" i="4"/>
  <c r="AE125" i="4"/>
  <c r="S125" i="4"/>
  <c r="Y94" i="4"/>
  <c r="AB94" i="4"/>
  <c r="P94" i="4"/>
  <c r="Q94" i="4"/>
  <c r="F125" i="4"/>
  <c r="S64" i="4"/>
  <c r="X95" i="4"/>
  <c r="Q95" i="4"/>
  <c r="Q64" i="4"/>
  <c r="P95" i="4"/>
  <c r="U95" i="4"/>
  <c r="U64" i="4"/>
  <c r="V125" i="4"/>
  <c r="AD125" i="4"/>
  <c r="N32" i="4"/>
  <c r="Q63" i="4"/>
  <c r="X94" i="4"/>
  <c r="F94" i="4"/>
  <c r="M126" i="4"/>
  <c r="AB126" i="4"/>
  <c r="T95" i="4"/>
  <c r="V126" i="4"/>
  <c r="W126" i="4"/>
  <c r="P125" i="4"/>
  <c r="V95" i="4"/>
  <c r="T126" i="4"/>
  <c r="L95" i="4"/>
  <c r="O95" i="4"/>
  <c r="O97" i="4" s="1"/>
  <c r="X125" i="4"/>
  <c r="U125" i="4"/>
  <c r="U63" i="4"/>
  <c r="R64" i="4"/>
  <c r="R95" i="4"/>
  <c r="O126" i="4"/>
  <c r="Y95" i="4"/>
  <c r="S95" i="4"/>
  <c r="Y125" i="4"/>
  <c r="AG125" i="4"/>
  <c r="M63" i="4"/>
  <c r="F124" i="4"/>
  <c r="O63" i="4"/>
  <c r="W63" i="4"/>
  <c r="Z94" i="4"/>
  <c r="R93" i="4"/>
  <c r="Q62" i="4"/>
  <c r="Q124" i="4"/>
  <c r="U124" i="4"/>
  <c r="V124" i="4"/>
  <c r="Y93" i="4"/>
  <c r="AB93" i="4"/>
  <c r="P93" i="4"/>
  <c r="Q93" i="4"/>
  <c r="M124" i="4"/>
  <c r="P124" i="4"/>
  <c r="L93" i="4"/>
  <c r="AE124" i="4"/>
  <c r="N124" i="4"/>
  <c r="AC124" i="4"/>
  <c r="R62" i="4"/>
  <c r="U93" i="4"/>
  <c r="V94" i="4"/>
  <c r="V93" i="4"/>
  <c r="T62" i="4"/>
  <c r="T63" i="4"/>
  <c r="W94" i="4"/>
  <c r="K32" i="4"/>
  <c r="AB124" i="4"/>
  <c r="AD124" i="4"/>
  <c r="V62" i="4"/>
  <c r="N62" i="4"/>
  <c r="U62" i="4"/>
  <c r="R94" i="4"/>
  <c r="X124" i="4"/>
  <c r="R124" i="4"/>
  <c r="AO115" i="6"/>
  <c r="F32" i="6"/>
  <c r="F31" i="6"/>
  <c r="P31" i="6"/>
  <c r="P32" i="6"/>
  <c r="Z32" i="6"/>
  <c r="Z31" i="6"/>
  <c r="O63" i="6"/>
  <c r="O62" i="6"/>
  <c r="W63" i="6"/>
  <c r="W62" i="6"/>
  <c r="AI62" i="6"/>
  <c r="AI63" i="6"/>
  <c r="P93" i="6"/>
  <c r="P94" i="6"/>
  <c r="X94" i="6"/>
  <c r="X93" i="6"/>
  <c r="AF94" i="6"/>
  <c r="AF93" i="6"/>
  <c r="AN93" i="6"/>
  <c r="AN94" i="6"/>
  <c r="U94" i="4"/>
  <c r="U125" i="6"/>
  <c r="U124" i="6"/>
  <c r="AC125" i="6"/>
  <c r="AC124" i="6"/>
  <c r="AK125" i="6"/>
  <c r="AK124" i="6"/>
  <c r="AQ124" i="6"/>
  <c r="AQ125" i="6"/>
  <c r="Y70" i="6"/>
  <c r="Y73" i="6"/>
  <c r="AD82" i="6"/>
  <c r="AD89" i="6" s="1"/>
  <c r="AD103" i="6"/>
  <c r="AD108" i="6" s="1"/>
  <c r="AD98" i="6"/>
  <c r="AD96" i="6"/>
  <c r="AD85" i="6"/>
  <c r="AD91" i="6" s="1"/>
  <c r="AD100" i="6"/>
  <c r="AD106" i="6" s="1"/>
  <c r="AO114" i="6"/>
  <c r="AO132" i="6"/>
  <c r="AG126" i="6"/>
  <c r="AR126" i="6"/>
  <c r="S126" i="6"/>
  <c r="AG125" i="6"/>
  <c r="AH126" i="6"/>
  <c r="AC126" i="6"/>
  <c r="AR124" i="6"/>
  <c r="S124" i="6"/>
  <c r="Z124" i="6"/>
  <c r="Y124" i="6"/>
  <c r="T93" i="6"/>
  <c r="P62" i="6"/>
  <c r="AG62" i="6"/>
  <c r="T32" i="6"/>
  <c r="Y94" i="6"/>
  <c r="Z93" i="6"/>
  <c r="AD62" i="6"/>
  <c r="S62" i="6"/>
  <c r="U31" i="6"/>
  <c r="AD119" i="6"/>
  <c r="F88" i="6"/>
  <c r="AG95" i="6"/>
  <c r="AL88" i="6"/>
  <c r="AL95" i="6" s="1"/>
  <c r="S119" i="6"/>
  <c r="AF119" i="6"/>
  <c r="W88" i="6"/>
  <c r="W95" i="6" s="1"/>
  <c r="Q63" i="6"/>
  <c r="O26" i="6"/>
  <c r="O33" i="6" s="1"/>
  <c r="P63" i="6"/>
  <c r="N26" i="6"/>
  <c r="N33" i="6" s="1"/>
  <c r="AC63" i="6"/>
  <c r="Z26" i="6"/>
  <c r="Z33" i="6" s="1"/>
  <c r="Y33" i="6"/>
  <c r="X26" i="6"/>
  <c r="X33" i="6" s="1"/>
  <c r="L57" i="6"/>
  <c r="L64" i="6" s="1"/>
  <c r="AJ88" i="6"/>
  <c r="AJ95" i="6" s="1"/>
  <c r="Y126" i="6"/>
  <c r="AQ126" i="6"/>
  <c r="S125" i="6"/>
  <c r="AM126" i="6"/>
  <c r="AS126" i="6"/>
  <c r="Z126" i="6"/>
  <c r="AF125" i="6"/>
  <c r="AO124" i="6"/>
  <c r="AN124" i="6"/>
  <c r="F125" i="6"/>
  <c r="AC32" i="6"/>
  <c r="Q94" i="6"/>
  <c r="AD94" i="6"/>
  <c r="AI94" i="6"/>
  <c r="L32" i="6"/>
  <c r="AG93" i="6"/>
  <c r="AC93" i="6"/>
  <c r="R93" i="6"/>
  <c r="AL94" i="6"/>
  <c r="M31" i="6"/>
  <c r="AE93" i="6"/>
  <c r="R62" i="6"/>
  <c r="V119" i="6"/>
  <c r="AS119" i="6"/>
  <c r="R88" i="6"/>
  <c r="R95" i="6" s="1"/>
  <c r="Y88" i="6"/>
  <c r="Y95" i="6" s="1"/>
  <c r="AF88" i="6"/>
  <c r="AF95" i="6" s="1"/>
  <c r="F119" i="6"/>
  <c r="O57" i="6"/>
  <c r="O64" i="6" s="1"/>
  <c r="AC57" i="6"/>
  <c r="AC64" i="6" s="1"/>
  <c r="AB57" i="6"/>
  <c r="AB64" i="6" s="1"/>
  <c r="AA57" i="6"/>
  <c r="AA64" i="6" s="1"/>
  <c r="M26" i="6"/>
  <c r="M33" i="6" s="1"/>
  <c r="T63" i="6"/>
  <c r="AB63" i="6"/>
  <c r="AE119" i="6"/>
  <c r="I26" i="6"/>
  <c r="I33" i="6" s="1"/>
  <c r="F94" i="6"/>
  <c r="Y57" i="6"/>
  <c r="Y64" i="6" s="1"/>
  <c r="AD57" i="6"/>
  <c r="AD64" i="6" s="1"/>
  <c r="AL125" i="6"/>
  <c r="V126" i="6"/>
  <c r="AE126" i="6"/>
  <c r="AN125" i="6"/>
  <c r="AS125" i="6"/>
  <c r="AJ126" i="6"/>
  <c r="AP124" i="6"/>
  <c r="AS124" i="6"/>
  <c r="AF124" i="6"/>
  <c r="F124" i="6"/>
  <c r="U32" i="6"/>
  <c r="Q93" i="6"/>
  <c r="V93" i="6"/>
  <c r="AA94" i="6"/>
  <c r="X31" i="6"/>
  <c r="V31" i="6"/>
  <c r="V32" i="6"/>
  <c r="AA32" i="6"/>
  <c r="AB62" i="6"/>
  <c r="AK94" i="6"/>
  <c r="AI88" i="6"/>
  <c r="AI95" i="6" s="1"/>
  <c r="AK119" i="6"/>
  <c r="AD88" i="6"/>
  <c r="AD95" i="6" s="1"/>
  <c r="AC88" i="6"/>
  <c r="AC95" i="6" s="1"/>
  <c r="AD63" i="6"/>
  <c r="AG57" i="6"/>
  <c r="AG64" i="6" s="1"/>
  <c r="R26" i="6"/>
  <c r="R33" i="6" s="1"/>
  <c r="S63" i="6"/>
  <c r="T88" i="6"/>
  <c r="T95" i="6" s="1"/>
  <c r="AE63" i="6"/>
  <c r="T26" i="6"/>
  <c r="T33" i="6" s="1"/>
  <c r="AA63" i="6"/>
  <c r="U63" i="6"/>
  <c r="AJ125" i="6"/>
  <c r="AN126" i="6"/>
  <c r="AK126" i="6"/>
  <c r="W126" i="6"/>
  <c r="AB126" i="6"/>
  <c r="AM125" i="6"/>
  <c r="AG124" i="6"/>
  <c r="X124" i="6"/>
  <c r="AJ94" i="6"/>
  <c r="M32" i="6"/>
  <c r="AA31" i="6"/>
  <c r="S94" i="6"/>
  <c r="U62" i="6"/>
  <c r="R31" i="6"/>
  <c r="S32" i="6"/>
  <c r="AG94" i="6"/>
  <c r="W32" i="6"/>
  <c r="T62" i="6"/>
  <c r="U94" i="6"/>
  <c r="AC119" i="6"/>
  <c r="AR119" i="6"/>
  <c r="Q88" i="6"/>
  <c r="Q95" i="6" s="1"/>
  <c r="P88" i="6"/>
  <c r="P95" i="6" s="1"/>
  <c r="F57" i="6"/>
  <c r="T57" i="6"/>
  <c r="T64" i="6" s="1"/>
  <c r="AQ119" i="6"/>
  <c r="S57" i="6"/>
  <c r="S64" i="6" s="1"/>
  <c r="AN119" i="6"/>
  <c r="R57" i="6"/>
  <c r="R64" i="6" s="1"/>
  <c r="F26" i="6"/>
  <c r="AF57" i="6"/>
  <c r="F33" i="6"/>
  <c r="Q26" i="6"/>
  <c r="Q33" i="6" s="1"/>
  <c r="Z57" i="6"/>
  <c r="Z64" i="6" s="1"/>
  <c r="AB26" i="6"/>
  <c r="AB33" i="6" s="1"/>
  <c r="U57" i="6"/>
  <c r="U64" i="6" s="1"/>
  <c r="AF126" i="6"/>
  <c r="AP125" i="6"/>
  <c r="W125" i="6"/>
  <c r="AI126" i="6"/>
  <c r="AL124" i="6"/>
  <c r="W124" i="6"/>
  <c r="AB94" i="6"/>
  <c r="R32" i="6"/>
  <c r="Z62" i="6"/>
  <c r="AI93" i="6"/>
  <c r="I32" i="6"/>
  <c r="AB31" i="6"/>
  <c r="AH94" i="6"/>
  <c r="K32" i="6"/>
  <c r="Y93" i="6"/>
  <c r="S31" i="6"/>
  <c r="L62" i="6"/>
  <c r="N32" i="6"/>
  <c r="AA88" i="6"/>
  <c r="AA95" i="6" s="1"/>
  <c r="U119" i="6"/>
  <c r="AJ119" i="6"/>
  <c r="V88" i="6"/>
  <c r="V95" i="6" s="1"/>
  <c r="AP119" i="6"/>
  <c r="AB88" i="6"/>
  <c r="AB95" i="6" s="1"/>
  <c r="X88" i="6"/>
  <c r="X95" i="6" s="1"/>
  <c r="U88" i="6"/>
  <c r="U95" i="6" s="1"/>
  <c r="AA119" i="6"/>
  <c r="X57" i="6"/>
  <c r="X64" i="6" s="1"/>
  <c r="J26" i="6"/>
  <c r="J33" i="6" s="1"/>
  <c r="AF64" i="6"/>
  <c r="R63" i="6"/>
  <c r="W119" i="6"/>
  <c r="AF63" i="6"/>
  <c r="X126" i="6"/>
  <c r="T126" i="6"/>
  <c r="AH125" i="6"/>
  <c r="AA126" i="6"/>
  <c r="AD125" i="6"/>
  <c r="AD124" i="6"/>
  <c r="T94" i="6"/>
  <c r="Q31" i="6"/>
  <c r="J32" i="6"/>
  <c r="AC94" i="6"/>
  <c r="AA93" i="6"/>
  <c r="AE62" i="6"/>
  <c r="AA62" i="6"/>
  <c r="Z94" i="6"/>
  <c r="W31" i="6"/>
  <c r="N31" i="6"/>
  <c r="AK93" i="6"/>
  <c r="AM94" i="6"/>
  <c r="L31" i="6"/>
  <c r="J31" i="6"/>
  <c r="AH88" i="6"/>
  <c r="AB119" i="6"/>
  <c r="AO119" i="6"/>
  <c r="AH119" i="6"/>
  <c r="Z119" i="6"/>
  <c r="AE57" i="6"/>
  <c r="AE64" i="6" s="1"/>
  <c r="F63" i="6"/>
  <c r="F62" i="6"/>
  <c r="AC26" i="6"/>
  <c r="AC33" i="6" s="1"/>
  <c r="AN88" i="6"/>
  <c r="AN95" i="6" s="1"/>
  <c r="V57" i="6"/>
  <c r="V64" i="6" s="1"/>
  <c r="Q57" i="6"/>
  <c r="Q64" i="6" s="1"/>
  <c r="M63" i="6"/>
  <c r="L63" i="6"/>
  <c r="AH57" i="6"/>
  <c r="AH64" i="6" s="1"/>
  <c r="F64" i="6"/>
  <c r="L26" i="6"/>
  <c r="L33" i="6" s="1"/>
  <c r="AA26" i="6"/>
  <c r="AA33" i="6" s="1"/>
  <c r="O32" i="6"/>
  <c r="Y31" i="6"/>
  <c r="Y32" i="6"/>
  <c r="N62" i="6"/>
  <c r="V62" i="6"/>
  <c r="AH62" i="6"/>
  <c r="W93" i="6"/>
  <c r="AM93" i="6"/>
  <c r="T125" i="6"/>
  <c r="AB125" i="6"/>
  <c r="V124" i="6"/>
  <c r="Z125" i="6"/>
  <c r="S26" i="6"/>
  <c r="S33" i="6" s="1"/>
  <c r="M57" i="6"/>
  <c r="M64" i="6" s="1"/>
  <c r="U26" i="6"/>
  <c r="U33" i="6" s="1"/>
  <c r="Z88" i="6"/>
  <c r="Z95" i="6" s="1"/>
  <c r="W94" i="6"/>
  <c r="I31" i="6"/>
  <c r="AB32" i="6"/>
  <c r="AB93" i="6"/>
  <c r="AE124" i="6"/>
  <c r="F126" i="6"/>
  <c r="W26" i="6"/>
  <c r="W33" i="6" s="1"/>
  <c r="AE88" i="6"/>
  <c r="AE95" i="6" s="1"/>
  <c r="AH95" i="6"/>
  <c r="AE94" i="6"/>
  <c r="O31" i="6"/>
  <c r="S93" i="6"/>
  <c r="AJ93" i="6"/>
  <c r="AM124" i="6"/>
  <c r="AE125" i="6"/>
  <c r="K26" i="6"/>
  <c r="K33" i="6" s="1"/>
  <c r="AK88" i="6"/>
  <c r="AK95" i="6" s="1"/>
  <c r="X63" i="6"/>
  <c r="Z63" i="6"/>
  <c r="AI119" i="6"/>
  <c r="AC31" i="6"/>
  <c r="AH93" i="6"/>
  <c r="AH124" i="6"/>
  <c r="Y125" i="6"/>
  <c r="AI125" i="6"/>
  <c r="AI57" i="6"/>
  <c r="AI64" i="6" s="1"/>
  <c r="X119" i="6"/>
  <c r="AG63" i="6"/>
  <c r="F95" i="6"/>
  <c r="S88" i="6"/>
  <c r="S95" i="6" s="1"/>
  <c r="Q32" i="6"/>
  <c r="R94" i="6"/>
  <c r="U93" i="6"/>
  <c r="AI124" i="6"/>
  <c r="AL126" i="6"/>
  <c r="AM119" i="6"/>
  <c r="N64" i="6"/>
  <c r="V33" i="6"/>
  <c r="W57" i="6"/>
  <c r="W64" i="6" s="1"/>
  <c r="Y119" i="6"/>
  <c r="AL119" i="6"/>
  <c r="K31" i="6"/>
  <c r="X32" i="6"/>
  <c r="AA124" i="6"/>
  <c r="AP126" i="6"/>
  <c r="U126" i="6"/>
  <c r="AA125" i="6"/>
  <c r="T124" i="6"/>
  <c r="N63" i="6"/>
  <c r="X125" i="6"/>
  <c r="V63" i="6"/>
  <c r="AR125" i="6"/>
  <c r="O22" i="7"/>
  <c r="U22" i="7" s="1"/>
  <c r="D22" i="7" s="1"/>
  <c r="I20" i="7"/>
  <c r="I8" i="7" s="1"/>
  <c r="O74" i="7"/>
  <c r="G41" i="7"/>
  <c r="G51" i="7" s="1"/>
  <c r="O72" i="7"/>
  <c r="G96" i="7" s="1"/>
  <c r="G106" i="7" s="1"/>
  <c r="F41" i="7"/>
  <c r="O71" i="7"/>
  <c r="F96" i="7" s="1"/>
  <c r="U21" i="7"/>
  <c r="O75" i="7"/>
  <c r="I19" i="7"/>
  <c r="I10" i="7" s="1"/>
  <c r="O73" i="7"/>
  <c r="U19" i="7"/>
  <c r="D19" i="7" s="1"/>
  <c r="F70" i="8"/>
  <c r="AT70" i="8" s="1"/>
  <c r="F5" i="8"/>
  <c r="Z5" i="8" s="1"/>
  <c r="K28" i="8"/>
  <c r="F86" i="8"/>
  <c r="Z7" i="8"/>
  <c r="F6" i="8"/>
  <c r="Z6" i="8" s="1"/>
  <c r="Z12" i="8"/>
  <c r="Z13" i="8"/>
  <c r="AT12" i="8"/>
  <c r="Z4" i="8"/>
  <c r="AT4" i="8"/>
  <c r="P28" i="8"/>
  <c r="AT13" i="8"/>
  <c r="Z14" i="8"/>
  <c r="AT14" i="8"/>
  <c r="F83" i="8"/>
  <c r="AT76" i="8"/>
  <c r="AT15" i="8"/>
  <c r="U28" i="8"/>
  <c r="P29" i="8"/>
  <c r="U30" i="8"/>
  <c r="P30" i="8"/>
  <c r="K30" i="8"/>
  <c r="U29" i="8"/>
  <c r="K29" i="8"/>
  <c r="Z15" i="8"/>
  <c r="F28" i="8"/>
  <c r="F30" i="8"/>
  <c r="U20" i="7"/>
  <c r="D20" i="7" s="1"/>
  <c r="I21" i="7"/>
  <c r="F2" i="7"/>
  <c r="H2" i="7" s="1"/>
  <c r="D177" i="13" l="1"/>
  <c r="F281" i="13"/>
  <c r="F312" i="13" s="1"/>
  <c r="F343" i="13" s="1"/>
  <c r="H42" i="9" s="1"/>
  <c r="E281" i="13"/>
  <c r="E312" i="13" s="1"/>
  <c r="E343" i="13" s="1"/>
  <c r="G42" i="9" s="1"/>
  <c r="C177" i="13"/>
  <c r="C173" i="13"/>
  <c r="C176" i="13"/>
  <c r="C153" i="13"/>
  <c r="C165" i="13" s="1"/>
  <c r="C164" i="13"/>
  <c r="N104" i="4"/>
  <c r="AA118" i="5"/>
  <c r="F41" i="4"/>
  <c r="F46" i="4" s="1"/>
  <c r="N97" i="4"/>
  <c r="AI115" i="5"/>
  <c r="N105" i="5"/>
  <c r="Y66" i="6"/>
  <c r="Y52" i="6"/>
  <c r="F23" i="4"/>
  <c r="F29" i="4" s="1"/>
  <c r="Z129" i="5"/>
  <c r="N84" i="5"/>
  <c r="Z116" i="4"/>
  <c r="Z122" i="4" s="1"/>
  <c r="F36" i="4"/>
  <c r="AC118" i="5"/>
  <c r="V43" i="5"/>
  <c r="AB130" i="4"/>
  <c r="Z127" i="4"/>
  <c r="N101" i="4"/>
  <c r="T134" i="5"/>
  <c r="T139" i="5" s="1"/>
  <c r="V40" i="5"/>
  <c r="R135" i="5"/>
  <c r="Z131" i="4"/>
  <c r="Z137" i="4" s="1"/>
  <c r="T116" i="5"/>
  <c r="T122" i="5" s="1"/>
  <c r="AK133" i="5"/>
  <c r="N73" i="5"/>
  <c r="N83" i="4"/>
  <c r="S54" i="4"/>
  <c r="S60" i="4" s="1"/>
  <c r="V54" i="5"/>
  <c r="V60" i="5" s="1"/>
  <c r="J43" i="5"/>
  <c r="J22" i="5"/>
  <c r="J25" i="5"/>
  <c r="AO133" i="6"/>
  <c r="AO138" i="6" s="1"/>
  <c r="X118" i="4"/>
  <c r="M82" i="5"/>
  <c r="M89" i="5" s="1"/>
  <c r="M83" i="4"/>
  <c r="V52" i="4"/>
  <c r="X133" i="4"/>
  <c r="W116" i="5"/>
  <c r="W122" i="5" s="1"/>
  <c r="Q34" i="5"/>
  <c r="AL82" i="6"/>
  <c r="AL89" i="6" s="1"/>
  <c r="Q23" i="5"/>
  <c r="Q29" i="5" s="1"/>
  <c r="M104" i="4"/>
  <c r="O72" i="4"/>
  <c r="O77" i="4" s="1"/>
  <c r="AL103" i="6"/>
  <c r="AL108" i="6" s="1"/>
  <c r="Q41" i="5"/>
  <c r="Q46" i="5" s="1"/>
  <c r="O132" i="4"/>
  <c r="O65" i="4"/>
  <c r="O51" i="4"/>
  <c r="O58" i="4" s="1"/>
  <c r="AF85" i="5"/>
  <c r="AF91" i="5" s="1"/>
  <c r="Q20" i="5"/>
  <c r="Q27" i="5" s="1"/>
  <c r="AO136" i="6"/>
  <c r="AO140" i="6" s="1"/>
  <c r="V55" i="4"/>
  <c r="F105" i="5"/>
  <c r="AF96" i="5"/>
  <c r="Q85" i="5"/>
  <c r="Q91" i="5" s="1"/>
  <c r="AJ131" i="6"/>
  <c r="AJ137" i="6" s="1"/>
  <c r="AF100" i="5"/>
  <c r="AF106" i="5" s="1"/>
  <c r="Q96" i="5"/>
  <c r="I40" i="5"/>
  <c r="I43" i="5"/>
  <c r="I25" i="5"/>
  <c r="I22" i="5"/>
  <c r="X83" i="5"/>
  <c r="T71" i="5"/>
  <c r="V84" i="5"/>
  <c r="I38" i="4"/>
  <c r="I44" i="4" s="1"/>
  <c r="F86" i="5"/>
  <c r="W55" i="5"/>
  <c r="W61" i="5" s="1"/>
  <c r="Q65" i="5"/>
  <c r="P54" i="4"/>
  <c r="P60" i="4" s="1"/>
  <c r="W134" i="4"/>
  <c r="W139" i="4" s="1"/>
  <c r="L20" i="4"/>
  <c r="L27" i="4" s="1"/>
  <c r="X82" i="4"/>
  <c r="X89" i="4" s="1"/>
  <c r="L21" i="5"/>
  <c r="W53" i="5"/>
  <c r="N67" i="5"/>
  <c r="Q103" i="5"/>
  <c r="Q108" i="5" s="1"/>
  <c r="V109" i="5"/>
  <c r="V102" i="5"/>
  <c r="AF98" i="5"/>
  <c r="AF65" i="6"/>
  <c r="Y84" i="5"/>
  <c r="AF103" i="5"/>
  <c r="AF108" i="5" s="1"/>
  <c r="Y132" i="5"/>
  <c r="Q82" i="5"/>
  <c r="Q89" i="5" s="1"/>
  <c r="W70" i="5"/>
  <c r="P20" i="4"/>
  <c r="P27" i="4" s="1"/>
  <c r="P23" i="4"/>
  <c r="P29" i="4" s="1"/>
  <c r="W74" i="5"/>
  <c r="W78" i="5" s="1"/>
  <c r="P51" i="4"/>
  <c r="P58" i="4" s="1"/>
  <c r="X103" i="4"/>
  <c r="X108" i="4" s="1"/>
  <c r="AO128" i="6"/>
  <c r="AA100" i="4"/>
  <c r="AA106" i="4" s="1"/>
  <c r="P67" i="4"/>
  <c r="L34" i="4"/>
  <c r="L39" i="5"/>
  <c r="X99" i="5"/>
  <c r="R37" i="5"/>
  <c r="AD102" i="5"/>
  <c r="L24" i="5"/>
  <c r="Z51" i="5"/>
  <c r="Z58" i="5" s="1"/>
  <c r="W52" i="5"/>
  <c r="AL96" i="6"/>
  <c r="AF69" i="6"/>
  <c r="AF75" i="6" s="1"/>
  <c r="Q67" i="5"/>
  <c r="Y135" i="5"/>
  <c r="Q98" i="5"/>
  <c r="X86" i="5"/>
  <c r="X104" i="5"/>
  <c r="Q54" i="5"/>
  <c r="Q60" i="5" s="1"/>
  <c r="AO130" i="6"/>
  <c r="AA99" i="4"/>
  <c r="T135" i="4"/>
  <c r="AA98" i="4"/>
  <c r="P65" i="4"/>
  <c r="L23" i="4"/>
  <c r="L29" i="4" s="1"/>
  <c r="AA83" i="4"/>
  <c r="P34" i="4"/>
  <c r="AF101" i="5"/>
  <c r="J40" i="5"/>
  <c r="Y74" i="5"/>
  <c r="AD87" i="5"/>
  <c r="Z67" i="5"/>
  <c r="AL85" i="6"/>
  <c r="AL91" i="6" s="1"/>
  <c r="AF51" i="6"/>
  <c r="AF58" i="6" s="1"/>
  <c r="V70" i="4"/>
  <c r="Q69" i="5"/>
  <c r="Q75" i="5" s="1"/>
  <c r="Q38" i="5"/>
  <c r="Q44" i="5" s="1"/>
  <c r="R87" i="5"/>
  <c r="AO117" i="6"/>
  <c r="T114" i="4"/>
  <c r="M71" i="4"/>
  <c r="L38" i="4"/>
  <c r="L44" i="4" s="1"/>
  <c r="AA101" i="4"/>
  <c r="P36" i="4"/>
  <c r="AF130" i="5"/>
  <c r="AL98" i="6"/>
  <c r="T68" i="5"/>
  <c r="AF67" i="6"/>
  <c r="Q51" i="5"/>
  <c r="Q58" i="5" s="1"/>
  <c r="Q113" i="5"/>
  <c r="Q120" i="5" s="1"/>
  <c r="AF127" i="5"/>
  <c r="AD118" i="6"/>
  <c r="AJ129" i="6"/>
  <c r="W127" i="4"/>
  <c r="M34" i="4"/>
  <c r="AA136" i="5"/>
  <c r="U116" i="5"/>
  <c r="U122" i="5" s="1"/>
  <c r="T66" i="5"/>
  <c r="F97" i="5"/>
  <c r="O135" i="4"/>
  <c r="O114" i="5"/>
  <c r="AF134" i="5"/>
  <c r="AF139" i="5" s="1"/>
  <c r="W131" i="4"/>
  <c r="W137" i="4" s="1"/>
  <c r="F53" i="5"/>
  <c r="F59" i="5" s="1"/>
  <c r="T56" i="5"/>
  <c r="T61" i="5" s="1"/>
  <c r="N42" i="5"/>
  <c r="V83" i="5"/>
  <c r="I23" i="4"/>
  <c r="I29" i="4" s="1"/>
  <c r="T73" i="5"/>
  <c r="T78" i="5" s="1"/>
  <c r="F101" i="5"/>
  <c r="F90" i="5"/>
  <c r="Q129" i="5"/>
  <c r="W132" i="5"/>
  <c r="AJ116" i="6"/>
  <c r="AJ122" i="6" s="1"/>
  <c r="W113" i="4"/>
  <c r="W120" i="4" s="1"/>
  <c r="T53" i="5"/>
  <c r="U127" i="5"/>
  <c r="AI98" i="5"/>
  <c r="V97" i="5"/>
  <c r="I34" i="4"/>
  <c r="F104" i="5"/>
  <c r="M65" i="6"/>
  <c r="S101" i="5"/>
  <c r="Q51" i="6"/>
  <c r="Q58" i="6" s="1"/>
  <c r="Q127" i="5"/>
  <c r="W117" i="5"/>
  <c r="R102" i="5"/>
  <c r="I41" i="4"/>
  <c r="I46" i="4" s="1"/>
  <c r="M72" i="6"/>
  <c r="M77" i="6" s="1"/>
  <c r="Q131" i="5"/>
  <c r="Q137" i="5" s="1"/>
  <c r="W114" i="5"/>
  <c r="R105" i="5"/>
  <c r="R114" i="5"/>
  <c r="R132" i="5"/>
  <c r="L52" i="5"/>
  <c r="L73" i="5"/>
  <c r="X51" i="6"/>
  <c r="X58" i="6" s="1"/>
  <c r="M41" i="4"/>
  <c r="M46" i="4" s="1"/>
  <c r="F68" i="5"/>
  <c r="I20" i="4"/>
  <c r="I27" i="4" s="1"/>
  <c r="AK115" i="5"/>
  <c r="M51" i="6"/>
  <c r="M58" i="6" s="1"/>
  <c r="Q65" i="6"/>
  <c r="Q134" i="5"/>
  <c r="Q139" i="5" s="1"/>
  <c r="P52" i="5"/>
  <c r="P55" i="5"/>
  <c r="AD136" i="6"/>
  <c r="AJ134" i="6"/>
  <c r="AJ139" i="6" s="1"/>
  <c r="M36" i="4"/>
  <c r="AD100" i="5"/>
  <c r="AD106" i="5" s="1"/>
  <c r="T70" i="5"/>
  <c r="AK118" i="5"/>
  <c r="M69" i="6"/>
  <c r="M75" i="6" s="1"/>
  <c r="Q54" i="6"/>
  <c r="Q60" i="6" s="1"/>
  <c r="O132" i="5"/>
  <c r="AF116" i="5"/>
  <c r="AF122" i="5" s="1"/>
  <c r="P117" i="5"/>
  <c r="P114" i="5"/>
  <c r="AD133" i="6"/>
  <c r="AJ113" i="6"/>
  <c r="AJ120" i="6" s="1"/>
  <c r="W129" i="4"/>
  <c r="M38" i="4"/>
  <c r="M44" i="4" s="1"/>
  <c r="AA115" i="5"/>
  <c r="T52" i="5"/>
  <c r="T59" i="5" s="1"/>
  <c r="F92" i="5"/>
  <c r="S86" i="5"/>
  <c r="S83" i="5"/>
  <c r="O117" i="4"/>
  <c r="AF113" i="5"/>
  <c r="AF120" i="5" s="1"/>
  <c r="F99" i="5"/>
  <c r="AE86" i="5"/>
  <c r="AE104" i="5"/>
  <c r="I13" i="7"/>
  <c r="I12" i="7" s="1"/>
  <c r="F51" i="7"/>
  <c r="K312" i="13"/>
  <c r="K343" i="13" s="1"/>
  <c r="K315" i="13"/>
  <c r="K346" i="13" s="1"/>
  <c r="K316" i="13"/>
  <c r="K347" i="13" s="1"/>
  <c r="K311" i="13"/>
  <c r="K342" i="13" s="1"/>
  <c r="K309" i="13"/>
  <c r="K340" i="13" s="1"/>
  <c r="K319" i="13"/>
  <c r="K350" i="13" s="1"/>
  <c r="K320" i="13"/>
  <c r="K351" i="13" s="1"/>
  <c r="K313" i="13"/>
  <c r="K344" i="13" s="1"/>
  <c r="K317" i="13"/>
  <c r="K348" i="13" s="1"/>
  <c r="K318" i="13"/>
  <c r="K349" i="13" s="1"/>
  <c r="K314" i="13"/>
  <c r="K345" i="13" s="1"/>
  <c r="Z78" i="8"/>
  <c r="AT78" i="8"/>
  <c r="E289" i="13"/>
  <c r="E320" i="13" s="1"/>
  <c r="E351" i="13" s="1"/>
  <c r="G50" i="9" s="1"/>
  <c r="E288" i="13"/>
  <c r="E319" i="13" s="1"/>
  <c r="E350" i="13" s="1"/>
  <c r="G49" i="9" s="1"/>
  <c r="J281" i="13"/>
  <c r="J312" i="13" s="1"/>
  <c r="J343" i="13" s="1"/>
  <c r="L42" i="9" s="1"/>
  <c r="K279" i="13"/>
  <c r="H281" i="13"/>
  <c r="H312" i="13" s="1"/>
  <c r="H343" i="13" s="1"/>
  <c r="J42" i="9" s="1"/>
  <c r="I279" i="13"/>
  <c r="I310" i="13" s="1"/>
  <c r="I341" i="13" s="1"/>
  <c r="K40" i="9" s="1"/>
  <c r="M279" i="13"/>
  <c r="M310" i="13" s="1"/>
  <c r="M341" i="13" s="1"/>
  <c r="O40" i="9" s="1"/>
  <c r="E280" i="13"/>
  <c r="E311" i="13" s="1"/>
  <c r="E342" i="13" s="1"/>
  <c r="G41" i="9" s="1"/>
  <c r="H178" i="13"/>
  <c r="C178" i="13"/>
  <c r="F178" i="13"/>
  <c r="F185" i="13" s="1"/>
  <c r="G177" i="13"/>
  <c r="F177" i="13"/>
  <c r="H177" i="13"/>
  <c r="C146" i="13"/>
  <c r="C160" i="13" s="1"/>
  <c r="C145" i="13"/>
  <c r="C159" i="13" s="1"/>
  <c r="I181" i="13"/>
  <c r="G180" i="13"/>
  <c r="H181" i="13"/>
  <c r="I177" i="13"/>
  <c r="N176" i="13"/>
  <c r="H176" i="13"/>
  <c r="E177" i="13"/>
  <c r="I178" i="13"/>
  <c r="I176" i="13"/>
  <c r="M177" i="13"/>
  <c r="G178" i="13"/>
  <c r="G185" i="13" s="1"/>
  <c r="F176" i="13"/>
  <c r="N178" i="13"/>
  <c r="N185" i="13" s="1"/>
  <c r="K176" i="13"/>
  <c r="D178" i="13"/>
  <c r="D185" i="13" s="1"/>
  <c r="G176" i="13"/>
  <c r="C179" i="13"/>
  <c r="C181" i="13"/>
  <c r="M178" i="13"/>
  <c r="M185" i="13" s="1"/>
  <c r="C180" i="13"/>
  <c r="K178" i="13"/>
  <c r="K185" i="13" s="1"/>
  <c r="J176" i="13"/>
  <c r="L178" i="13"/>
  <c r="L185" i="13" s="1"/>
  <c r="L177" i="13"/>
  <c r="M176" i="13"/>
  <c r="J177" i="13"/>
  <c r="J178" i="13"/>
  <c r="J185" i="13" s="1"/>
  <c r="K177" i="13"/>
  <c r="E178" i="13"/>
  <c r="E185" i="13" s="1"/>
  <c r="K94" i="8"/>
  <c r="K95" i="8"/>
  <c r="F94" i="8"/>
  <c r="F102" i="5"/>
  <c r="Y105" i="5"/>
  <c r="Y102" i="5"/>
  <c r="Y72" i="6"/>
  <c r="Y77" i="6" s="1"/>
  <c r="AO123" i="6"/>
  <c r="Y67" i="6"/>
  <c r="AF131" i="5"/>
  <c r="AF137" i="5" s="1"/>
  <c r="N55" i="5"/>
  <c r="N52" i="5"/>
  <c r="AF83" i="5"/>
  <c r="AF104" i="5"/>
  <c r="P66" i="5"/>
  <c r="Y69" i="6"/>
  <c r="Y75" i="6" s="1"/>
  <c r="Q42" i="5"/>
  <c r="Q21" i="5"/>
  <c r="Z129" i="4"/>
  <c r="Z134" i="4"/>
  <c r="Z139" i="4" s="1"/>
  <c r="O67" i="4"/>
  <c r="O54" i="4"/>
  <c r="O60" i="4" s="1"/>
  <c r="V70" i="5"/>
  <c r="V73" i="5"/>
  <c r="V55" i="5"/>
  <c r="V52" i="5"/>
  <c r="U60" i="8"/>
  <c r="K60" i="8"/>
  <c r="F60" i="8"/>
  <c r="O24" i="5"/>
  <c r="O21" i="5"/>
  <c r="S65" i="4"/>
  <c r="Y71" i="5"/>
  <c r="P97" i="5"/>
  <c r="Z65" i="5"/>
  <c r="Z72" i="5"/>
  <c r="Z77" i="5" s="1"/>
  <c r="AC98" i="5"/>
  <c r="AC85" i="5"/>
  <c r="AC91" i="5" s="1"/>
  <c r="AC103" i="5"/>
  <c r="AC108" i="5" s="1"/>
  <c r="AC100" i="5"/>
  <c r="AC106" i="5" s="1"/>
  <c r="AC96" i="5"/>
  <c r="AA73" i="5"/>
  <c r="AA52" i="5"/>
  <c r="AA70" i="5"/>
  <c r="AA55" i="5"/>
  <c r="W131" i="5"/>
  <c r="W137" i="5" s="1"/>
  <c r="W129" i="5"/>
  <c r="W113" i="5"/>
  <c r="W120" i="5" s="1"/>
  <c r="W134" i="5"/>
  <c r="W139" i="5" s="1"/>
  <c r="R116" i="5"/>
  <c r="R122" i="5" s="1"/>
  <c r="R113" i="5"/>
  <c r="R120" i="5" s="1"/>
  <c r="R129" i="5"/>
  <c r="R134" i="5"/>
  <c r="R139" i="5" s="1"/>
  <c r="R131" i="5"/>
  <c r="R137" i="5" s="1"/>
  <c r="R127" i="5"/>
  <c r="J21" i="4"/>
  <c r="J42" i="4"/>
  <c r="J24" i="4"/>
  <c r="J39" i="4"/>
  <c r="W71" i="5"/>
  <c r="W76" i="5" s="1"/>
  <c r="W68" i="5"/>
  <c r="Y68" i="6"/>
  <c r="V135" i="6"/>
  <c r="V117" i="6"/>
  <c r="V114" i="6"/>
  <c r="V132" i="6"/>
  <c r="S67" i="4"/>
  <c r="N99" i="4"/>
  <c r="AF117" i="5"/>
  <c r="AF123" i="5" s="1"/>
  <c r="Y56" i="5"/>
  <c r="Z69" i="5"/>
  <c r="Z75" i="5" s="1"/>
  <c r="R21" i="5"/>
  <c r="R24" i="5"/>
  <c r="R39" i="5"/>
  <c r="R42" i="5"/>
  <c r="AG116" i="4"/>
  <c r="AG122" i="4" s="1"/>
  <c r="AG113" i="4"/>
  <c r="AG120" i="4" s="1"/>
  <c r="AG127" i="4"/>
  <c r="AG131" i="4"/>
  <c r="AG137" i="4" s="1"/>
  <c r="AG129" i="4"/>
  <c r="AG134" i="4"/>
  <c r="AG139" i="4" s="1"/>
  <c r="V65" i="5"/>
  <c r="V72" i="5"/>
  <c r="V77" i="5" s="1"/>
  <c r="V67" i="5"/>
  <c r="U118" i="5"/>
  <c r="U123" i="5" s="1"/>
  <c r="U115" i="5"/>
  <c r="U121" i="5" s="1"/>
  <c r="U136" i="5"/>
  <c r="U140" i="5" s="1"/>
  <c r="U133" i="5"/>
  <c r="U138" i="5" s="1"/>
  <c r="T98" i="4"/>
  <c r="T100" i="4"/>
  <c r="T106" i="4" s="1"/>
  <c r="T96" i="4"/>
  <c r="T103" i="4"/>
  <c r="T108" i="4" s="1"/>
  <c r="T85" i="4"/>
  <c r="T91" i="4" s="1"/>
  <c r="M67" i="5"/>
  <c r="M65" i="5"/>
  <c r="M69" i="5"/>
  <c r="M75" i="5" s="1"/>
  <c r="M54" i="5"/>
  <c r="M60" i="5" s="1"/>
  <c r="M51" i="5"/>
  <c r="M58" i="5" s="1"/>
  <c r="M72" i="5"/>
  <c r="M77" i="5" s="1"/>
  <c r="Q136" i="5"/>
  <c r="Q118" i="5"/>
  <c r="Q133" i="5"/>
  <c r="Q115" i="5"/>
  <c r="Q52" i="5"/>
  <c r="Q70" i="5"/>
  <c r="Q73" i="5"/>
  <c r="Q55" i="5"/>
  <c r="F82" i="5"/>
  <c r="F89" i="5" s="1"/>
  <c r="F103" i="5"/>
  <c r="F108" i="5" s="1"/>
  <c r="F100" i="5"/>
  <c r="F106" i="5" s="1"/>
  <c r="P43" i="6"/>
  <c r="L74" i="4"/>
  <c r="S51" i="4"/>
  <c r="S58" i="4" s="1"/>
  <c r="AB132" i="5"/>
  <c r="AB114" i="5"/>
  <c r="AB135" i="5"/>
  <c r="AB117" i="5"/>
  <c r="F96" i="6"/>
  <c r="F103" i="6"/>
  <c r="F108" i="6" s="1"/>
  <c r="F100" i="6"/>
  <c r="F106" i="6" s="1"/>
  <c r="F85" i="6"/>
  <c r="F91" i="6" s="1"/>
  <c r="F98" i="6"/>
  <c r="F82" i="6"/>
  <c r="F89" i="6" s="1"/>
  <c r="X132" i="5"/>
  <c r="X117" i="5"/>
  <c r="X114" i="5"/>
  <c r="X135" i="5"/>
  <c r="X96" i="4"/>
  <c r="X85" i="4"/>
  <c r="X91" i="4" s="1"/>
  <c r="M55" i="5"/>
  <c r="M52" i="5"/>
  <c r="M73" i="5"/>
  <c r="M70" i="5"/>
  <c r="X55" i="5"/>
  <c r="X73" i="5"/>
  <c r="X70" i="5"/>
  <c r="N51" i="5"/>
  <c r="N58" i="5" s="1"/>
  <c r="N65" i="5"/>
  <c r="N54" i="5"/>
  <c r="N60" i="5" s="1"/>
  <c r="R53" i="5"/>
  <c r="R74" i="5"/>
  <c r="R56" i="5"/>
  <c r="R71" i="5"/>
  <c r="V116" i="5"/>
  <c r="V122" i="5" s="1"/>
  <c r="V127" i="5"/>
  <c r="V129" i="5"/>
  <c r="V134" i="5"/>
  <c r="V139" i="5" s="1"/>
  <c r="V131" i="5"/>
  <c r="V137" i="5" s="1"/>
  <c r="V113" i="5"/>
  <c r="V120" i="5" s="1"/>
  <c r="O39" i="4"/>
  <c r="O21" i="4"/>
  <c r="O24" i="4"/>
  <c r="AB82" i="5"/>
  <c r="AB89" i="5" s="1"/>
  <c r="AB96" i="5"/>
  <c r="AB100" i="5"/>
  <c r="AB106" i="5" s="1"/>
  <c r="AB103" i="5"/>
  <c r="AB108" i="5" s="1"/>
  <c r="AB85" i="5"/>
  <c r="AB91" i="5" s="1"/>
  <c r="AB98" i="5"/>
  <c r="AF135" i="5"/>
  <c r="AF140" i="5" s="1"/>
  <c r="AF132" i="5"/>
  <c r="AF138" i="5" s="1"/>
  <c r="AF114" i="5"/>
  <c r="AF121" i="5" s="1"/>
  <c r="AF128" i="5"/>
  <c r="Z55" i="5"/>
  <c r="Z52" i="5"/>
  <c r="Z73" i="5"/>
  <c r="Z70" i="5"/>
  <c r="M42" i="5"/>
  <c r="M21" i="5"/>
  <c r="M24" i="5"/>
  <c r="M98" i="5"/>
  <c r="M100" i="5"/>
  <c r="M106" i="5" s="1"/>
  <c r="M96" i="5"/>
  <c r="M103" i="5"/>
  <c r="M108" i="5" s="1"/>
  <c r="P40" i="6"/>
  <c r="L53" i="4"/>
  <c r="S69" i="4"/>
  <c r="S75" i="4" s="1"/>
  <c r="M37" i="5"/>
  <c r="T113" i="5"/>
  <c r="T120" i="5" s="1"/>
  <c r="T127" i="5"/>
  <c r="T131" i="5"/>
  <c r="T137" i="5" s="1"/>
  <c r="AA103" i="4"/>
  <c r="AA108" i="4" s="1"/>
  <c r="AA82" i="4"/>
  <c r="AA89" i="4" s="1"/>
  <c r="X113" i="5"/>
  <c r="X120" i="5" s="1"/>
  <c r="X134" i="5"/>
  <c r="X139" i="5" s="1"/>
  <c r="X131" i="5"/>
  <c r="X137" i="5" s="1"/>
  <c r="X127" i="5"/>
  <c r="X116" i="5"/>
  <c r="X122" i="5" s="1"/>
  <c r="X129" i="5"/>
  <c r="V104" i="6"/>
  <c r="V101" i="6"/>
  <c r="V86" i="6"/>
  <c r="V83" i="6"/>
  <c r="Z100" i="5"/>
  <c r="Z106" i="5" s="1"/>
  <c r="Z103" i="5"/>
  <c r="Z108" i="5" s="1"/>
  <c r="Z98" i="5"/>
  <c r="Z85" i="5"/>
  <c r="Z91" i="5" s="1"/>
  <c r="Z96" i="5"/>
  <c r="Z82" i="5"/>
  <c r="Z89" i="5" s="1"/>
  <c r="AI97" i="5"/>
  <c r="AI86" i="5"/>
  <c r="AI83" i="5"/>
  <c r="AI99" i="5"/>
  <c r="AI101" i="5"/>
  <c r="AI104" i="5"/>
  <c r="X72" i="5"/>
  <c r="X77" i="5" s="1"/>
  <c r="X69" i="5"/>
  <c r="X75" i="5" s="1"/>
  <c r="X67" i="5"/>
  <c r="X54" i="5"/>
  <c r="X60" i="5" s="1"/>
  <c r="X51" i="5"/>
  <c r="X58" i="5" s="1"/>
  <c r="X65" i="5"/>
  <c r="T53" i="4"/>
  <c r="T74" i="4"/>
  <c r="T56" i="4"/>
  <c r="T71" i="4"/>
  <c r="R20" i="5"/>
  <c r="R27" i="5" s="1"/>
  <c r="R23" i="5"/>
  <c r="R29" i="5" s="1"/>
  <c r="R34" i="5"/>
  <c r="R41" i="5"/>
  <c r="R46" i="5" s="1"/>
  <c r="R36" i="5"/>
  <c r="R38" i="5"/>
  <c r="R44" i="5" s="1"/>
  <c r="O41" i="4"/>
  <c r="O46" i="4" s="1"/>
  <c r="O36" i="4"/>
  <c r="O34" i="4"/>
  <c r="AC54" i="6"/>
  <c r="AC60" i="6" s="1"/>
  <c r="AC69" i="6"/>
  <c r="AC75" i="6" s="1"/>
  <c r="AC67" i="6"/>
  <c r="AC51" i="6"/>
  <c r="AC58" i="6" s="1"/>
  <c r="AC65" i="6"/>
  <c r="AC72" i="6"/>
  <c r="AC77" i="6" s="1"/>
  <c r="N87" i="4"/>
  <c r="N92" i="4" s="1"/>
  <c r="N84" i="4"/>
  <c r="N90" i="4" s="1"/>
  <c r="N105" i="4"/>
  <c r="N109" i="4" s="1"/>
  <c r="N102" i="4"/>
  <c r="N107" i="4" s="1"/>
  <c r="Z83" i="5"/>
  <c r="Z101" i="5"/>
  <c r="Z104" i="5"/>
  <c r="Z86" i="5"/>
  <c r="AO121" i="6"/>
  <c r="P22" i="6"/>
  <c r="L56" i="4"/>
  <c r="N69" i="5"/>
  <c r="N75" i="5" s="1"/>
  <c r="V86" i="5"/>
  <c r="V92" i="5" s="1"/>
  <c r="V101" i="5"/>
  <c r="V107" i="5" s="1"/>
  <c r="V99" i="5"/>
  <c r="AI117" i="5"/>
  <c r="AI123" i="5" s="1"/>
  <c r="AI135" i="5"/>
  <c r="AI140" i="5" s="1"/>
  <c r="AI114" i="5"/>
  <c r="AI121" i="5" s="1"/>
  <c r="AI128" i="5"/>
  <c r="AI130" i="5"/>
  <c r="AI132" i="5"/>
  <c r="AI138" i="5" s="1"/>
  <c r="X67" i="6"/>
  <c r="X72" i="6"/>
  <c r="X77" i="6" s="1"/>
  <c r="X69" i="6"/>
  <c r="X75" i="6" s="1"/>
  <c r="X65" i="6"/>
  <c r="N24" i="5"/>
  <c r="N39" i="5"/>
  <c r="F56" i="5"/>
  <c r="F74" i="5"/>
  <c r="Z131" i="5"/>
  <c r="Z137" i="5" s="1"/>
  <c r="Z116" i="5"/>
  <c r="Z122" i="5" s="1"/>
  <c r="Z127" i="5"/>
  <c r="Z113" i="5"/>
  <c r="Z120" i="5" s="1"/>
  <c r="AI96" i="5"/>
  <c r="AI82" i="5"/>
  <c r="AI89" i="5" s="1"/>
  <c r="AI100" i="5"/>
  <c r="AI106" i="5" s="1"/>
  <c r="AI103" i="5"/>
  <c r="AI108" i="5" s="1"/>
  <c r="O56" i="4"/>
  <c r="O74" i="4"/>
  <c r="O53" i="4"/>
  <c r="O71" i="4"/>
  <c r="AI84" i="5"/>
  <c r="AI87" i="5"/>
  <c r="AI102" i="5"/>
  <c r="AI105" i="5"/>
  <c r="AC129" i="5"/>
  <c r="AC127" i="5"/>
  <c r="AC116" i="5"/>
  <c r="AC122" i="5" s="1"/>
  <c r="AC134" i="5"/>
  <c r="AC139" i="5" s="1"/>
  <c r="AC113" i="5"/>
  <c r="AC120" i="5" s="1"/>
  <c r="AC131" i="5"/>
  <c r="AC137" i="5" s="1"/>
  <c r="Y85" i="5"/>
  <c r="Y91" i="5" s="1"/>
  <c r="Y96" i="5"/>
  <c r="Y82" i="5"/>
  <c r="Y89" i="5" s="1"/>
  <c r="Y98" i="5"/>
  <c r="Y103" i="5"/>
  <c r="Y108" i="5" s="1"/>
  <c r="Y100" i="5"/>
  <c r="Y106" i="5" s="1"/>
  <c r="F40" i="5"/>
  <c r="F25" i="5"/>
  <c r="F22" i="5"/>
  <c r="F43" i="5"/>
  <c r="M39" i="5"/>
  <c r="F96" i="5"/>
  <c r="F73" i="5"/>
  <c r="F55" i="5"/>
  <c r="F70" i="5"/>
  <c r="F76" i="5" s="1"/>
  <c r="F66" i="5"/>
  <c r="T20" i="6"/>
  <c r="T27" i="6" s="1"/>
  <c r="T36" i="6"/>
  <c r="T41" i="6"/>
  <c r="T46" i="6" s="1"/>
  <c r="T38" i="6"/>
  <c r="T44" i="6" s="1"/>
  <c r="T34" i="6"/>
  <c r="T23" i="6"/>
  <c r="T29" i="6" s="1"/>
  <c r="AB116" i="6"/>
  <c r="AB122" i="6" s="1"/>
  <c r="AB127" i="6"/>
  <c r="AB134" i="6"/>
  <c r="AB139" i="6" s="1"/>
  <c r="AB113" i="6"/>
  <c r="AB120" i="6" s="1"/>
  <c r="AB131" i="6"/>
  <c r="AB137" i="6" s="1"/>
  <c r="AB129" i="6"/>
  <c r="AC56" i="5"/>
  <c r="AC74" i="5"/>
  <c r="AC53" i="5"/>
  <c r="AD103" i="5"/>
  <c r="AD108" i="5" s="1"/>
  <c r="AD98" i="5"/>
  <c r="AD82" i="5"/>
  <c r="AD89" i="5" s="1"/>
  <c r="AD96" i="5"/>
  <c r="O86" i="4"/>
  <c r="O104" i="4"/>
  <c r="U113" i="5"/>
  <c r="U120" i="5" s="1"/>
  <c r="U131" i="5"/>
  <c r="U137" i="5" s="1"/>
  <c r="AJ129" i="5"/>
  <c r="AJ116" i="5"/>
  <c r="AJ122" i="5" s="1"/>
  <c r="AJ113" i="5"/>
  <c r="AJ120" i="5" s="1"/>
  <c r="AJ131" i="5"/>
  <c r="AJ137" i="5" s="1"/>
  <c r="AJ127" i="5"/>
  <c r="AJ134" i="5"/>
  <c r="AJ139" i="5" s="1"/>
  <c r="Q104" i="5"/>
  <c r="Q83" i="5"/>
  <c r="Q86" i="5"/>
  <c r="Q101" i="5"/>
  <c r="U128" i="5"/>
  <c r="O42" i="5"/>
  <c r="M35" i="5"/>
  <c r="F98" i="5"/>
  <c r="N34" i="5"/>
  <c r="N36" i="5"/>
  <c r="N41" i="5"/>
  <c r="N46" i="5" s="1"/>
  <c r="N38" i="5"/>
  <c r="N44" i="5" s="1"/>
  <c r="N20" i="5"/>
  <c r="N27" i="5" s="1"/>
  <c r="AH55" i="6"/>
  <c r="AH73" i="6"/>
  <c r="AH70" i="6"/>
  <c r="AH52" i="6"/>
  <c r="AB74" i="5"/>
  <c r="AB53" i="5"/>
  <c r="AB71" i="5"/>
  <c r="AB56" i="5"/>
  <c r="AM102" i="6"/>
  <c r="AM105" i="6"/>
  <c r="AM84" i="6"/>
  <c r="AM87" i="6"/>
  <c r="O23" i="5"/>
  <c r="O29" i="5" s="1"/>
  <c r="O41" i="5"/>
  <c r="O46" i="5" s="1"/>
  <c r="O34" i="5"/>
  <c r="O36" i="5"/>
  <c r="O38" i="5"/>
  <c r="O44" i="5" s="1"/>
  <c r="F109" i="5"/>
  <c r="AB132" i="4"/>
  <c r="AB135" i="4"/>
  <c r="AB117" i="4"/>
  <c r="AB114" i="4"/>
  <c r="S103" i="5"/>
  <c r="S108" i="5" s="1"/>
  <c r="S96" i="5"/>
  <c r="S82" i="5"/>
  <c r="S89" i="5" s="1"/>
  <c r="S85" i="5"/>
  <c r="S91" i="5" s="1"/>
  <c r="S100" i="5"/>
  <c r="S106" i="5" s="1"/>
  <c r="S98" i="5"/>
  <c r="AI116" i="5"/>
  <c r="AI122" i="5" s="1"/>
  <c r="AI127" i="5"/>
  <c r="AI134" i="5"/>
  <c r="AI139" i="5" s="1"/>
  <c r="AI113" i="5"/>
  <c r="AI120" i="5" s="1"/>
  <c r="AI131" i="5"/>
  <c r="AI137" i="5" s="1"/>
  <c r="U130" i="5"/>
  <c r="X105" i="6"/>
  <c r="X87" i="6"/>
  <c r="X102" i="6"/>
  <c r="X84" i="6"/>
  <c r="R25" i="6"/>
  <c r="R22" i="6"/>
  <c r="R40" i="6"/>
  <c r="R43" i="6"/>
  <c r="W22" i="6"/>
  <c r="W43" i="6"/>
  <c r="W25" i="6"/>
  <c r="W40" i="6"/>
  <c r="Z87" i="6"/>
  <c r="Z102" i="6"/>
  <c r="Z105" i="6"/>
  <c r="Z84" i="6"/>
  <c r="Q22" i="6"/>
  <c r="Q25" i="6"/>
  <c r="Q43" i="6"/>
  <c r="Q40" i="6"/>
  <c r="T102" i="6"/>
  <c r="T84" i="6"/>
  <c r="T87" i="6"/>
  <c r="T105" i="6"/>
  <c r="AI87" i="6"/>
  <c r="AI105" i="6"/>
  <c r="AI84" i="6"/>
  <c r="AI102" i="6"/>
  <c r="Y102" i="6"/>
  <c r="Y87" i="6"/>
  <c r="Y105" i="6"/>
  <c r="Y84" i="6"/>
  <c r="AA105" i="6"/>
  <c r="AA102" i="6"/>
  <c r="AA87" i="6"/>
  <c r="AA84" i="6"/>
  <c r="P84" i="6"/>
  <c r="P87" i="6"/>
  <c r="P105" i="6"/>
  <c r="P102" i="6"/>
  <c r="Z22" i="6"/>
  <c r="Z25" i="6"/>
  <c r="Z40" i="6"/>
  <c r="Z43" i="6"/>
  <c r="AG53" i="6"/>
  <c r="AG56" i="6"/>
  <c r="AG71" i="6"/>
  <c r="AG74" i="6"/>
  <c r="W56" i="6"/>
  <c r="W53" i="6"/>
  <c r="W74" i="6"/>
  <c r="W71" i="6"/>
  <c r="S25" i="6"/>
  <c r="S43" i="6"/>
  <c r="S40" i="6"/>
  <c r="S22" i="6"/>
  <c r="R74" i="6"/>
  <c r="R53" i="6"/>
  <c r="R56" i="6"/>
  <c r="R71" i="6"/>
  <c r="Q102" i="6"/>
  <c r="Q87" i="6"/>
  <c r="Q84" i="6"/>
  <c r="Q105" i="6"/>
  <c r="AB74" i="6"/>
  <c r="AB56" i="6"/>
  <c r="AB71" i="6"/>
  <c r="AB53" i="6"/>
  <c r="M25" i="6"/>
  <c r="M43" i="6"/>
  <c r="M22" i="6"/>
  <c r="M40" i="6"/>
  <c r="AI71" i="6"/>
  <c r="AI53" i="6"/>
  <c r="AI74" i="6"/>
  <c r="AI56" i="6"/>
  <c r="K22" i="5"/>
  <c r="K25" i="5"/>
  <c r="K40" i="5"/>
  <c r="K43" i="5"/>
  <c r="AK102" i="6"/>
  <c r="AK105" i="6"/>
  <c r="AK84" i="6"/>
  <c r="AK87" i="6"/>
  <c r="I43" i="6"/>
  <c r="I40" i="6"/>
  <c r="I25" i="6"/>
  <c r="I22" i="6"/>
  <c r="O25" i="4"/>
  <c r="O30" i="4" s="1"/>
  <c r="O43" i="4"/>
  <c r="O47" i="4" s="1"/>
  <c r="O22" i="4"/>
  <c r="O28" i="4" s="1"/>
  <c r="O40" i="4"/>
  <c r="O45" i="4" s="1"/>
  <c r="O37" i="4"/>
  <c r="O35" i="4"/>
  <c r="K22" i="6"/>
  <c r="K43" i="6"/>
  <c r="K25" i="6"/>
  <c r="K40" i="6"/>
  <c r="Z74" i="6"/>
  <c r="Z56" i="6"/>
  <c r="Z53" i="6"/>
  <c r="Z71" i="6"/>
  <c r="O40" i="6"/>
  <c r="O22" i="6"/>
  <c r="O43" i="6"/>
  <c r="O25" i="6"/>
  <c r="K43" i="4"/>
  <c r="K25" i="4"/>
  <c r="K40" i="4"/>
  <c r="K22" i="4"/>
  <c r="AF102" i="6"/>
  <c r="AF87" i="6"/>
  <c r="AF105" i="6"/>
  <c r="AF84" i="6"/>
  <c r="U25" i="6"/>
  <c r="U40" i="6"/>
  <c r="U43" i="6"/>
  <c r="U22" i="6"/>
  <c r="AA74" i="6"/>
  <c r="AA53" i="6"/>
  <c r="AA56" i="6"/>
  <c r="AA71" i="6"/>
  <c r="AH68" i="6"/>
  <c r="AH56" i="6"/>
  <c r="AH71" i="6"/>
  <c r="AH66" i="6"/>
  <c r="AH74" i="6"/>
  <c r="AH53" i="6"/>
  <c r="AC87" i="6"/>
  <c r="AC84" i="6"/>
  <c r="AC105" i="6"/>
  <c r="AC102" i="6"/>
  <c r="X25" i="6"/>
  <c r="X22" i="6"/>
  <c r="X43" i="6"/>
  <c r="X40" i="6"/>
  <c r="P40" i="4"/>
  <c r="P45" i="4" s="1"/>
  <c r="P43" i="4"/>
  <c r="P47" i="4" s="1"/>
  <c r="P22" i="4"/>
  <c r="P28" i="4" s="1"/>
  <c r="P25" i="4"/>
  <c r="P30" i="4" s="1"/>
  <c r="P35" i="4"/>
  <c r="P37" i="4"/>
  <c r="W104" i="6"/>
  <c r="W97" i="6"/>
  <c r="W99" i="6"/>
  <c r="W101" i="6"/>
  <c r="W86" i="6"/>
  <c r="W83" i="6"/>
  <c r="S74" i="6"/>
  <c r="S56" i="6"/>
  <c r="S71" i="6"/>
  <c r="S53" i="6"/>
  <c r="AD87" i="6"/>
  <c r="AD105" i="6"/>
  <c r="AD84" i="6"/>
  <c r="AD102" i="6"/>
  <c r="S52" i="6"/>
  <c r="S55" i="6"/>
  <c r="S68" i="6"/>
  <c r="S66" i="6"/>
  <c r="S70" i="6"/>
  <c r="S73" i="6"/>
  <c r="AN135" i="6"/>
  <c r="AN117" i="6"/>
  <c r="AN114" i="6"/>
  <c r="AN128" i="6"/>
  <c r="AN132" i="6"/>
  <c r="AN130" i="6"/>
  <c r="P55" i="6"/>
  <c r="P70" i="6"/>
  <c r="P73" i="6"/>
  <c r="P66" i="6"/>
  <c r="P68" i="6"/>
  <c r="P52" i="6"/>
  <c r="P36" i="6"/>
  <c r="P41" i="6"/>
  <c r="P46" i="6" s="1"/>
  <c r="P20" i="6"/>
  <c r="P27" i="6" s="1"/>
  <c r="P23" i="6"/>
  <c r="P29" i="6" s="1"/>
  <c r="P34" i="6"/>
  <c r="P38" i="6"/>
  <c r="P44" i="6" s="1"/>
  <c r="Y98" i="4"/>
  <c r="Y103" i="4"/>
  <c r="Y108" i="4" s="1"/>
  <c r="Y100" i="4"/>
  <c r="Y106" i="4" s="1"/>
  <c r="Y96" i="4"/>
  <c r="Y82" i="4"/>
  <c r="Y89" i="4" s="1"/>
  <c r="Y85" i="4"/>
  <c r="Y91" i="4" s="1"/>
  <c r="U74" i="4"/>
  <c r="U53" i="4"/>
  <c r="U71" i="4"/>
  <c r="U56" i="4"/>
  <c r="R118" i="4"/>
  <c r="R115" i="4"/>
  <c r="R133" i="4"/>
  <c r="R136" i="4"/>
  <c r="N25" i="5"/>
  <c r="N30" i="5" s="1"/>
  <c r="N37" i="5"/>
  <c r="N43" i="5"/>
  <c r="N22" i="5"/>
  <c r="N28" i="5" s="1"/>
  <c r="N40" i="5"/>
  <c r="N45" i="5" s="1"/>
  <c r="T43" i="5"/>
  <c r="T22" i="5"/>
  <c r="T25" i="5"/>
  <c r="T40" i="5"/>
  <c r="AB72" i="5"/>
  <c r="AB77" i="5" s="1"/>
  <c r="AB51" i="5"/>
  <c r="AB58" i="5" s="1"/>
  <c r="AB67" i="5"/>
  <c r="AB69" i="5"/>
  <c r="AB75" i="5" s="1"/>
  <c r="AB65" i="5"/>
  <c r="AB54" i="5"/>
  <c r="AB60" i="5" s="1"/>
  <c r="R99" i="5"/>
  <c r="R104" i="5"/>
  <c r="R83" i="5"/>
  <c r="R90" i="5" s="1"/>
  <c r="R86" i="5"/>
  <c r="R97" i="5"/>
  <c r="R101" i="5"/>
  <c r="R107" i="5" s="1"/>
  <c r="N35" i="5"/>
  <c r="V74" i="6"/>
  <c r="V53" i="6"/>
  <c r="V71" i="6"/>
  <c r="V56" i="6"/>
  <c r="AC86" i="6"/>
  <c r="AC99" i="6"/>
  <c r="AC83" i="6"/>
  <c r="AC97" i="6"/>
  <c r="AC104" i="6"/>
  <c r="AC101" i="6"/>
  <c r="AB38" i="6"/>
  <c r="AB44" i="6" s="1"/>
  <c r="AB36" i="6"/>
  <c r="AB20" i="6"/>
  <c r="AB27" i="6" s="1"/>
  <c r="AB34" i="6"/>
  <c r="AB23" i="6"/>
  <c r="AB29" i="6" s="1"/>
  <c r="AB41" i="6"/>
  <c r="AB46" i="6" s="1"/>
  <c r="AE118" i="6"/>
  <c r="AE133" i="6"/>
  <c r="AE136" i="6"/>
  <c r="AE115" i="6"/>
  <c r="Y40" i="6"/>
  <c r="Y22" i="6"/>
  <c r="Y25" i="6"/>
  <c r="Y43" i="6"/>
  <c r="AF96" i="6"/>
  <c r="AF82" i="6"/>
  <c r="AF89" i="6" s="1"/>
  <c r="AF98" i="6"/>
  <c r="AF85" i="6"/>
  <c r="AF91" i="6" s="1"/>
  <c r="AF103" i="6"/>
  <c r="AF108" i="6" s="1"/>
  <c r="AF100" i="6"/>
  <c r="AF106" i="6" s="1"/>
  <c r="T70" i="4"/>
  <c r="T73" i="4"/>
  <c r="T68" i="4"/>
  <c r="T66" i="4"/>
  <c r="T55" i="4"/>
  <c r="T52" i="4"/>
  <c r="V134" i="4"/>
  <c r="V139" i="4" s="1"/>
  <c r="V116" i="4"/>
  <c r="V122" i="4" s="1"/>
  <c r="V113" i="4"/>
  <c r="V120" i="4" s="1"/>
  <c r="V127" i="4"/>
  <c r="V131" i="4"/>
  <c r="V137" i="4" s="1"/>
  <c r="V129" i="4"/>
  <c r="Q136" i="4"/>
  <c r="Q118" i="4"/>
  <c r="Q133" i="4"/>
  <c r="Q115" i="4"/>
  <c r="S113" i="4"/>
  <c r="S120" i="4" s="1"/>
  <c r="S131" i="4"/>
  <c r="S137" i="4" s="1"/>
  <c r="S127" i="4"/>
  <c r="S116" i="4"/>
  <c r="S122" i="4" s="1"/>
  <c r="S134" i="4"/>
  <c r="S139" i="4" s="1"/>
  <c r="S129" i="4"/>
  <c r="Z102" i="4"/>
  <c r="Z87" i="4"/>
  <c r="Z84" i="4"/>
  <c r="Z105" i="4"/>
  <c r="Y115" i="5"/>
  <c r="Y121" i="5" s="1"/>
  <c r="Y118" i="5"/>
  <c r="Y123" i="5" s="1"/>
  <c r="Y136" i="5"/>
  <c r="Y140" i="5" s="1"/>
  <c r="Y133" i="5"/>
  <c r="Y138" i="5" s="1"/>
  <c r="Y128" i="5"/>
  <c r="AG118" i="5"/>
  <c r="AG136" i="5"/>
  <c r="AG115" i="5"/>
  <c r="AG133" i="5"/>
  <c r="S130" i="5"/>
  <c r="S132" i="5"/>
  <c r="S114" i="5"/>
  <c r="S117" i="5"/>
  <c r="S135" i="5"/>
  <c r="S128" i="5"/>
  <c r="O97" i="5"/>
  <c r="O83" i="5"/>
  <c r="O104" i="5"/>
  <c r="O86" i="5"/>
  <c r="O99" i="5"/>
  <c r="O101" i="5"/>
  <c r="T132" i="5"/>
  <c r="T128" i="5"/>
  <c r="T117" i="5"/>
  <c r="T135" i="5"/>
  <c r="T114" i="5"/>
  <c r="T130" i="5"/>
  <c r="AE100" i="5"/>
  <c r="AE106" i="5" s="1"/>
  <c r="AE82" i="5"/>
  <c r="AE89" i="5" s="1"/>
  <c r="AE98" i="5"/>
  <c r="AE103" i="5"/>
  <c r="AE108" i="5" s="1"/>
  <c r="AE96" i="5"/>
  <c r="AE85" i="5"/>
  <c r="AE91" i="5" s="1"/>
  <c r="U103" i="6"/>
  <c r="U108" i="6" s="1"/>
  <c r="U98" i="6"/>
  <c r="U100" i="6"/>
  <c r="U106" i="6" s="1"/>
  <c r="U96" i="6"/>
  <c r="U85" i="6"/>
  <c r="U91" i="6" s="1"/>
  <c r="U82" i="6"/>
  <c r="U89" i="6" s="1"/>
  <c r="S82" i="6"/>
  <c r="S89" i="6" s="1"/>
  <c r="S85" i="6"/>
  <c r="S91" i="6" s="1"/>
  <c r="S103" i="6"/>
  <c r="S108" i="6" s="1"/>
  <c r="S100" i="6"/>
  <c r="S106" i="6" s="1"/>
  <c r="S98" i="6"/>
  <c r="S96" i="6"/>
  <c r="L73" i="6"/>
  <c r="L66" i="6"/>
  <c r="L55" i="6"/>
  <c r="L70" i="6"/>
  <c r="L68" i="6"/>
  <c r="L52" i="6"/>
  <c r="AF74" i="6"/>
  <c r="AF53" i="6"/>
  <c r="AF56" i="6"/>
  <c r="AF71" i="6"/>
  <c r="W128" i="6"/>
  <c r="W135" i="6"/>
  <c r="W132" i="6"/>
  <c r="W130" i="6"/>
  <c r="W117" i="6"/>
  <c r="W114" i="6"/>
  <c r="F113" i="6"/>
  <c r="F120" i="6" s="1"/>
  <c r="F127" i="6"/>
  <c r="F131" i="6"/>
  <c r="F137" i="6" s="1"/>
  <c r="F134" i="6"/>
  <c r="F139" i="6" s="1"/>
  <c r="F116" i="6"/>
  <c r="F122" i="6" s="1"/>
  <c r="F129" i="6"/>
  <c r="F130" i="6"/>
  <c r="F132" i="6"/>
  <c r="F117" i="6"/>
  <c r="F114" i="6"/>
  <c r="F135" i="6"/>
  <c r="F128" i="6"/>
  <c r="AG54" i="6"/>
  <c r="AG60" i="6" s="1"/>
  <c r="AG51" i="6"/>
  <c r="AG58" i="6" s="1"/>
  <c r="AG65" i="6"/>
  <c r="AG69" i="6"/>
  <c r="AG75" i="6" s="1"/>
  <c r="AG67" i="6"/>
  <c r="AG72" i="6"/>
  <c r="AG77" i="6" s="1"/>
  <c r="AC127" i="6"/>
  <c r="AC129" i="6"/>
  <c r="AC134" i="6"/>
  <c r="AC139" i="6" s="1"/>
  <c r="AC116" i="6"/>
  <c r="AC122" i="6" s="1"/>
  <c r="AC131" i="6"/>
  <c r="AC137" i="6" s="1"/>
  <c r="AC113" i="6"/>
  <c r="AC120" i="6" s="1"/>
  <c r="N43" i="4"/>
  <c r="N22" i="4"/>
  <c r="N25" i="4"/>
  <c r="N40" i="4"/>
  <c r="S118" i="4"/>
  <c r="S133" i="4"/>
  <c r="S136" i="4"/>
  <c r="S115" i="4"/>
  <c r="N20" i="4"/>
  <c r="N27" i="4" s="1"/>
  <c r="N38" i="4"/>
  <c r="N44" i="4" s="1"/>
  <c r="N41" i="4"/>
  <c r="N46" i="4" s="1"/>
  <c r="N34" i="4"/>
  <c r="N23" i="4"/>
  <c r="N29" i="4" s="1"/>
  <c r="N36" i="4"/>
  <c r="M132" i="4"/>
  <c r="M114" i="4"/>
  <c r="M130" i="4"/>
  <c r="M128" i="4"/>
  <c r="M135" i="4"/>
  <c r="M117" i="4"/>
  <c r="L39" i="4"/>
  <c r="L42" i="4"/>
  <c r="L35" i="4"/>
  <c r="L24" i="4"/>
  <c r="L21" i="4"/>
  <c r="L37" i="4"/>
  <c r="N74" i="4"/>
  <c r="N53" i="4"/>
  <c r="N56" i="4"/>
  <c r="N71" i="4"/>
  <c r="Z130" i="4"/>
  <c r="Z117" i="4"/>
  <c r="Z114" i="4"/>
  <c r="Z132" i="4"/>
  <c r="Z135" i="4"/>
  <c r="Z128" i="4"/>
  <c r="AD136" i="4"/>
  <c r="AD118" i="4"/>
  <c r="AD115" i="4"/>
  <c r="AD133" i="4"/>
  <c r="S82" i="4"/>
  <c r="S89" i="4" s="1"/>
  <c r="S100" i="4"/>
  <c r="S106" i="4" s="1"/>
  <c r="S85" i="4"/>
  <c r="S91" i="4" s="1"/>
  <c r="S98" i="4"/>
  <c r="S103" i="4"/>
  <c r="S108" i="4" s="1"/>
  <c r="S96" i="4"/>
  <c r="P134" i="5"/>
  <c r="P139" i="5" s="1"/>
  <c r="P116" i="5"/>
  <c r="P122" i="5" s="1"/>
  <c r="P129" i="5"/>
  <c r="P127" i="5"/>
  <c r="P131" i="5"/>
  <c r="P137" i="5" s="1"/>
  <c r="P113" i="5"/>
  <c r="P120" i="5" s="1"/>
  <c r="Z56" i="5"/>
  <c r="Z74" i="5"/>
  <c r="Z53" i="5"/>
  <c r="Z71" i="5"/>
  <c r="Z68" i="5"/>
  <c r="Z66" i="5"/>
  <c r="W87" i="5"/>
  <c r="W102" i="5"/>
  <c r="W105" i="5"/>
  <c r="W84" i="5"/>
  <c r="P23" i="5"/>
  <c r="P29" i="5" s="1"/>
  <c r="P34" i="5"/>
  <c r="P41" i="5"/>
  <c r="P46" i="5" s="1"/>
  <c r="P20" i="5"/>
  <c r="P27" i="5" s="1"/>
  <c r="P38" i="5"/>
  <c r="P44" i="5" s="1"/>
  <c r="P36" i="5"/>
  <c r="V71" i="5"/>
  <c r="V76" i="5" s="1"/>
  <c r="V74" i="5"/>
  <c r="V56" i="5"/>
  <c r="V68" i="5"/>
  <c r="V53" i="5"/>
  <c r="V66" i="5"/>
  <c r="S84" i="5"/>
  <c r="S90" i="5" s="1"/>
  <c r="S105" i="5"/>
  <c r="S109" i="5" s="1"/>
  <c r="S102" i="5"/>
  <c r="S87" i="5"/>
  <c r="S97" i="5"/>
  <c r="S99" i="5"/>
  <c r="AM133" i="5"/>
  <c r="AM118" i="5"/>
  <c r="AM136" i="5"/>
  <c r="AM115" i="5"/>
  <c r="AA56" i="5"/>
  <c r="AA53" i="5"/>
  <c r="AA74" i="5"/>
  <c r="AA78" i="5" s="1"/>
  <c r="AA71" i="5"/>
  <c r="AA68" i="5"/>
  <c r="AE87" i="5"/>
  <c r="AE92" i="5" s="1"/>
  <c r="AE99" i="5"/>
  <c r="AE102" i="5"/>
  <c r="AE84" i="5"/>
  <c r="AE90" i="5" s="1"/>
  <c r="AE105" i="5"/>
  <c r="AC84" i="5"/>
  <c r="AC87" i="5"/>
  <c r="AC102" i="5"/>
  <c r="AC105" i="5"/>
  <c r="T38" i="5"/>
  <c r="T44" i="5" s="1"/>
  <c r="T23" i="5"/>
  <c r="T29" i="5" s="1"/>
  <c r="T34" i="5"/>
  <c r="T20" i="5"/>
  <c r="T27" i="5" s="1"/>
  <c r="T36" i="5"/>
  <c r="T41" i="5"/>
  <c r="T46" i="5" s="1"/>
  <c r="V132" i="5"/>
  <c r="V128" i="5"/>
  <c r="V135" i="5"/>
  <c r="V114" i="5"/>
  <c r="V117" i="5"/>
  <c r="V130" i="5"/>
  <c r="S73" i="5"/>
  <c r="S68" i="5"/>
  <c r="S70" i="5"/>
  <c r="S66" i="5"/>
  <c r="S55" i="5"/>
  <c r="S52" i="5"/>
  <c r="K24" i="5"/>
  <c r="K35" i="5"/>
  <c r="K37" i="5"/>
  <c r="K39" i="5"/>
  <c r="K42" i="5"/>
  <c r="K21" i="5"/>
  <c r="AL129" i="5"/>
  <c r="AL113" i="5"/>
  <c r="AL120" i="5" s="1"/>
  <c r="AL131" i="5"/>
  <c r="AL137" i="5" s="1"/>
  <c r="AL134" i="5"/>
  <c r="AL139" i="5" s="1"/>
  <c r="AL127" i="5"/>
  <c r="AL116" i="5"/>
  <c r="AL122" i="5" s="1"/>
  <c r="AA134" i="5"/>
  <c r="AA139" i="5" s="1"/>
  <c r="AA127" i="5"/>
  <c r="AA129" i="5"/>
  <c r="AA113" i="5"/>
  <c r="AA120" i="5" s="1"/>
  <c r="AA116" i="5"/>
  <c r="AA122" i="5" s="1"/>
  <c r="AA131" i="5"/>
  <c r="AA137" i="5" s="1"/>
  <c r="F34" i="5"/>
  <c r="F41" i="5"/>
  <c r="F46" i="5" s="1"/>
  <c r="F36" i="5"/>
  <c r="F23" i="5"/>
  <c r="F29" i="5" s="1"/>
  <c r="F20" i="5"/>
  <c r="F27" i="5" s="1"/>
  <c r="F38" i="5"/>
  <c r="F44" i="5" s="1"/>
  <c r="AB129" i="5"/>
  <c r="AB134" i="5"/>
  <c r="AB139" i="5" s="1"/>
  <c r="AB113" i="5"/>
  <c r="AB120" i="5" s="1"/>
  <c r="AB116" i="5"/>
  <c r="AB122" i="5" s="1"/>
  <c r="AB131" i="5"/>
  <c r="AB137" i="5" s="1"/>
  <c r="AB127" i="5"/>
  <c r="S84" i="6"/>
  <c r="S102" i="6"/>
  <c r="S105" i="6"/>
  <c r="S87" i="6"/>
  <c r="F56" i="6"/>
  <c r="F53" i="6"/>
  <c r="F74" i="6"/>
  <c r="F71" i="6"/>
  <c r="AH130" i="6"/>
  <c r="AH132" i="6"/>
  <c r="AH114" i="6"/>
  <c r="AH117" i="6"/>
  <c r="AH135" i="6"/>
  <c r="AH128" i="6"/>
  <c r="AD74" i="6"/>
  <c r="AD53" i="6"/>
  <c r="AD56" i="6"/>
  <c r="AD71" i="6"/>
  <c r="Q100" i="6"/>
  <c r="Q106" i="6" s="1"/>
  <c r="Q85" i="6"/>
  <c r="Q91" i="6" s="1"/>
  <c r="Q96" i="6"/>
  <c r="Q98" i="6"/>
  <c r="Q82" i="6"/>
  <c r="Q89" i="6" s="1"/>
  <c r="Q103" i="6"/>
  <c r="Q108" i="6" s="1"/>
  <c r="M36" i="6"/>
  <c r="M38" i="6"/>
  <c r="M44" i="6" s="1"/>
  <c r="M34" i="6"/>
  <c r="M20" i="6"/>
  <c r="M27" i="6" s="1"/>
  <c r="M41" i="6"/>
  <c r="M46" i="6" s="1"/>
  <c r="M23" i="6"/>
  <c r="M29" i="6" s="1"/>
  <c r="AR131" i="6"/>
  <c r="AR137" i="6" s="1"/>
  <c r="AR113" i="6"/>
  <c r="AR120" i="6" s="1"/>
  <c r="AR127" i="6"/>
  <c r="AR116" i="6"/>
  <c r="AR122" i="6" s="1"/>
  <c r="AR129" i="6"/>
  <c r="AR134" i="6"/>
  <c r="AR139" i="6" s="1"/>
  <c r="AN82" i="6"/>
  <c r="AN89" i="6" s="1"/>
  <c r="AN103" i="6"/>
  <c r="AN108" i="6" s="1"/>
  <c r="AN100" i="6"/>
  <c r="AN106" i="6" s="1"/>
  <c r="AN96" i="6"/>
  <c r="AN85" i="6"/>
  <c r="AN91" i="6" s="1"/>
  <c r="AN98" i="6"/>
  <c r="X113" i="4"/>
  <c r="X120" i="4" s="1"/>
  <c r="X134" i="4"/>
  <c r="X139" i="4" s="1"/>
  <c r="X116" i="4"/>
  <c r="X122" i="4" s="1"/>
  <c r="X131" i="4"/>
  <c r="X137" i="4" s="1"/>
  <c r="X129" i="4"/>
  <c r="X127" i="4"/>
  <c r="O52" i="4"/>
  <c r="O73" i="4"/>
  <c r="O70" i="4"/>
  <c r="O76" i="4" s="1"/>
  <c r="O66" i="4"/>
  <c r="O55" i="4"/>
  <c r="O68" i="4"/>
  <c r="L25" i="4"/>
  <c r="L40" i="4"/>
  <c r="L43" i="4"/>
  <c r="L22" i="4"/>
  <c r="R128" i="4"/>
  <c r="R117" i="4"/>
  <c r="R114" i="4"/>
  <c r="R132" i="4"/>
  <c r="R130" i="4"/>
  <c r="R135" i="4"/>
  <c r="Q35" i="4"/>
  <c r="Q42" i="4"/>
  <c r="Q39" i="4"/>
  <c r="Q24" i="4"/>
  <c r="Q21" i="4"/>
  <c r="Q37" i="4"/>
  <c r="L35" i="5"/>
  <c r="L37" i="5"/>
  <c r="L22" i="5"/>
  <c r="L25" i="5"/>
  <c r="L30" i="5" s="1"/>
  <c r="L40" i="5"/>
  <c r="L43" i="5"/>
  <c r="L47" i="5" s="1"/>
  <c r="O105" i="5"/>
  <c r="O87" i="5"/>
  <c r="O102" i="5"/>
  <c r="O84" i="5"/>
  <c r="Y101" i="5"/>
  <c r="Y107" i="5" s="1"/>
  <c r="Y86" i="5"/>
  <c r="Y92" i="5" s="1"/>
  <c r="Y83" i="5"/>
  <c r="Y97" i="5"/>
  <c r="Y104" i="5"/>
  <c r="Y99" i="5"/>
  <c r="O85" i="5"/>
  <c r="O91" i="5" s="1"/>
  <c r="O96" i="5"/>
  <c r="O82" i="5"/>
  <c r="O89" i="5" s="1"/>
  <c r="O98" i="5"/>
  <c r="O103" i="5"/>
  <c r="O108" i="5" s="1"/>
  <c r="O100" i="5"/>
  <c r="O106" i="5" s="1"/>
  <c r="AH134" i="5"/>
  <c r="AH139" i="5" s="1"/>
  <c r="AH113" i="5"/>
  <c r="AH120" i="5" s="1"/>
  <c r="AH131" i="5"/>
  <c r="AH137" i="5" s="1"/>
  <c r="AH127" i="5"/>
  <c r="AH116" i="5"/>
  <c r="AH122" i="5" s="1"/>
  <c r="AH129" i="5"/>
  <c r="N68" i="6"/>
  <c r="N52" i="6"/>
  <c r="N55" i="6"/>
  <c r="N70" i="6"/>
  <c r="N66" i="6"/>
  <c r="N73" i="6"/>
  <c r="R66" i="6"/>
  <c r="R68" i="6"/>
  <c r="R73" i="6"/>
  <c r="R78" i="6" s="1"/>
  <c r="R55" i="6"/>
  <c r="R52" i="6"/>
  <c r="R70" i="6"/>
  <c r="N40" i="6"/>
  <c r="N22" i="6"/>
  <c r="N25" i="6"/>
  <c r="N43" i="6"/>
  <c r="AC21" i="6"/>
  <c r="AC35" i="6"/>
  <c r="AC39" i="6"/>
  <c r="AC24" i="6"/>
  <c r="AC42" i="6"/>
  <c r="AC37" i="6"/>
  <c r="W69" i="6"/>
  <c r="W75" i="6" s="1"/>
  <c r="W51" i="6"/>
  <c r="W58" i="6" s="1"/>
  <c r="W67" i="6"/>
  <c r="W72" i="6"/>
  <c r="W77" i="6" s="1"/>
  <c r="W65" i="6"/>
  <c r="W54" i="6"/>
  <c r="W60" i="6" s="1"/>
  <c r="AE116" i="4"/>
  <c r="AE122" i="4" s="1"/>
  <c r="AE113" i="4"/>
  <c r="AE120" i="4" s="1"/>
  <c r="AE131" i="4"/>
  <c r="AE137" i="4" s="1"/>
  <c r="AE129" i="4"/>
  <c r="AE134" i="4"/>
  <c r="AE139" i="4" s="1"/>
  <c r="AE127" i="4"/>
  <c r="U105" i="4"/>
  <c r="U84" i="4"/>
  <c r="U102" i="4"/>
  <c r="U87" i="4"/>
  <c r="Z118" i="4"/>
  <c r="Z115" i="4"/>
  <c r="Z136" i="4"/>
  <c r="Z133" i="4"/>
  <c r="F24" i="4"/>
  <c r="F39" i="4"/>
  <c r="F21" i="4"/>
  <c r="F42" i="4"/>
  <c r="F37" i="4"/>
  <c r="F35" i="4"/>
  <c r="I24" i="5"/>
  <c r="I30" i="5" s="1"/>
  <c r="I39" i="5"/>
  <c r="I35" i="5"/>
  <c r="I37" i="5"/>
  <c r="I21" i="5"/>
  <c r="I28" i="5" s="1"/>
  <c r="I42" i="5"/>
  <c r="U25" i="5"/>
  <c r="U43" i="5"/>
  <c r="U22" i="5"/>
  <c r="U40" i="5"/>
  <c r="AM127" i="5"/>
  <c r="AM131" i="5"/>
  <c r="AM137" i="5" s="1"/>
  <c r="AM116" i="5"/>
  <c r="AM122" i="5" s="1"/>
  <c r="AM113" i="5"/>
  <c r="AM120" i="5" s="1"/>
  <c r="AM134" i="5"/>
  <c r="AM139" i="5" s="1"/>
  <c r="AM129" i="5"/>
  <c r="F69" i="5"/>
  <c r="F75" i="5" s="1"/>
  <c r="F54" i="5"/>
  <c r="F60" i="5" s="1"/>
  <c r="F67" i="5"/>
  <c r="F72" i="5"/>
  <c r="F77" i="5" s="1"/>
  <c r="F65" i="5"/>
  <c r="F51" i="5"/>
  <c r="F58" i="5" s="1"/>
  <c r="AA43" i="6"/>
  <c r="AA22" i="6"/>
  <c r="AA25" i="6"/>
  <c r="AA40" i="6"/>
  <c r="U102" i="6"/>
  <c r="U105" i="6"/>
  <c r="U84" i="6"/>
  <c r="U87" i="6"/>
  <c r="AK98" i="6"/>
  <c r="AK85" i="6"/>
  <c r="AK91" i="6" s="1"/>
  <c r="AK103" i="6"/>
  <c r="AK108" i="6" s="1"/>
  <c r="AK96" i="6"/>
  <c r="AK82" i="6"/>
  <c r="AK89" i="6" s="1"/>
  <c r="AK100" i="6"/>
  <c r="AK106" i="6" s="1"/>
  <c r="F43" i="6"/>
  <c r="F40" i="6"/>
  <c r="F22" i="6"/>
  <c r="F25" i="6"/>
  <c r="R34" i="6"/>
  <c r="R20" i="6"/>
  <c r="R27" i="6" s="1"/>
  <c r="R38" i="6"/>
  <c r="R44" i="6" s="1"/>
  <c r="R36" i="6"/>
  <c r="R23" i="6"/>
  <c r="R29" i="6" s="1"/>
  <c r="R41" i="6"/>
  <c r="R46" i="6" s="1"/>
  <c r="AA35" i="6"/>
  <c r="AA21" i="6"/>
  <c r="AA28" i="6" s="1"/>
  <c r="AA37" i="6"/>
  <c r="AA39" i="6"/>
  <c r="AA45" i="6" s="1"/>
  <c r="AA42" i="6"/>
  <c r="AA24" i="6"/>
  <c r="M56" i="6"/>
  <c r="M74" i="6"/>
  <c r="M71" i="6"/>
  <c r="M53" i="6"/>
  <c r="W52" i="6"/>
  <c r="W68" i="6"/>
  <c r="W55" i="6"/>
  <c r="W70" i="6"/>
  <c r="W76" i="6" s="1"/>
  <c r="W66" i="6"/>
  <c r="W73" i="6"/>
  <c r="T51" i="4"/>
  <c r="T58" i="4" s="1"/>
  <c r="T69" i="4"/>
  <c r="T75" i="4" s="1"/>
  <c r="T65" i="4"/>
  <c r="T72" i="4"/>
  <c r="T77" i="4" s="1"/>
  <c r="T67" i="4"/>
  <c r="T54" i="4"/>
  <c r="T60" i="4" s="1"/>
  <c r="L100" i="4"/>
  <c r="L106" i="4" s="1"/>
  <c r="L103" i="4"/>
  <c r="L108" i="4" s="1"/>
  <c r="L85" i="4"/>
  <c r="L91" i="4" s="1"/>
  <c r="L96" i="4"/>
  <c r="L98" i="4"/>
  <c r="L82" i="4"/>
  <c r="L89" i="4" s="1"/>
  <c r="V87" i="4"/>
  <c r="V102" i="4"/>
  <c r="V105" i="4"/>
  <c r="V84" i="4"/>
  <c r="AB101" i="4"/>
  <c r="AB86" i="4"/>
  <c r="AB99" i="4"/>
  <c r="AB83" i="4"/>
  <c r="AB104" i="4"/>
  <c r="AB97" i="4"/>
  <c r="W117" i="4"/>
  <c r="W114" i="4"/>
  <c r="W132" i="4"/>
  <c r="W135" i="4"/>
  <c r="W130" i="4"/>
  <c r="W128" i="4"/>
  <c r="AF133" i="4"/>
  <c r="AF136" i="4"/>
  <c r="AF118" i="4"/>
  <c r="AF115" i="4"/>
  <c r="M40" i="4"/>
  <c r="M22" i="4"/>
  <c r="M43" i="4"/>
  <c r="M25" i="4"/>
  <c r="U34" i="5"/>
  <c r="U41" i="5"/>
  <c r="U46" i="5" s="1"/>
  <c r="U23" i="5"/>
  <c r="U29" i="5" s="1"/>
  <c r="U20" i="5"/>
  <c r="U27" i="5" s="1"/>
  <c r="U36" i="5"/>
  <c r="U38" i="5"/>
  <c r="U44" i="5" s="1"/>
  <c r="AA132" i="6"/>
  <c r="AA117" i="6"/>
  <c r="AA128" i="6"/>
  <c r="AA130" i="6"/>
  <c r="AA114" i="6"/>
  <c r="AA135" i="6"/>
  <c r="R101" i="6"/>
  <c r="R86" i="6"/>
  <c r="R83" i="6"/>
  <c r="R99" i="6"/>
  <c r="R104" i="6"/>
  <c r="R97" i="6"/>
  <c r="AI128" i="6"/>
  <c r="AI114" i="6"/>
  <c r="AI117" i="6"/>
  <c r="AI132" i="6"/>
  <c r="AI130" i="6"/>
  <c r="AI135" i="6"/>
  <c r="X66" i="6"/>
  <c r="X70" i="6"/>
  <c r="X73" i="6"/>
  <c r="X55" i="6"/>
  <c r="X52" i="6"/>
  <c r="X68" i="6"/>
  <c r="O34" i="6"/>
  <c r="O36" i="6"/>
  <c r="O38" i="6"/>
  <c r="O44" i="6" s="1"/>
  <c r="O23" i="6"/>
  <c r="O29" i="6" s="1"/>
  <c r="O41" i="6"/>
  <c r="O46" i="6" s="1"/>
  <c r="O20" i="6"/>
  <c r="O27" i="6" s="1"/>
  <c r="F136" i="6"/>
  <c r="F118" i="6"/>
  <c r="F133" i="6"/>
  <c r="F115" i="6"/>
  <c r="V116" i="6"/>
  <c r="V122" i="6" s="1"/>
  <c r="V129" i="6"/>
  <c r="V113" i="6"/>
  <c r="V120" i="6" s="1"/>
  <c r="V127" i="6"/>
  <c r="V131" i="6"/>
  <c r="V137" i="6" s="1"/>
  <c r="V134" i="6"/>
  <c r="V139" i="6" s="1"/>
  <c r="Y37" i="6"/>
  <c r="Y39" i="6"/>
  <c r="Y45" i="6" s="1"/>
  <c r="Y24" i="6"/>
  <c r="Y35" i="6"/>
  <c r="Y42" i="6"/>
  <c r="Y21" i="6"/>
  <c r="M68" i="6"/>
  <c r="M52" i="6"/>
  <c r="M55" i="6"/>
  <c r="M66" i="6"/>
  <c r="M70" i="6"/>
  <c r="M73" i="6"/>
  <c r="F69" i="6"/>
  <c r="F75" i="6" s="1"/>
  <c r="F67" i="6"/>
  <c r="F65" i="6"/>
  <c r="F54" i="6"/>
  <c r="F60" i="6" s="1"/>
  <c r="F72" i="6"/>
  <c r="F77" i="6" s="1"/>
  <c r="F51" i="6"/>
  <c r="F58" i="6" s="1"/>
  <c r="N36" i="6"/>
  <c r="N23" i="6"/>
  <c r="N29" i="6" s="1"/>
  <c r="N20" i="6"/>
  <c r="N27" i="6" s="1"/>
  <c r="N38" i="6"/>
  <c r="N44" i="6" s="1"/>
  <c r="N34" i="6"/>
  <c r="N41" i="6"/>
  <c r="N46" i="6" s="1"/>
  <c r="Q34" i="6"/>
  <c r="Q38" i="6"/>
  <c r="Q44" i="6" s="1"/>
  <c r="Q41" i="6"/>
  <c r="Q46" i="6" s="1"/>
  <c r="Q23" i="6"/>
  <c r="Q29" i="6" s="1"/>
  <c r="Q20" i="6"/>
  <c r="Q27" i="6" s="1"/>
  <c r="Q36" i="6"/>
  <c r="U74" i="6"/>
  <c r="U56" i="6"/>
  <c r="U71" i="6"/>
  <c r="U53" i="6"/>
  <c r="N37" i="6"/>
  <c r="N39" i="6"/>
  <c r="N35" i="6"/>
  <c r="N42" i="6"/>
  <c r="N24" i="6"/>
  <c r="N21" i="6"/>
  <c r="AI82" i="6"/>
  <c r="AI89" i="6" s="1"/>
  <c r="AI98" i="6"/>
  <c r="AI96" i="6"/>
  <c r="AI103" i="6"/>
  <c r="AI108" i="6" s="1"/>
  <c r="AI85" i="6"/>
  <c r="AI91" i="6" s="1"/>
  <c r="AI100" i="6"/>
  <c r="AI106" i="6" s="1"/>
  <c r="AP128" i="6"/>
  <c r="AP117" i="6"/>
  <c r="AP130" i="6"/>
  <c r="AP135" i="6"/>
  <c r="AP132" i="6"/>
  <c r="AP114" i="6"/>
  <c r="U65" i="6"/>
  <c r="U69" i="6"/>
  <c r="U75" i="6" s="1"/>
  <c r="U72" i="6"/>
  <c r="U77" i="6" s="1"/>
  <c r="U67" i="6"/>
  <c r="U54" i="6"/>
  <c r="U60" i="6" s="1"/>
  <c r="U51" i="6"/>
  <c r="U58" i="6" s="1"/>
  <c r="AB118" i="6"/>
  <c r="AB133" i="6"/>
  <c r="AB115" i="6"/>
  <c r="AB136" i="6"/>
  <c r="AA73" i="6"/>
  <c r="AA52" i="6"/>
  <c r="AA55" i="6"/>
  <c r="AA68" i="6"/>
  <c r="AA70" i="6"/>
  <c r="AA66" i="6"/>
  <c r="V24" i="6"/>
  <c r="V21" i="6"/>
  <c r="V37" i="6"/>
  <c r="V42" i="6"/>
  <c r="V39" i="6"/>
  <c r="V35" i="6"/>
  <c r="AF113" i="6"/>
  <c r="AF120" i="6" s="1"/>
  <c r="AF129" i="6"/>
  <c r="AF134" i="6"/>
  <c r="AF139" i="6" s="1"/>
  <c r="AF131" i="6"/>
  <c r="AF137" i="6" s="1"/>
  <c r="AF127" i="6"/>
  <c r="AF116" i="6"/>
  <c r="AF122" i="6" s="1"/>
  <c r="AL117" i="6"/>
  <c r="AL130" i="6"/>
  <c r="AL132" i="6"/>
  <c r="AL114" i="6"/>
  <c r="AL128" i="6"/>
  <c r="AL135" i="6"/>
  <c r="AC100" i="6"/>
  <c r="AC106" i="6" s="1"/>
  <c r="AC96" i="6"/>
  <c r="AC98" i="6"/>
  <c r="AC85" i="6"/>
  <c r="AC91" i="6" s="1"/>
  <c r="AC103" i="6"/>
  <c r="AC108" i="6" s="1"/>
  <c r="AC82" i="6"/>
  <c r="AC89" i="6" s="1"/>
  <c r="AN113" i="6"/>
  <c r="AN120" i="6" s="1"/>
  <c r="AN116" i="6"/>
  <c r="AN122" i="6" s="1"/>
  <c r="AN134" i="6"/>
  <c r="AN139" i="6" s="1"/>
  <c r="AN127" i="6"/>
  <c r="AN131" i="6"/>
  <c r="AN137" i="6" s="1"/>
  <c r="AN129" i="6"/>
  <c r="Y136" i="6"/>
  <c r="Y115" i="6"/>
  <c r="Y118" i="6"/>
  <c r="Y133" i="6"/>
  <c r="P65" i="6"/>
  <c r="P51" i="6"/>
  <c r="P58" i="6" s="1"/>
  <c r="P54" i="6"/>
  <c r="P60" i="6" s="1"/>
  <c r="P69" i="6"/>
  <c r="P75" i="6" s="1"/>
  <c r="P67" i="6"/>
  <c r="P72" i="6"/>
  <c r="P77" i="6" s="1"/>
  <c r="AG117" i="6"/>
  <c r="AG132" i="6"/>
  <c r="AG128" i="6"/>
  <c r="AG135" i="6"/>
  <c r="AG114" i="6"/>
  <c r="AG130" i="6"/>
  <c r="AC128" i="6"/>
  <c r="AC135" i="6"/>
  <c r="AC117" i="6"/>
  <c r="AC114" i="6"/>
  <c r="AC132" i="6"/>
  <c r="AC130" i="6"/>
  <c r="X82" i="6"/>
  <c r="X89" i="6" s="1"/>
  <c r="X85" i="6"/>
  <c r="X91" i="6" s="1"/>
  <c r="X103" i="6"/>
  <c r="X108" i="6" s="1"/>
  <c r="X100" i="6"/>
  <c r="X106" i="6" s="1"/>
  <c r="X98" i="6"/>
  <c r="X96" i="6"/>
  <c r="O54" i="6"/>
  <c r="O60" i="6" s="1"/>
  <c r="O67" i="6"/>
  <c r="O51" i="6"/>
  <c r="O58" i="6" s="1"/>
  <c r="O69" i="6"/>
  <c r="O75" i="6" s="1"/>
  <c r="O72" i="6"/>
  <c r="O77" i="6" s="1"/>
  <c r="O65" i="6"/>
  <c r="N67" i="4"/>
  <c r="N51" i="4"/>
  <c r="N58" i="4" s="1"/>
  <c r="N72" i="4"/>
  <c r="N77" i="4" s="1"/>
  <c r="N54" i="4"/>
  <c r="N60" i="4" s="1"/>
  <c r="N65" i="4"/>
  <c r="N69" i="4"/>
  <c r="N75" i="4" s="1"/>
  <c r="V82" i="4"/>
  <c r="V89" i="4" s="1"/>
  <c r="V85" i="4"/>
  <c r="V91" i="4" s="1"/>
  <c r="V96" i="4"/>
  <c r="V98" i="4"/>
  <c r="V103" i="4"/>
  <c r="V108" i="4" s="1"/>
  <c r="V100" i="4"/>
  <c r="V106" i="4" s="1"/>
  <c r="P129" i="4"/>
  <c r="P116" i="4"/>
  <c r="P122" i="4" s="1"/>
  <c r="P127" i="4"/>
  <c r="P131" i="4"/>
  <c r="P137" i="4" s="1"/>
  <c r="P134" i="4"/>
  <c r="P139" i="4" s="1"/>
  <c r="P113" i="4"/>
  <c r="P120" i="4" s="1"/>
  <c r="Q127" i="4"/>
  <c r="Q116" i="4"/>
  <c r="Q122" i="4" s="1"/>
  <c r="Q131" i="4"/>
  <c r="Q137" i="4" s="1"/>
  <c r="Q129" i="4"/>
  <c r="Q113" i="4"/>
  <c r="Q120" i="4" s="1"/>
  <c r="Q134" i="4"/>
  <c r="Q139" i="4" s="1"/>
  <c r="M55" i="4"/>
  <c r="M61" i="4" s="1"/>
  <c r="M73" i="4"/>
  <c r="M78" i="4" s="1"/>
  <c r="M68" i="4"/>
  <c r="M52" i="4"/>
  <c r="M59" i="4" s="1"/>
  <c r="M70" i="4"/>
  <c r="M76" i="4" s="1"/>
  <c r="M66" i="4"/>
  <c r="J22" i="4"/>
  <c r="J28" i="4" s="1"/>
  <c r="J43" i="4"/>
  <c r="J40" i="4"/>
  <c r="J25" i="4"/>
  <c r="J30" i="4" s="1"/>
  <c r="J37" i="4"/>
  <c r="J35" i="4"/>
  <c r="X83" i="4"/>
  <c r="X86" i="4"/>
  <c r="X99" i="4"/>
  <c r="X97" i="4"/>
  <c r="X104" i="4"/>
  <c r="X101" i="4"/>
  <c r="Q56" i="4"/>
  <c r="Q74" i="4"/>
  <c r="Q53" i="4"/>
  <c r="Q71" i="4"/>
  <c r="Y101" i="4"/>
  <c r="Y97" i="4"/>
  <c r="Y104" i="4"/>
  <c r="Y86" i="4"/>
  <c r="Y83" i="4"/>
  <c r="Y99" i="4"/>
  <c r="M84" i="4"/>
  <c r="M105" i="4"/>
  <c r="M109" i="4" s="1"/>
  <c r="M102" i="4"/>
  <c r="M107" i="4" s="1"/>
  <c r="M99" i="4"/>
  <c r="M97" i="4"/>
  <c r="M87" i="4"/>
  <c r="M92" i="4" s="1"/>
  <c r="L86" i="4"/>
  <c r="L101" i="4"/>
  <c r="L83" i="4"/>
  <c r="L104" i="4"/>
  <c r="L97" i="4"/>
  <c r="L99" i="4"/>
  <c r="AC136" i="4"/>
  <c r="AC133" i="4"/>
  <c r="AC115" i="4"/>
  <c r="AC118" i="4"/>
  <c r="T97" i="4"/>
  <c r="T104" i="4"/>
  <c r="T101" i="4"/>
  <c r="T83" i="4"/>
  <c r="T99" i="4"/>
  <c r="T86" i="4"/>
  <c r="Q117" i="4"/>
  <c r="Q130" i="4"/>
  <c r="Q135" i="4"/>
  <c r="Q132" i="4"/>
  <c r="Q138" i="4" s="1"/>
  <c r="Q114" i="4"/>
  <c r="Q128" i="4"/>
  <c r="AF127" i="4"/>
  <c r="AF129" i="4"/>
  <c r="AF113" i="4"/>
  <c r="AF120" i="4" s="1"/>
  <c r="AF134" i="4"/>
  <c r="AF139" i="4" s="1"/>
  <c r="AF116" i="4"/>
  <c r="AF122" i="4" s="1"/>
  <c r="AF131" i="4"/>
  <c r="AF137" i="4" s="1"/>
  <c r="Q43" i="4"/>
  <c r="Q22" i="4"/>
  <c r="Q40" i="4"/>
  <c r="Q25" i="4"/>
  <c r="P66" i="4"/>
  <c r="P68" i="4"/>
  <c r="P73" i="4"/>
  <c r="P70" i="4"/>
  <c r="P55" i="4"/>
  <c r="P52" i="4"/>
  <c r="N114" i="4"/>
  <c r="N128" i="4"/>
  <c r="N130" i="4"/>
  <c r="N117" i="4"/>
  <c r="N132" i="4"/>
  <c r="N135" i="4"/>
  <c r="S101" i="4"/>
  <c r="S99" i="4"/>
  <c r="S83" i="4"/>
  <c r="S104" i="4"/>
  <c r="S97" i="4"/>
  <c r="S86" i="4"/>
  <c r="U21" i="5"/>
  <c r="U42" i="5"/>
  <c r="U39" i="5"/>
  <c r="U24" i="5"/>
  <c r="U37" i="5"/>
  <c r="U35" i="5"/>
  <c r="R133" i="5"/>
  <c r="R136" i="5"/>
  <c r="R140" i="5" s="1"/>
  <c r="R130" i="5"/>
  <c r="R118" i="5"/>
  <c r="R123" i="5" s="1"/>
  <c r="R115" i="5"/>
  <c r="R128" i="5"/>
  <c r="I34" i="5"/>
  <c r="I36" i="5"/>
  <c r="I23" i="5"/>
  <c r="I29" i="5" s="1"/>
  <c r="I20" i="5"/>
  <c r="I27" i="5" s="1"/>
  <c r="I38" i="5"/>
  <c r="I44" i="5" s="1"/>
  <c r="I41" i="5"/>
  <c r="I46" i="5" s="1"/>
  <c r="Z87" i="5"/>
  <c r="Z105" i="5"/>
  <c r="Z102" i="5"/>
  <c r="Z84" i="5"/>
  <c r="Z90" i="5" s="1"/>
  <c r="Z99" i="5"/>
  <c r="Z97" i="5"/>
  <c r="AL117" i="5"/>
  <c r="AL128" i="5"/>
  <c r="AL135" i="5"/>
  <c r="AL114" i="5"/>
  <c r="AL130" i="5"/>
  <c r="AL132" i="5"/>
  <c r="O118" i="5"/>
  <c r="O123" i="5" s="1"/>
  <c r="O115" i="5"/>
  <c r="O128" i="5"/>
  <c r="O133" i="5"/>
  <c r="O138" i="5" s="1"/>
  <c r="O136" i="5"/>
  <c r="O140" i="5" s="1"/>
  <c r="AF87" i="5"/>
  <c r="AF92" i="5" s="1"/>
  <c r="AF105" i="5"/>
  <c r="AF109" i="5" s="1"/>
  <c r="AF84" i="5"/>
  <c r="AF90" i="5" s="1"/>
  <c r="AF102" i="5"/>
  <c r="AF97" i="5"/>
  <c r="AF99" i="5"/>
  <c r="AA102" i="5"/>
  <c r="AA84" i="5"/>
  <c r="AA105" i="5"/>
  <c r="AA87" i="5"/>
  <c r="O43" i="5"/>
  <c r="O22" i="5"/>
  <c r="O28" i="5" s="1"/>
  <c r="O37" i="5"/>
  <c r="O40" i="5"/>
  <c r="O45" i="5" s="1"/>
  <c r="O25" i="5"/>
  <c r="O30" i="5" s="1"/>
  <c r="O35" i="5"/>
  <c r="AK130" i="5"/>
  <c r="AK117" i="5"/>
  <c r="AK132" i="5"/>
  <c r="AK128" i="5"/>
  <c r="AK135" i="5"/>
  <c r="AK140" i="5" s="1"/>
  <c r="AK114" i="5"/>
  <c r="AL136" i="5"/>
  <c r="AL115" i="5"/>
  <c r="AL133" i="5"/>
  <c r="AL118" i="5"/>
  <c r="F117" i="5"/>
  <c r="F135" i="5"/>
  <c r="F114" i="5"/>
  <c r="F132" i="5"/>
  <c r="F128" i="5"/>
  <c r="F130" i="5"/>
  <c r="O56" i="5"/>
  <c r="O74" i="5"/>
  <c r="O53" i="5"/>
  <c r="O71" i="5"/>
  <c r="S54" i="5"/>
  <c r="S60" i="5" s="1"/>
  <c r="S67" i="5"/>
  <c r="S69" i="5"/>
  <c r="S75" i="5" s="1"/>
  <c r="S72" i="5"/>
  <c r="S77" i="5" s="1"/>
  <c r="S65" i="5"/>
  <c r="S51" i="5"/>
  <c r="S58" i="5" s="1"/>
  <c r="R35" i="5"/>
  <c r="K41" i="5"/>
  <c r="K46" i="5" s="1"/>
  <c r="K34" i="5"/>
  <c r="K38" i="5"/>
  <c r="K44" i="5" s="1"/>
  <c r="K20" i="5"/>
  <c r="K27" i="5" s="1"/>
  <c r="K23" i="5"/>
  <c r="K29" i="5" s="1"/>
  <c r="K36" i="5"/>
  <c r="U85" i="5"/>
  <c r="U91" i="5" s="1"/>
  <c r="U82" i="5"/>
  <c r="U89" i="5" s="1"/>
  <c r="U100" i="5"/>
  <c r="U106" i="5" s="1"/>
  <c r="U103" i="5"/>
  <c r="U108" i="5" s="1"/>
  <c r="U96" i="5"/>
  <c r="U98" i="5"/>
  <c r="P51" i="5"/>
  <c r="P58" i="5" s="1"/>
  <c r="P54" i="5"/>
  <c r="P60" i="5" s="1"/>
  <c r="P72" i="5"/>
  <c r="P77" i="5" s="1"/>
  <c r="P65" i="5"/>
  <c r="P69" i="5"/>
  <c r="P75" i="5" s="1"/>
  <c r="P67" i="5"/>
  <c r="AH100" i="5"/>
  <c r="AH106" i="5" s="1"/>
  <c r="AH98" i="5"/>
  <c r="AH103" i="5"/>
  <c r="AH108" i="5" s="1"/>
  <c r="AH85" i="5"/>
  <c r="AH91" i="5" s="1"/>
  <c r="AH96" i="5"/>
  <c r="AH82" i="5"/>
  <c r="AH89" i="5" s="1"/>
  <c r="J24" i="5"/>
  <c r="J39" i="5"/>
  <c r="J21" i="5"/>
  <c r="J28" i="5" s="1"/>
  <c r="J42" i="5"/>
  <c r="J47" i="5" s="1"/>
  <c r="J35" i="5"/>
  <c r="J37" i="5"/>
  <c r="O130" i="5"/>
  <c r="AC25" i="6"/>
  <c r="AC22" i="6"/>
  <c r="AC43" i="6"/>
  <c r="AC40" i="6"/>
  <c r="AA98" i="6"/>
  <c r="AA100" i="6"/>
  <c r="AA106" i="6" s="1"/>
  <c r="AA103" i="6"/>
  <c r="AA108" i="6" s="1"/>
  <c r="AA82" i="6"/>
  <c r="AA89" i="6" s="1"/>
  <c r="AA85" i="6"/>
  <c r="AA91" i="6" s="1"/>
  <c r="AA96" i="6"/>
  <c r="AM136" i="6"/>
  <c r="AM133" i="6"/>
  <c r="AM115" i="6"/>
  <c r="AM118" i="6"/>
  <c r="W83" i="4"/>
  <c r="W104" i="4"/>
  <c r="W101" i="4"/>
  <c r="W99" i="4"/>
  <c r="W86" i="4"/>
  <c r="W97" i="4"/>
  <c r="Q104" i="4"/>
  <c r="Q99" i="4"/>
  <c r="Q97" i="4"/>
  <c r="Q83" i="4"/>
  <c r="Q86" i="4"/>
  <c r="Q101" i="4"/>
  <c r="U102" i="5"/>
  <c r="U87" i="5"/>
  <c r="U84" i="5"/>
  <c r="U105" i="5"/>
  <c r="AJ98" i="6"/>
  <c r="AJ100" i="6"/>
  <c r="AJ106" i="6" s="1"/>
  <c r="AJ82" i="6"/>
  <c r="AJ89" i="6" s="1"/>
  <c r="AJ85" i="6"/>
  <c r="AJ91" i="6" s="1"/>
  <c r="AJ96" i="6"/>
  <c r="AJ103" i="6"/>
  <c r="AJ108" i="6" s="1"/>
  <c r="AI118" i="6"/>
  <c r="AI136" i="6"/>
  <c r="AI133" i="6"/>
  <c r="AI115" i="6"/>
  <c r="T118" i="4"/>
  <c r="T123" i="4" s="1"/>
  <c r="T115" i="4"/>
  <c r="T136" i="4"/>
  <c r="T128" i="4"/>
  <c r="T133" i="4"/>
  <c r="T138" i="4" s="1"/>
  <c r="V71" i="4"/>
  <c r="V56" i="4"/>
  <c r="V61" i="4" s="1"/>
  <c r="V53" i="4"/>
  <c r="V74" i="4"/>
  <c r="V78" i="4" s="1"/>
  <c r="V68" i="4"/>
  <c r="V66" i="4"/>
  <c r="F115" i="5"/>
  <c r="F118" i="5"/>
  <c r="F133" i="5"/>
  <c r="F136" i="5"/>
  <c r="O70" i="5"/>
  <c r="O52" i="5"/>
  <c r="O68" i="5"/>
  <c r="O66" i="5"/>
  <c r="O55" i="5"/>
  <c r="O73" i="5"/>
  <c r="Z132" i="6"/>
  <c r="Z130" i="6"/>
  <c r="Z135" i="6"/>
  <c r="Z114" i="6"/>
  <c r="Z117" i="6"/>
  <c r="Z128" i="6"/>
  <c r="T71" i="6"/>
  <c r="T74" i="6"/>
  <c r="T53" i="6"/>
  <c r="T56" i="6"/>
  <c r="AM135" i="6"/>
  <c r="AM132" i="6"/>
  <c r="AM117" i="6"/>
  <c r="AM128" i="6"/>
  <c r="AM114" i="6"/>
  <c r="AM130" i="6"/>
  <c r="AH133" i="6"/>
  <c r="AH118" i="6"/>
  <c r="AH136" i="6"/>
  <c r="AH115" i="6"/>
  <c r="AF101" i="6"/>
  <c r="AF83" i="6"/>
  <c r="AF86" i="6"/>
  <c r="AF97" i="6"/>
  <c r="AF104" i="6"/>
  <c r="AF109" i="6" s="1"/>
  <c r="AF99" i="6"/>
  <c r="U69" i="4"/>
  <c r="U75" i="4" s="1"/>
  <c r="U72" i="4"/>
  <c r="U77" i="4" s="1"/>
  <c r="U51" i="4"/>
  <c r="U58" i="4" s="1"/>
  <c r="U67" i="4"/>
  <c r="U54" i="4"/>
  <c r="U60" i="4" s="1"/>
  <c r="U65" i="4"/>
  <c r="U131" i="4"/>
  <c r="U137" i="4" s="1"/>
  <c r="U127" i="4"/>
  <c r="U134" i="4"/>
  <c r="U139" i="4" s="1"/>
  <c r="U116" i="4"/>
  <c r="U122" i="4" s="1"/>
  <c r="U129" i="4"/>
  <c r="U113" i="4"/>
  <c r="U120" i="4" s="1"/>
  <c r="U115" i="6"/>
  <c r="U133" i="6"/>
  <c r="U118" i="6"/>
  <c r="U136" i="6"/>
  <c r="V43" i="6"/>
  <c r="V25" i="6"/>
  <c r="V22" i="6"/>
  <c r="V40" i="6"/>
  <c r="Q39" i="6"/>
  <c r="Q42" i="6"/>
  <c r="Q24" i="6"/>
  <c r="Q37" i="6"/>
  <c r="Q21" i="6"/>
  <c r="Q28" i="6" s="1"/>
  <c r="Q35" i="6"/>
  <c r="Y117" i="6"/>
  <c r="Y135" i="6"/>
  <c r="Y114" i="6"/>
  <c r="Y130" i="6"/>
  <c r="Y132" i="6"/>
  <c r="Y128" i="6"/>
  <c r="AE99" i="6"/>
  <c r="AE97" i="6"/>
  <c r="AE101" i="6"/>
  <c r="AE86" i="6"/>
  <c r="AE104" i="6"/>
  <c r="AE83" i="6"/>
  <c r="AE134" i="6"/>
  <c r="AE139" i="6" s="1"/>
  <c r="AE113" i="6"/>
  <c r="AE120" i="6" s="1"/>
  <c r="AE116" i="6"/>
  <c r="AE122" i="6" s="1"/>
  <c r="AE127" i="6"/>
  <c r="AE131" i="6"/>
  <c r="AE137" i="6" s="1"/>
  <c r="AE129" i="6"/>
  <c r="AB130" i="6"/>
  <c r="AB117" i="6"/>
  <c r="AB132" i="6"/>
  <c r="AB128" i="6"/>
  <c r="AB114" i="6"/>
  <c r="AB135" i="6"/>
  <c r="Y34" i="6"/>
  <c r="Y38" i="6"/>
  <c r="Y44" i="6" s="1"/>
  <c r="Y23" i="6"/>
  <c r="Y29" i="6" s="1"/>
  <c r="Y36" i="6"/>
  <c r="Y41" i="6"/>
  <c r="Y46" i="6" s="1"/>
  <c r="Y20" i="6"/>
  <c r="Y27" i="6" s="1"/>
  <c r="Q74" i="6"/>
  <c r="Q56" i="6"/>
  <c r="Q53" i="6"/>
  <c r="Q71" i="6"/>
  <c r="W20" i="6"/>
  <c r="W27" i="6" s="1"/>
  <c r="W38" i="6"/>
  <c r="W44" i="6" s="1"/>
  <c r="W41" i="6"/>
  <c r="W46" i="6" s="1"/>
  <c r="W34" i="6"/>
  <c r="W23" i="6"/>
  <c r="W29" i="6" s="1"/>
  <c r="W36" i="6"/>
  <c r="T86" i="6"/>
  <c r="T104" i="6"/>
  <c r="T97" i="6"/>
  <c r="T83" i="6"/>
  <c r="T101" i="6"/>
  <c r="T107" i="6" s="1"/>
  <c r="T99" i="6"/>
  <c r="AB43" i="6"/>
  <c r="AB40" i="6"/>
  <c r="AB22" i="6"/>
  <c r="AB25" i="6"/>
  <c r="L65" i="6"/>
  <c r="L72" i="6"/>
  <c r="L77" i="6" s="1"/>
  <c r="L51" i="6"/>
  <c r="L58" i="6" s="1"/>
  <c r="L54" i="6"/>
  <c r="L60" i="6" s="1"/>
  <c r="L69" i="6"/>
  <c r="L75" i="6" s="1"/>
  <c r="L67" i="6"/>
  <c r="Z69" i="6"/>
  <c r="Z75" i="6" s="1"/>
  <c r="Z72" i="6"/>
  <c r="Z77" i="6" s="1"/>
  <c r="Z67" i="6"/>
  <c r="Z65" i="6"/>
  <c r="Z51" i="6"/>
  <c r="Z58" i="6" s="1"/>
  <c r="Z54" i="6"/>
  <c r="Z60" i="6" s="1"/>
  <c r="AF115" i="6"/>
  <c r="AF133" i="6"/>
  <c r="AF136" i="6"/>
  <c r="AF118" i="6"/>
  <c r="S86" i="6"/>
  <c r="S83" i="6"/>
  <c r="S90" i="6" s="1"/>
  <c r="S97" i="6"/>
  <c r="S104" i="6"/>
  <c r="S101" i="6"/>
  <c r="S99" i="6"/>
  <c r="W136" i="6"/>
  <c r="W133" i="6"/>
  <c r="W115" i="6"/>
  <c r="W118" i="6"/>
  <c r="V36" i="6"/>
  <c r="V41" i="6"/>
  <c r="V46" i="6" s="1"/>
  <c r="V38" i="6"/>
  <c r="V44" i="6" s="1"/>
  <c r="V23" i="6"/>
  <c r="V29" i="6" s="1"/>
  <c r="V34" i="6"/>
  <c r="V20" i="6"/>
  <c r="V27" i="6" s="1"/>
  <c r="AS127" i="6"/>
  <c r="AS113" i="6"/>
  <c r="AS120" i="6" s="1"/>
  <c r="AS116" i="6"/>
  <c r="AS122" i="6" s="1"/>
  <c r="AS129" i="6"/>
  <c r="AS134" i="6"/>
  <c r="AS139" i="6" s="1"/>
  <c r="AS131" i="6"/>
  <c r="AS137" i="6" s="1"/>
  <c r="AB52" i="6"/>
  <c r="AB68" i="6"/>
  <c r="AB55" i="6"/>
  <c r="AB70" i="6"/>
  <c r="AB73" i="6"/>
  <c r="AB78" i="6" s="1"/>
  <c r="AB66" i="6"/>
  <c r="AG82" i="6"/>
  <c r="AG89" i="6" s="1"/>
  <c r="AG103" i="6"/>
  <c r="AG108" i="6" s="1"/>
  <c r="AG96" i="6"/>
  <c r="AG100" i="6"/>
  <c r="AG106" i="6" s="1"/>
  <c r="AG85" i="6"/>
  <c r="AG91" i="6" s="1"/>
  <c r="AG98" i="6"/>
  <c r="AO116" i="6"/>
  <c r="AO122" i="6" s="1"/>
  <c r="AO127" i="6"/>
  <c r="AO134" i="6"/>
  <c r="AO139" i="6" s="1"/>
  <c r="AO129" i="6"/>
  <c r="AO113" i="6"/>
  <c r="AO120" i="6" s="1"/>
  <c r="AO131" i="6"/>
  <c r="AO137" i="6" s="1"/>
  <c r="U38" i="6"/>
  <c r="U44" i="6" s="1"/>
  <c r="U41" i="6"/>
  <c r="U46" i="6" s="1"/>
  <c r="U34" i="6"/>
  <c r="U36" i="6"/>
  <c r="U20" i="6"/>
  <c r="U27" i="6" s="1"/>
  <c r="U23" i="6"/>
  <c r="U29" i="6" s="1"/>
  <c r="T98" i="6"/>
  <c r="T82" i="6"/>
  <c r="T89" i="6" s="1"/>
  <c r="T85" i="6"/>
  <c r="T91" i="6" s="1"/>
  <c r="T103" i="6"/>
  <c r="T108" i="6" s="1"/>
  <c r="T100" i="6"/>
  <c r="T106" i="6" s="1"/>
  <c r="T96" i="6"/>
  <c r="S136" i="6"/>
  <c r="S133" i="6"/>
  <c r="S115" i="6"/>
  <c r="S118" i="6"/>
  <c r="U127" i="6"/>
  <c r="U116" i="6"/>
  <c r="U122" i="6" s="1"/>
  <c r="U129" i="6"/>
  <c r="U134" i="6"/>
  <c r="U139" i="6" s="1"/>
  <c r="U131" i="6"/>
  <c r="U137" i="6" s="1"/>
  <c r="U113" i="6"/>
  <c r="U120" i="6" s="1"/>
  <c r="X86" i="6"/>
  <c r="X97" i="6"/>
  <c r="X99" i="6"/>
  <c r="X83" i="6"/>
  <c r="X104" i="6"/>
  <c r="X109" i="6" s="1"/>
  <c r="X101" i="6"/>
  <c r="O70" i="6"/>
  <c r="O66" i="6"/>
  <c r="O55" i="6"/>
  <c r="O73" i="6"/>
  <c r="O52" i="6"/>
  <c r="O68" i="6"/>
  <c r="V72" i="4"/>
  <c r="V77" i="4" s="1"/>
  <c r="V54" i="4"/>
  <c r="V60" i="4" s="1"/>
  <c r="V67" i="4"/>
  <c r="V51" i="4"/>
  <c r="V58" i="4" s="1"/>
  <c r="V69" i="4"/>
  <c r="V75" i="4" s="1"/>
  <c r="V65" i="4"/>
  <c r="V86" i="4"/>
  <c r="V92" i="4" s="1"/>
  <c r="V83" i="4"/>
  <c r="V101" i="4"/>
  <c r="V104" i="4"/>
  <c r="V99" i="4"/>
  <c r="V97" i="4"/>
  <c r="M131" i="4"/>
  <c r="M137" i="4" s="1"/>
  <c r="M127" i="4"/>
  <c r="M113" i="4"/>
  <c r="M120" i="4" s="1"/>
  <c r="M116" i="4"/>
  <c r="M122" i="4" s="1"/>
  <c r="M134" i="4"/>
  <c r="M139" i="4" s="1"/>
  <c r="M129" i="4"/>
  <c r="Q54" i="4"/>
  <c r="Q60" i="4" s="1"/>
  <c r="Q51" i="4"/>
  <c r="Q58" i="4" s="1"/>
  <c r="Q65" i="4"/>
  <c r="Q67" i="4"/>
  <c r="Q69" i="4"/>
  <c r="Q75" i="4" s="1"/>
  <c r="Q72" i="4"/>
  <c r="Q77" i="4" s="1"/>
  <c r="AG130" i="4"/>
  <c r="AG132" i="4"/>
  <c r="AG117" i="4"/>
  <c r="AG135" i="4"/>
  <c r="AG114" i="4"/>
  <c r="AG128" i="4"/>
  <c r="U55" i="4"/>
  <c r="U73" i="4"/>
  <c r="U52" i="4"/>
  <c r="U68" i="4"/>
  <c r="U70" i="4"/>
  <c r="U76" i="4" s="1"/>
  <c r="U66" i="4"/>
  <c r="P135" i="4"/>
  <c r="P132" i="4"/>
  <c r="P130" i="4"/>
  <c r="P128" i="4"/>
  <c r="P117" i="4"/>
  <c r="P114" i="4"/>
  <c r="Q68" i="4"/>
  <c r="Q66" i="4"/>
  <c r="Q55" i="4"/>
  <c r="Q73" i="4"/>
  <c r="Q70" i="4"/>
  <c r="Q52" i="4"/>
  <c r="Q102" i="4"/>
  <c r="Q87" i="4"/>
  <c r="Q105" i="4"/>
  <c r="Q84" i="4"/>
  <c r="S135" i="4"/>
  <c r="S117" i="4"/>
  <c r="S132" i="4"/>
  <c r="S114" i="4"/>
  <c r="S121" i="4" s="1"/>
  <c r="S128" i="4"/>
  <c r="S130" i="4"/>
  <c r="AG118" i="4"/>
  <c r="AG115" i="4"/>
  <c r="AG136" i="4"/>
  <c r="AG133" i="4"/>
  <c r="AC132" i="4"/>
  <c r="AC130" i="4"/>
  <c r="AC135" i="4"/>
  <c r="AC114" i="4"/>
  <c r="AC128" i="4"/>
  <c r="AC117" i="4"/>
  <c r="AA130" i="4"/>
  <c r="AA127" i="4"/>
  <c r="AA134" i="4"/>
  <c r="AA139" i="4" s="1"/>
  <c r="AA116" i="4"/>
  <c r="AA122" i="4" s="1"/>
  <c r="AA113" i="4"/>
  <c r="AA120" i="4" s="1"/>
  <c r="AA131" i="4"/>
  <c r="AA137" i="4" s="1"/>
  <c r="AA129" i="4"/>
  <c r="O98" i="4"/>
  <c r="O85" i="4"/>
  <c r="O91" i="4" s="1"/>
  <c r="O96" i="4"/>
  <c r="O100" i="4"/>
  <c r="O106" i="4" s="1"/>
  <c r="O82" i="4"/>
  <c r="O89" i="4" s="1"/>
  <c r="O103" i="4"/>
  <c r="O108" i="4" s="1"/>
  <c r="M82" i="4"/>
  <c r="M89" i="4" s="1"/>
  <c r="M103" i="4"/>
  <c r="M108" i="4" s="1"/>
  <c r="M85" i="4"/>
  <c r="M91" i="4" s="1"/>
  <c r="M98" i="4"/>
  <c r="M96" i="4"/>
  <c r="M100" i="4"/>
  <c r="M106" i="4" s="1"/>
  <c r="O99" i="4"/>
  <c r="Y113" i="4"/>
  <c r="Y120" i="4" s="1"/>
  <c r="Y129" i="4"/>
  <c r="Y134" i="4"/>
  <c r="Y139" i="4" s="1"/>
  <c r="Y127" i="4"/>
  <c r="Y131" i="4"/>
  <c r="Y137" i="4" s="1"/>
  <c r="Y116" i="4"/>
  <c r="Y122" i="4" s="1"/>
  <c r="Y134" i="5"/>
  <c r="Y139" i="5" s="1"/>
  <c r="Y116" i="5"/>
  <c r="Y122" i="5" s="1"/>
  <c r="Y131" i="5"/>
  <c r="Y137" i="5" s="1"/>
  <c r="Y127" i="5"/>
  <c r="Y129" i="5"/>
  <c r="Y113" i="5"/>
  <c r="Y120" i="5" s="1"/>
  <c r="M34" i="5"/>
  <c r="M36" i="5"/>
  <c r="M20" i="5"/>
  <c r="M27" i="5" s="1"/>
  <c r="M23" i="5"/>
  <c r="M29" i="5" s="1"/>
  <c r="M41" i="5"/>
  <c r="M46" i="5" s="1"/>
  <c r="M38" i="5"/>
  <c r="M44" i="5" s="1"/>
  <c r="K53" i="5"/>
  <c r="K74" i="5"/>
  <c r="K71" i="5"/>
  <c r="K56" i="5"/>
  <c r="AD130" i="5"/>
  <c r="AD117" i="5"/>
  <c r="AD135" i="5"/>
  <c r="AD114" i="5"/>
  <c r="AD128" i="5"/>
  <c r="AD132" i="5"/>
  <c r="AH86" i="5"/>
  <c r="AH101" i="5"/>
  <c r="AH97" i="5"/>
  <c r="AH83" i="5"/>
  <c r="AH104" i="5"/>
  <c r="AH99" i="5"/>
  <c r="AE133" i="5"/>
  <c r="AE136" i="5"/>
  <c r="AE118" i="5"/>
  <c r="AE115" i="5"/>
  <c r="AH84" i="5"/>
  <c r="AH87" i="5"/>
  <c r="AH102" i="5"/>
  <c r="AH105" i="5"/>
  <c r="M22" i="5"/>
  <c r="M28" i="5" s="1"/>
  <c r="M25" i="5"/>
  <c r="M40" i="5"/>
  <c r="M43" i="5"/>
  <c r="X136" i="5"/>
  <c r="X118" i="5"/>
  <c r="X133" i="5"/>
  <c r="X115" i="5"/>
  <c r="X121" i="5" s="1"/>
  <c r="X128" i="5"/>
  <c r="X130" i="5"/>
  <c r="S118" i="5"/>
  <c r="S115" i="5"/>
  <c r="S136" i="5"/>
  <c r="S133" i="5"/>
  <c r="AB66" i="5"/>
  <c r="AB55" i="5"/>
  <c r="AB70" i="5"/>
  <c r="AB76" i="5" s="1"/>
  <c r="AB68" i="5"/>
  <c r="AB73" i="5"/>
  <c r="AB52" i="5"/>
  <c r="M105" i="5"/>
  <c r="M84" i="5"/>
  <c r="M102" i="5"/>
  <c r="M87" i="5"/>
  <c r="AA130" i="5"/>
  <c r="AA132" i="5"/>
  <c r="AA138" i="5" s="1"/>
  <c r="AA128" i="5"/>
  <c r="AA117" i="5"/>
  <c r="AA123" i="5" s="1"/>
  <c r="AA135" i="5"/>
  <c r="AA140" i="5" s="1"/>
  <c r="AA114" i="5"/>
  <c r="AA121" i="5" s="1"/>
  <c r="Y55" i="5"/>
  <c r="Y52" i="5"/>
  <c r="Y59" i="5" s="1"/>
  <c r="Y70" i="5"/>
  <c r="Y73" i="5"/>
  <c r="Y78" i="5" s="1"/>
  <c r="Y68" i="5"/>
  <c r="Y66" i="5"/>
  <c r="K67" i="5"/>
  <c r="K72" i="5"/>
  <c r="K77" i="5" s="1"/>
  <c r="K54" i="5"/>
  <c r="K60" i="5" s="1"/>
  <c r="K51" i="5"/>
  <c r="K58" i="5" s="1"/>
  <c r="K65" i="5"/>
  <c r="K69" i="5"/>
  <c r="K75" i="5" s="1"/>
  <c r="AE97" i="5"/>
  <c r="AD129" i="5"/>
  <c r="AD127" i="5"/>
  <c r="AD134" i="5"/>
  <c r="AD139" i="5" s="1"/>
  <c r="AD131" i="5"/>
  <c r="AD137" i="5" s="1"/>
  <c r="AD116" i="5"/>
  <c r="AD122" i="5" s="1"/>
  <c r="AD113" i="5"/>
  <c r="AD120" i="5" s="1"/>
  <c r="X96" i="5"/>
  <c r="X82" i="5"/>
  <c r="X89" i="5" s="1"/>
  <c r="X103" i="5"/>
  <c r="X108" i="5" s="1"/>
  <c r="X100" i="5"/>
  <c r="X106" i="5" s="1"/>
  <c r="X98" i="5"/>
  <c r="X85" i="5"/>
  <c r="X91" i="5" s="1"/>
  <c r="AG116" i="5"/>
  <c r="AG122" i="5" s="1"/>
  <c r="AG134" i="5"/>
  <c r="AG139" i="5" s="1"/>
  <c r="AG129" i="5"/>
  <c r="AG113" i="5"/>
  <c r="AG120" i="5" s="1"/>
  <c r="AG127" i="5"/>
  <c r="AG131" i="5"/>
  <c r="AG137" i="5" s="1"/>
  <c r="J41" i="5"/>
  <c r="J46" i="5" s="1"/>
  <c r="J38" i="5"/>
  <c r="J44" i="5" s="1"/>
  <c r="J23" i="5"/>
  <c r="J29" i="5" s="1"/>
  <c r="J20" i="5"/>
  <c r="J27" i="5" s="1"/>
  <c r="J36" i="5"/>
  <c r="J34" i="5"/>
  <c r="X130" i="6"/>
  <c r="X128" i="6"/>
  <c r="X135" i="6"/>
  <c r="X117" i="6"/>
  <c r="X114" i="6"/>
  <c r="X132" i="6"/>
  <c r="AM116" i="6"/>
  <c r="AM122" i="6" s="1"/>
  <c r="AM129" i="6"/>
  <c r="AM127" i="6"/>
  <c r="AM134" i="6"/>
  <c r="AM139" i="6" s="1"/>
  <c r="AM131" i="6"/>
  <c r="AM137" i="6" s="1"/>
  <c r="AM113" i="6"/>
  <c r="AM120" i="6" s="1"/>
  <c r="AH69" i="6"/>
  <c r="AH75" i="6" s="1"/>
  <c r="AH72" i="6"/>
  <c r="AH77" i="6" s="1"/>
  <c r="AH65" i="6"/>
  <c r="AH67" i="6"/>
  <c r="AH54" i="6"/>
  <c r="AH60" i="6" s="1"/>
  <c r="AH51" i="6"/>
  <c r="AH58" i="6" s="1"/>
  <c r="L41" i="6"/>
  <c r="L46" i="6" s="1"/>
  <c r="L23" i="6"/>
  <c r="L29" i="6" s="1"/>
  <c r="L36" i="6"/>
  <c r="L20" i="6"/>
  <c r="L27" i="6" s="1"/>
  <c r="L34" i="6"/>
  <c r="L38" i="6"/>
  <c r="L44" i="6" s="1"/>
  <c r="T25" i="6"/>
  <c r="T43" i="6"/>
  <c r="T40" i="6"/>
  <c r="T22" i="6"/>
  <c r="X129" i="6"/>
  <c r="X127" i="6"/>
  <c r="X134" i="6"/>
  <c r="X139" i="6" s="1"/>
  <c r="X113" i="6"/>
  <c r="X120" i="6" s="1"/>
  <c r="X116" i="6"/>
  <c r="X122" i="6" s="1"/>
  <c r="X131" i="6"/>
  <c r="X137" i="6" s="1"/>
  <c r="AK99" i="6"/>
  <c r="AK104" i="6"/>
  <c r="AK97" i="6"/>
  <c r="AK86" i="6"/>
  <c r="AK83" i="6"/>
  <c r="AK90" i="6" s="1"/>
  <c r="AK101" i="6"/>
  <c r="AK107" i="6" s="1"/>
  <c r="AG105" i="6"/>
  <c r="AG84" i="6"/>
  <c r="AG87" i="6"/>
  <c r="AG102" i="6"/>
  <c r="O118" i="4"/>
  <c r="O123" i="4" s="1"/>
  <c r="O136" i="4"/>
  <c r="O128" i="4"/>
  <c r="O133" i="4"/>
  <c r="O138" i="4" s="1"/>
  <c r="O130" i="4"/>
  <c r="O115" i="4"/>
  <c r="O121" i="4" s="1"/>
  <c r="W84" i="4"/>
  <c r="W105" i="4"/>
  <c r="W87" i="4"/>
  <c r="W102" i="4"/>
  <c r="F102" i="4"/>
  <c r="F84" i="4"/>
  <c r="F87" i="4"/>
  <c r="F105" i="4"/>
  <c r="S43" i="5"/>
  <c r="S25" i="5"/>
  <c r="S22" i="5"/>
  <c r="S40" i="5"/>
  <c r="Q25" i="5"/>
  <c r="Q30" i="5" s="1"/>
  <c r="Q22" i="5"/>
  <c r="Q43" i="5"/>
  <c r="Q40" i="5"/>
  <c r="Q45" i="5" s="1"/>
  <c r="Q35" i="5"/>
  <c r="AH128" i="5"/>
  <c r="AH130" i="5"/>
  <c r="AH135" i="5"/>
  <c r="AH114" i="5"/>
  <c r="AH117" i="5"/>
  <c r="AH132" i="5"/>
  <c r="R55" i="5"/>
  <c r="R68" i="5"/>
  <c r="R52" i="5"/>
  <c r="R73" i="5"/>
  <c r="R66" i="5"/>
  <c r="R70" i="5"/>
  <c r="R76" i="5" s="1"/>
  <c r="O72" i="5"/>
  <c r="O77" i="5" s="1"/>
  <c r="O69" i="5"/>
  <c r="O75" i="5" s="1"/>
  <c r="O67" i="5"/>
  <c r="O54" i="5"/>
  <c r="O60" i="5" s="1"/>
  <c r="O65" i="5"/>
  <c r="O51" i="5"/>
  <c r="O58" i="5" s="1"/>
  <c r="W65" i="5"/>
  <c r="W51" i="5"/>
  <c r="W58" i="5" s="1"/>
  <c r="W69" i="5"/>
  <c r="W75" i="5" s="1"/>
  <c r="W54" i="5"/>
  <c r="W60" i="5" s="1"/>
  <c r="W67" i="5"/>
  <c r="W72" i="5"/>
  <c r="W77" i="5" s="1"/>
  <c r="AI127" i="6"/>
  <c r="AI134" i="6"/>
  <c r="AI139" i="6" s="1"/>
  <c r="AI131" i="6"/>
  <c r="AI137" i="6" s="1"/>
  <c r="AI129" i="6"/>
  <c r="AI116" i="6"/>
  <c r="AI122" i="6" s="1"/>
  <c r="AI113" i="6"/>
  <c r="AI120" i="6" s="1"/>
  <c r="T118" i="6"/>
  <c r="T115" i="6"/>
  <c r="T133" i="6"/>
  <c r="T136" i="6"/>
  <c r="U52" i="6"/>
  <c r="U59" i="6" s="1"/>
  <c r="U70" i="6"/>
  <c r="U66" i="6"/>
  <c r="U68" i="6"/>
  <c r="U55" i="6"/>
  <c r="U73" i="6"/>
  <c r="AB69" i="6"/>
  <c r="AB75" i="6" s="1"/>
  <c r="AB65" i="6"/>
  <c r="AB67" i="6"/>
  <c r="AB54" i="6"/>
  <c r="AB60" i="6" s="1"/>
  <c r="AB72" i="6"/>
  <c r="AB77" i="6" s="1"/>
  <c r="AB51" i="6"/>
  <c r="AB58" i="6" s="1"/>
  <c r="AL83" i="6"/>
  <c r="AL104" i="6"/>
  <c r="AL99" i="6"/>
  <c r="AL101" i="6"/>
  <c r="AL86" i="6"/>
  <c r="AL97" i="6"/>
  <c r="T42" i="6"/>
  <c r="T39" i="6"/>
  <c r="T21" i="6"/>
  <c r="T24" i="6"/>
  <c r="T35" i="6"/>
  <c r="T37" i="6"/>
  <c r="R84" i="4"/>
  <c r="R102" i="4"/>
  <c r="R87" i="4"/>
  <c r="R105" i="4"/>
  <c r="F118" i="4"/>
  <c r="F136" i="4"/>
  <c r="F133" i="4"/>
  <c r="F115" i="4"/>
  <c r="AJ136" i="5"/>
  <c r="AJ118" i="5"/>
  <c r="AJ133" i="5"/>
  <c r="AJ115" i="5"/>
  <c r="T115" i="5"/>
  <c r="T133" i="5"/>
  <c r="T136" i="5"/>
  <c r="T118" i="5"/>
  <c r="AG104" i="5"/>
  <c r="AG101" i="5"/>
  <c r="AG83" i="5"/>
  <c r="AG86" i="5"/>
  <c r="AG97" i="5"/>
  <c r="AG99" i="5"/>
  <c r="O116" i="5"/>
  <c r="O122" i="5" s="1"/>
  <c r="O113" i="5"/>
  <c r="O120" i="5" s="1"/>
  <c r="O134" i="5"/>
  <c r="O139" i="5" s="1"/>
  <c r="O129" i="5"/>
  <c r="O131" i="5"/>
  <c r="O137" i="5" s="1"/>
  <c r="O127" i="5"/>
  <c r="Z66" i="6"/>
  <c r="Z70" i="6"/>
  <c r="Z73" i="6"/>
  <c r="Z68" i="6"/>
  <c r="Z55" i="6"/>
  <c r="Z52" i="6"/>
  <c r="Z59" i="6" s="1"/>
  <c r="V102" i="6"/>
  <c r="V84" i="6"/>
  <c r="V97" i="6"/>
  <c r="V99" i="6"/>
  <c r="V105" i="6"/>
  <c r="V87" i="6"/>
  <c r="V92" i="6" s="1"/>
  <c r="J35" i="6"/>
  <c r="J42" i="6"/>
  <c r="J21" i="6"/>
  <c r="J39" i="6"/>
  <c r="J24" i="6"/>
  <c r="J37" i="6"/>
  <c r="I37" i="6"/>
  <c r="I24" i="6"/>
  <c r="I42" i="6"/>
  <c r="I47" i="6" s="1"/>
  <c r="I35" i="6"/>
  <c r="I39" i="6"/>
  <c r="I21" i="6"/>
  <c r="V133" i="6"/>
  <c r="V138" i="6" s="1"/>
  <c r="V118" i="6"/>
  <c r="V123" i="6" s="1"/>
  <c r="V136" i="6"/>
  <c r="V115" i="6"/>
  <c r="V128" i="6"/>
  <c r="V130" i="6"/>
  <c r="AQ136" i="6"/>
  <c r="AQ115" i="6"/>
  <c r="AQ118" i="6"/>
  <c r="AQ133" i="6"/>
  <c r="F37" i="6"/>
  <c r="F24" i="6"/>
  <c r="F39" i="6"/>
  <c r="F42" i="6"/>
  <c r="F21" i="6"/>
  <c r="F35" i="6"/>
  <c r="R74" i="4"/>
  <c r="R71" i="4"/>
  <c r="R56" i="4"/>
  <c r="R53" i="4"/>
  <c r="F97" i="4"/>
  <c r="F86" i="4"/>
  <c r="F92" i="4" s="1"/>
  <c r="F101" i="4"/>
  <c r="F83" i="4"/>
  <c r="F99" i="4"/>
  <c r="F104" i="4"/>
  <c r="AA102" i="4"/>
  <c r="AA107" i="4" s="1"/>
  <c r="AA105" i="4"/>
  <c r="AA109" i="4" s="1"/>
  <c r="AA84" i="4"/>
  <c r="AA87" i="4"/>
  <c r="AA92" i="4" s="1"/>
  <c r="I22" i="7"/>
  <c r="AP133" i="6"/>
  <c r="AP115" i="6"/>
  <c r="AP136" i="6"/>
  <c r="AP118" i="6"/>
  <c r="N53" i="6"/>
  <c r="N56" i="6"/>
  <c r="N74" i="6"/>
  <c r="N71" i="6"/>
  <c r="AH131" i="6"/>
  <c r="AH137" i="6" s="1"/>
  <c r="AH129" i="6"/>
  <c r="AH116" i="6"/>
  <c r="AH122" i="6" s="1"/>
  <c r="AH113" i="6"/>
  <c r="AH120" i="6" s="1"/>
  <c r="AH127" i="6"/>
  <c r="AH134" i="6"/>
  <c r="AH139" i="6" s="1"/>
  <c r="AH87" i="6"/>
  <c r="AH105" i="6"/>
  <c r="AH102" i="6"/>
  <c r="AH84" i="6"/>
  <c r="AB96" i="6"/>
  <c r="AB85" i="6"/>
  <c r="AB91" i="6" s="1"/>
  <c r="AB98" i="6"/>
  <c r="AB103" i="6"/>
  <c r="AB108" i="6" s="1"/>
  <c r="AB82" i="6"/>
  <c r="AB89" i="6" s="1"/>
  <c r="AB100" i="6"/>
  <c r="AB106" i="6" s="1"/>
  <c r="T117" i="6"/>
  <c r="T130" i="6"/>
  <c r="T128" i="6"/>
  <c r="T114" i="6"/>
  <c r="T132" i="6"/>
  <c r="T135" i="6"/>
  <c r="O35" i="6"/>
  <c r="O37" i="6"/>
  <c r="O24" i="6"/>
  <c r="O39" i="6"/>
  <c r="O21" i="6"/>
  <c r="O42" i="6"/>
  <c r="O47" i="6" s="1"/>
  <c r="F70" i="6"/>
  <c r="F52" i="6"/>
  <c r="F73" i="6"/>
  <c r="F66" i="6"/>
  <c r="F55" i="6"/>
  <c r="F61" i="6" s="1"/>
  <c r="F68" i="6"/>
  <c r="Z99" i="6"/>
  <c r="Z97" i="6"/>
  <c r="Z104" i="6"/>
  <c r="Z83" i="6"/>
  <c r="Z86" i="6"/>
  <c r="Z92" i="6" s="1"/>
  <c r="Z101" i="6"/>
  <c r="AD131" i="6"/>
  <c r="AD137" i="6" s="1"/>
  <c r="AD134" i="6"/>
  <c r="AD139" i="6" s="1"/>
  <c r="AD129" i="6"/>
  <c r="AD116" i="6"/>
  <c r="AD122" i="6" s="1"/>
  <c r="AD127" i="6"/>
  <c r="AD113" i="6"/>
  <c r="AD120" i="6" s="1"/>
  <c r="S36" i="6"/>
  <c r="S38" i="6"/>
  <c r="S44" i="6" s="1"/>
  <c r="S41" i="6"/>
  <c r="S46" i="6" s="1"/>
  <c r="S23" i="6"/>
  <c r="S29" i="6" s="1"/>
  <c r="S20" i="6"/>
  <c r="S27" i="6" s="1"/>
  <c r="S34" i="6"/>
  <c r="R37" i="6"/>
  <c r="R35" i="6"/>
  <c r="R42" i="6"/>
  <c r="R47" i="6" s="1"/>
  <c r="R24" i="6"/>
  <c r="R30" i="6" s="1"/>
  <c r="R21" i="6"/>
  <c r="R39" i="6"/>
  <c r="U99" i="6"/>
  <c r="U104" i="6"/>
  <c r="U97" i="6"/>
  <c r="U101" i="6"/>
  <c r="U107" i="6" s="1"/>
  <c r="U86" i="6"/>
  <c r="U83" i="6"/>
  <c r="AA34" i="6"/>
  <c r="AA23" i="6"/>
  <c r="AA29" i="6" s="1"/>
  <c r="AA41" i="6"/>
  <c r="AA46" i="6" s="1"/>
  <c r="AA36" i="6"/>
  <c r="AA20" i="6"/>
  <c r="AA27" i="6" s="1"/>
  <c r="AA38" i="6"/>
  <c r="AA44" i="6" s="1"/>
  <c r="AK115" i="6"/>
  <c r="AK118" i="6"/>
  <c r="AK133" i="6"/>
  <c r="AK136" i="6"/>
  <c r="AE68" i="6"/>
  <c r="AE55" i="6"/>
  <c r="AE52" i="6"/>
  <c r="AE66" i="6"/>
  <c r="AE73" i="6"/>
  <c r="AE70" i="6"/>
  <c r="R84" i="6"/>
  <c r="R105" i="6"/>
  <c r="R102" i="6"/>
  <c r="R87" i="6"/>
  <c r="X34" i="6"/>
  <c r="X36" i="6"/>
  <c r="X38" i="6"/>
  <c r="X44" i="6" s="1"/>
  <c r="X41" i="6"/>
  <c r="X46" i="6" s="1"/>
  <c r="X23" i="6"/>
  <c r="X29" i="6" s="1"/>
  <c r="X20" i="6"/>
  <c r="X27" i="6" s="1"/>
  <c r="AP129" i="6"/>
  <c r="AP116" i="6"/>
  <c r="AP122" i="6" s="1"/>
  <c r="AP134" i="6"/>
  <c r="AP139" i="6" s="1"/>
  <c r="AP127" i="6"/>
  <c r="AP131" i="6"/>
  <c r="AP137" i="6" s="1"/>
  <c r="AP113" i="6"/>
  <c r="AP120" i="6" s="1"/>
  <c r="AJ105" i="6"/>
  <c r="AJ87" i="6"/>
  <c r="AJ102" i="6"/>
  <c r="AJ84" i="6"/>
  <c r="L35" i="6"/>
  <c r="L24" i="6"/>
  <c r="L37" i="6"/>
  <c r="L21" i="6"/>
  <c r="L42" i="6"/>
  <c r="L39" i="6"/>
  <c r="AF128" i="6"/>
  <c r="AF135" i="6"/>
  <c r="AF130" i="6"/>
  <c r="AF117" i="6"/>
  <c r="AF114" i="6"/>
  <c r="AF121" i="6" s="1"/>
  <c r="AF132" i="6"/>
  <c r="AC73" i="6"/>
  <c r="AC52" i="6"/>
  <c r="AC55" i="6"/>
  <c r="AC66" i="6"/>
  <c r="AC68" i="6"/>
  <c r="AC70" i="6"/>
  <c r="S65" i="6"/>
  <c r="S67" i="6"/>
  <c r="S72" i="6"/>
  <c r="S77" i="6" s="1"/>
  <c r="S69" i="6"/>
  <c r="S75" i="6" s="1"/>
  <c r="S54" i="6"/>
  <c r="S60" i="6" s="1"/>
  <c r="S51" i="6"/>
  <c r="S58" i="6" s="1"/>
  <c r="Y113" i="6"/>
  <c r="Y120" i="6" s="1"/>
  <c r="Y131" i="6"/>
  <c r="Y137" i="6" s="1"/>
  <c r="Y127" i="6"/>
  <c r="Y134" i="6"/>
  <c r="Y139" i="6" s="1"/>
  <c r="Y129" i="6"/>
  <c r="Y116" i="6"/>
  <c r="Y122" i="6" s="1"/>
  <c r="AR133" i="6"/>
  <c r="AR115" i="6"/>
  <c r="AR136" i="6"/>
  <c r="AR118" i="6"/>
  <c r="U114" i="6"/>
  <c r="U117" i="6"/>
  <c r="U135" i="6"/>
  <c r="U132" i="6"/>
  <c r="U130" i="6"/>
  <c r="U128" i="6"/>
  <c r="P97" i="6"/>
  <c r="P86" i="6"/>
  <c r="P99" i="6"/>
  <c r="P101" i="6"/>
  <c r="P83" i="6"/>
  <c r="P90" i="6" s="1"/>
  <c r="P104" i="6"/>
  <c r="Z34" i="6"/>
  <c r="Z38" i="6"/>
  <c r="Z44" i="6" s="1"/>
  <c r="Z20" i="6"/>
  <c r="Z27" i="6" s="1"/>
  <c r="Z23" i="6"/>
  <c r="Z29" i="6" s="1"/>
  <c r="Z36" i="6"/>
  <c r="Z41" i="6"/>
  <c r="Z46" i="6" s="1"/>
  <c r="AD116" i="4"/>
  <c r="AD122" i="4" s="1"/>
  <c r="AD113" i="4"/>
  <c r="AD120" i="4" s="1"/>
  <c r="AD134" i="4"/>
  <c r="AD139" i="4" s="1"/>
  <c r="AD127" i="4"/>
  <c r="AD131" i="4"/>
  <c r="AD137" i="4" s="1"/>
  <c r="AD129" i="4"/>
  <c r="U82" i="4"/>
  <c r="U89" i="4" s="1"/>
  <c r="U85" i="4"/>
  <c r="U91" i="4" s="1"/>
  <c r="U100" i="4"/>
  <c r="U106" i="4" s="1"/>
  <c r="U103" i="4"/>
  <c r="U108" i="4" s="1"/>
  <c r="U96" i="4"/>
  <c r="U98" i="4"/>
  <c r="Q103" i="4"/>
  <c r="Q108" i="4" s="1"/>
  <c r="Q85" i="4"/>
  <c r="Q91" i="4" s="1"/>
  <c r="Q98" i="4"/>
  <c r="Q96" i="4"/>
  <c r="Q100" i="4"/>
  <c r="Q106" i="4" s="1"/>
  <c r="Q82" i="4"/>
  <c r="Q89" i="4" s="1"/>
  <c r="R100" i="4"/>
  <c r="R106" i="4" s="1"/>
  <c r="R82" i="4"/>
  <c r="R89" i="4" s="1"/>
  <c r="R103" i="4"/>
  <c r="R108" i="4" s="1"/>
  <c r="R98" i="4"/>
  <c r="R85" i="4"/>
  <c r="R91" i="4" s="1"/>
  <c r="R96" i="4"/>
  <c r="Y117" i="4"/>
  <c r="Y130" i="4"/>
  <c r="Y128" i="4"/>
  <c r="Y114" i="4"/>
  <c r="Y135" i="4"/>
  <c r="Y132" i="4"/>
  <c r="U135" i="4"/>
  <c r="U114" i="4"/>
  <c r="U128" i="4"/>
  <c r="U130" i="4"/>
  <c r="U117" i="4"/>
  <c r="U132" i="4"/>
  <c r="W133" i="4"/>
  <c r="W136" i="4"/>
  <c r="W118" i="4"/>
  <c r="W115" i="4"/>
  <c r="N24" i="4"/>
  <c r="N42" i="4"/>
  <c r="N21" i="4"/>
  <c r="N37" i="4"/>
  <c r="N35" i="4"/>
  <c r="N39" i="4"/>
  <c r="N45" i="4" s="1"/>
  <c r="X105" i="4"/>
  <c r="X87" i="4"/>
  <c r="X84" i="4"/>
  <c r="X102" i="4"/>
  <c r="AE117" i="4"/>
  <c r="AE135" i="4"/>
  <c r="AE130" i="4"/>
  <c r="AE114" i="4"/>
  <c r="AE128" i="4"/>
  <c r="AE132" i="4"/>
  <c r="U136" i="4"/>
  <c r="U133" i="4"/>
  <c r="U118" i="4"/>
  <c r="U115" i="4"/>
  <c r="Y115" i="4"/>
  <c r="Y136" i="4"/>
  <c r="Y118" i="4"/>
  <c r="Y133" i="4"/>
  <c r="M69" i="4"/>
  <c r="M75" i="4" s="1"/>
  <c r="M65" i="4"/>
  <c r="M67" i="4"/>
  <c r="M72" i="4"/>
  <c r="M77" i="4" s="1"/>
  <c r="M54" i="4"/>
  <c r="M60" i="4" s="1"/>
  <c r="M51" i="4"/>
  <c r="M58" i="4" s="1"/>
  <c r="L55" i="4"/>
  <c r="L73" i="4"/>
  <c r="L78" i="4" s="1"/>
  <c r="L68" i="4"/>
  <c r="L52" i="4"/>
  <c r="L66" i="4"/>
  <c r="L70" i="4"/>
  <c r="L76" i="4" s="1"/>
  <c r="N66" i="4"/>
  <c r="N73" i="4"/>
  <c r="N55" i="4"/>
  <c r="N68" i="4"/>
  <c r="N70" i="4"/>
  <c r="N52" i="4"/>
  <c r="N59" i="4" s="1"/>
  <c r="F51" i="4"/>
  <c r="F58" i="4" s="1"/>
  <c r="F72" i="4"/>
  <c r="F77" i="4" s="1"/>
  <c r="F69" i="4"/>
  <c r="F75" i="4" s="1"/>
  <c r="F65" i="4"/>
  <c r="F67" i="4"/>
  <c r="F54" i="4"/>
  <c r="F60" i="4" s="1"/>
  <c r="J41" i="4"/>
  <c r="J46" i="4" s="1"/>
  <c r="J34" i="4"/>
  <c r="J23" i="4"/>
  <c r="J29" i="4" s="1"/>
  <c r="J38" i="4"/>
  <c r="J44" i="4" s="1"/>
  <c r="J20" i="4"/>
  <c r="J27" i="4" s="1"/>
  <c r="J36" i="4"/>
  <c r="Q114" i="5"/>
  <c r="Q121" i="5" s="1"/>
  <c r="Q135" i="5"/>
  <c r="Q132" i="5"/>
  <c r="Q138" i="5" s="1"/>
  <c r="Q128" i="5"/>
  <c r="Q130" i="5"/>
  <c r="Q117" i="5"/>
  <c r="AB105" i="5"/>
  <c r="AB109" i="5" s="1"/>
  <c r="AB102" i="5"/>
  <c r="AB107" i="5" s="1"/>
  <c r="AB84" i="5"/>
  <c r="AB90" i="5" s="1"/>
  <c r="AB87" i="5"/>
  <c r="AB92" i="5" s="1"/>
  <c r="AB97" i="5"/>
  <c r="P43" i="5"/>
  <c r="P40" i="5"/>
  <c r="P25" i="5"/>
  <c r="P22" i="5"/>
  <c r="W118" i="5"/>
  <c r="W115" i="5"/>
  <c r="W121" i="5" s="1"/>
  <c r="W133" i="5"/>
  <c r="W136" i="5"/>
  <c r="W140" i="5" s="1"/>
  <c r="W130" i="5"/>
  <c r="W128" i="5"/>
  <c r="X56" i="5"/>
  <c r="X61" i="5" s="1"/>
  <c r="X71" i="5"/>
  <c r="X76" i="5" s="1"/>
  <c r="X66" i="5"/>
  <c r="X74" i="5"/>
  <c r="X53" i="5"/>
  <c r="Z115" i="5"/>
  <c r="Z133" i="5"/>
  <c r="Z118" i="5"/>
  <c r="Z136" i="5"/>
  <c r="L53" i="5"/>
  <c r="L59" i="5" s="1"/>
  <c r="L71" i="5"/>
  <c r="L76" i="5" s="1"/>
  <c r="L56" i="5"/>
  <c r="L61" i="5" s="1"/>
  <c r="L74" i="5"/>
  <c r="L78" i="5" s="1"/>
  <c r="L68" i="5"/>
  <c r="F35" i="5"/>
  <c r="F24" i="5"/>
  <c r="F42" i="5"/>
  <c r="F47" i="5" s="1"/>
  <c r="F37" i="5"/>
  <c r="F21" i="5"/>
  <c r="F39" i="5"/>
  <c r="F45" i="5" s="1"/>
  <c r="Z117" i="5"/>
  <c r="Z135" i="5"/>
  <c r="Z130" i="5"/>
  <c r="Z114" i="5"/>
  <c r="Z132" i="5"/>
  <c r="Z128" i="5"/>
  <c r="AD101" i="5"/>
  <c r="AD107" i="5" s="1"/>
  <c r="AD86" i="5"/>
  <c r="AD92" i="5" s="1"/>
  <c r="AD97" i="5"/>
  <c r="AD99" i="5"/>
  <c r="AD83" i="5"/>
  <c r="AD90" i="5" s="1"/>
  <c r="AD104" i="5"/>
  <c r="AD109" i="5" s="1"/>
  <c r="T87" i="5"/>
  <c r="T102" i="5"/>
  <c r="T105" i="5"/>
  <c r="T84" i="5"/>
  <c r="Y51" i="5"/>
  <c r="Y58" i="5" s="1"/>
  <c r="Y67" i="5"/>
  <c r="Y72" i="5"/>
  <c r="Y77" i="5" s="1"/>
  <c r="Y69" i="5"/>
  <c r="Y75" i="5" s="1"/>
  <c r="Y65" i="5"/>
  <c r="Y54" i="5"/>
  <c r="Y60" i="5" s="1"/>
  <c r="K55" i="5"/>
  <c r="K52" i="5"/>
  <c r="K73" i="5"/>
  <c r="K66" i="5"/>
  <c r="K70" i="5"/>
  <c r="K68" i="5"/>
  <c r="N82" i="5"/>
  <c r="N89" i="5" s="1"/>
  <c r="N103" i="5"/>
  <c r="N108" i="5" s="1"/>
  <c r="N96" i="5"/>
  <c r="N98" i="5"/>
  <c r="N85" i="5"/>
  <c r="N91" i="5" s="1"/>
  <c r="N100" i="5"/>
  <c r="N106" i="5" s="1"/>
  <c r="S127" i="5"/>
  <c r="S134" i="5"/>
  <c r="S139" i="5" s="1"/>
  <c r="S129" i="5"/>
  <c r="S131" i="5"/>
  <c r="S137" i="5" s="1"/>
  <c r="S113" i="5"/>
  <c r="S120" i="5" s="1"/>
  <c r="S116" i="5"/>
  <c r="S122" i="5" s="1"/>
  <c r="AA65" i="5"/>
  <c r="AA72" i="5"/>
  <c r="AA77" i="5" s="1"/>
  <c r="AA51" i="5"/>
  <c r="AA58" i="5" s="1"/>
  <c r="AA54" i="5"/>
  <c r="AA60" i="5" s="1"/>
  <c r="AA69" i="5"/>
  <c r="AA75" i="5" s="1"/>
  <c r="AA67" i="5"/>
  <c r="T85" i="5"/>
  <c r="T91" i="5" s="1"/>
  <c r="T100" i="5"/>
  <c r="T106" i="5" s="1"/>
  <c r="T96" i="5"/>
  <c r="T98" i="5"/>
  <c r="T82" i="5"/>
  <c r="T89" i="5" s="1"/>
  <c r="T103" i="5"/>
  <c r="T108" i="5" s="1"/>
  <c r="L66" i="5"/>
  <c r="Q37" i="5"/>
  <c r="Y130" i="5"/>
  <c r="AL133" i="6"/>
  <c r="AL115" i="6"/>
  <c r="AL118" i="6"/>
  <c r="AL136" i="6"/>
  <c r="AN87" i="6"/>
  <c r="AN105" i="6"/>
  <c r="AN84" i="6"/>
  <c r="AN102" i="6"/>
  <c r="AL127" i="6"/>
  <c r="AL134" i="6"/>
  <c r="AL139" i="6" s="1"/>
  <c r="AL116" i="6"/>
  <c r="AL122" i="6" s="1"/>
  <c r="AL129" i="6"/>
  <c r="AL113" i="6"/>
  <c r="AL120" i="6" s="1"/>
  <c r="AL131" i="6"/>
  <c r="AL137" i="6" s="1"/>
  <c r="AG83" i="6"/>
  <c r="AG101" i="6"/>
  <c r="AG99" i="6"/>
  <c r="AG97" i="6"/>
  <c r="AG86" i="6"/>
  <c r="AG104" i="6"/>
  <c r="AD73" i="6"/>
  <c r="AD52" i="6"/>
  <c r="AD55" i="6"/>
  <c r="AD66" i="6"/>
  <c r="AD68" i="6"/>
  <c r="AD70" i="6"/>
  <c r="Q101" i="6"/>
  <c r="Q107" i="6" s="1"/>
  <c r="Q86" i="6"/>
  <c r="Q83" i="6"/>
  <c r="Q99" i="6"/>
  <c r="Q97" i="6"/>
  <c r="Q104" i="6"/>
  <c r="Q109" i="6" s="1"/>
  <c r="Y101" i="6"/>
  <c r="Y107" i="6" s="1"/>
  <c r="Y86" i="6"/>
  <c r="Y83" i="6"/>
  <c r="Y104" i="6"/>
  <c r="Y97" i="6"/>
  <c r="Y99" i="6"/>
  <c r="AI67" i="6"/>
  <c r="AI72" i="6"/>
  <c r="AI77" i="6" s="1"/>
  <c r="AI69" i="6"/>
  <c r="AI75" i="6" s="1"/>
  <c r="AI51" i="6"/>
  <c r="AI58" i="6" s="1"/>
  <c r="AI54" i="6"/>
  <c r="AI60" i="6" s="1"/>
  <c r="AI65" i="6"/>
  <c r="N131" i="4"/>
  <c r="N137" i="4" s="1"/>
  <c r="N134" i="4"/>
  <c r="N139" i="4" s="1"/>
  <c r="N113" i="4"/>
  <c r="N120" i="4" s="1"/>
  <c r="N127" i="4"/>
  <c r="N116" i="4"/>
  <c r="N122" i="4" s="1"/>
  <c r="N129" i="4"/>
  <c r="AB118" i="4"/>
  <c r="AB128" i="4"/>
  <c r="AB136" i="4"/>
  <c r="AB133" i="4"/>
  <c r="AB138" i="4" s="1"/>
  <c r="AB115" i="4"/>
  <c r="K56" i="4"/>
  <c r="K74" i="4"/>
  <c r="K71" i="4"/>
  <c r="K53" i="4"/>
  <c r="K68" i="4"/>
  <c r="K70" i="4"/>
  <c r="K52" i="4"/>
  <c r="K59" i="4" s="1"/>
  <c r="K66" i="4"/>
  <c r="K73" i="4"/>
  <c r="K55" i="4"/>
  <c r="AC73" i="5"/>
  <c r="AC66" i="5"/>
  <c r="AC70" i="5"/>
  <c r="AC76" i="5" s="1"/>
  <c r="AC68" i="5"/>
  <c r="AC52" i="5"/>
  <c r="AC59" i="5" s="1"/>
  <c r="AC55" i="5"/>
  <c r="AG87" i="5"/>
  <c r="AG84" i="5"/>
  <c r="AG105" i="5"/>
  <c r="AG102" i="5"/>
  <c r="AH115" i="5"/>
  <c r="AH136" i="5"/>
  <c r="AH133" i="5"/>
  <c r="AH118" i="5"/>
  <c r="AM114" i="5"/>
  <c r="AM121" i="5" s="1"/>
  <c r="AM130" i="5"/>
  <c r="AM132" i="5"/>
  <c r="AM128" i="5"/>
  <c r="AM135" i="5"/>
  <c r="AM117" i="5"/>
  <c r="AG96" i="5"/>
  <c r="AG82" i="5"/>
  <c r="AG89" i="5" s="1"/>
  <c r="AG103" i="5"/>
  <c r="AG108" i="5" s="1"/>
  <c r="AG98" i="5"/>
  <c r="AG85" i="5"/>
  <c r="AG91" i="5" s="1"/>
  <c r="AG100" i="5"/>
  <c r="AG106" i="5" s="1"/>
  <c r="V103" i="5"/>
  <c r="V108" i="5" s="1"/>
  <c r="V85" i="5"/>
  <c r="V91" i="5" s="1"/>
  <c r="V98" i="5"/>
  <c r="V82" i="5"/>
  <c r="V89" i="5" s="1"/>
  <c r="V96" i="5"/>
  <c r="V100" i="5"/>
  <c r="V106" i="5" s="1"/>
  <c r="V67" i="6"/>
  <c r="V65" i="6"/>
  <c r="V72" i="6"/>
  <c r="V77" i="6" s="1"/>
  <c r="V69" i="6"/>
  <c r="V75" i="6" s="1"/>
  <c r="V54" i="6"/>
  <c r="V60" i="6" s="1"/>
  <c r="V51" i="6"/>
  <c r="V58" i="6" s="1"/>
  <c r="AM101" i="6"/>
  <c r="AM83" i="6"/>
  <c r="AM90" i="6" s="1"/>
  <c r="AM86" i="6"/>
  <c r="AM104" i="6"/>
  <c r="AM99" i="6"/>
  <c r="AM97" i="6"/>
  <c r="S24" i="6"/>
  <c r="S30" i="6" s="1"/>
  <c r="S21" i="6"/>
  <c r="S37" i="6"/>
  <c r="S39" i="6"/>
  <c r="S42" i="6"/>
  <c r="S35" i="6"/>
  <c r="AL102" i="6"/>
  <c r="AL87" i="6"/>
  <c r="AL84" i="6"/>
  <c r="AL105" i="6"/>
  <c r="S128" i="6"/>
  <c r="S130" i="6"/>
  <c r="S135" i="6"/>
  <c r="S114" i="6"/>
  <c r="S117" i="6"/>
  <c r="S132" i="6"/>
  <c r="AK135" i="6"/>
  <c r="AK117" i="6"/>
  <c r="AK123" i="6" s="1"/>
  <c r="AK130" i="6"/>
  <c r="AK128" i="6"/>
  <c r="AK114" i="6"/>
  <c r="AK132" i="6"/>
  <c r="R83" i="4"/>
  <c r="R101" i="4"/>
  <c r="R99" i="4"/>
  <c r="R86" i="4"/>
  <c r="R97" i="4"/>
  <c r="R104" i="4"/>
  <c r="R109" i="4" s="1"/>
  <c r="F129" i="4"/>
  <c r="F113" i="4"/>
  <c r="F120" i="4" s="1"/>
  <c r="F116" i="4"/>
  <c r="F122" i="4" s="1"/>
  <c r="F127" i="4"/>
  <c r="F134" i="4"/>
  <c r="F139" i="4" s="1"/>
  <c r="F131" i="4"/>
  <c r="F137" i="4" s="1"/>
  <c r="I40" i="4"/>
  <c r="I22" i="4"/>
  <c r="I43" i="4"/>
  <c r="I25" i="4"/>
  <c r="K69" i="4"/>
  <c r="K75" i="4" s="1"/>
  <c r="K67" i="4"/>
  <c r="K65" i="4"/>
  <c r="K54" i="4"/>
  <c r="K60" i="4" s="1"/>
  <c r="K72" i="4"/>
  <c r="K77" i="4" s="1"/>
  <c r="K51" i="4"/>
  <c r="K58" i="4" s="1"/>
  <c r="Q36" i="4"/>
  <c r="Q20" i="4"/>
  <c r="Q27" i="4" s="1"/>
  <c r="Q34" i="4"/>
  <c r="Q41" i="4"/>
  <c r="Q46" i="4" s="1"/>
  <c r="Q23" i="4"/>
  <c r="Q29" i="4" s="1"/>
  <c r="Q38" i="4"/>
  <c r="Q44" i="4" s="1"/>
  <c r="AC69" i="5"/>
  <c r="AC75" i="5" s="1"/>
  <c r="AC54" i="5"/>
  <c r="AC60" i="5" s="1"/>
  <c r="AC65" i="5"/>
  <c r="AC72" i="5"/>
  <c r="AC77" i="5" s="1"/>
  <c r="AC51" i="5"/>
  <c r="AC58" i="5" s="1"/>
  <c r="AC67" i="5"/>
  <c r="S71" i="5"/>
  <c r="S56" i="5"/>
  <c r="S74" i="5"/>
  <c r="S53" i="5"/>
  <c r="M104" i="5"/>
  <c r="M99" i="5"/>
  <c r="M83" i="5"/>
  <c r="M86" i="5"/>
  <c r="M97" i="5"/>
  <c r="M101" i="5"/>
  <c r="X59" i="5"/>
  <c r="L54" i="5"/>
  <c r="L60" i="5" s="1"/>
  <c r="L65" i="5"/>
  <c r="L69" i="5"/>
  <c r="L75" i="5" s="1"/>
  <c r="L72" i="5"/>
  <c r="L77" i="5" s="1"/>
  <c r="L67" i="5"/>
  <c r="L51" i="5"/>
  <c r="L58" i="5" s="1"/>
  <c r="T131" i="6"/>
  <c r="T137" i="6" s="1"/>
  <c r="T134" i="6"/>
  <c r="T139" i="6" s="1"/>
  <c r="T113" i="6"/>
  <c r="T120" i="6" s="1"/>
  <c r="T127" i="6"/>
  <c r="T129" i="6"/>
  <c r="T116" i="6"/>
  <c r="T122" i="6" s="1"/>
  <c r="AE87" i="6"/>
  <c r="AE84" i="6"/>
  <c r="AE105" i="6"/>
  <c r="AE102" i="6"/>
  <c r="X118" i="6"/>
  <c r="X133" i="6"/>
  <c r="X115" i="6"/>
  <c r="X136" i="6"/>
  <c r="Y53" i="6"/>
  <c r="Y59" i="6" s="1"/>
  <c r="Y56" i="6"/>
  <c r="Y61" i="6" s="1"/>
  <c r="Y71" i="6"/>
  <c r="Y76" i="6" s="1"/>
  <c r="Y74" i="6"/>
  <c r="Y78" i="6" s="1"/>
  <c r="R100" i="6"/>
  <c r="R106" i="6" s="1"/>
  <c r="R85" i="6"/>
  <c r="R91" i="6" s="1"/>
  <c r="R98" i="6"/>
  <c r="R82" i="6"/>
  <c r="R89" i="6" s="1"/>
  <c r="R96" i="6"/>
  <c r="R103" i="6"/>
  <c r="R108" i="6" s="1"/>
  <c r="Q55" i="6"/>
  <c r="Q66" i="6"/>
  <c r="Q68" i="6"/>
  <c r="Q70" i="6"/>
  <c r="Q73" i="6"/>
  <c r="Q52" i="6"/>
  <c r="P105" i="4"/>
  <c r="P102" i="4"/>
  <c r="P84" i="4"/>
  <c r="P87" i="4"/>
  <c r="I9" i="7"/>
  <c r="AR132" i="6"/>
  <c r="AR128" i="6"/>
  <c r="AR117" i="6"/>
  <c r="AR114" i="6"/>
  <c r="AR121" i="6" s="1"/>
  <c r="AR130" i="6"/>
  <c r="AR135" i="6"/>
  <c r="AA129" i="6"/>
  <c r="AA116" i="6"/>
  <c r="AA122" i="6" s="1"/>
  <c r="AA127" i="6"/>
  <c r="AA131" i="6"/>
  <c r="AA137" i="6" s="1"/>
  <c r="AA134" i="6"/>
  <c r="AA139" i="6" s="1"/>
  <c r="AA113" i="6"/>
  <c r="AA120" i="6" s="1"/>
  <c r="P74" i="6"/>
  <c r="P53" i="6"/>
  <c r="P56" i="6"/>
  <c r="P71" i="6"/>
  <c r="F84" i="6"/>
  <c r="F105" i="6"/>
  <c r="F87" i="6"/>
  <c r="F102" i="6"/>
  <c r="AH103" i="6"/>
  <c r="AH108" i="6" s="1"/>
  <c r="AH85" i="6"/>
  <c r="AH91" i="6" s="1"/>
  <c r="AH96" i="6"/>
  <c r="AH98" i="6"/>
  <c r="AH82" i="6"/>
  <c r="AH89" i="6" s="1"/>
  <c r="AH100" i="6"/>
  <c r="AH106" i="6" s="1"/>
  <c r="AB37" i="6"/>
  <c r="AB39" i="6"/>
  <c r="AB21" i="6"/>
  <c r="AB28" i="6" s="1"/>
  <c r="AB24" i="6"/>
  <c r="AB42" i="6"/>
  <c r="AB47" i="6" s="1"/>
  <c r="AB35" i="6"/>
  <c r="AM103" i="6"/>
  <c r="AM108" i="6" s="1"/>
  <c r="AM85" i="6"/>
  <c r="AM91" i="6" s="1"/>
  <c r="AM98" i="6"/>
  <c r="AM96" i="6"/>
  <c r="AM82" i="6"/>
  <c r="AM89" i="6" s="1"/>
  <c r="AM100" i="6"/>
  <c r="AM106" i="6" s="1"/>
  <c r="J25" i="6"/>
  <c r="J22" i="6"/>
  <c r="J43" i="6"/>
  <c r="J40" i="6"/>
  <c r="AB84" i="6"/>
  <c r="AB87" i="6"/>
  <c r="AB105" i="6"/>
  <c r="AB102" i="6"/>
  <c r="AA51" i="6"/>
  <c r="AA58" i="6" s="1"/>
  <c r="AA54" i="6"/>
  <c r="AA60" i="6" s="1"/>
  <c r="AA67" i="6"/>
  <c r="AA72" i="6"/>
  <c r="AA77" i="6" s="1"/>
  <c r="AA65" i="6"/>
  <c r="AA69" i="6"/>
  <c r="AA75" i="6" s="1"/>
  <c r="AD135" i="6"/>
  <c r="AD132" i="6"/>
  <c r="AD138" i="6" s="1"/>
  <c r="AD130" i="6"/>
  <c r="AD117" i="6"/>
  <c r="AD114" i="6"/>
  <c r="AD121" i="6" s="1"/>
  <c r="AD128" i="6"/>
  <c r="AF52" i="6"/>
  <c r="AF59" i="6" s="1"/>
  <c r="AF66" i="6"/>
  <c r="AF70" i="6"/>
  <c r="AF73" i="6"/>
  <c r="AF55" i="6"/>
  <c r="AF68" i="6"/>
  <c r="Y96" i="6"/>
  <c r="Y100" i="6"/>
  <c r="Y106" i="6" s="1"/>
  <c r="Y98" i="6"/>
  <c r="Y82" i="6"/>
  <c r="Y89" i="6" s="1"/>
  <c r="Y103" i="6"/>
  <c r="Y108" i="6" s="1"/>
  <c r="Y85" i="6"/>
  <c r="Y91" i="6" s="1"/>
  <c r="AB83" i="6"/>
  <c r="AB101" i="6"/>
  <c r="AB97" i="6"/>
  <c r="AB99" i="6"/>
  <c r="AB86" i="6"/>
  <c r="AB104" i="6"/>
  <c r="T51" i="6"/>
  <c r="T58" i="6" s="1"/>
  <c r="T72" i="6"/>
  <c r="T77" i="6" s="1"/>
  <c r="T54" i="6"/>
  <c r="T60" i="6" s="1"/>
  <c r="T69" i="6"/>
  <c r="T75" i="6" s="1"/>
  <c r="T67" i="6"/>
  <c r="T65" i="6"/>
  <c r="M24" i="6"/>
  <c r="M30" i="6" s="1"/>
  <c r="M21" i="6"/>
  <c r="M35" i="6"/>
  <c r="M42" i="6"/>
  <c r="M37" i="6"/>
  <c r="M39" i="6"/>
  <c r="AN136" i="6"/>
  <c r="AN133" i="6"/>
  <c r="AN115" i="6"/>
  <c r="AN118" i="6"/>
  <c r="AC74" i="6"/>
  <c r="AC56" i="6"/>
  <c r="AC53" i="6"/>
  <c r="AC71" i="6"/>
  <c r="AA83" i="6"/>
  <c r="AA86" i="6"/>
  <c r="AA104" i="6"/>
  <c r="AA109" i="6" s="1"/>
  <c r="AA97" i="6"/>
  <c r="AA101" i="6"/>
  <c r="AA99" i="6"/>
  <c r="AJ115" i="6"/>
  <c r="AJ118" i="6"/>
  <c r="AJ133" i="6"/>
  <c r="AJ136" i="6"/>
  <c r="T55" i="6"/>
  <c r="T66" i="6"/>
  <c r="T70" i="6"/>
  <c r="T76" i="6" s="1"/>
  <c r="T68" i="6"/>
  <c r="T73" i="6"/>
  <c r="T52" i="6"/>
  <c r="W87" i="6"/>
  <c r="W102" i="6"/>
  <c r="W84" i="6"/>
  <c r="W105" i="6"/>
  <c r="R54" i="6"/>
  <c r="R60" i="6" s="1"/>
  <c r="R69" i="6"/>
  <c r="R75" i="6" s="1"/>
  <c r="R72" i="6"/>
  <c r="R77" i="6" s="1"/>
  <c r="R51" i="6"/>
  <c r="R58" i="6" s="1"/>
  <c r="R65" i="6"/>
  <c r="R67" i="6"/>
  <c r="AI83" i="6"/>
  <c r="AI86" i="6"/>
  <c r="AI92" i="6" s="1"/>
  <c r="AI101" i="6"/>
  <c r="AI107" i="6" s="1"/>
  <c r="AI99" i="6"/>
  <c r="AI97" i="6"/>
  <c r="AI104" i="6"/>
  <c r="Z115" i="6"/>
  <c r="Z133" i="6"/>
  <c r="Z136" i="6"/>
  <c r="Z118" i="6"/>
  <c r="AD67" i="6"/>
  <c r="AD54" i="6"/>
  <c r="AD60" i="6" s="1"/>
  <c r="AD65" i="6"/>
  <c r="AD72" i="6"/>
  <c r="AD77" i="6" s="1"/>
  <c r="AD69" i="6"/>
  <c r="AD75" i="6" s="1"/>
  <c r="AD51" i="6"/>
  <c r="AD58" i="6" s="1"/>
  <c r="Z131" i="6"/>
  <c r="Z137" i="6" s="1"/>
  <c r="Z127" i="6"/>
  <c r="Z134" i="6"/>
  <c r="Z139" i="6" s="1"/>
  <c r="Z129" i="6"/>
  <c r="Z113" i="6"/>
  <c r="Z120" i="6" s="1"/>
  <c r="Z116" i="6"/>
  <c r="Z122" i="6" s="1"/>
  <c r="AG115" i="6"/>
  <c r="AG136" i="6"/>
  <c r="AG133" i="6"/>
  <c r="AG118" i="6"/>
  <c r="AQ114" i="6"/>
  <c r="AQ121" i="6" s="1"/>
  <c r="AQ132" i="6"/>
  <c r="AQ135" i="6"/>
  <c r="AQ140" i="6" s="1"/>
  <c r="AQ130" i="6"/>
  <c r="AQ128" i="6"/>
  <c r="AQ117" i="6"/>
  <c r="U83" i="4"/>
  <c r="U97" i="4"/>
  <c r="U99" i="4"/>
  <c r="U101" i="4"/>
  <c r="U104" i="4"/>
  <c r="U109" i="4" s="1"/>
  <c r="U86" i="4"/>
  <c r="P100" i="6"/>
  <c r="P106" i="6" s="1"/>
  <c r="P96" i="6"/>
  <c r="P98" i="6"/>
  <c r="P85" i="6"/>
  <c r="P91" i="6" s="1"/>
  <c r="P82" i="6"/>
  <c r="P89" i="6" s="1"/>
  <c r="P103" i="6"/>
  <c r="P108" i="6" s="1"/>
  <c r="Z21" i="6"/>
  <c r="Z28" i="6" s="1"/>
  <c r="Z39" i="6"/>
  <c r="Z35" i="6"/>
  <c r="Z42" i="6"/>
  <c r="Z37" i="6"/>
  <c r="Z24" i="6"/>
  <c r="AB113" i="4"/>
  <c r="AB120" i="4" s="1"/>
  <c r="AB134" i="4"/>
  <c r="AB139" i="4" s="1"/>
  <c r="AB127" i="4"/>
  <c r="AB131" i="4"/>
  <c r="AB137" i="4" s="1"/>
  <c r="AB129" i="4"/>
  <c r="AB116" i="4"/>
  <c r="AB122" i="4" s="1"/>
  <c r="R54" i="4"/>
  <c r="R60" i="4" s="1"/>
  <c r="R67" i="4"/>
  <c r="R51" i="4"/>
  <c r="R58" i="4" s="1"/>
  <c r="R65" i="4"/>
  <c r="R69" i="4"/>
  <c r="R75" i="4" s="1"/>
  <c r="R72" i="4"/>
  <c r="R77" i="4" s="1"/>
  <c r="P96" i="4"/>
  <c r="P103" i="4"/>
  <c r="P108" i="4" s="1"/>
  <c r="P100" i="4"/>
  <c r="P106" i="4" s="1"/>
  <c r="P98" i="4"/>
  <c r="P85" i="4"/>
  <c r="P91" i="4" s="1"/>
  <c r="P82" i="4"/>
  <c r="P89" i="4" s="1"/>
  <c r="Z99" i="4"/>
  <c r="Z86" i="4"/>
  <c r="Z97" i="4"/>
  <c r="Z104" i="4"/>
  <c r="Z101" i="4"/>
  <c r="Z107" i="4" s="1"/>
  <c r="Z83" i="4"/>
  <c r="S102" i="4"/>
  <c r="S105" i="4"/>
  <c r="S84" i="4"/>
  <c r="S87" i="4"/>
  <c r="X128" i="4"/>
  <c r="X114" i="4"/>
  <c r="X121" i="4" s="1"/>
  <c r="X117" i="4"/>
  <c r="X123" i="4" s="1"/>
  <c r="X132" i="4"/>
  <c r="X138" i="4" s="1"/>
  <c r="X135" i="4"/>
  <c r="X140" i="4" s="1"/>
  <c r="X130" i="4"/>
  <c r="V136" i="4"/>
  <c r="V115" i="4"/>
  <c r="V133" i="4"/>
  <c r="V118" i="4"/>
  <c r="AD117" i="4"/>
  <c r="AD130" i="4"/>
  <c r="AD114" i="4"/>
  <c r="AD135" i="4"/>
  <c r="AD128" i="4"/>
  <c r="AD132" i="4"/>
  <c r="S74" i="4"/>
  <c r="S71" i="4"/>
  <c r="S53" i="4"/>
  <c r="S56" i="4"/>
  <c r="AF128" i="4"/>
  <c r="AF132" i="4"/>
  <c r="AF138" i="4" s="1"/>
  <c r="AF135" i="4"/>
  <c r="AF130" i="4"/>
  <c r="AF114" i="4"/>
  <c r="AF117" i="4"/>
  <c r="F98" i="4"/>
  <c r="F82" i="4"/>
  <c r="F89" i="4" s="1"/>
  <c r="F103" i="4"/>
  <c r="F108" i="4" s="1"/>
  <c r="F100" i="4"/>
  <c r="F106" i="4" s="1"/>
  <c r="F85" i="4"/>
  <c r="F91" i="4" s="1"/>
  <c r="F96" i="4"/>
  <c r="N136" i="4"/>
  <c r="N133" i="4"/>
  <c r="N118" i="4"/>
  <c r="N115" i="4"/>
  <c r="AB87" i="4"/>
  <c r="AB105" i="4"/>
  <c r="AB84" i="4"/>
  <c r="AB102" i="4"/>
  <c r="R70" i="4"/>
  <c r="R55" i="4"/>
  <c r="R52" i="4"/>
  <c r="R66" i="4"/>
  <c r="R68" i="4"/>
  <c r="R73" i="4"/>
  <c r="M21" i="4"/>
  <c r="M35" i="4"/>
  <c r="M37" i="4"/>
  <c r="M39" i="4"/>
  <c r="M45" i="4" s="1"/>
  <c r="M42" i="4"/>
  <c r="M24" i="4"/>
  <c r="F25" i="4"/>
  <c r="F43" i="4"/>
  <c r="F22" i="4"/>
  <c r="F40" i="4"/>
  <c r="N98" i="4"/>
  <c r="N96" i="4"/>
  <c r="N85" i="4"/>
  <c r="N91" i="4" s="1"/>
  <c r="N82" i="4"/>
  <c r="N89" i="4" s="1"/>
  <c r="N103" i="4"/>
  <c r="N108" i="4" s="1"/>
  <c r="N100" i="4"/>
  <c r="N106" i="4" s="1"/>
  <c r="K41" i="4"/>
  <c r="K46" i="4" s="1"/>
  <c r="K38" i="4"/>
  <c r="K44" i="4" s="1"/>
  <c r="K36" i="4"/>
  <c r="K34" i="4"/>
  <c r="K23" i="4"/>
  <c r="K29" i="4" s="1"/>
  <c r="K20" i="4"/>
  <c r="K27" i="4" s="1"/>
  <c r="W96" i="4"/>
  <c r="W98" i="4"/>
  <c r="W100" i="4"/>
  <c r="W106" i="4" s="1"/>
  <c r="W85" i="4"/>
  <c r="W91" i="4" s="1"/>
  <c r="W103" i="4"/>
  <c r="W108" i="4" s="1"/>
  <c r="W82" i="4"/>
  <c r="W89" i="4" s="1"/>
  <c r="T130" i="4"/>
  <c r="AA97" i="4"/>
  <c r="U54" i="5"/>
  <c r="U60" i="5" s="1"/>
  <c r="U69" i="5"/>
  <c r="U75" i="5" s="1"/>
  <c r="U51" i="5"/>
  <c r="U58" i="5" s="1"/>
  <c r="U72" i="5"/>
  <c r="U77" i="5" s="1"/>
  <c r="U67" i="5"/>
  <c r="U65" i="5"/>
  <c r="AJ135" i="5"/>
  <c r="AJ130" i="5"/>
  <c r="AJ128" i="5"/>
  <c r="AJ114" i="5"/>
  <c r="AJ121" i="5" s="1"/>
  <c r="AJ117" i="5"/>
  <c r="AJ132" i="5"/>
  <c r="AJ138" i="5" s="1"/>
  <c r="V133" i="5"/>
  <c r="V115" i="5"/>
  <c r="V136" i="5"/>
  <c r="V118" i="5"/>
  <c r="P102" i="5"/>
  <c r="P107" i="5" s="1"/>
  <c r="P87" i="5"/>
  <c r="P92" i="5" s="1"/>
  <c r="P105" i="5"/>
  <c r="P109" i="5" s="1"/>
  <c r="P84" i="5"/>
  <c r="P90" i="5" s="1"/>
  <c r="X84" i="5"/>
  <c r="X90" i="5" s="1"/>
  <c r="X102" i="5"/>
  <c r="X107" i="5" s="1"/>
  <c r="X87" i="5"/>
  <c r="X92" i="5" s="1"/>
  <c r="X97" i="5"/>
  <c r="X105" i="5"/>
  <c r="X109" i="5" s="1"/>
  <c r="AB133" i="5"/>
  <c r="AB138" i="5" s="1"/>
  <c r="AB136" i="5"/>
  <c r="AB115" i="5"/>
  <c r="AB118" i="5"/>
  <c r="AB128" i="5"/>
  <c r="AB130" i="5"/>
  <c r="M71" i="5"/>
  <c r="M53" i="5"/>
  <c r="M59" i="5" s="1"/>
  <c r="M74" i="5"/>
  <c r="M56" i="5"/>
  <c r="M61" i="5" s="1"/>
  <c r="M68" i="5"/>
  <c r="M66" i="5"/>
  <c r="AA97" i="5"/>
  <c r="AA99" i="5"/>
  <c r="AA86" i="5"/>
  <c r="AA104" i="5"/>
  <c r="AA83" i="5"/>
  <c r="AA101" i="5"/>
  <c r="AA107" i="5" s="1"/>
  <c r="Q53" i="5"/>
  <c r="Q56" i="5"/>
  <c r="Q74" i="5"/>
  <c r="Q71" i="5"/>
  <c r="Q68" i="5"/>
  <c r="Q66" i="5"/>
  <c r="AE132" i="5"/>
  <c r="AE138" i="5" s="1"/>
  <c r="AE117" i="5"/>
  <c r="AE114" i="5"/>
  <c r="AE130" i="5"/>
  <c r="AE128" i="5"/>
  <c r="AE135" i="5"/>
  <c r="W85" i="5"/>
  <c r="W91" i="5" s="1"/>
  <c r="W100" i="5"/>
  <c r="W106" i="5" s="1"/>
  <c r="W96" i="5"/>
  <c r="W82" i="5"/>
  <c r="W89" i="5" s="1"/>
  <c r="W98" i="5"/>
  <c r="W103" i="5"/>
  <c r="W108" i="5" s="1"/>
  <c r="N104" i="5"/>
  <c r="N109" i="5" s="1"/>
  <c r="N97" i="5"/>
  <c r="N101" i="5"/>
  <c r="N107" i="5" s="1"/>
  <c r="N86" i="5"/>
  <c r="N92" i="5" s="1"/>
  <c r="N83" i="5"/>
  <c r="N90" i="5" s="1"/>
  <c r="N99" i="5"/>
  <c r="AE107" i="5"/>
  <c r="P98" i="5"/>
  <c r="P85" i="5"/>
  <c r="P91" i="5" s="1"/>
  <c r="P103" i="5"/>
  <c r="P108" i="5" s="1"/>
  <c r="P82" i="5"/>
  <c r="P89" i="5" s="1"/>
  <c r="P100" i="5"/>
  <c r="P106" i="5" s="1"/>
  <c r="P96" i="5"/>
  <c r="F131" i="5"/>
  <c r="F137" i="5" s="1"/>
  <c r="F113" i="5"/>
  <c r="F120" i="5" s="1"/>
  <c r="F134" i="5"/>
  <c r="F139" i="5" s="1"/>
  <c r="F116" i="5"/>
  <c r="F122" i="5" s="1"/>
  <c r="F127" i="5"/>
  <c r="F129" i="5"/>
  <c r="AK113" i="5"/>
  <c r="AK120" i="5" s="1"/>
  <c r="AK127" i="5"/>
  <c r="AK116" i="5"/>
  <c r="AK122" i="5" s="1"/>
  <c r="AK134" i="5"/>
  <c r="AK139" i="5" s="1"/>
  <c r="AK131" i="5"/>
  <c r="AK137" i="5" s="1"/>
  <c r="AK129" i="5"/>
  <c r="AC128" i="5"/>
  <c r="AC135" i="5"/>
  <c r="AC140" i="5" s="1"/>
  <c r="AC117" i="5"/>
  <c r="AC123" i="5" s="1"/>
  <c r="AC114" i="5"/>
  <c r="AC121" i="5" s="1"/>
  <c r="AC130" i="5"/>
  <c r="AC132" i="5"/>
  <c r="AC138" i="5" s="1"/>
  <c r="K38" i="6"/>
  <c r="K44" i="6" s="1"/>
  <c r="K23" i="6"/>
  <c r="K29" i="6" s="1"/>
  <c r="K34" i="6"/>
  <c r="K20" i="6"/>
  <c r="K27" i="6" s="1"/>
  <c r="K36" i="6"/>
  <c r="K41" i="6"/>
  <c r="K46" i="6" s="1"/>
  <c r="AH101" i="6"/>
  <c r="AH107" i="6" s="1"/>
  <c r="AH86" i="6"/>
  <c r="AH104" i="6"/>
  <c r="AH109" i="6" s="1"/>
  <c r="AH83" i="6"/>
  <c r="AH99" i="6"/>
  <c r="AH97" i="6"/>
  <c r="L53" i="6"/>
  <c r="L74" i="6"/>
  <c r="L56" i="6"/>
  <c r="L71" i="6"/>
  <c r="AK116" i="6"/>
  <c r="AK122" i="6" s="1"/>
  <c r="AK127" i="6"/>
  <c r="AK129" i="6"/>
  <c r="AK113" i="6"/>
  <c r="AK120" i="6" s="1"/>
  <c r="AK131" i="6"/>
  <c r="AK137" i="6" s="1"/>
  <c r="AK134" i="6"/>
  <c r="AK139" i="6" s="1"/>
  <c r="L84" i="4"/>
  <c r="L87" i="4"/>
  <c r="L102" i="4"/>
  <c r="L105" i="4"/>
  <c r="AA118" i="4"/>
  <c r="AA123" i="4" s="1"/>
  <c r="AA133" i="4"/>
  <c r="AA138" i="4" s="1"/>
  <c r="AA115" i="4"/>
  <c r="AA121" i="4" s="1"/>
  <c r="AA136" i="4"/>
  <c r="AA140" i="4" s="1"/>
  <c r="I24" i="4"/>
  <c r="I42" i="4"/>
  <c r="I21" i="4"/>
  <c r="I37" i="4"/>
  <c r="I39" i="4"/>
  <c r="I35" i="4"/>
  <c r="V35" i="5"/>
  <c r="V39" i="5"/>
  <c r="V45" i="5" s="1"/>
  <c r="V37" i="5"/>
  <c r="V24" i="5"/>
  <c r="V30" i="5" s="1"/>
  <c r="V21" i="5"/>
  <c r="V28" i="5" s="1"/>
  <c r="V42" i="5"/>
  <c r="V47" i="5" s="1"/>
  <c r="AG114" i="5"/>
  <c r="AG132" i="5"/>
  <c r="AG138" i="5" s="1"/>
  <c r="AG117" i="5"/>
  <c r="AG135" i="5"/>
  <c r="AG130" i="5"/>
  <c r="AG128" i="5"/>
  <c r="P24" i="5"/>
  <c r="P21" i="5"/>
  <c r="P42" i="5"/>
  <c r="P47" i="5" s="1"/>
  <c r="P37" i="5"/>
  <c r="P39" i="5"/>
  <c r="P45" i="5" s="1"/>
  <c r="P35" i="5"/>
  <c r="AG127" i="6"/>
  <c r="AG134" i="6"/>
  <c r="AG139" i="6" s="1"/>
  <c r="AG113" i="6"/>
  <c r="AG120" i="6" s="1"/>
  <c r="AG131" i="6"/>
  <c r="AG137" i="6" s="1"/>
  <c r="AG129" i="6"/>
  <c r="AG116" i="6"/>
  <c r="AG122" i="6" s="1"/>
  <c r="U37" i="6"/>
  <c r="U39" i="6"/>
  <c r="U21" i="6"/>
  <c r="U42" i="6"/>
  <c r="U47" i="6" s="1"/>
  <c r="U35" i="6"/>
  <c r="U24" i="6"/>
  <c r="AC136" i="6"/>
  <c r="AC115" i="6"/>
  <c r="AC133" i="6"/>
  <c r="AC118" i="6"/>
  <c r="F41" i="6"/>
  <c r="F46" i="6" s="1"/>
  <c r="F38" i="6"/>
  <c r="F44" i="6" s="1"/>
  <c r="F34" i="6"/>
  <c r="F20" i="6"/>
  <c r="F27" i="6" s="1"/>
  <c r="F36" i="6"/>
  <c r="F23" i="6"/>
  <c r="F29" i="6" s="1"/>
  <c r="M133" i="4"/>
  <c r="M115" i="4"/>
  <c r="M136" i="4"/>
  <c r="M118" i="4"/>
  <c r="P86" i="4"/>
  <c r="P104" i="4"/>
  <c r="P101" i="4"/>
  <c r="P83" i="4"/>
  <c r="P97" i="4"/>
  <c r="P99" i="4"/>
  <c r="AE118" i="4"/>
  <c r="AE133" i="4"/>
  <c r="AE136" i="4"/>
  <c r="AE115" i="4"/>
  <c r="V41" i="5"/>
  <c r="V46" i="5" s="1"/>
  <c r="V23" i="5"/>
  <c r="V29" i="5" s="1"/>
  <c r="V20" i="5"/>
  <c r="V27" i="5" s="1"/>
  <c r="V36" i="5"/>
  <c r="V38" i="5"/>
  <c r="V44" i="5" s="1"/>
  <c r="V34" i="5"/>
  <c r="T21" i="5"/>
  <c r="T28" i="5" s="1"/>
  <c r="T24" i="5"/>
  <c r="T37" i="5"/>
  <c r="T39" i="5"/>
  <c r="T42" i="5"/>
  <c r="T35" i="5"/>
  <c r="N54" i="6"/>
  <c r="N60" i="6" s="1"/>
  <c r="N69" i="6"/>
  <c r="N75" i="6" s="1"/>
  <c r="N51" i="6"/>
  <c r="N58" i="6" s="1"/>
  <c r="N65" i="6"/>
  <c r="N72" i="6"/>
  <c r="N77" i="6" s="1"/>
  <c r="N67" i="6"/>
  <c r="V73" i="6"/>
  <c r="V78" i="6" s="1"/>
  <c r="V52" i="6"/>
  <c r="V70" i="6"/>
  <c r="V66" i="6"/>
  <c r="V68" i="6"/>
  <c r="V55" i="6"/>
  <c r="X37" i="6"/>
  <c r="X21" i="6"/>
  <c r="X35" i="6"/>
  <c r="X24" i="6"/>
  <c r="X30" i="6" s="1"/>
  <c r="X42" i="6"/>
  <c r="X39" i="6"/>
  <c r="AG66" i="6"/>
  <c r="AG52" i="6"/>
  <c r="AG59" i="6" s="1"/>
  <c r="AG55" i="6"/>
  <c r="AG61" i="6" s="1"/>
  <c r="AG73" i="6"/>
  <c r="AG68" i="6"/>
  <c r="AG70" i="6"/>
  <c r="AC34" i="6"/>
  <c r="AC23" i="6"/>
  <c r="AC29" i="6" s="1"/>
  <c r="AC36" i="6"/>
  <c r="AC41" i="6"/>
  <c r="AC46" i="6" s="1"/>
  <c r="AC38" i="6"/>
  <c r="AC44" i="6" s="1"/>
  <c r="AC20" i="6"/>
  <c r="AC27" i="6" s="1"/>
  <c r="AE130" i="6"/>
  <c r="AE117" i="6"/>
  <c r="AE123" i="6" s="1"/>
  <c r="AE114" i="6"/>
  <c r="AE128" i="6"/>
  <c r="AE132" i="6"/>
  <c r="AE135" i="6"/>
  <c r="I20" i="6"/>
  <c r="I27" i="6" s="1"/>
  <c r="I38" i="6"/>
  <c r="I44" i="6" s="1"/>
  <c r="I23" i="6"/>
  <c r="I29" i="6" s="1"/>
  <c r="I36" i="6"/>
  <c r="I34" i="6"/>
  <c r="I41" i="6"/>
  <c r="I46" i="6" s="1"/>
  <c r="W103" i="6"/>
  <c r="W108" i="6" s="1"/>
  <c r="W96" i="6"/>
  <c r="W98" i="6"/>
  <c r="W82" i="6"/>
  <c r="W89" i="6" s="1"/>
  <c r="W85" i="6"/>
  <c r="W91" i="6" s="1"/>
  <c r="W100" i="6"/>
  <c r="W106" i="6" s="1"/>
  <c r="L43" i="6"/>
  <c r="L22" i="6"/>
  <c r="L40" i="6"/>
  <c r="L25" i="6"/>
  <c r="X53" i="6"/>
  <c r="X56" i="6"/>
  <c r="X71" i="6"/>
  <c r="X74" i="6"/>
  <c r="AE74" i="6"/>
  <c r="AE56" i="6"/>
  <c r="AE53" i="6"/>
  <c r="AE71" i="6"/>
  <c r="J20" i="6"/>
  <c r="J27" i="6" s="1"/>
  <c r="J36" i="6"/>
  <c r="J41" i="6"/>
  <c r="J46" i="6" s="1"/>
  <c r="J38" i="6"/>
  <c r="J44" i="6" s="1"/>
  <c r="J34" i="6"/>
  <c r="J23" i="6"/>
  <c r="J29" i="6" s="1"/>
  <c r="AE51" i="6"/>
  <c r="AE58" i="6" s="1"/>
  <c r="AE69" i="6"/>
  <c r="AE75" i="6" s="1"/>
  <c r="AE67" i="6"/>
  <c r="AE65" i="6"/>
  <c r="AE54" i="6"/>
  <c r="AE60" i="6" s="1"/>
  <c r="AE72" i="6"/>
  <c r="AE77" i="6" s="1"/>
  <c r="AA118" i="6"/>
  <c r="AA133" i="6"/>
  <c r="AA136" i="6"/>
  <c r="AA115" i="6"/>
  <c r="K42" i="6"/>
  <c r="K39" i="6"/>
  <c r="K45" i="6" s="1"/>
  <c r="K35" i="6"/>
  <c r="K24" i="6"/>
  <c r="K30" i="6" s="1"/>
  <c r="K21" i="6"/>
  <c r="K37" i="6"/>
  <c r="W129" i="6"/>
  <c r="W116" i="6"/>
  <c r="W122" i="6" s="1"/>
  <c r="W127" i="6"/>
  <c r="W134" i="6"/>
  <c r="W139" i="6" s="1"/>
  <c r="W113" i="6"/>
  <c r="W120" i="6" s="1"/>
  <c r="W131" i="6"/>
  <c r="W137" i="6" s="1"/>
  <c r="W21" i="6"/>
  <c r="W28" i="6" s="1"/>
  <c r="W35" i="6"/>
  <c r="W24" i="6"/>
  <c r="W37" i="6"/>
  <c r="W42" i="6"/>
  <c r="W39" i="6"/>
  <c r="AJ101" i="6"/>
  <c r="AJ97" i="6"/>
  <c r="AJ99" i="6"/>
  <c r="AJ86" i="6"/>
  <c r="AJ83" i="6"/>
  <c r="AJ104" i="6"/>
  <c r="AJ109" i="6" s="1"/>
  <c r="AJ130" i="6"/>
  <c r="AJ114" i="6"/>
  <c r="AJ135" i="6"/>
  <c r="AJ117" i="6"/>
  <c r="AJ132" i="6"/>
  <c r="AJ138" i="6" s="1"/>
  <c r="AJ128" i="6"/>
  <c r="O53" i="6"/>
  <c r="O71" i="6"/>
  <c r="O56" i="6"/>
  <c r="O74" i="6"/>
  <c r="V98" i="6"/>
  <c r="V85" i="6"/>
  <c r="V91" i="6" s="1"/>
  <c r="V100" i="6"/>
  <c r="V106" i="6" s="1"/>
  <c r="V82" i="6"/>
  <c r="V89" i="6" s="1"/>
  <c r="V96" i="6"/>
  <c r="V103" i="6"/>
  <c r="V108" i="6" s="1"/>
  <c r="AS130" i="6"/>
  <c r="AS114" i="6"/>
  <c r="AS132" i="6"/>
  <c r="AS128" i="6"/>
  <c r="AS135" i="6"/>
  <c r="AS117" i="6"/>
  <c r="F86" i="6"/>
  <c r="F101" i="6"/>
  <c r="F97" i="6"/>
  <c r="F104" i="6"/>
  <c r="F109" i="6" s="1"/>
  <c r="F83" i="6"/>
  <c r="F90" i="6" s="1"/>
  <c r="F99" i="6"/>
  <c r="AE100" i="6"/>
  <c r="AE106" i="6" s="1"/>
  <c r="AE82" i="6"/>
  <c r="AE89" i="6" s="1"/>
  <c r="AE96" i="6"/>
  <c r="AE85" i="6"/>
  <c r="AE91" i="6" s="1"/>
  <c r="AE103" i="6"/>
  <c r="AE108" i="6" s="1"/>
  <c r="AE98" i="6"/>
  <c r="AD99" i="6"/>
  <c r="AD86" i="6"/>
  <c r="AD92" i="6" s="1"/>
  <c r="AD83" i="6"/>
  <c r="AD104" i="6"/>
  <c r="AD101" i="6"/>
  <c r="AD97" i="6"/>
  <c r="AS136" i="6"/>
  <c r="AS133" i="6"/>
  <c r="AS115" i="6"/>
  <c r="AS118" i="6"/>
  <c r="Z98" i="6"/>
  <c r="Z82" i="6"/>
  <c r="Z89" i="6" s="1"/>
  <c r="Z85" i="6"/>
  <c r="Z91" i="6" s="1"/>
  <c r="Z96" i="6"/>
  <c r="Z100" i="6"/>
  <c r="Z106" i="6" s="1"/>
  <c r="Z103" i="6"/>
  <c r="Z108" i="6" s="1"/>
  <c r="S116" i="6"/>
  <c r="S122" i="6" s="1"/>
  <c r="S131" i="6"/>
  <c r="S137" i="6" s="1"/>
  <c r="S127" i="6"/>
  <c r="S134" i="6"/>
  <c r="S139" i="6" s="1"/>
  <c r="S129" i="6"/>
  <c r="S113" i="6"/>
  <c r="S120" i="6" s="1"/>
  <c r="AQ131" i="6"/>
  <c r="AQ137" i="6" s="1"/>
  <c r="AQ129" i="6"/>
  <c r="AQ127" i="6"/>
  <c r="AQ113" i="6"/>
  <c r="AQ120" i="6" s="1"/>
  <c r="AQ116" i="6"/>
  <c r="AQ122" i="6" s="1"/>
  <c r="AQ134" i="6"/>
  <c r="AQ139" i="6" s="1"/>
  <c r="AN97" i="6"/>
  <c r="AN99" i="6"/>
  <c r="AN83" i="6"/>
  <c r="AN104" i="6"/>
  <c r="AN101" i="6"/>
  <c r="AN86" i="6"/>
  <c r="AI52" i="6"/>
  <c r="AI68" i="6"/>
  <c r="AI66" i="6"/>
  <c r="AI70" i="6"/>
  <c r="AI76" i="6" s="1"/>
  <c r="AI73" i="6"/>
  <c r="AI55" i="6"/>
  <c r="P24" i="6"/>
  <c r="P30" i="6" s="1"/>
  <c r="P21" i="6"/>
  <c r="P28" i="6" s="1"/>
  <c r="P35" i="6"/>
  <c r="P39" i="6"/>
  <c r="P45" i="6" s="1"/>
  <c r="P42" i="6"/>
  <c r="P37" i="6"/>
  <c r="R127" i="4"/>
  <c r="R131" i="4"/>
  <c r="R137" i="4" s="1"/>
  <c r="R116" i="4"/>
  <c r="R122" i="4" s="1"/>
  <c r="R113" i="4"/>
  <c r="R120" i="4" s="1"/>
  <c r="R129" i="4"/>
  <c r="R134" i="4"/>
  <c r="R139" i="4" s="1"/>
  <c r="K37" i="4"/>
  <c r="K24" i="4"/>
  <c r="K39" i="4"/>
  <c r="K45" i="4" s="1"/>
  <c r="K35" i="4"/>
  <c r="K42" i="4"/>
  <c r="K21" i="4"/>
  <c r="AC134" i="4"/>
  <c r="AC139" i="4" s="1"/>
  <c r="AC127" i="4"/>
  <c r="AC116" i="4"/>
  <c r="AC122" i="4" s="1"/>
  <c r="AC113" i="4"/>
  <c r="AC120" i="4" s="1"/>
  <c r="AC129" i="4"/>
  <c r="AC131" i="4"/>
  <c r="AC137" i="4" s="1"/>
  <c r="AB96" i="4"/>
  <c r="AB82" i="4"/>
  <c r="AB89" i="4" s="1"/>
  <c r="AB98" i="4"/>
  <c r="AB103" i="4"/>
  <c r="AB108" i="4" s="1"/>
  <c r="AB85" i="4"/>
  <c r="AB91" i="4" s="1"/>
  <c r="AB100" i="4"/>
  <c r="AB106" i="4" s="1"/>
  <c r="W70" i="4"/>
  <c r="W73" i="4"/>
  <c r="W66" i="4"/>
  <c r="W68" i="4"/>
  <c r="W55" i="4"/>
  <c r="W52" i="4"/>
  <c r="Y84" i="4"/>
  <c r="Y87" i="4"/>
  <c r="Y105" i="4"/>
  <c r="Y102" i="4"/>
  <c r="O105" i="4"/>
  <c r="O109" i="4" s="1"/>
  <c r="O84" i="4"/>
  <c r="O90" i="4" s="1"/>
  <c r="O102" i="4"/>
  <c r="O107" i="4" s="1"/>
  <c r="O87" i="4"/>
  <c r="T84" i="4"/>
  <c r="T102" i="4"/>
  <c r="T87" i="4"/>
  <c r="T105" i="4"/>
  <c r="V135" i="4"/>
  <c r="V130" i="4"/>
  <c r="V132" i="4"/>
  <c r="V138" i="4" s="1"/>
  <c r="V128" i="4"/>
  <c r="V117" i="4"/>
  <c r="V114" i="4"/>
  <c r="V121" i="4" s="1"/>
  <c r="F132" i="4"/>
  <c r="F138" i="4" s="1"/>
  <c r="F117" i="4"/>
  <c r="F123" i="4" s="1"/>
  <c r="F130" i="4"/>
  <c r="F114" i="4"/>
  <c r="F128" i="4"/>
  <c r="F135" i="4"/>
  <c r="W71" i="4"/>
  <c r="W74" i="4"/>
  <c r="W53" i="4"/>
  <c r="W56" i="4"/>
  <c r="P56" i="4"/>
  <c r="P53" i="4"/>
  <c r="P74" i="4"/>
  <c r="P71" i="4"/>
  <c r="F71" i="4"/>
  <c r="F74" i="4"/>
  <c r="F53" i="4"/>
  <c r="F56" i="4"/>
  <c r="Z100" i="4"/>
  <c r="Z106" i="4" s="1"/>
  <c r="Z96" i="4"/>
  <c r="Z85" i="4"/>
  <c r="Z91" i="4" s="1"/>
  <c r="Z103" i="4"/>
  <c r="Z108" i="4" s="1"/>
  <c r="Z82" i="4"/>
  <c r="Z89" i="4" s="1"/>
  <c r="Z98" i="4"/>
  <c r="P136" i="4"/>
  <c r="P118" i="4"/>
  <c r="P115" i="4"/>
  <c r="P133" i="4"/>
  <c r="F70" i="4"/>
  <c r="F52" i="4"/>
  <c r="F66" i="4"/>
  <c r="F68" i="4"/>
  <c r="F55" i="4"/>
  <c r="F73" i="4"/>
  <c r="S68" i="4"/>
  <c r="S55" i="4"/>
  <c r="S73" i="4"/>
  <c r="S78" i="4" s="1"/>
  <c r="S52" i="4"/>
  <c r="S70" i="4"/>
  <c r="S66" i="4"/>
  <c r="T134" i="4"/>
  <c r="T139" i="4" s="1"/>
  <c r="T129" i="4"/>
  <c r="T116" i="4"/>
  <c r="T122" i="4" s="1"/>
  <c r="T127" i="4"/>
  <c r="T113" i="4"/>
  <c r="T120" i="4" s="1"/>
  <c r="T131" i="4"/>
  <c r="T137" i="4" s="1"/>
  <c r="L51" i="4"/>
  <c r="L58" i="4" s="1"/>
  <c r="L54" i="4"/>
  <c r="L60" i="4" s="1"/>
  <c r="L69" i="4"/>
  <c r="L75" i="4" s="1"/>
  <c r="L72" i="4"/>
  <c r="L77" i="4" s="1"/>
  <c r="L65" i="4"/>
  <c r="L67" i="4"/>
  <c r="U66" i="5"/>
  <c r="U68" i="5"/>
  <c r="U70" i="5"/>
  <c r="U76" i="5" s="1"/>
  <c r="U73" i="5"/>
  <c r="U78" i="5" s="1"/>
  <c r="U55" i="5"/>
  <c r="U61" i="5" s="1"/>
  <c r="U52" i="5"/>
  <c r="U59" i="5" s="1"/>
  <c r="AC101" i="5"/>
  <c r="AC86" i="5"/>
  <c r="AC99" i="5"/>
  <c r="AC83" i="5"/>
  <c r="AC97" i="5"/>
  <c r="AC104" i="5"/>
  <c r="P56" i="5"/>
  <c r="P61" i="5" s="1"/>
  <c r="P71" i="5"/>
  <c r="P76" i="5" s="1"/>
  <c r="P53" i="5"/>
  <c r="P59" i="5" s="1"/>
  <c r="P74" i="5"/>
  <c r="P78" i="5" s="1"/>
  <c r="T86" i="5"/>
  <c r="T101" i="5"/>
  <c r="T104" i="5"/>
  <c r="T83" i="5"/>
  <c r="T99" i="5"/>
  <c r="T97" i="5"/>
  <c r="P115" i="5"/>
  <c r="P118" i="5"/>
  <c r="P133" i="5"/>
  <c r="P138" i="5" s="1"/>
  <c r="P136" i="5"/>
  <c r="P140" i="5" s="1"/>
  <c r="P128" i="5"/>
  <c r="N53" i="5"/>
  <c r="N74" i="5"/>
  <c r="N78" i="5" s="1"/>
  <c r="N68" i="5"/>
  <c r="N56" i="5"/>
  <c r="N66" i="5"/>
  <c r="N71" i="5"/>
  <c r="N76" i="5" s="1"/>
  <c r="R25" i="5"/>
  <c r="R22" i="5"/>
  <c r="R43" i="5"/>
  <c r="R40" i="5"/>
  <c r="R45" i="5" s="1"/>
  <c r="S35" i="5"/>
  <c r="S37" i="5"/>
  <c r="S39" i="5"/>
  <c r="S42" i="5"/>
  <c r="S47" i="5" s="1"/>
  <c r="S21" i="5"/>
  <c r="S24" i="5"/>
  <c r="U83" i="5"/>
  <c r="U104" i="5"/>
  <c r="U109" i="5" s="1"/>
  <c r="U97" i="5"/>
  <c r="U99" i="5"/>
  <c r="U86" i="5"/>
  <c r="U101" i="5"/>
  <c r="AD115" i="5"/>
  <c r="AD133" i="5"/>
  <c r="AD118" i="5"/>
  <c r="AD136" i="5"/>
  <c r="Q102" i="5"/>
  <c r="Q84" i="5"/>
  <c r="Q87" i="5"/>
  <c r="Q105" i="5"/>
  <c r="Q109" i="5" s="1"/>
  <c r="Q97" i="5"/>
  <c r="AE127" i="5"/>
  <c r="AE134" i="5"/>
  <c r="AE139" i="5" s="1"/>
  <c r="AE116" i="5"/>
  <c r="AE122" i="5" s="1"/>
  <c r="AE131" i="5"/>
  <c r="AE137" i="5" s="1"/>
  <c r="AE129" i="5"/>
  <c r="AE113" i="5"/>
  <c r="AE120" i="5" s="1"/>
  <c r="W83" i="5"/>
  <c r="W97" i="5"/>
  <c r="W99" i="5"/>
  <c r="W101" i="5"/>
  <c r="W107" i="5" s="1"/>
  <c r="W86" i="5"/>
  <c r="W104" i="5"/>
  <c r="R69" i="5"/>
  <c r="R75" i="5" s="1"/>
  <c r="R67" i="5"/>
  <c r="R72" i="5"/>
  <c r="R77" i="5" s="1"/>
  <c r="R51" i="5"/>
  <c r="R58" i="5" s="1"/>
  <c r="R65" i="5"/>
  <c r="R54" i="5"/>
  <c r="R60" i="5" s="1"/>
  <c r="AB99" i="5"/>
  <c r="T67" i="5"/>
  <c r="T54" i="5"/>
  <c r="T60" i="5" s="1"/>
  <c r="T51" i="5"/>
  <c r="T58" i="5" s="1"/>
  <c r="T69" i="5"/>
  <c r="T75" i="5" s="1"/>
  <c r="T65" i="5"/>
  <c r="T72" i="5"/>
  <c r="T77" i="5" s="1"/>
  <c r="AA85" i="5"/>
  <c r="AA91" i="5" s="1"/>
  <c r="AA96" i="5"/>
  <c r="AA100" i="5"/>
  <c r="AA106" i="5" s="1"/>
  <c r="AA103" i="5"/>
  <c r="AA108" i="5" s="1"/>
  <c r="AA98" i="5"/>
  <c r="AA82" i="5"/>
  <c r="AA89" i="5" s="1"/>
  <c r="R85" i="5"/>
  <c r="R91" i="5" s="1"/>
  <c r="R96" i="5"/>
  <c r="R103" i="5"/>
  <c r="R108" i="5" s="1"/>
  <c r="R100" i="5"/>
  <c r="R106" i="5" s="1"/>
  <c r="R98" i="5"/>
  <c r="R82" i="5"/>
  <c r="R89" i="5" s="1"/>
  <c r="AA66" i="5"/>
  <c r="Z9" i="8"/>
  <c r="O77" i="7"/>
  <c r="U75" i="7"/>
  <c r="I75" i="7"/>
  <c r="I67" i="7" s="1"/>
  <c r="I66" i="7" s="1"/>
  <c r="F106" i="7"/>
  <c r="I73" i="7"/>
  <c r="U73" i="7"/>
  <c r="D73" i="7" s="1"/>
  <c r="I74" i="7"/>
  <c r="I62" i="7" s="1"/>
  <c r="U74" i="7"/>
  <c r="D74" i="7" s="1"/>
  <c r="Z70" i="8"/>
  <c r="AT5" i="8"/>
  <c r="F8" i="8"/>
  <c r="Z8" i="8" s="1"/>
  <c r="AT6" i="8"/>
  <c r="U93" i="8"/>
  <c r="U125" i="8" s="1"/>
  <c r="P95" i="8"/>
  <c r="U95" i="8"/>
  <c r="P94" i="8"/>
  <c r="Z79" i="8"/>
  <c r="AT79" i="8"/>
  <c r="U94" i="8"/>
  <c r="P93" i="8"/>
  <c r="F93" i="8"/>
  <c r="K93" i="8"/>
  <c r="F95" i="8"/>
  <c r="P60" i="8"/>
  <c r="AT77" i="8"/>
  <c r="F68" i="8"/>
  <c r="Z77" i="8"/>
  <c r="Z69" i="8"/>
  <c r="AT73" i="8"/>
  <c r="Z73" i="8"/>
  <c r="F72" i="8"/>
  <c r="Z28" i="8"/>
  <c r="AE28" i="8"/>
  <c r="AJ28" i="8"/>
  <c r="AO28" i="8"/>
  <c r="AE30" i="8"/>
  <c r="Z29" i="8"/>
  <c r="AO30" i="8"/>
  <c r="AE29" i="8"/>
  <c r="AO29" i="8"/>
  <c r="AJ29" i="8"/>
  <c r="AJ30" i="8"/>
  <c r="Z30" i="8"/>
  <c r="AT28" i="8"/>
  <c r="AY28" i="8"/>
  <c r="BD28" i="8"/>
  <c r="BI28" i="8"/>
  <c r="AY30" i="8"/>
  <c r="AY29" i="8"/>
  <c r="AT30" i="8"/>
  <c r="BD30" i="8"/>
  <c r="BI29" i="8"/>
  <c r="BI30" i="8"/>
  <c r="BD29" i="8"/>
  <c r="AT29" i="8"/>
  <c r="O25" i="7"/>
  <c r="O24" i="7"/>
  <c r="O26" i="7"/>
  <c r="B189" i="13" l="1"/>
  <c r="B146" i="10" s="1"/>
  <c r="C172" i="13"/>
  <c r="B188" i="13" s="1"/>
  <c r="B145" i="10" s="1"/>
  <c r="Q78" i="5"/>
  <c r="AK138" i="6"/>
  <c r="V90" i="6"/>
  <c r="R76" i="6"/>
  <c r="S107" i="5"/>
  <c r="AD121" i="4"/>
  <c r="V76" i="4"/>
  <c r="R61" i="5"/>
  <c r="AA107" i="6"/>
  <c r="AD140" i="6"/>
  <c r="AC78" i="5"/>
  <c r="W138" i="5"/>
  <c r="V140" i="6"/>
  <c r="Y61" i="5"/>
  <c r="T121" i="4"/>
  <c r="J30" i="5"/>
  <c r="F107" i="5"/>
  <c r="K59" i="5"/>
  <c r="AK138" i="5"/>
  <c r="I47" i="5"/>
  <c r="T76" i="5"/>
  <c r="T78" i="6"/>
  <c r="M90" i="5"/>
  <c r="S123" i="6"/>
  <c r="AK123" i="5"/>
  <c r="V78" i="5"/>
  <c r="AB61" i="5"/>
  <c r="P47" i="6"/>
  <c r="Z76" i="5"/>
  <c r="N47" i="5"/>
  <c r="F30" i="5"/>
  <c r="L61" i="4"/>
  <c r="T47" i="5"/>
  <c r="AD59" i="6"/>
  <c r="M78" i="6"/>
  <c r="AI61" i="6"/>
  <c r="AN109" i="6"/>
  <c r="AS121" i="6"/>
  <c r="AJ121" i="6"/>
  <c r="W45" i="6"/>
  <c r="AG78" i="6"/>
  <c r="X28" i="6"/>
  <c r="P90" i="4"/>
  <c r="AA92" i="5"/>
  <c r="M30" i="4"/>
  <c r="U109" i="6"/>
  <c r="T121" i="6"/>
  <c r="V109" i="6"/>
  <c r="AC140" i="4"/>
  <c r="U59" i="4"/>
  <c r="U45" i="5"/>
  <c r="Y109" i="5"/>
  <c r="R121" i="4"/>
  <c r="R92" i="5"/>
  <c r="S59" i="6"/>
  <c r="S28" i="6"/>
  <c r="N78" i="4"/>
  <c r="P121" i="5"/>
  <c r="AM140" i="5"/>
  <c r="O28" i="6"/>
  <c r="O78" i="5"/>
  <c r="I45" i="5"/>
  <c r="AA90" i="4"/>
  <c r="AC61" i="5"/>
  <c r="F76" i="6"/>
  <c r="AG121" i="5"/>
  <c r="AJ140" i="5"/>
  <c r="U90" i="5"/>
  <c r="R47" i="5"/>
  <c r="T90" i="5"/>
  <c r="Z109" i="4"/>
  <c r="Z47" i="6"/>
  <c r="Q78" i="6"/>
  <c r="AM109" i="6"/>
  <c r="Y90" i="6"/>
  <c r="AG92" i="6"/>
  <c r="Q76" i="4"/>
  <c r="S92" i="6"/>
  <c r="Q45" i="6"/>
  <c r="AF92" i="6"/>
  <c r="M90" i="4"/>
  <c r="Y90" i="5"/>
  <c r="S92" i="5"/>
  <c r="Z78" i="5"/>
  <c r="T61" i="4"/>
  <c r="W123" i="5"/>
  <c r="Z90" i="6"/>
  <c r="V59" i="4"/>
  <c r="AH78" i="6"/>
  <c r="AD107" i="6"/>
  <c r="S140" i="6"/>
  <c r="N30" i="4"/>
  <c r="I28" i="6"/>
  <c r="T109" i="6"/>
  <c r="T140" i="4"/>
  <c r="AA59" i="6"/>
  <c r="Y47" i="6"/>
  <c r="K47" i="5"/>
  <c r="W92" i="5"/>
  <c r="K47" i="6"/>
  <c r="R90" i="4"/>
  <c r="F140" i="4"/>
  <c r="O92" i="4"/>
  <c r="X45" i="6"/>
  <c r="U92" i="4"/>
  <c r="M45" i="6"/>
  <c r="P107" i="6"/>
  <c r="R138" i="5"/>
  <c r="L28" i="5"/>
  <c r="O59" i="4"/>
  <c r="R59" i="5"/>
  <c r="S30" i="5"/>
  <c r="K30" i="4"/>
  <c r="F107" i="6"/>
  <c r="V61" i="6"/>
  <c r="P109" i="4"/>
  <c r="P28" i="5"/>
  <c r="R59" i="4"/>
  <c r="U90" i="4"/>
  <c r="T61" i="6"/>
  <c r="N28" i="4"/>
  <c r="Z76" i="6"/>
  <c r="Q59" i="4"/>
  <c r="X90" i="6"/>
  <c r="T90" i="6"/>
  <c r="AB123" i="6"/>
  <c r="AA76" i="5"/>
  <c r="V90" i="5"/>
  <c r="Z59" i="5"/>
  <c r="T59" i="4"/>
  <c r="AH61" i="6"/>
  <c r="Q61" i="5"/>
  <c r="AA90" i="6"/>
  <c r="AM138" i="5"/>
  <c r="U140" i="6"/>
  <c r="T45" i="6"/>
  <c r="AB59" i="5"/>
  <c r="J45" i="5"/>
  <c r="O121" i="5"/>
  <c r="L45" i="5"/>
  <c r="K30" i="5"/>
  <c r="AE109" i="5"/>
  <c r="R109" i="5"/>
  <c r="AD78" i="6"/>
  <c r="N47" i="4"/>
  <c r="Q92" i="5"/>
  <c r="U92" i="5"/>
  <c r="P123" i="5"/>
  <c r="AE121" i="6"/>
  <c r="I30" i="4"/>
  <c r="AB121" i="5"/>
  <c r="AD123" i="6"/>
  <c r="Z123" i="5"/>
  <c r="Q140" i="5"/>
  <c r="M45" i="5"/>
  <c r="S140" i="4"/>
  <c r="AB59" i="6"/>
  <c r="AF107" i="5"/>
  <c r="Q123" i="4"/>
  <c r="AC109" i="5"/>
  <c r="AM123" i="5"/>
  <c r="X138" i="5"/>
  <c r="R121" i="5"/>
  <c r="AJ90" i="6"/>
  <c r="T28" i="6"/>
  <c r="AK121" i="5"/>
  <c r="U45" i="6"/>
  <c r="AB140" i="5"/>
  <c r="AF140" i="4"/>
  <c r="AF61" i="6"/>
  <c r="AM107" i="6"/>
  <c r="AG107" i="6"/>
  <c r="U121" i="6"/>
  <c r="U76" i="6"/>
  <c r="M30" i="5"/>
  <c r="O47" i="5"/>
  <c r="W59" i="5"/>
  <c r="N59" i="5"/>
  <c r="T107" i="5"/>
  <c r="R61" i="4"/>
  <c r="N61" i="5"/>
  <c r="AC107" i="5"/>
  <c r="S61" i="4"/>
  <c r="AA90" i="5"/>
  <c r="M78" i="5"/>
  <c r="R78" i="4"/>
  <c r="M47" i="6"/>
  <c r="AF78" i="6"/>
  <c r="M107" i="5"/>
  <c r="AB121" i="4"/>
  <c r="AG90" i="6"/>
  <c r="F28" i="5"/>
  <c r="F59" i="6"/>
  <c r="Z61" i="6"/>
  <c r="O140" i="4"/>
  <c r="AK92" i="6"/>
  <c r="Z107" i="5"/>
  <c r="K28" i="5"/>
  <c r="W47" i="6"/>
  <c r="Z30" i="6"/>
  <c r="AB45" i="6"/>
  <c r="Y76" i="5"/>
  <c r="T30" i="5"/>
  <c r="Q76" i="5"/>
  <c r="AB140" i="4"/>
  <c r="Z138" i="5"/>
  <c r="F30" i="6"/>
  <c r="V121" i="6"/>
  <c r="AC121" i="4"/>
  <c r="R140" i="4"/>
  <c r="AH59" i="6"/>
  <c r="R30" i="5"/>
  <c r="AE138" i="6"/>
  <c r="AK109" i="6"/>
  <c r="Q30" i="6"/>
  <c r="J47" i="4"/>
  <c r="AC90" i="6"/>
  <c r="AD109" i="6"/>
  <c r="AM92" i="6"/>
  <c r="U78" i="6"/>
  <c r="AA76" i="6"/>
  <c r="AI59" i="6"/>
  <c r="AI109" i="6"/>
  <c r="AB61" i="6"/>
  <c r="U47" i="5"/>
  <c r="R59" i="6"/>
  <c r="Q90" i="5"/>
  <c r="V59" i="6"/>
  <c r="M28" i="4"/>
  <c r="O30" i="6"/>
  <c r="Q47" i="5"/>
  <c r="S123" i="4"/>
  <c r="AF90" i="6"/>
  <c r="V61" i="5"/>
  <c r="Q61" i="6"/>
  <c r="AH92" i="5"/>
  <c r="Q61" i="4"/>
  <c r="X92" i="6"/>
  <c r="M59" i="6"/>
  <c r="W59" i="6"/>
  <c r="O40" i="7"/>
  <c r="O50" i="7" s="1"/>
  <c r="O33" i="7"/>
  <c r="M50" i="9"/>
  <c r="D126" i="10"/>
  <c r="M43" i="9"/>
  <c r="D119" i="10"/>
  <c r="M49" i="9"/>
  <c r="D125" i="10"/>
  <c r="M39" i="9"/>
  <c r="D115" i="10"/>
  <c r="M41" i="9"/>
  <c r="D117" i="10"/>
  <c r="M44" i="9"/>
  <c r="D120" i="10"/>
  <c r="M46" i="9"/>
  <c r="D122" i="10"/>
  <c r="M48" i="9"/>
  <c r="D124" i="10"/>
  <c r="M45" i="9"/>
  <c r="D121" i="10"/>
  <c r="M47" i="9"/>
  <c r="D123" i="10"/>
  <c r="M42" i="9"/>
  <c r="D118" i="10"/>
  <c r="K310" i="13"/>
  <c r="K341" i="13" s="1"/>
  <c r="E287" i="13"/>
  <c r="E318" i="13" s="1"/>
  <c r="E349" i="13" s="1"/>
  <c r="G48" i="9" s="1"/>
  <c r="E286" i="13"/>
  <c r="E317" i="13" s="1"/>
  <c r="E348" i="13" s="1"/>
  <c r="G47" i="9" s="1"/>
  <c r="F42" i="8"/>
  <c r="F45" i="8" s="1"/>
  <c r="H185" i="13"/>
  <c r="C184" i="13"/>
  <c r="C185" i="13" s="1"/>
  <c r="I185" i="13"/>
  <c r="C183" i="13"/>
  <c r="C182" i="13"/>
  <c r="F108" i="8"/>
  <c r="L168" i="8"/>
  <c r="Q160" i="8"/>
  <c r="L167" i="8"/>
  <c r="Q159" i="8"/>
  <c r="S158" i="8"/>
  <c r="N166" i="8"/>
  <c r="N168" i="8"/>
  <c r="S160" i="8"/>
  <c r="L166" i="8"/>
  <c r="Q158" i="8"/>
  <c r="S159" i="8"/>
  <c r="N167" i="8"/>
  <c r="M168" i="8"/>
  <c r="R160" i="8"/>
  <c r="R159" i="8"/>
  <c r="M167" i="8"/>
  <c r="R158" i="8"/>
  <c r="M166" i="8"/>
  <c r="Q28" i="5"/>
  <c r="AB78" i="5"/>
  <c r="Q78" i="4"/>
  <c r="Y140" i="6"/>
  <c r="U28" i="5"/>
  <c r="AA61" i="6"/>
  <c r="AN90" i="6"/>
  <c r="P107" i="4"/>
  <c r="M76" i="5"/>
  <c r="R107" i="4"/>
  <c r="Y138" i="4"/>
  <c r="AC123" i="4"/>
  <c r="AG140" i="4"/>
  <c r="AB140" i="6"/>
  <c r="O59" i="5"/>
  <c r="AA61" i="5"/>
  <c r="Z61" i="5"/>
  <c r="AE140" i="5"/>
  <c r="M47" i="4"/>
  <c r="AD123" i="4"/>
  <c r="AI90" i="6"/>
  <c r="Q59" i="6"/>
  <c r="Q123" i="5"/>
  <c r="R78" i="5"/>
  <c r="T109" i="5"/>
  <c r="F92" i="6"/>
  <c r="W30" i="6"/>
  <c r="I28" i="4"/>
  <c r="S121" i="6"/>
  <c r="AF140" i="6"/>
  <c r="S109" i="6"/>
  <c r="W90" i="5"/>
  <c r="AH92" i="6"/>
  <c r="AB123" i="5"/>
  <c r="AK121" i="6"/>
  <c r="F109" i="4"/>
  <c r="X123" i="5"/>
  <c r="V107" i="4"/>
  <c r="AL121" i="5"/>
  <c r="Z109" i="5"/>
  <c r="AC140" i="6"/>
  <c r="AL121" i="6"/>
  <c r="X76" i="6"/>
  <c r="W123" i="4"/>
  <c r="F61" i="5"/>
  <c r="AI92" i="5"/>
  <c r="U61" i="6"/>
  <c r="Q109" i="4"/>
  <c r="AA30" i="6"/>
  <c r="V59" i="5"/>
  <c r="AJ123" i="6"/>
  <c r="K61" i="4"/>
  <c r="K78" i="5"/>
  <c r="N76" i="4"/>
  <c r="T123" i="6"/>
  <c r="AH107" i="5"/>
  <c r="AC138" i="4"/>
  <c r="AM121" i="6"/>
  <c r="W61" i="6"/>
  <c r="O61" i="4"/>
  <c r="AC92" i="6"/>
  <c r="AH76" i="6"/>
  <c r="K125" i="8"/>
  <c r="P125" i="8"/>
  <c r="F125" i="8"/>
  <c r="P42" i="8"/>
  <c r="P47" i="8" s="1"/>
  <c r="R28" i="5"/>
  <c r="AE140" i="6"/>
  <c r="U30" i="6"/>
  <c r="AC76" i="6"/>
  <c r="AF123" i="6"/>
  <c r="M47" i="5"/>
  <c r="S138" i="4"/>
  <c r="J45" i="4"/>
  <c r="AG123" i="6"/>
  <c r="V30" i="6"/>
  <c r="X78" i="6"/>
  <c r="AA121" i="6"/>
  <c r="W121" i="4"/>
  <c r="W78" i="6"/>
  <c r="AA59" i="5"/>
  <c r="N45" i="6"/>
  <c r="U107" i="5"/>
  <c r="S59" i="4"/>
  <c r="I47" i="4"/>
  <c r="AA92" i="6"/>
  <c r="AG109" i="6"/>
  <c r="Y121" i="4"/>
  <c r="Z78" i="6"/>
  <c r="AL92" i="6"/>
  <c r="AH140" i="5"/>
  <c r="X138" i="6"/>
  <c r="Z92" i="5"/>
  <c r="R138" i="4"/>
  <c r="AC107" i="6"/>
  <c r="F76" i="4"/>
  <c r="AD90" i="6"/>
  <c r="V76" i="6"/>
  <c r="Q76" i="6"/>
  <c r="AB123" i="4"/>
  <c r="K76" i="5"/>
  <c r="AE123" i="4"/>
  <c r="U123" i="4"/>
  <c r="AC61" i="6"/>
  <c r="AL107" i="6"/>
  <c r="AM138" i="6"/>
  <c r="AC109" i="6"/>
  <c r="AI109" i="5"/>
  <c r="AN92" i="6"/>
  <c r="Q59" i="5"/>
  <c r="Z45" i="6"/>
  <c r="Z140" i="5"/>
  <c r="L59" i="4"/>
  <c r="U138" i="6"/>
  <c r="L45" i="6"/>
  <c r="F138" i="5"/>
  <c r="AL123" i="5"/>
  <c r="N138" i="4"/>
  <c r="P78" i="4"/>
  <c r="Q140" i="4"/>
  <c r="R61" i="6"/>
  <c r="T78" i="4"/>
  <c r="AI107" i="5"/>
  <c r="W109" i="5"/>
  <c r="Q107" i="5"/>
  <c r="K47" i="4"/>
  <c r="AE123" i="5"/>
  <c r="AB90" i="6"/>
  <c r="Y123" i="4"/>
  <c r="F90" i="4"/>
  <c r="T30" i="6"/>
  <c r="X107" i="6"/>
  <c r="W90" i="4"/>
  <c r="F121" i="5"/>
  <c r="S92" i="4"/>
  <c r="N123" i="4"/>
  <c r="N28" i="6"/>
  <c r="F121" i="6"/>
  <c r="T76" i="4"/>
  <c r="AN138" i="6"/>
  <c r="W109" i="6"/>
  <c r="F78" i="4"/>
  <c r="W78" i="4"/>
  <c r="T45" i="5"/>
  <c r="AD140" i="4"/>
  <c r="U107" i="4"/>
  <c r="AB30" i="6"/>
  <c r="AR140" i="6"/>
  <c r="R92" i="4"/>
  <c r="X78" i="5"/>
  <c r="U90" i="6"/>
  <c r="V107" i="6"/>
  <c r="AB138" i="6"/>
  <c r="Y138" i="6"/>
  <c r="Z138" i="6"/>
  <c r="Q47" i="4"/>
  <c r="O78" i="4"/>
  <c r="L30" i="4"/>
  <c r="M121" i="4"/>
  <c r="F123" i="6"/>
  <c r="L78" i="6"/>
  <c r="F78" i="5"/>
  <c r="AI90" i="5"/>
  <c r="W76" i="4"/>
  <c r="AI78" i="6"/>
  <c r="AA109" i="5"/>
  <c r="N61" i="4"/>
  <c r="F78" i="6"/>
  <c r="F47" i="6"/>
  <c r="X140" i="5"/>
  <c r="U78" i="4"/>
  <c r="AB76" i="6"/>
  <c r="AE90" i="6"/>
  <c r="Q47" i="6"/>
  <c r="P123" i="4"/>
  <c r="K78" i="4"/>
  <c r="AC92" i="5"/>
  <c r="R76" i="4"/>
  <c r="AQ123" i="6"/>
  <c r="V140" i="4"/>
  <c r="AN107" i="6"/>
  <c r="AS138" i="6"/>
  <c r="AJ140" i="6"/>
  <c r="AJ107" i="6"/>
  <c r="AG123" i="5"/>
  <c r="AJ123" i="5"/>
  <c r="AD138" i="4"/>
  <c r="Z92" i="4"/>
  <c r="T59" i="6"/>
  <c r="AB107" i="6"/>
  <c r="S45" i="6"/>
  <c r="Y92" i="6"/>
  <c r="AD76" i="6"/>
  <c r="AE140" i="4"/>
  <c r="U138" i="4"/>
  <c r="AE61" i="6"/>
  <c r="AH121" i="5"/>
  <c r="AH90" i="5"/>
  <c r="AD123" i="5"/>
  <c r="P121" i="4"/>
  <c r="AG138" i="4"/>
  <c r="V109" i="4"/>
  <c r="O76" i="5"/>
  <c r="Q90" i="4"/>
  <c r="W109" i="4"/>
  <c r="N140" i="4"/>
  <c r="P76" i="4"/>
  <c r="Q121" i="4"/>
  <c r="T107" i="4"/>
  <c r="Y109" i="4"/>
  <c r="X109" i="4"/>
  <c r="AC123" i="6"/>
  <c r="AG138" i="6"/>
  <c r="AL140" i="6"/>
  <c r="V28" i="6"/>
  <c r="N47" i="6"/>
  <c r="Y28" i="6"/>
  <c r="X61" i="6"/>
  <c r="AI121" i="6"/>
  <c r="AA140" i="6"/>
  <c r="W138" i="4"/>
  <c r="AB107" i="4"/>
  <c r="AC28" i="6"/>
  <c r="Q45" i="4"/>
  <c r="AH121" i="6"/>
  <c r="V138" i="5"/>
  <c r="Z138" i="4"/>
  <c r="F140" i="6"/>
  <c r="L61" i="6"/>
  <c r="T123" i="5"/>
  <c r="L28" i="4"/>
  <c r="P109" i="6"/>
  <c r="V90" i="4"/>
  <c r="AF76" i="6"/>
  <c r="AK140" i="6"/>
  <c r="AD61" i="6"/>
  <c r="AC78" i="6"/>
  <c r="L47" i="6"/>
  <c r="R28" i="6"/>
  <c r="J45" i="6"/>
  <c r="X121" i="6"/>
  <c r="U61" i="4"/>
  <c r="O59" i="6"/>
  <c r="AE109" i="6"/>
  <c r="Y121" i="6"/>
  <c r="F140" i="5"/>
  <c r="L109" i="4"/>
  <c r="X92" i="4"/>
  <c r="AL138" i="6"/>
  <c r="AP138" i="6"/>
  <c r="M76" i="6"/>
  <c r="Y30" i="6"/>
  <c r="R109" i="6"/>
  <c r="F47" i="4"/>
  <c r="N78" i="6"/>
  <c r="M138" i="4"/>
  <c r="F138" i="6"/>
  <c r="W121" i="6"/>
  <c r="O107" i="5"/>
  <c r="S123" i="5"/>
  <c r="AN121" i="6"/>
  <c r="F61" i="4"/>
  <c r="AC59" i="6"/>
  <c r="O45" i="6"/>
  <c r="Y107" i="4"/>
  <c r="AP121" i="6"/>
  <c r="Z123" i="4"/>
  <c r="S140" i="5"/>
  <c r="AH90" i="6"/>
  <c r="S28" i="5"/>
  <c r="AC90" i="5"/>
  <c r="S76" i="4"/>
  <c r="V123" i="4"/>
  <c r="P92" i="4"/>
  <c r="P30" i="5"/>
  <c r="Z90" i="4"/>
  <c r="M28" i="6"/>
  <c r="AB109" i="6"/>
  <c r="M92" i="5"/>
  <c r="S138" i="6"/>
  <c r="K61" i="5"/>
  <c r="AE138" i="4"/>
  <c r="U121" i="4"/>
  <c r="U123" i="6"/>
  <c r="AF138" i="6"/>
  <c r="L28" i="6"/>
  <c r="AE76" i="6"/>
  <c r="Z107" i="6"/>
  <c r="F107" i="4"/>
  <c r="F28" i="6"/>
  <c r="I45" i="6"/>
  <c r="J28" i="6"/>
  <c r="AG92" i="5"/>
  <c r="AL109" i="6"/>
  <c r="X123" i="6"/>
  <c r="AD138" i="5"/>
  <c r="P138" i="4"/>
  <c r="O78" i="6"/>
  <c r="AE92" i="6"/>
  <c r="O61" i="5"/>
  <c r="F123" i="5"/>
  <c r="AL138" i="5"/>
  <c r="S109" i="4"/>
  <c r="L90" i="4"/>
  <c r="X90" i="4"/>
  <c r="AP140" i="6"/>
  <c r="AI140" i="6"/>
  <c r="AA123" i="6"/>
  <c r="AB109" i="4"/>
  <c r="F28" i="4"/>
  <c r="AC47" i="6"/>
  <c r="S59" i="5"/>
  <c r="V123" i="5"/>
  <c r="L47" i="4"/>
  <c r="W123" i="6"/>
  <c r="S121" i="5"/>
  <c r="AN123" i="6"/>
  <c r="W90" i="6"/>
  <c r="Z121" i="4"/>
  <c r="T138" i="5"/>
  <c r="P59" i="6"/>
  <c r="S61" i="6"/>
  <c r="T92" i="5"/>
  <c r="F59" i="4"/>
  <c r="W59" i="4"/>
  <c r="AS123" i="6"/>
  <c r="AJ92" i="6"/>
  <c r="AB92" i="6"/>
  <c r="AR123" i="6"/>
  <c r="K76" i="4"/>
  <c r="Q90" i="6"/>
  <c r="U140" i="4"/>
  <c r="AE78" i="6"/>
  <c r="U92" i="6"/>
  <c r="J47" i="6"/>
  <c r="AG90" i="5"/>
  <c r="AL90" i="6"/>
  <c r="X140" i="6"/>
  <c r="P140" i="4"/>
  <c r="AG121" i="4"/>
  <c r="O61" i="6"/>
  <c r="T92" i="6"/>
  <c r="AE107" i="6"/>
  <c r="Y123" i="6"/>
  <c r="AF107" i="6"/>
  <c r="AM123" i="6"/>
  <c r="Z123" i="6"/>
  <c r="W92" i="4"/>
  <c r="S90" i="4"/>
  <c r="N121" i="4"/>
  <c r="T92" i="4"/>
  <c r="L107" i="4"/>
  <c r="AG121" i="6"/>
  <c r="AL123" i="6"/>
  <c r="V45" i="6"/>
  <c r="M61" i="6"/>
  <c r="R90" i="6"/>
  <c r="AA138" i="6"/>
  <c r="AB90" i="4"/>
  <c r="AA47" i="6"/>
  <c r="F45" i="4"/>
  <c r="AC30" i="6"/>
  <c r="N76" i="6"/>
  <c r="S61" i="5"/>
  <c r="V121" i="5"/>
  <c r="L45" i="4"/>
  <c r="L59" i="6"/>
  <c r="O92" i="5"/>
  <c r="S138" i="5"/>
  <c r="P78" i="6"/>
  <c r="AN140" i="6"/>
  <c r="W92" i="6"/>
  <c r="I45" i="4"/>
  <c r="AQ138" i="6"/>
  <c r="R45" i="6"/>
  <c r="S45" i="5"/>
  <c r="W61" i="4"/>
  <c r="K28" i="6"/>
  <c r="AE121" i="4"/>
  <c r="P92" i="6"/>
  <c r="L30" i="6"/>
  <c r="T140" i="6"/>
  <c r="F45" i="6"/>
  <c r="AG107" i="5"/>
  <c r="AH138" i="5"/>
  <c r="AD121" i="5"/>
  <c r="Z121" i="6"/>
  <c r="Q107" i="4"/>
  <c r="U30" i="5"/>
  <c r="P59" i="4"/>
  <c r="L92" i="4"/>
  <c r="Y90" i="4"/>
  <c r="AC138" i="6"/>
  <c r="AG140" i="6"/>
  <c r="V47" i="6"/>
  <c r="AP123" i="6"/>
  <c r="AI138" i="6"/>
  <c r="R92" i="6"/>
  <c r="F30" i="4"/>
  <c r="AC45" i="6"/>
  <c r="N61" i="6"/>
  <c r="Q28" i="4"/>
  <c r="AH140" i="6"/>
  <c r="K45" i="5"/>
  <c r="V140" i="5"/>
  <c r="M123" i="4"/>
  <c r="W138" i="6"/>
  <c r="T121" i="5"/>
  <c r="O109" i="5"/>
  <c r="P76" i="6"/>
  <c r="S78" i="6"/>
  <c r="W107" i="6"/>
  <c r="T109" i="4"/>
  <c r="AH138" i="6"/>
  <c r="S78" i="5"/>
  <c r="J30" i="6"/>
  <c r="AS140" i="6"/>
  <c r="X47" i="6"/>
  <c r="U28" i="6"/>
  <c r="AF123" i="4"/>
  <c r="Y109" i="6"/>
  <c r="Q92" i="6"/>
  <c r="F121" i="4"/>
  <c r="K28" i="4"/>
  <c r="AG76" i="6"/>
  <c r="AG140" i="5"/>
  <c r="AE121" i="5"/>
  <c r="AF121" i="4"/>
  <c r="AR138" i="6"/>
  <c r="M109" i="5"/>
  <c r="S47" i="6"/>
  <c r="Z121" i="5"/>
  <c r="Y140" i="4"/>
  <c r="AE59" i="6"/>
  <c r="Z109" i="6"/>
  <c r="T138" i="6"/>
  <c r="I30" i="6"/>
  <c r="AG109" i="5"/>
  <c r="T47" i="6"/>
  <c r="AH123" i="5"/>
  <c r="AH109" i="5"/>
  <c r="AD140" i="5"/>
  <c r="AG123" i="4"/>
  <c r="O76" i="6"/>
  <c r="S107" i="6"/>
  <c r="AB121" i="6"/>
  <c r="AM140" i="6"/>
  <c r="Z140" i="6"/>
  <c r="Q92" i="4"/>
  <c r="W107" i="4"/>
  <c r="AL140" i="5"/>
  <c r="S107" i="4"/>
  <c r="P61" i="4"/>
  <c r="T90" i="4"/>
  <c r="Y92" i="4"/>
  <c r="X107" i="4"/>
  <c r="AC121" i="6"/>
  <c r="AA78" i="6"/>
  <c r="N30" i="6"/>
  <c r="X59" i="6"/>
  <c r="AI123" i="6"/>
  <c r="R107" i="6"/>
  <c r="W140" i="4"/>
  <c r="AB92" i="4"/>
  <c r="N59" i="6"/>
  <c r="Q30" i="4"/>
  <c r="R123" i="4"/>
  <c r="AH123" i="6"/>
  <c r="S76" i="5"/>
  <c r="Z140" i="4"/>
  <c r="M140" i="4"/>
  <c r="W140" i="6"/>
  <c r="L76" i="6"/>
  <c r="T140" i="5"/>
  <c r="O90" i="5"/>
  <c r="P61" i="6"/>
  <c r="S76" i="6"/>
  <c r="BD44" i="8"/>
  <c r="BD33" i="8" s="1"/>
  <c r="BI37" i="8"/>
  <c r="K42" i="8"/>
  <c r="K49" i="8" s="1"/>
  <c r="K55" i="8" s="1"/>
  <c r="P44" i="8"/>
  <c r="P36" i="8" s="1"/>
  <c r="BI44" i="8"/>
  <c r="BI51" i="8" s="1"/>
  <c r="U44" i="8"/>
  <c r="U33" i="8" s="1"/>
  <c r="K44" i="8"/>
  <c r="K36" i="8" s="1"/>
  <c r="AE37" i="8"/>
  <c r="AJ44" i="8"/>
  <c r="AJ33" i="8" s="1"/>
  <c r="P37" i="8"/>
  <c r="AY44" i="8"/>
  <c r="AY33" i="8" s="1"/>
  <c r="Z37" i="8"/>
  <c r="P43" i="8"/>
  <c r="P32" i="8" s="1"/>
  <c r="AY37" i="8"/>
  <c r="U42" i="8"/>
  <c r="U52" i="8" s="1"/>
  <c r="U57" i="8" s="1"/>
  <c r="AE44" i="8"/>
  <c r="AE33" i="8" s="1"/>
  <c r="F43" i="8"/>
  <c r="F35" i="8" s="1"/>
  <c r="BD37" i="8"/>
  <c r="K43" i="8"/>
  <c r="K50" i="8" s="1"/>
  <c r="AT44" i="8"/>
  <c r="AT51" i="8" s="1"/>
  <c r="U43" i="8"/>
  <c r="U32" i="8" s="1"/>
  <c r="Z44" i="8"/>
  <c r="Z36" i="8" s="1"/>
  <c r="AJ37" i="8"/>
  <c r="F37" i="8"/>
  <c r="AT8" i="8"/>
  <c r="K37" i="8"/>
  <c r="AO44" i="8"/>
  <c r="AO36" i="8" s="1"/>
  <c r="AT37" i="8"/>
  <c r="AO37" i="8"/>
  <c r="U37" i="8"/>
  <c r="F44" i="8"/>
  <c r="F36" i="8" s="1"/>
  <c r="U77" i="7"/>
  <c r="D77" i="7" s="1"/>
  <c r="O88" i="7" s="1"/>
  <c r="I77" i="7"/>
  <c r="I64" i="7"/>
  <c r="I63" i="7"/>
  <c r="AO94" i="8"/>
  <c r="AJ94" i="8"/>
  <c r="AE93" i="8"/>
  <c r="AE108" i="8" s="1"/>
  <c r="AE118" i="8" s="1"/>
  <c r="Z95" i="8"/>
  <c r="AJ93" i="8"/>
  <c r="AO93" i="8"/>
  <c r="Z94" i="8"/>
  <c r="AJ95" i="8"/>
  <c r="Z93" i="8"/>
  <c r="AE94" i="8"/>
  <c r="AE95" i="8"/>
  <c r="AO95" i="8"/>
  <c r="BI93" i="8"/>
  <c r="BI108" i="8" s="1"/>
  <c r="AY94" i="8"/>
  <c r="BD94" i="8"/>
  <c r="AY95" i="8"/>
  <c r="AT95" i="8"/>
  <c r="BD93" i="8"/>
  <c r="BD107" i="8" s="1"/>
  <c r="BD112" i="8" s="1"/>
  <c r="BI95" i="8"/>
  <c r="BI94" i="8"/>
  <c r="BD95" i="8"/>
  <c r="AT94" i="8"/>
  <c r="AY93" i="8"/>
  <c r="AT93" i="8"/>
  <c r="AT108" i="8" s="1"/>
  <c r="AT68" i="8"/>
  <c r="Z68" i="8"/>
  <c r="P109" i="8"/>
  <c r="AE109" i="8"/>
  <c r="AT109" i="8"/>
  <c r="P107" i="8"/>
  <c r="AY109" i="8"/>
  <c r="BD109" i="8"/>
  <c r="AJ109" i="8"/>
  <c r="K108" i="8"/>
  <c r="U109" i="8"/>
  <c r="K109" i="8"/>
  <c r="K107" i="8"/>
  <c r="F109" i="8"/>
  <c r="Z109" i="8"/>
  <c r="F107" i="8"/>
  <c r="U107" i="8"/>
  <c r="BI109" i="8"/>
  <c r="P108" i="8"/>
  <c r="U108" i="8"/>
  <c r="AO109" i="8"/>
  <c r="AT72" i="8"/>
  <c r="AT102" i="8"/>
  <c r="AJ102" i="8"/>
  <c r="K102" i="8"/>
  <c r="AO102" i="8"/>
  <c r="Z102" i="8"/>
  <c r="P102" i="8"/>
  <c r="BI102" i="8"/>
  <c r="AY102" i="8"/>
  <c r="F102" i="8"/>
  <c r="AE102" i="8"/>
  <c r="U102" i="8"/>
  <c r="BD102" i="8"/>
  <c r="Z72" i="8"/>
  <c r="BD42" i="8"/>
  <c r="BD43" i="8"/>
  <c r="BD60" i="8"/>
  <c r="AY42" i="8"/>
  <c r="AY43" i="8"/>
  <c r="AY60" i="8"/>
  <c r="AO43" i="8"/>
  <c r="AO42" i="8"/>
  <c r="AO60" i="8"/>
  <c r="AT42" i="8"/>
  <c r="AT43" i="8"/>
  <c r="AT60" i="8"/>
  <c r="AJ43" i="8"/>
  <c r="AJ42" i="8"/>
  <c r="AJ60" i="8"/>
  <c r="AE43" i="8"/>
  <c r="AE42" i="8"/>
  <c r="AE60" i="8"/>
  <c r="Z42" i="8"/>
  <c r="Z43" i="8"/>
  <c r="Z60" i="8"/>
  <c r="BI43" i="8"/>
  <c r="BI42" i="8"/>
  <c r="BI60" i="8"/>
  <c r="O38" i="7"/>
  <c r="O39" i="7"/>
  <c r="O55" i="7"/>
  <c r="B208" i="13" l="1"/>
  <c r="B190" i="10" s="1"/>
  <c r="B190" i="13"/>
  <c r="B209" i="13" s="1"/>
  <c r="D217" i="13" s="1"/>
  <c r="B207" i="13"/>
  <c r="B189" i="10" s="1"/>
  <c r="B182" i="10"/>
  <c r="B185" i="10"/>
  <c r="B184" i="10"/>
  <c r="O47" i="7"/>
  <c r="O29" i="7"/>
  <c r="O32" i="7"/>
  <c r="C116" i="7"/>
  <c r="M40" i="9"/>
  <c r="D116" i="10"/>
  <c r="B183" i="10" s="1"/>
  <c r="P49" i="8"/>
  <c r="P55" i="8" s="1"/>
  <c r="P31" i="8"/>
  <c r="P38" i="8" s="1"/>
  <c r="K45" i="8"/>
  <c r="P45" i="8"/>
  <c r="K47" i="8"/>
  <c r="P52" i="8"/>
  <c r="P57" i="8" s="1"/>
  <c r="P34" i="8"/>
  <c r="P40" i="8" s="1"/>
  <c r="F50" i="8"/>
  <c r="F53" i="8"/>
  <c r="BD54" i="8"/>
  <c r="BD36" i="8"/>
  <c r="F32" i="8"/>
  <c r="BD51" i="8"/>
  <c r="AY51" i="8"/>
  <c r="K34" i="8"/>
  <c r="K40" i="8" s="1"/>
  <c r="P35" i="8"/>
  <c r="P41" i="8" s="1"/>
  <c r="K53" i="8"/>
  <c r="K52" i="8"/>
  <c r="K57" i="8" s="1"/>
  <c r="AY36" i="8"/>
  <c r="K31" i="8"/>
  <c r="K38" i="8" s="1"/>
  <c r="AY54" i="8"/>
  <c r="BD139" i="8"/>
  <c r="K35" i="8"/>
  <c r="K41" i="8" s="1"/>
  <c r="K32" i="8"/>
  <c r="P33" i="8"/>
  <c r="P39" i="8" s="1"/>
  <c r="U45" i="8"/>
  <c r="P54" i="8"/>
  <c r="P51" i="8"/>
  <c r="U51" i="8"/>
  <c r="AO51" i="8"/>
  <c r="AO33" i="8"/>
  <c r="Z139" i="8"/>
  <c r="AO54" i="8"/>
  <c r="BI139" i="8"/>
  <c r="P139" i="8"/>
  <c r="AT54" i="8"/>
  <c r="AT36" i="8"/>
  <c r="BI33" i="8"/>
  <c r="F46" i="8"/>
  <c r="U48" i="8"/>
  <c r="F52" i="8"/>
  <c r="F57" i="8" s="1"/>
  <c r="F31" i="8"/>
  <c r="F38" i="8" s="1"/>
  <c r="U35" i="8"/>
  <c r="U31" i="8"/>
  <c r="U38" i="8" s="1"/>
  <c r="AE139" i="8"/>
  <c r="U47" i="8"/>
  <c r="AJ54" i="8"/>
  <c r="F139" i="8"/>
  <c r="AT139" i="8"/>
  <c r="AE51" i="8"/>
  <c r="U49" i="8"/>
  <c r="U55" i="8" s="1"/>
  <c r="U34" i="8"/>
  <c r="U40" i="8" s="1"/>
  <c r="AJ139" i="8"/>
  <c r="F33" i="8"/>
  <c r="AJ36" i="8"/>
  <c r="P53" i="8"/>
  <c r="AE54" i="8"/>
  <c r="F51" i="8"/>
  <c r="P50" i="8"/>
  <c r="AE36" i="8"/>
  <c r="AJ51" i="8"/>
  <c r="F48" i="8"/>
  <c r="F54" i="8"/>
  <c r="BI36" i="8"/>
  <c r="F34" i="8"/>
  <c r="F40" i="8" s="1"/>
  <c r="U53" i="8"/>
  <c r="AO139" i="8"/>
  <c r="F49" i="8"/>
  <c r="F55" i="8" s="1"/>
  <c r="AT33" i="8"/>
  <c r="U50" i="8"/>
  <c r="U139" i="8"/>
  <c r="K139" i="8"/>
  <c r="K46" i="8"/>
  <c r="Z51" i="8"/>
  <c r="Z33" i="8"/>
  <c r="U46" i="8"/>
  <c r="AY139" i="8"/>
  <c r="K48" i="8"/>
  <c r="K54" i="8"/>
  <c r="P48" i="8"/>
  <c r="Z54" i="8"/>
  <c r="BI54" i="8"/>
  <c r="U54" i="8"/>
  <c r="K33" i="8"/>
  <c r="U36" i="8"/>
  <c r="K51" i="8"/>
  <c r="K56" i="8" s="1"/>
  <c r="P46" i="8"/>
  <c r="F47" i="8"/>
  <c r="O81" i="7"/>
  <c r="O80" i="7"/>
  <c r="O79" i="7"/>
  <c r="O110" i="7" s="1"/>
  <c r="O95" i="7"/>
  <c r="O102" i="7" s="1"/>
  <c r="BI97" i="8"/>
  <c r="BI118" i="8"/>
  <c r="AT97" i="8"/>
  <c r="AT100" i="8"/>
  <c r="BD108" i="8"/>
  <c r="BD125" i="8"/>
  <c r="BI100" i="8"/>
  <c r="Z107" i="8"/>
  <c r="Z108" i="8"/>
  <c r="Z111" i="8" s="1"/>
  <c r="Z125" i="8"/>
  <c r="BI115" i="8"/>
  <c r="AE113" i="8"/>
  <c r="AY125" i="8"/>
  <c r="AY107" i="8"/>
  <c r="AE100" i="8"/>
  <c r="AO107" i="8"/>
  <c r="AO108" i="8"/>
  <c r="AO113" i="8" s="1"/>
  <c r="AO125" i="8"/>
  <c r="AE97" i="8"/>
  <c r="BI125" i="8"/>
  <c r="BI107" i="8"/>
  <c r="AJ125" i="8"/>
  <c r="AJ107" i="8"/>
  <c r="AE115" i="8"/>
  <c r="AT107" i="8"/>
  <c r="AT125" i="8"/>
  <c r="BI111" i="8"/>
  <c r="U39" i="8"/>
  <c r="AJ108" i="8"/>
  <c r="AJ100" i="8" s="1"/>
  <c r="AY108" i="8"/>
  <c r="AE107" i="8"/>
  <c r="AE125" i="8"/>
  <c r="BD117" i="8"/>
  <c r="BD122" i="8" s="1"/>
  <c r="BI113" i="8"/>
  <c r="AT113" i="8"/>
  <c r="AE111" i="8"/>
  <c r="BD110" i="8"/>
  <c r="AT115" i="8"/>
  <c r="AT118" i="8"/>
  <c r="BD101" i="8"/>
  <c r="BD98" i="8"/>
  <c r="BD116" i="8"/>
  <c r="BD119" i="8"/>
  <c r="Z119" i="8"/>
  <c r="Z98" i="8"/>
  <c r="Z101" i="8"/>
  <c r="Z116" i="8"/>
  <c r="BD99" i="8"/>
  <c r="BD105" i="8" s="1"/>
  <c r="AO119" i="8"/>
  <c r="AO98" i="8"/>
  <c r="AO116" i="8"/>
  <c r="AO101" i="8"/>
  <c r="P112" i="8"/>
  <c r="P146" i="8" s="1"/>
  <c r="P110" i="8"/>
  <c r="P117" i="8"/>
  <c r="P122" i="8" s="1"/>
  <c r="P99" i="8"/>
  <c r="P105" i="8" s="1"/>
  <c r="P96" i="8"/>
  <c r="P103" i="8" s="1"/>
  <c r="P114" i="8"/>
  <c r="P120" i="8" s="1"/>
  <c r="BD96" i="8"/>
  <c r="BD103" i="8" s="1"/>
  <c r="U100" i="8"/>
  <c r="U118" i="8"/>
  <c r="U97" i="8"/>
  <c r="U111" i="8"/>
  <c r="U113" i="8"/>
  <c r="U115" i="8"/>
  <c r="AT116" i="8"/>
  <c r="AT101" i="8"/>
  <c r="AT119" i="8"/>
  <c r="AT98" i="8"/>
  <c r="BD114" i="8"/>
  <c r="BD120" i="8" s="1"/>
  <c r="P97" i="8"/>
  <c r="P113" i="8"/>
  <c r="P100" i="8"/>
  <c r="P115" i="8"/>
  <c r="P111" i="8"/>
  <c r="P118" i="8"/>
  <c r="AE101" i="8"/>
  <c r="AE119" i="8"/>
  <c r="AE123" i="8" s="1"/>
  <c r="AE98" i="8"/>
  <c r="AE116" i="8"/>
  <c r="AT111" i="8"/>
  <c r="BI101" i="8"/>
  <c r="BI98" i="8"/>
  <c r="BI116" i="8"/>
  <c r="BI119" i="8"/>
  <c r="U116" i="8"/>
  <c r="U101" i="8"/>
  <c r="U98" i="8"/>
  <c r="U119" i="8"/>
  <c r="P116" i="8"/>
  <c r="P98" i="8"/>
  <c r="P119" i="8"/>
  <c r="P101" i="8"/>
  <c r="U99" i="8"/>
  <c r="U105" i="8" s="1"/>
  <c r="U117" i="8"/>
  <c r="U122" i="8" s="1"/>
  <c r="U150" i="8" s="1"/>
  <c r="U96" i="8"/>
  <c r="U103" i="8" s="1"/>
  <c r="U112" i="8"/>
  <c r="U114" i="8"/>
  <c r="U120" i="8" s="1"/>
  <c r="U110" i="8"/>
  <c r="K115" i="8"/>
  <c r="K100" i="8"/>
  <c r="K111" i="8"/>
  <c r="K113" i="8"/>
  <c r="K118" i="8"/>
  <c r="K97" i="8"/>
  <c r="F118" i="8"/>
  <c r="F97" i="8"/>
  <c r="F111" i="8"/>
  <c r="F115" i="8"/>
  <c r="F100" i="8"/>
  <c r="F113" i="8"/>
  <c r="AY119" i="8"/>
  <c r="AY116" i="8"/>
  <c r="AY98" i="8"/>
  <c r="AY101" i="8"/>
  <c r="F119" i="8"/>
  <c r="F98" i="8"/>
  <c r="F116" i="8"/>
  <c r="F101" i="8"/>
  <c r="K110" i="8"/>
  <c r="K117" i="8"/>
  <c r="K122" i="8" s="1"/>
  <c r="K112" i="8"/>
  <c r="K99" i="8"/>
  <c r="K105" i="8" s="1"/>
  <c r="K114" i="8"/>
  <c r="K120" i="8" s="1"/>
  <c r="K148" i="8" s="1"/>
  <c r="K96" i="8"/>
  <c r="K103" i="8" s="1"/>
  <c r="K98" i="8"/>
  <c r="K119" i="8"/>
  <c r="K116" i="8"/>
  <c r="K101" i="8"/>
  <c r="F99" i="8"/>
  <c r="F105" i="8" s="1"/>
  <c r="F117" i="8"/>
  <c r="F122" i="8" s="1"/>
  <c r="F96" i="8"/>
  <c r="F103" i="8" s="1"/>
  <c r="F114" i="8"/>
  <c r="F120" i="8" s="1"/>
  <c r="F110" i="8"/>
  <c r="F144" i="8" s="1"/>
  <c r="F112" i="8"/>
  <c r="AJ119" i="8"/>
  <c r="AJ116" i="8"/>
  <c r="AJ98" i="8"/>
  <c r="AJ101" i="8"/>
  <c r="Z31" i="8"/>
  <c r="Z38" i="8" s="1"/>
  <c r="Z34" i="8"/>
  <c r="Z40" i="8" s="1"/>
  <c r="Z47" i="8"/>
  <c r="Z52" i="8"/>
  <c r="Z57" i="8" s="1"/>
  <c r="Z49" i="8"/>
  <c r="Z55" i="8" s="1"/>
  <c r="Z45" i="8"/>
  <c r="F41" i="8"/>
  <c r="AY47" i="8"/>
  <c r="AY31" i="8"/>
  <c r="AY38" i="8" s="1"/>
  <c r="AY45" i="8"/>
  <c r="AY52" i="8"/>
  <c r="AY57" i="8" s="1"/>
  <c r="AY49" i="8"/>
  <c r="AY55" i="8" s="1"/>
  <c r="AY34" i="8"/>
  <c r="AY40" i="8" s="1"/>
  <c r="BI50" i="8"/>
  <c r="BI56" i="8" s="1"/>
  <c r="BI46" i="8"/>
  <c r="BI32" i="8"/>
  <c r="BI35" i="8"/>
  <c r="BI53" i="8"/>
  <c r="BI48" i="8"/>
  <c r="AE47" i="8"/>
  <c r="AE31" i="8"/>
  <c r="AE38" i="8" s="1"/>
  <c r="AE45" i="8"/>
  <c r="AE52" i="8"/>
  <c r="AE57" i="8" s="1"/>
  <c r="AE34" i="8"/>
  <c r="AE40" i="8" s="1"/>
  <c r="AE49" i="8"/>
  <c r="AE55" i="8" s="1"/>
  <c r="AJ31" i="8"/>
  <c r="AJ38" i="8" s="1"/>
  <c r="AJ52" i="8"/>
  <c r="AJ57" i="8" s="1"/>
  <c r="AJ49" i="8"/>
  <c r="AJ55" i="8" s="1"/>
  <c r="AJ34" i="8"/>
  <c r="AJ40" i="8" s="1"/>
  <c r="AJ47" i="8"/>
  <c r="AJ45" i="8"/>
  <c r="BD48" i="8"/>
  <c r="BD53" i="8"/>
  <c r="BD35" i="8"/>
  <c r="BD50" i="8"/>
  <c r="BD32" i="8"/>
  <c r="BD39" i="8" s="1"/>
  <c r="BD46" i="8"/>
  <c r="AE35" i="8"/>
  <c r="AE53" i="8"/>
  <c r="AE50" i="8"/>
  <c r="AE32" i="8"/>
  <c r="AE39" i="8" s="1"/>
  <c r="AE48" i="8"/>
  <c r="AE46" i="8"/>
  <c r="BD31" i="8"/>
  <c r="BD38" i="8" s="1"/>
  <c r="BD45" i="8"/>
  <c r="BD52" i="8"/>
  <c r="BD57" i="8" s="1"/>
  <c r="BD47" i="8"/>
  <c r="BD34" i="8"/>
  <c r="BD40" i="8" s="1"/>
  <c r="BD49" i="8"/>
  <c r="BD55" i="8" s="1"/>
  <c r="Z46" i="8"/>
  <c r="Z53" i="8"/>
  <c r="Z50" i="8"/>
  <c r="Z35" i="8"/>
  <c r="Z41" i="8" s="1"/>
  <c r="Z32" i="8"/>
  <c r="Z48" i="8"/>
  <c r="AJ48" i="8"/>
  <c r="AJ35" i="8"/>
  <c r="AJ50" i="8"/>
  <c r="AJ32" i="8"/>
  <c r="AJ39" i="8" s="1"/>
  <c r="AJ46" i="8"/>
  <c r="AJ53" i="8"/>
  <c r="AO34" i="8"/>
  <c r="AO40" i="8" s="1"/>
  <c r="AO45" i="8"/>
  <c r="AO31" i="8"/>
  <c r="AO38" i="8" s="1"/>
  <c r="AO52" i="8"/>
  <c r="AO57" i="8" s="1"/>
  <c r="AO49" i="8"/>
  <c r="AO55" i="8" s="1"/>
  <c r="AO47" i="8"/>
  <c r="AO46" i="8"/>
  <c r="AO50" i="8"/>
  <c r="AO53" i="8"/>
  <c r="AO35" i="8"/>
  <c r="AO41" i="8" s="1"/>
  <c r="AO48" i="8"/>
  <c r="AO32" i="8"/>
  <c r="AT50" i="8"/>
  <c r="AT56" i="8" s="1"/>
  <c r="AT46" i="8"/>
  <c r="AT53" i="8"/>
  <c r="AT48" i="8"/>
  <c r="AT32" i="8"/>
  <c r="AT35" i="8"/>
  <c r="BI34" i="8"/>
  <c r="BI40" i="8" s="1"/>
  <c r="BI45" i="8"/>
  <c r="BI31" i="8"/>
  <c r="BI38" i="8" s="1"/>
  <c r="BI49" i="8"/>
  <c r="BI55" i="8" s="1"/>
  <c r="BI52" i="8"/>
  <c r="BI57" i="8" s="1"/>
  <c r="BI47" i="8"/>
  <c r="AT31" i="8"/>
  <c r="AT38" i="8" s="1"/>
  <c r="AT52" i="8"/>
  <c r="AT57" i="8" s="1"/>
  <c r="AT34" i="8"/>
  <c r="AT40" i="8" s="1"/>
  <c r="AT49" i="8"/>
  <c r="AT55" i="8" s="1"/>
  <c r="AT47" i="8"/>
  <c r="AT45" i="8"/>
  <c r="AY35" i="8"/>
  <c r="AY48" i="8"/>
  <c r="AY53" i="8"/>
  <c r="AY50" i="8"/>
  <c r="AY56" i="8" s="1"/>
  <c r="AY46" i="8"/>
  <c r="AY32" i="8"/>
  <c r="AY39" i="8" s="1"/>
  <c r="O44" i="7"/>
  <c r="O49" i="7"/>
  <c r="O54" i="7" s="1"/>
  <c r="O46" i="7"/>
  <c r="O31" i="7"/>
  <c r="O28" i="7"/>
  <c r="O42" i="7"/>
  <c r="O43" i="7"/>
  <c r="O48" i="7"/>
  <c r="O53" i="7" s="1"/>
  <c r="O41" i="7"/>
  <c r="O30" i="7"/>
  <c r="O36" i="7" s="1"/>
  <c r="O45" i="7"/>
  <c r="O51" i="7" s="1"/>
  <c r="O27" i="7"/>
  <c r="O34" i="7" s="1"/>
  <c r="B191" i="13" l="1"/>
  <c r="B192" i="13" s="1"/>
  <c r="B147" i="10" s="1"/>
  <c r="L12" i="9" s="1"/>
  <c r="C217" i="13"/>
  <c r="B210" i="13"/>
  <c r="B212" i="13" s="1"/>
  <c r="B142" i="10" s="1"/>
  <c r="B188" i="10"/>
  <c r="C190" i="10" s="1"/>
  <c r="O52" i="7"/>
  <c r="O35" i="7"/>
  <c r="O37" i="7"/>
  <c r="B187" i="10"/>
  <c r="C189" i="10" s="1"/>
  <c r="K142" i="8"/>
  <c r="P148" i="8"/>
  <c r="P140" i="8"/>
  <c r="K144" i="8"/>
  <c r="K146" i="8"/>
  <c r="P144" i="8"/>
  <c r="P142" i="8"/>
  <c r="P150" i="8"/>
  <c r="BD56" i="8"/>
  <c r="K140" i="8"/>
  <c r="F56" i="8"/>
  <c r="BD58" i="8"/>
  <c r="F58" i="8"/>
  <c r="F39" i="8"/>
  <c r="BD41" i="8"/>
  <c r="K58" i="8"/>
  <c r="K39" i="8"/>
  <c r="U144" i="8"/>
  <c r="U56" i="8"/>
  <c r="AO39" i="8"/>
  <c r="AY41" i="8"/>
  <c r="K150" i="8"/>
  <c r="AY58" i="8"/>
  <c r="AT41" i="8"/>
  <c r="P56" i="8"/>
  <c r="AT58" i="8"/>
  <c r="P58" i="8"/>
  <c r="F147" i="8"/>
  <c r="K147" i="8"/>
  <c r="AO56" i="8"/>
  <c r="BI39" i="8"/>
  <c r="U148" i="8"/>
  <c r="AO58" i="8"/>
  <c r="U41" i="8"/>
  <c r="U147" i="8"/>
  <c r="P147" i="8"/>
  <c r="AJ58" i="8"/>
  <c r="F150" i="8"/>
  <c r="F145" i="8"/>
  <c r="Z58" i="8"/>
  <c r="AJ41" i="8"/>
  <c r="U146" i="8"/>
  <c r="U58" i="8"/>
  <c r="U140" i="8"/>
  <c r="AJ56" i="8"/>
  <c r="F140" i="8"/>
  <c r="F148" i="8"/>
  <c r="Z39" i="8"/>
  <c r="AE58" i="8"/>
  <c r="AE151" i="8" s="1"/>
  <c r="BI41" i="8"/>
  <c r="AE56" i="8"/>
  <c r="BI58" i="8"/>
  <c r="K145" i="8"/>
  <c r="AE41" i="8"/>
  <c r="U142" i="8"/>
  <c r="Z56" i="8"/>
  <c r="F142" i="8"/>
  <c r="U145" i="8"/>
  <c r="P145" i="8"/>
  <c r="AT39" i="8"/>
  <c r="F146" i="8"/>
  <c r="O87" i="7"/>
  <c r="O84" i="7"/>
  <c r="O105" i="7"/>
  <c r="O94" i="7"/>
  <c r="O93" i="7"/>
  <c r="BI104" i="8"/>
  <c r="AJ111" i="8"/>
  <c r="AJ145" i="8" s="1"/>
  <c r="AT104" i="8"/>
  <c r="AJ118" i="8"/>
  <c r="AJ123" i="8" s="1"/>
  <c r="BI123" i="8"/>
  <c r="AJ106" i="8"/>
  <c r="AE121" i="8"/>
  <c r="AT106" i="8"/>
  <c r="AT121" i="8"/>
  <c r="AT149" i="8" s="1"/>
  <c r="AJ115" i="8"/>
  <c r="AJ121" i="8" s="1"/>
  <c r="AJ113" i="8"/>
  <c r="AJ147" i="8" s="1"/>
  <c r="BD148" i="8"/>
  <c r="BD140" i="8"/>
  <c r="AJ96" i="8"/>
  <c r="AJ103" i="8" s="1"/>
  <c r="AJ140" i="8" s="1"/>
  <c r="AJ110" i="8"/>
  <c r="AJ144" i="8" s="1"/>
  <c r="AJ114" i="8"/>
  <c r="AJ120" i="8" s="1"/>
  <c r="AJ148" i="8" s="1"/>
  <c r="AJ99" i="8"/>
  <c r="AJ105" i="8" s="1"/>
  <c r="AJ142" i="8" s="1"/>
  <c r="AJ112" i="8"/>
  <c r="AJ146" i="8" s="1"/>
  <c r="AJ117" i="8"/>
  <c r="AJ122" i="8" s="1"/>
  <c r="AJ150" i="8" s="1"/>
  <c r="BI121" i="8"/>
  <c r="BI149" i="8" s="1"/>
  <c r="AE104" i="8"/>
  <c r="AE141" i="8" s="1"/>
  <c r="AT117" i="8"/>
  <c r="AT122" i="8" s="1"/>
  <c r="AT150" i="8" s="1"/>
  <c r="AT112" i="8"/>
  <c r="AT146" i="8" s="1"/>
  <c r="AT96" i="8"/>
  <c r="AT103" i="8" s="1"/>
  <c r="AT140" i="8" s="1"/>
  <c r="AT110" i="8"/>
  <c r="AT144" i="8" s="1"/>
  <c r="AT114" i="8"/>
  <c r="AT120" i="8" s="1"/>
  <c r="AT148" i="8" s="1"/>
  <c r="AT99" i="8"/>
  <c r="AT105" i="8" s="1"/>
  <c r="AT142" i="8" s="1"/>
  <c r="AY112" i="8"/>
  <c r="AY146" i="8" s="1"/>
  <c r="AY99" i="8"/>
  <c r="AY105" i="8" s="1"/>
  <c r="AY142" i="8" s="1"/>
  <c r="AY110" i="8"/>
  <c r="AY144" i="8" s="1"/>
  <c r="AY117" i="8"/>
  <c r="AY122" i="8" s="1"/>
  <c r="AY150" i="8" s="1"/>
  <c r="AY114" i="8"/>
  <c r="AY120" i="8" s="1"/>
  <c r="AY148" i="8" s="1"/>
  <c r="AY96" i="8"/>
  <c r="AY103" i="8" s="1"/>
  <c r="AY140" i="8" s="1"/>
  <c r="BI147" i="8"/>
  <c r="BI99" i="8"/>
  <c r="BI105" i="8" s="1"/>
  <c r="BI142" i="8" s="1"/>
  <c r="BI96" i="8"/>
  <c r="BI103" i="8" s="1"/>
  <c r="BI140" i="8" s="1"/>
  <c r="BI110" i="8"/>
  <c r="BI144" i="8" s="1"/>
  <c r="BI117" i="8"/>
  <c r="BI122" i="8" s="1"/>
  <c r="BI150" i="8" s="1"/>
  <c r="BI112" i="8"/>
  <c r="BI146" i="8" s="1"/>
  <c r="BI114" i="8"/>
  <c r="BI120" i="8" s="1"/>
  <c r="BI148" i="8" s="1"/>
  <c r="AO97" i="8"/>
  <c r="AO104" i="8" s="1"/>
  <c r="AO115" i="8"/>
  <c r="AO121" i="8" s="1"/>
  <c r="AO100" i="8"/>
  <c r="AO106" i="8" s="1"/>
  <c r="AO143" i="8" s="1"/>
  <c r="AO118" i="8"/>
  <c r="AO123" i="8" s="1"/>
  <c r="BD97" i="8"/>
  <c r="BD104" i="8" s="1"/>
  <c r="BD141" i="8" s="1"/>
  <c r="BD115" i="8"/>
  <c r="BD121" i="8" s="1"/>
  <c r="BD100" i="8"/>
  <c r="BD106" i="8" s="1"/>
  <c r="BD118" i="8"/>
  <c r="BD123" i="8" s="1"/>
  <c r="AO147" i="8"/>
  <c r="BI106" i="8"/>
  <c r="AE106" i="8"/>
  <c r="AO110" i="8"/>
  <c r="AO144" i="8" s="1"/>
  <c r="AO96" i="8"/>
  <c r="AO103" i="8" s="1"/>
  <c r="AO140" i="8" s="1"/>
  <c r="AO112" i="8"/>
  <c r="AO146" i="8" s="1"/>
  <c r="AO114" i="8"/>
  <c r="AO120" i="8" s="1"/>
  <c r="AO148" i="8" s="1"/>
  <c r="AO99" i="8"/>
  <c r="AO105" i="8" s="1"/>
  <c r="AO142" i="8" s="1"/>
  <c r="AO117" i="8"/>
  <c r="AO122" i="8" s="1"/>
  <c r="AO150" i="8" s="1"/>
  <c r="AT147" i="8"/>
  <c r="Z115" i="8"/>
  <c r="Z121" i="8" s="1"/>
  <c r="Z118" i="8"/>
  <c r="Z123" i="8" s="1"/>
  <c r="Z100" i="8"/>
  <c r="Z106" i="8" s="1"/>
  <c r="Z143" i="8" s="1"/>
  <c r="Z97" i="8"/>
  <c r="Z104" i="8" s="1"/>
  <c r="BD146" i="8"/>
  <c r="AE147" i="8"/>
  <c r="AJ97" i="8"/>
  <c r="AJ104" i="8" s="1"/>
  <c r="AJ141" i="8" s="1"/>
  <c r="AE99" i="8"/>
  <c r="AE105" i="8" s="1"/>
  <c r="AE142" i="8" s="1"/>
  <c r="AE114" i="8"/>
  <c r="AE120" i="8" s="1"/>
  <c r="AE148" i="8" s="1"/>
  <c r="AE96" i="8"/>
  <c r="AE103" i="8" s="1"/>
  <c r="AE140" i="8" s="1"/>
  <c r="AE112" i="8"/>
  <c r="AE146" i="8" s="1"/>
  <c r="AE110" i="8"/>
  <c r="AE144" i="8" s="1"/>
  <c r="AE117" i="8"/>
  <c r="AE122" i="8" s="1"/>
  <c r="AE150" i="8" s="1"/>
  <c r="Z99" i="8"/>
  <c r="Z105" i="8" s="1"/>
  <c r="Z142" i="8" s="1"/>
  <c r="Z117" i="8"/>
  <c r="Z122" i="8" s="1"/>
  <c r="Z150" i="8" s="1"/>
  <c r="Z96" i="8"/>
  <c r="Z103" i="8" s="1"/>
  <c r="Z140" i="8" s="1"/>
  <c r="Z110" i="8"/>
  <c r="Z144" i="8" s="1"/>
  <c r="Z112" i="8"/>
  <c r="Z146" i="8" s="1"/>
  <c r="Z114" i="8"/>
  <c r="Z120" i="8" s="1"/>
  <c r="Z148" i="8" s="1"/>
  <c r="BD142" i="8"/>
  <c r="AT145" i="8"/>
  <c r="Z145" i="8"/>
  <c r="BI145" i="8"/>
  <c r="BD113" i="8"/>
  <c r="BD147" i="8" s="1"/>
  <c r="BD111" i="8"/>
  <c r="BD145" i="8" s="1"/>
  <c r="AY97" i="8"/>
  <c r="AY104" i="8" s="1"/>
  <c r="AY141" i="8" s="1"/>
  <c r="AY111" i="8"/>
  <c r="AY145" i="8" s="1"/>
  <c r="AY115" i="8"/>
  <c r="AY121" i="8" s="1"/>
  <c r="AY149" i="8" s="1"/>
  <c r="AY113" i="8"/>
  <c r="AY147" i="8" s="1"/>
  <c r="AY100" i="8"/>
  <c r="AY106" i="8" s="1"/>
  <c r="AY118" i="8"/>
  <c r="AY123" i="8" s="1"/>
  <c r="AO111" i="8"/>
  <c r="AO145" i="8" s="1"/>
  <c r="AE145" i="8"/>
  <c r="BD144" i="8"/>
  <c r="Z113" i="8"/>
  <c r="Z147" i="8" s="1"/>
  <c r="BD150" i="8"/>
  <c r="AT123" i="8"/>
  <c r="K104" i="8"/>
  <c r="P106" i="8"/>
  <c r="P143" i="8" s="1"/>
  <c r="F106" i="8"/>
  <c r="F143" i="8" s="1"/>
  <c r="F121" i="8"/>
  <c r="K106" i="8"/>
  <c r="K143" i="8" s="1"/>
  <c r="K121" i="8"/>
  <c r="K149" i="8" s="1"/>
  <c r="F104" i="8"/>
  <c r="U121" i="8"/>
  <c r="P121" i="8"/>
  <c r="P104" i="8"/>
  <c r="P141" i="8" s="1"/>
  <c r="F123" i="8"/>
  <c r="U104" i="8"/>
  <c r="U141" i="8" s="1"/>
  <c r="U123" i="8"/>
  <c r="K123" i="8"/>
  <c r="P123" i="8"/>
  <c r="U106" i="8"/>
  <c r="J217" i="13" l="1"/>
  <c r="J220" i="13" s="1"/>
  <c r="L217" i="13"/>
  <c r="L220" i="13" s="1"/>
  <c r="E217" i="13"/>
  <c r="E218" i="13" s="1"/>
  <c r="N217" i="13"/>
  <c r="N218" i="13" s="1"/>
  <c r="G217" i="13"/>
  <c r="G219" i="13" s="1"/>
  <c r="H217" i="13"/>
  <c r="H218" i="13" s="1"/>
  <c r="I217" i="13"/>
  <c r="I218" i="13" s="1"/>
  <c r="K217" i="13"/>
  <c r="K219" i="13" s="1"/>
  <c r="D219" i="13"/>
  <c r="M217" i="13"/>
  <c r="M220" i="13" s="1"/>
  <c r="F217" i="13"/>
  <c r="F218" i="13" s="1"/>
  <c r="C220" i="13"/>
  <c r="D240" i="13"/>
  <c r="D236" i="13"/>
  <c r="D244" i="13"/>
  <c r="D246" i="13"/>
  <c r="D243" i="13"/>
  <c r="D242" i="13"/>
  <c r="D238" i="13"/>
  <c r="D241" i="13"/>
  <c r="G240" i="13"/>
  <c r="F241" i="13"/>
  <c r="L243" i="13"/>
  <c r="M239" i="13"/>
  <c r="J236" i="13"/>
  <c r="G243" i="13"/>
  <c r="M242" i="13"/>
  <c r="L245" i="13"/>
  <c r="H243" i="13"/>
  <c r="G244" i="13"/>
  <c r="H238" i="13"/>
  <c r="I241" i="13"/>
  <c r="N239" i="13"/>
  <c r="E236" i="13"/>
  <c r="H242" i="13"/>
  <c r="N241" i="13"/>
  <c r="I238" i="13"/>
  <c r="F236" i="13"/>
  <c r="I240" i="13"/>
  <c r="G239" i="13"/>
  <c r="F245" i="13"/>
  <c r="I245" i="13"/>
  <c r="F238" i="13"/>
  <c r="M236" i="13"/>
  <c r="L239" i="13"/>
  <c r="M243" i="13"/>
  <c r="E245" i="13"/>
  <c r="H240" i="13"/>
  <c r="G246" i="13"/>
  <c r="M245" i="13"/>
  <c r="J237" i="13"/>
  <c r="F242" i="13"/>
  <c r="K241" i="13"/>
  <c r="L240" i="13"/>
  <c r="I246" i="13"/>
  <c r="K244" i="13"/>
  <c r="J247" i="13"/>
  <c r="E239" i="13"/>
  <c r="I239" i="13"/>
  <c r="F246" i="13"/>
  <c r="I244" i="13"/>
  <c r="E242" i="13"/>
  <c r="M237" i="13"/>
  <c r="D245" i="13"/>
  <c r="L242" i="13"/>
  <c r="E238" i="13"/>
  <c r="N242" i="13"/>
  <c r="G247" i="13"/>
  <c r="M240" i="13"/>
  <c r="J245" i="13"/>
  <c r="N244" i="13"/>
  <c r="D239" i="13"/>
  <c r="K236" i="13"/>
  <c r="J238" i="13"/>
  <c r="E247" i="13"/>
  <c r="M244" i="13"/>
  <c r="G238" i="13"/>
  <c r="L236" i="13"/>
  <c r="E243" i="13"/>
  <c r="H237" i="13"/>
  <c r="F243" i="13"/>
  <c r="H244" i="13"/>
  <c r="F237" i="13"/>
  <c r="J239" i="13"/>
  <c r="G242" i="13"/>
  <c r="N245" i="13"/>
  <c r="E237" i="13"/>
  <c r="N238" i="13"/>
  <c r="D237" i="13"/>
  <c r="K245" i="13"/>
  <c r="I247" i="13"/>
  <c r="L247" i="13"/>
  <c r="H247" i="13"/>
  <c r="K247" i="13"/>
  <c r="M246" i="13"/>
  <c r="E240" i="13"/>
  <c r="N243" i="13"/>
  <c r="H245" i="13"/>
  <c r="K242" i="13"/>
  <c r="D247" i="13"/>
  <c r="L237" i="13"/>
  <c r="M247" i="13"/>
  <c r="H241" i="13"/>
  <c r="H246" i="13"/>
  <c r="F240" i="13"/>
  <c r="G245" i="13"/>
  <c r="J246" i="13"/>
  <c r="E241" i="13"/>
  <c r="M238" i="13"/>
  <c r="F247" i="13"/>
  <c r="J243" i="13"/>
  <c r="H236" i="13"/>
  <c r="L246" i="13"/>
  <c r="J244" i="13"/>
  <c r="N236" i="13"/>
  <c r="E244" i="13"/>
  <c r="F244" i="13"/>
  <c r="I242" i="13"/>
  <c r="L241" i="13"/>
  <c r="M241" i="13"/>
  <c r="L238" i="13"/>
  <c r="K238" i="13"/>
  <c r="G241" i="13"/>
  <c r="K239" i="13"/>
  <c r="J241" i="13"/>
  <c r="K240" i="13"/>
  <c r="J242" i="13"/>
  <c r="I243" i="13"/>
  <c r="E246" i="13"/>
  <c r="N237" i="13"/>
  <c r="N240" i="13"/>
  <c r="K243" i="13"/>
  <c r="L244" i="13"/>
  <c r="G236" i="13"/>
  <c r="I236" i="13"/>
  <c r="N246" i="13"/>
  <c r="K246" i="13"/>
  <c r="J240" i="13"/>
  <c r="N247" i="13"/>
  <c r="H239" i="13"/>
  <c r="G237" i="13"/>
  <c r="K237" i="13"/>
  <c r="I237" i="13"/>
  <c r="F239" i="13"/>
  <c r="C246" i="13"/>
  <c r="C247" i="13"/>
  <c r="C244" i="13"/>
  <c r="C245" i="13"/>
  <c r="C242" i="13"/>
  <c r="C243" i="13"/>
  <c r="C240" i="13"/>
  <c r="C241" i="13"/>
  <c r="C239" i="13"/>
  <c r="C237" i="13"/>
  <c r="C238" i="13"/>
  <c r="C236" i="13"/>
  <c r="K141" i="8"/>
  <c r="BD151" i="8"/>
  <c r="BD149" i="8"/>
  <c r="F151" i="8"/>
  <c r="F141" i="8"/>
  <c r="AY151" i="8"/>
  <c r="F149" i="8"/>
  <c r="U149" i="8"/>
  <c r="BD143" i="8"/>
  <c r="K151" i="8"/>
  <c r="AY143" i="8"/>
  <c r="AO141" i="8"/>
  <c r="AT143" i="8"/>
  <c r="AT151" i="8"/>
  <c r="P149" i="8"/>
  <c r="BI141" i="8"/>
  <c r="P151" i="8"/>
  <c r="BI151" i="8"/>
  <c r="U143" i="8"/>
  <c r="Z151" i="8"/>
  <c r="Z149" i="8"/>
  <c r="AO149" i="8"/>
  <c r="U151" i="8"/>
  <c r="AO151" i="8"/>
  <c r="AE149" i="8"/>
  <c r="AJ149" i="8"/>
  <c r="AJ143" i="8"/>
  <c r="AJ151" i="8"/>
  <c r="BI143" i="8"/>
  <c r="Z141" i="8"/>
  <c r="AT141" i="8"/>
  <c r="AE143" i="8"/>
  <c r="O85" i="7"/>
  <c r="O91" i="7" s="1"/>
  <c r="C119" i="7" s="1"/>
  <c r="O103" i="7"/>
  <c r="O108" i="7" s="1"/>
  <c r="C127" i="7" s="1"/>
  <c r="O100" i="7"/>
  <c r="O106" i="7" s="1"/>
  <c r="C125" i="7" s="1"/>
  <c r="O82" i="7"/>
  <c r="O89" i="7" s="1"/>
  <c r="C117" i="7" s="1"/>
  <c r="O96" i="7"/>
  <c r="C121" i="7" s="1"/>
  <c r="O98" i="7"/>
  <c r="C123" i="7" s="1"/>
  <c r="O99" i="7"/>
  <c r="C124" i="7" s="1"/>
  <c r="O86" i="7"/>
  <c r="O92" i="7" s="1"/>
  <c r="C120" i="7" s="1"/>
  <c r="O97" i="7"/>
  <c r="C122" i="7" s="1"/>
  <c r="O83" i="7"/>
  <c r="O90" i="7" s="1"/>
  <c r="C118" i="7" s="1"/>
  <c r="O101" i="7"/>
  <c r="O107" i="7" s="1"/>
  <c r="C126" i="7" s="1"/>
  <c r="O104" i="7"/>
  <c r="O109" i="7" s="1"/>
  <c r="C128" i="7" s="1"/>
  <c r="A169" i="10" l="1"/>
  <c r="D256" i="13"/>
  <c r="D257" i="13" s="1"/>
  <c r="I260" i="13"/>
  <c r="I261" i="13" s="1"/>
  <c r="F260" i="13"/>
  <c r="F261" i="13" s="1"/>
  <c r="E260" i="13"/>
  <c r="E261" i="13" s="1"/>
  <c r="J260" i="13"/>
  <c r="J261" i="13" s="1"/>
  <c r="G260" i="13"/>
  <c r="G261" i="13" s="1"/>
  <c r="H260" i="13"/>
  <c r="H261" i="13" s="1"/>
  <c r="N260" i="13"/>
  <c r="N261" i="13" s="1"/>
  <c r="D260" i="13"/>
  <c r="D261" i="13" s="1"/>
  <c r="M260" i="13"/>
  <c r="M261" i="13" s="1"/>
  <c r="K260" i="13"/>
  <c r="K261" i="13" s="1"/>
  <c r="C260" i="13"/>
  <c r="C261" i="13" s="1"/>
  <c r="L260" i="13"/>
  <c r="L261" i="13" s="1"/>
  <c r="H258" i="13"/>
  <c r="H259" i="13" s="1"/>
  <c r="F258" i="13"/>
  <c r="F259" i="13" s="1"/>
  <c r="M258" i="13"/>
  <c r="M259" i="13" s="1"/>
  <c r="M256" i="13"/>
  <c r="M257" i="13" s="1"/>
  <c r="N256" i="13"/>
  <c r="N257" i="13" s="1"/>
  <c r="I258" i="13"/>
  <c r="I259" i="13" s="1"/>
  <c r="L258" i="13"/>
  <c r="L259" i="13" s="1"/>
  <c r="I256" i="13"/>
  <c r="I257" i="13" s="1"/>
  <c r="H254" i="13"/>
  <c r="H255" i="13" s="1"/>
  <c r="K254" i="13"/>
  <c r="K255" i="13" s="1"/>
  <c r="E254" i="13"/>
  <c r="E255" i="13" s="1"/>
  <c r="I254" i="13"/>
  <c r="I255" i="13" s="1"/>
  <c r="L252" i="13"/>
  <c r="L253" i="13" s="1"/>
  <c r="C254" i="13"/>
  <c r="C255" i="13" s="1"/>
  <c r="G258" i="13"/>
  <c r="G259" i="13" s="1"/>
  <c r="K258" i="13"/>
  <c r="K259" i="13" s="1"/>
  <c r="M254" i="13"/>
  <c r="M255" i="13" s="1"/>
  <c r="F254" i="13"/>
  <c r="F255" i="13" s="1"/>
  <c r="E258" i="13"/>
  <c r="E259" i="13" s="1"/>
  <c r="C256" i="13"/>
  <c r="C257" i="13" s="1"/>
  <c r="D258" i="13"/>
  <c r="D259" i="13" s="1"/>
  <c r="C258" i="13"/>
  <c r="C259" i="13" s="1"/>
  <c r="N258" i="13"/>
  <c r="N259" i="13" s="1"/>
  <c r="J256" i="13"/>
  <c r="J257" i="13" s="1"/>
  <c r="J258" i="13"/>
  <c r="J259" i="13" s="1"/>
  <c r="K256" i="13"/>
  <c r="K257" i="13" s="1"/>
  <c r="G256" i="13"/>
  <c r="G257" i="13" s="1"/>
  <c r="L256" i="13"/>
  <c r="L257" i="13" s="1"/>
  <c r="E256" i="13"/>
  <c r="E257" i="13" s="1"/>
  <c r="H256" i="13"/>
  <c r="H257" i="13" s="1"/>
  <c r="H252" i="13"/>
  <c r="H253" i="13" s="1"/>
  <c r="I252" i="13"/>
  <c r="I253" i="13" s="1"/>
  <c r="J250" i="13"/>
  <c r="J251" i="13" s="1"/>
  <c r="F256" i="13"/>
  <c r="F257" i="13" s="1"/>
  <c r="L254" i="13"/>
  <c r="L255" i="13" s="1"/>
  <c r="C250" i="13"/>
  <c r="C251" i="13" s="1"/>
  <c r="K250" i="13"/>
  <c r="K251" i="13" s="1"/>
  <c r="G252" i="13"/>
  <c r="G253" i="13" s="1"/>
  <c r="E252" i="13"/>
  <c r="E253" i="13" s="1"/>
  <c r="N252" i="13"/>
  <c r="N253" i="13" s="1"/>
  <c r="N254" i="13"/>
  <c r="N255" i="13" s="1"/>
  <c r="J254" i="13"/>
  <c r="J255" i="13" s="1"/>
  <c r="G254" i="13"/>
  <c r="G255" i="13" s="1"/>
  <c r="D254" i="13"/>
  <c r="D255" i="13" s="1"/>
  <c r="M250" i="13"/>
  <c r="M251" i="13" s="1"/>
  <c r="C252" i="13"/>
  <c r="C253" i="13" s="1"/>
  <c r="K252" i="13"/>
  <c r="K253" i="13" s="1"/>
  <c r="I250" i="13"/>
  <c r="I251" i="13" s="1"/>
  <c r="F252" i="13"/>
  <c r="F253" i="13" s="1"/>
  <c r="J252" i="13"/>
  <c r="J253" i="13" s="1"/>
  <c r="M252" i="13"/>
  <c r="M253" i="13" s="1"/>
  <c r="F250" i="13"/>
  <c r="F251" i="13" s="1"/>
  <c r="D252" i="13"/>
  <c r="D253" i="13" s="1"/>
  <c r="N250" i="13"/>
  <c r="N251" i="13" s="1"/>
  <c r="G250" i="13"/>
  <c r="G251" i="13" s="1"/>
  <c r="H250" i="13"/>
  <c r="H251" i="13" s="1"/>
  <c r="D250" i="13"/>
  <c r="D251" i="13" s="1"/>
  <c r="L250" i="13"/>
  <c r="L251" i="13" s="1"/>
  <c r="E250" i="13"/>
  <c r="E251" i="13" s="1"/>
  <c r="L219" i="13"/>
  <c r="C219" i="13"/>
  <c r="K220" i="13"/>
  <c r="E220" i="13"/>
  <c r="N219" i="13"/>
  <c r="C218" i="13"/>
  <c r="M218" i="13"/>
  <c r="K218" i="13"/>
  <c r="L218" i="13"/>
  <c r="J218" i="13"/>
  <c r="G220" i="13"/>
  <c r="D220" i="13"/>
  <c r="G218" i="13"/>
  <c r="D218" i="13"/>
  <c r="M219" i="13"/>
  <c r="F219" i="13"/>
  <c r="F220" i="13"/>
  <c r="E219" i="13"/>
  <c r="J219" i="13"/>
  <c r="H219" i="13"/>
  <c r="I220" i="13"/>
  <c r="H220" i="13"/>
  <c r="I219" i="13"/>
  <c r="N220" i="13"/>
  <c r="K232" i="13" l="1"/>
  <c r="G232" i="13"/>
  <c r="C232" i="13"/>
  <c r="C51" i="13" l="1"/>
  <c r="B51" i="13"/>
  <c r="D51" i="13" l="1"/>
  <c r="D221" i="13" l="1"/>
  <c r="D222" i="13"/>
  <c r="E221" i="13"/>
  <c r="E222" i="13"/>
  <c r="N221" i="13"/>
  <c r="N222" i="13"/>
  <c r="H221" i="13"/>
  <c r="H222" i="13"/>
  <c r="J221" i="13"/>
  <c r="J222" i="13"/>
  <c r="F222" i="13"/>
  <c r="F221" i="13"/>
  <c r="L221" i="13"/>
  <c r="L222" i="13"/>
  <c r="M221" i="13"/>
  <c r="M222" i="13"/>
  <c r="M223" i="13" l="1"/>
  <c r="O290" i="13" s="1"/>
  <c r="O321" i="13" s="1"/>
  <c r="E223" i="13"/>
  <c r="G290" i="13" s="1"/>
  <c r="G321" i="13" s="1"/>
  <c r="N223" i="13"/>
  <c r="N224" i="13" s="1"/>
  <c r="F223" i="13"/>
  <c r="H290" i="13" s="1"/>
  <c r="H321" i="13" s="1"/>
  <c r="L223" i="13"/>
  <c r="N290" i="13" s="1"/>
  <c r="N321" i="13" s="1"/>
  <c r="J223" i="13"/>
  <c r="J224" i="13" s="1"/>
  <c r="D223" i="13"/>
  <c r="D224" i="13" s="1"/>
  <c r="H223" i="13"/>
  <c r="H224" i="13" s="1"/>
  <c r="K221" i="13"/>
  <c r="K222" i="13"/>
  <c r="M224" i="13" l="1"/>
  <c r="M225" i="13" s="1"/>
  <c r="O292" i="13" s="1"/>
  <c r="O323" i="13" s="1"/>
  <c r="E224" i="13"/>
  <c r="E226" i="13" s="1"/>
  <c r="G293" i="13" s="1"/>
  <c r="G324" i="13" s="1"/>
  <c r="K223" i="13"/>
  <c r="L290" i="13"/>
  <c r="L321" i="13" s="1"/>
  <c r="L352" i="13" s="1"/>
  <c r="N51" i="9" s="1"/>
  <c r="L224" i="13"/>
  <c r="L227" i="13" s="1"/>
  <c r="L228" i="13" s="1"/>
  <c r="N294" i="13" s="1"/>
  <c r="F290" i="13"/>
  <c r="F321" i="13" s="1"/>
  <c r="F352" i="13" s="1"/>
  <c r="H51" i="9" s="1"/>
  <c r="F224" i="13"/>
  <c r="H291" i="13" s="1"/>
  <c r="H322" i="13" s="1"/>
  <c r="H353" i="13" s="1"/>
  <c r="J52" i="9" s="1"/>
  <c r="J290" i="13"/>
  <c r="J321" i="13" s="1"/>
  <c r="J352" i="13" s="1"/>
  <c r="L51" i="9" s="1"/>
  <c r="P290" i="13"/>
  <c r="P321" i="13" s="1"/>
  <c r="P352" i="13" s="1"/>
  <c r="R51" i="9" s="1"/>
  <c r="P291" i="13"/>
  <c r="P322" i="13" s="1"/>
  <c r="P353" i="13" s="1"/>
  <c r="R52" i="9" s="1"/>
  <c r="N227" i="13"/>
  <c r="N228" i="13" s="1"/>
  <c r="P294" i="13" s="1"/>
  <c r="L291" i="13"/>
  <c r="L322" i="13" s="1"/>
  <c r="L353" i="13" s="1"/>
  <c r="N52" i="9" s="1"/>
  <c r="J227" i="13"/>
  <c r="J228" i="13" s="1"/>
  <c r="L294" i="13" s="1"/>
  <c r="J291" i="13"/>
  <c r="J322" i="13" s="1"/>
  <c r="J353" i="13" s="1"/>
  <c r="L52" i="9" s="1"/>
  <c r="H227" i="13"/>
  <c r="H228" i="13" s="1"/>
  <c r="J294" i="13" s="1"/>
  <c r="F291" i="13"/>
  <c r="F322" i="13" s="1"/>
  <c r="F353" i="13" s="1"/>
  <c r="H52" i="9" s="1"/>
  <c r="D227" i="13"/>
  <c r="D228" i="13" s="1"/>
  <c r="F294" i="13" s="1"/>
  <c r="G352" i="13"/>
  <c r="I51" i="9" s="1"/>
  <c r="H352" i="13"/>
  <c r="J51" i="9" s="1"/>
  <c r="O352" i="13"/>
  <c r="Q51" i="9" s="1"/>
  <c r="N352" i="13"/>
  <c r="P51" i="9" s="1"/>
  <c r="D225" i="13"/>
  <c r="F292" i="13" s="1"/>
  <c r="F323" i="13" s="1"/>
  <c r="D226" i="13"/>
  <c r="F293" i="13" s="1"/>
  <c r="F324" i="13" s="1"/>
  <c r="H226" i="13"/>
  <c r="J293" i="13" s="1"/>
  <c r="J324" i="13" s="1"/>
  <c r="J225" i="13"/>
  <c r="L292" i="13" s="1"/>
  <c r="L323" i="13" s="1"/>
  <c r="H225" i="13"/>
  <c r="J292" i="13" s="1"/>
  <c r="J323" i="13" s="1"/>
  <c r="J226" i="13"/>
  <c r="L293" i="13" s="1"/>
  <c r="L324" i="13" s="1"/>
  <c r="N225" i="13"/>
  <c r="P292" i="13" s="1"/>
  <c r="P323" i="13" s="1"/>
  <c r="N226" i="13"/>
  <c r="P293" i="13" s="1"/>
  <c r="P324" i="13" s="1"/>
  <c r="F225" i="13" l="1"/>
  <c r="H292" i="13" s="1"/>
  <c r="H323" i="13" s="1"/>
  <c r="H354" i="13" s="1"/>
  <c r="J53" i="9" s="1"/>
  <c r="N291" i="13"/>
  <c r="N322" i="13" s="1"/>
  <c r="N353" i="13" s="1"/>
  <c r="P52" i="9" s="1"/>
  <c r="M226" i="13"/>
  <c r="O293" i="13" s="1"/>
  <c r="O324" i="13" s="1"/>
  <c r="O355" i="13" s="1"/>
  <c r="Q54" i="9" s="1"/>
  <c r="O291" i="13"/>
  <c r="O322" i="13" s="1"/>
  <c r="O353" i="13" s="1"/>
  <c r="Q52" i="9" s="1"/>
  <c r="L225" i="13"/>
  <c r="N292" i="13" s="1"/>
  <c r="N323" i="13" s="1"/>
  <c r="N354" i="13" s="1"/>
  <c r="P53" i="9" s="1"/>
  <c r="M227" i="13"/>
  <c r="M228" i="13" s="1"/>
  <c r="O294" i="13" s="1"/>
  <c r="O325" i="13" s="1"/>
  <c r="O356" i="13" s="1"/>
  <c r="Q55" i="9" s="1"/>
  <c r="L226" i="13"/>
  <c r="N293" i="13" s="1"/>
  <c r="N324" i="13" s="1"/>
  <c r="N355" i="13" s="1"/>
  <c r="P54" i="9" s="1"/>
  <c r="E225" i="13"/>
  <c r="G292" i="13" s="1"/>
  <c r="G323" i="13" s="1"/>
  <c r="G354" i="13" s="1"/>
  <c r="I53" i="9" s="1"/>
  <c r="E227" i="13"/>
  <c r="E228" i="13" s="1"/>
  <c r="G294" i="13" s="1"/>
  <c r="G325" i="13" s="1"/>
  <c r="G356" i="13" s="1"/>
  <c r="I55" i="9" s="1"/>
  <c r="G291" i="13"/>
  <c r="G322" i="13" s="1"/>
  <c r="G353" i="13" s="1"/>
  <c r="I52" i="9" s="1"/>
  <c r="F226" i="13"/>
  <c r="H293" i="13" s="1"/>
  <c r="H324" i="13" s="1"/>
  <c r="H355" i="13" s="1"/>
  <c r="J54" i="9" s="1"/>
  <c r="F227" i="13"/>
  <c r="F228" i="13" s="1"/>
  <c r="H294" i="13" s="1"/>
  <c r="H325" i="13" s="1"/>
  <c r="H356" i="13" s="1"/>
  <c r="J55" i="9" s="1"/>
  <c r="F325" i="13"/>
  <c r="F356" i="13" s="1"/>
  <c r="H55" i="9" s="1"/>
  <c r="L325" i="13"/>
  <c r="L356" i="13" s="1"/>
  <c r="N55" i="9" s="1"/>
  <c r="N325" i="13"/>
  <c r="N356" i="13" s="1"/>
  <c r="P55" i="9" s="1"/>
  <c r="J325" i="13"/>
  <c r="J356" i="13" s="1"/>
  <c r="L55" i="9" s="1"/>
  <c r="P325" i="13"/>
  <c r="P356" i="13" s="1"/>
  <c r="R55" i="9" s="1"/>
  <c r="G355" i="13"/>
  <c r="I54" i="9" s="1"/>
  <c r="L354" i="13"/>
  <c r="N53" i="9" s="1"/>
  <c r="J355" i="13"/>
  <c r="L54" i="9" s="1"/>
  <c r="O354" i="13"/>
  <c r="Q53" i="9" s="1"/>
  <c r="P354" i="13"/>
  <c r="R53" i="9" s="1"/>
  <c r="F354" i="13"/>
  <c r="H53" i="9" s="1"/>
  <c r="L355" i="13"/>
  <c r="N54" i="9" s="1"/>
  <c r="J354" i="13"/>
  <c r="L53" i="9" s="1"/>
  <c r="P355" i="13"/>
  <c r="R54" i="9" s="1"/>
  <c r="F355" i="13"/>
  <c r="H54" i="9" s="1"/>
  <c r="K224" i="13"/>
  <c r="M290" i="13"/>
  <c r="M321" i="13" s="1"/>
  <c r="C222" i="13"/>
  <c r="G222" i="13"/>
  <c r="G221" i="13"/>
  <c r="G223" i="13" l="1"/>
  <c r="M291" i="13"/>
  <c r="M322" i="13" s="1"/>
  <c r="M353" i="13" s="1"/>
  <c r="O52" i="9" s="1"/>
  <c r="K227" i="13"/>
  <c r="K228" i="13" s="1"/>
  <c r="M294" i="13" s="1"/>
  <c r="M352" i="13"/>
  <c r="O51" i="9" s="1"/>
  <c r="K225" i="13"/>
  <c r="M292" i="13" s="1"/>
  <c r="M323" i="13" s="1"/>
  <c r="K226" i="13"/>
  <c r="M293" i="13" s="1"/>
  <c r="M324" i="13" s="1"/>
  <c r="M325" i="13" l="1"/>
  <c r="M356" i="13" s="1"/>
  <c r="O55" i="9" s="1"/>
  <c r="M354" i="13"/>
  <c r="O53" i="9" s="1"/>
  <c r="M355" i="13"/>
  <c r="O54" i="9" s="1"/>
  <c r="G224" i="13"/>
  <c r="I290" i="13"/>
  <c r="I321" i="13" s="1"/>
  <c r="I291" i="13" l="1"/>
  <c r="I322" i="13" s="1"/>
  <c r="I353" i="13" s="1"/>
  <c r="K52" i="9" s="1"/>
  <c r="G227" i="13"/>
  <c r="G228" i="13" s="1"/>
  <c r="I294" i="13" s="1"/>
  <c r="I352" i="13"/>
  <c r="K51" i="9" s="1"/>
  <c r="G225" i="13"/>
  <c r="I292" i="13" s="1"/>
  <c r="I323" i="13" s="1"/>
  <c r="G226" i="13"/>
  <c r="I293" i="13" s="1"/>
  <c r="I324" i="13" s="1"/>
  <c r="I222" i="13"/>
  <c r="I221" i="13"/>
  <c r="I223" i="13" l="1"/>
  <c r="I325" i="13"/>
  <c r="I356" i="13" s="1"/>
  <c r="K55" i="9" s="1"/>
  <c r="I355" i="13"/>
  <c r="K54" i="9" s="1"/>
  <c r="I354" i="13"/>
  <c r="K53" i="9" s="1"/>
  <c r="I224" i="13" l="1"/>
  <c r="K290" i="13"/>
  <c r="K291" i="13" l="1"/>
  <c r="K322" i="13" s="1"/>
  <c r="K353" i="13" s="1"/>
  <c r="I227" i="13"/>
  <c r="I228" i="13" s="1"/>
  <c r="K294" i="13" s="1"/>
  <c r="K321" i="13"/>
  <c r="K352" i="13" s="1"/>
  <c r="I226" i="13"/>
  <c r="K293" i="13" s="1"/>
  <c r="I225" i="13"/>
  <c r="K292" i="13" s="1"/>
  <c r="K325" i="13" l="1"/>
  <c r="K356" i="13" s="1"/>
  <c r="M51" i="9"/>
  <c r="D127" i="10"/>
  <c r="B171" i="10" s="1"/>
  <c r="M52" i="9"/>
  <c r="D128" i="10"/>
  <c r="K323" i="13"/>
  <c r="K354" i="13" s="1"/>
  <c r="K324" i="13"/>
  <c r="K355" i="13" s="1"/>
  <c r="B22" i="17" l="1"/>
  <c r="B172" i="10"/>
  <c r="M55" i="9"/>
  <c r="D131" i="10"/>
  <c r="M54" i="9"/>
  <c r="D130" i="10"/>
  <c r="B174" i="10" s="1"/>
  <c r="M53" i="9"/>
  <c r="D129" i="10"/>
  <c r="B25" i="17" l="1"/>
  <c r="B23" i="17"/>
  <c r="B173" i="10"/>
  <c r="C175" i="10"/>
  <c r="B175" i="10" s="1"/>
  <c r="B26" i="17" l="1"/>
  <c r="B24" i="17"/>
  <c r="C61" i="18"/>
  <c r="B61" i="18"/>
  <c r="D61" i="18" l="1"/>
  <c r="E303" i="18"/>
  <c r="E334" i="18" s="1"/>
  <c r="B112" i="19" s="1"/>
  <c r="B146" i="19" s="1"/>
  <c r="B13" i="16" s="1"/>
  <c r="C230" i="18"/>
  <c r="H42" i="12" l="1"/>
  <c r="E307" i="18" l="1"/>
  <c r="E338" i="18" s="1"/>
  <c r="B116" i="19" s="1"/>
  <c r="B175" i="19" s="1"/>
  <c r="A31" i="16" l="1"/>
  <c r="H46" i="12"/>
  <c r="C234" i="18"/>
  <c r="C103" i="18" l="1"/>
  <c r="C108" i="18" s="1"/>
  <c r="C98" i="18"/>
  <c r="C110" i="18"/>
  <c r="C116" i="18" s="1"/>
  <c r="C113" i="18"/>
  <c r="C118" i="18" s="1"/>
  <c r="C100" i="18"/>
  <c r="C106" i="18" s="1"/>
  <c r="C101" i="18"/>
  <c r="C104" i="18"/>
  <c r="C114" i="18"/>
  <c r="C111" i="18"/>
  <c r="C105" i="18"/>
  <c r="C112" i="18"/>
  <c r="C99" i="18"/>
  <c r="C97" i="18"/>
  <c r="C115" i="18"/>
  <c r="C102" i="18"/>
  <c r="C119" i="18" l="1"/>
  <c r="C107" i="18"/>
  <c r="C109" i="18"/>
  <c r="C117" i="18"/>
  <c r="C128" i="18" l="1"/>
  <c r="C158" i="18" s="1"/>
  <c r="C140" i="18"/>
  <c r="C146" i="18" s="1"/>
  <c r="C160" i="18" s="1"/>
  <c r="C144" i="18"/>
  <c r="C127" i="18"/>
  <c r="C157" i="18" s="1"/>
  <c r="C134" i="18"/>
  <c r="C131" i="18"/>
  <c r="C143" i="18"/>
  <c r="C148" i="18" s="1"/>
  <c r="C162" i="18" s="1"/>
  <c r="C133" i="18"/>
  <c r="C138" i="18" s="1"/>
  <c r="C154" i="18" s="1"/>
  <c r="C129" i="18"/>
  <c r="C159" i="18" s="1"/>
  <c r="C126" i="18"/>
  <c r="C156" i="18" s="1"/>
  <c r="C145" i="18"/>
  <c r="C135" i="18"/>
  <c r="C142" i="18"/>
  <c r="C141" i="18"/>
  <c r="C130" i="18"/>
  <c r="C136" i="18" s="1"/>
  <c r="C152" i="18" s="1"/>
  <c r="C139" i="18" l="1"/>
  <c r="C203" i="18"/>
  <c r="C207" i="18"/>
  <c r="C206" i="18"/>
  <c r="C208" i="18"/>
  <c r="C209" i="18"/>
  <c r="C170" i="18"/>
  <c r="C171" i="18"/>
  <c r="C147" i="18"/>
  <c r="C161" i="18" s="1"/>
  <c r="E284" i="18"/>
  <c r="E315" i="18" s="1"/>
  <c r="E346" i="18" s="1"/>
  <c r="E279" i="18"/>
  <c r="E310" i="18" s="1"/>
  <c r="E341" i="18" s="1"/>
  <c r="C137" i="18"/>
  <c r="C153" i="18" s="1"/>
  <c r="E283" i="18"/>
  <c r="E314" i="18" s="1"/>
  <c r="E345" i="18" s="1"/>
  <c r="C149" i="18"/>
  <c r="C163" i="18" s="1"/>
  <c r="C175" i="18" s="1"/>
  <c r="E287" i="18"/>
  <c r="E318" i="18" s="1"/>
  <c r="E349" i="18" s="1"/>
  <c r="E277" i="18"/>
  <c r="E308" i="18" s="1"/>
  <c r="E339" i="18" s="1"/>
  <c r="E285" i="18"/>
  <c r="E316" i="18" s="1"/>
  <c r="E347" i="18" s="1"/>
  <c r="B125" i="19" s="1"/>
  <c r="E281" i="18"/>
  <c r="E312" i="18" s="1"/>
  <c r="E343" i="18" s="1"/>
  <c r="E282" i="18"/>
  <c r="E313" i="18" s="1"/>
  <c r="E344" i="18" s="1"/>
  <c r="C155" i="18" l="1"/>
  <c r="C167" i="18" s="1"/>
  <c r="B180" i="18" s="1"/>
  <c r="C211" i="18"/>
  <c r="C166" i="18"/>
  <c r="E286" i="18"/>
  <c r="E317" i="18" s="1"/>
  <c r="E348" i="18" s="1"/>
  <c r="H56" i="12" s="1"/>
  <c r="C210" i="18"/>
  <c r="C174" i="18"/>
  <c r="B179" i="18" s="1"/>
  <c r="H53" i="12"/>
  <c r="B123" i="19"/>
  <c r="H52" i="12"/>
  <c r="B122" i="19"/>
  <c r="H49" i="12"/>
  <c r="B119" i="19"/>
  <c r="H51" i="12"/>
  <c r="B121" i="19"/>
  <c r="H47" i="12"/>
  <c r="B117" i="19"/>
  <c r="H54" i="12"/>
  <c r="B124" i="19"/>
  <c r="H57" i="12"/>
  <c r="B127" i="19"/>
  <c r="E278" i="18"/>
  <c r="E309" i="18" s="1"/>
  <c r="E340" i="18" s="1"/>
  <c r="H55" i="12"/>
  <c r="E288" i="18"/>
  <c r="E319" i="18" s="1"/>
  <c r="E350" i="18" s="1"/>
  <c r="E280" i="18" l="1"/>
  <c r="E311" i="18" s="1"/>
  <c r="E342" i="18" s="1"/>
  <c r="B120" i="19" s="1"/>
  <c r="C205" i="18"/>
  <c r="C204" i="18"/>
  <c r="B195" i="18"/>
  <c r="B184" i="19" s="1"/>
  <c r="B151" i="19"/>
  <c r="B194" i="18"/>
  <c r="B183" i="19" s="1"/>
  <c r="B150" i="19"/>
  <c r="B126" i="19"/>
  <c r="B178" i="19"/>
  <c r="B181" i="18"/>
  <c r="B182" i="18" s="1"/>
  <c r="B176" i="19"/>
  <c r="H58" i="12"/>
  <c r="B128" i="19"/>
  <c r="H48" i="12"/>
  <c r="B118" i="19"/>
  <c r="H50" i="12" l="1"/>
  <c r="B196" i="18"/>
  <c r="C216" i="18" s="1"/>
  <c r="B183" i="18"/>
  <c r="B152" i="19" s="1"/>
  <c r="B177" i="19"/>
  <c r="B179" i="19"/>
  <c r="C235" i="18" l="1"/>
  <c r="C217" i="18"/>
  <c r="C246" i="18"/>
  <c r="C237" i="18"/>
  <c r="C219" i="18"/>
  <c r="C238" i="18"/>
  <c r="B197" i="18"/>
  <c r="C240" i="18"/>
  <c r="C236" i="18"/>
  <c r="C242" i="18"/>
  <c r="C241" i="18"/>
  <c r="C245" i="18"/>
  <c r="C239" i="18"/>
  <c r="C243" i="18"/>
  <c r="C244" i="18"/>
  <c r="C259" i="18" l="1"/>
  <c r="C260" i="18" s="1"/>
  <c r="B199" i="18"/>
  <c r="C251" i="18"/>
  <c r="C252" i="18" s="1"/>
  <c r="C249" i="18"/>
  <c r="C250" i="18" s="1"/>
  <c r="C255" i="18"/>
  <c r="C256" i="18" s="1"/>
  <c r="C218" i="18"/>
  <c r="C253" i="18"/>
  <c r="C254" i="18" s="1"/>
  <c r="C257" i="18"/>
  <c r="C258" i="18" s="1"/>
  <c r="D24" i="12" l="1"/>
  <c r="B143" i="19"/>
  <c r="A163" i="19" s="1"/>
  <c r="C221" i="18"/>
  <c r="C220" i="18"/>
  <c r="C222" i="18" l="1"/>
  <c r="C223" i="18" s="1"/>
  <c r="E289" i="18" l="1"/>
  <c r="E320" i="18" s="1"/>
  <c r="E351" i="18" s="1"/>
  <c r="C226" i="18"/>
  <c r="C227" i="18" s="1"/>
  <c r="E293" i="18" s="1"/>
  <c r="E324" i="18" s="1"/>
  <c r="E355" i="18" s="1"/>
  <c r="C224" i="18"/>
  <c r="E291" i="18" s="1"/>
  <c r="E322" i="18" s="1"/>
  <c r="E353" i="18" s="1"/>
  <c r="C225" i="18"/>
  <c r="E292" i="18" s="1"/>
  <c r="E323" i="18" s="1"/>
  <c r="E354" i="18" s="1"/>
  <c r="E290" i="18"/>
  <c r="E321" i="18" s="1"/>
  <c r="E352" i="18" s="1"/>
  <c r="H60" i="12" l="1"/>
  <c r="B130" i="19"/>
  <c r="H62" i="12"/>
  <c r="B132" i="19"/>
  <c r="B168" i="19" s="1"/>
  <c r="H63" i="12"/>
  <c r="B133" i="19"/>
  <c r="C169" i="19" s="1"/>
  <c r="B169" i="19" s="1"/>
  <c r="B27" i="16" s="1"/>
  <c r="H61" i="12"/>
  <c r="B131" i="19"/>
  <c r="B167" i="19" s="1"/>
  <c r="B25" i="16" s="1"/>
  <c r="H59" i="12"/>
  <c r="B129" i="19"/>
  <c r="B165" i="19" s="1"/>
  <c r="B26" i="16" l="1"/>
  <c r="E102" i="19"/>
  <c r="D102" i="19"/>
  <c r="B23" i="16"/>
  <c r="B166" i="19"/>
  <c r="B24" i="16" s="1"/>
  <c r="B103" i="19" l="1"/>
  <c r="G74" i="12" s="1"/>
  <c r="B181" i="19"/>
  <c r="C183" i="19" s="1"/>
  <c r="B182" i="19"/>
  <c r="C184" i="19" s="1"/>
  <c r="B47" i="16" l="1"/>
  <c r="C221" i="13" a="1"/>
  <c r="C221" i="13" s="1"/>
  <c r="C223" i="13" s="1"/>
  <c r="E290" i="13" l="1"/>
  <c r="E321" i="13" s="1"/>
  <c r="E352" i="13" s="1"/>
  <c r="G51" i="9" s="1"/>
  <c r="C224" i="13"/>
  <c r="C225" i="13" l="1"/>
  <c r="E292" i="13" s="1"/>
  <c r="E323" i="13" s="1"/>
  <c r="E354" i="13" s="1"/>
  <c r="G53" i="9" s="1"/>
  <c r="C227" i="13"/>
  <c r="C228" i="13" s="1"/>
  <c r="E294" i="13" s="1"/>
  <c r="E325" i="13" s="1"/>
  <c r="E356" i="13" s="1"/>
  <c r="G55" i="9" s="1"/>
  <c r="C226" i="13"/>
  <c r="E293" i="13" s="1"/>
  <c r="E324" i="13" s="1"/>
  <c r="E355" i="13" s="1"/>
  <c r="G54" i="9" s="1"/>
  <c r="E291" i="13"/>
  <c r="E322" i="13" s="1"/>
  <c r="E353" i="13" s="1"/>
  <c r="G52" i="9" s="1"/>
  <c r="E269" i="13" l="1"/>
  <c r="P269" i="13"/>
  <c r="P300" i="13" s="1"/>
  <c r="P331" i="13" s="1"/>
  <c r="O269" i="13"/>
  <c r="O300" i="13" s="1"/>
  <c r="O331" i="13" s="1"/>
  <c r="N269" i="13"/>
  <c r="N300" i="13" s="1"/>
  <c r="N331" i="13" s="1"/>
  <c r="H269" i="13"/>
  <c r="H300" i="13" s="1"/>
  <c r="H331" i="13" s="1"/>
  <c r="J269" i="13"/>
  <c r="J300" i="13" s="1"/>
  <c r="J331" i="13" s="1"/>
  <c r="D106" i="10" s="1"/>
  <c r="M269" i="13"/>
  <c r="I269" i="13"/>
  <c r="K30" i="9" s="1"/>
  <c r="L269" i="13"/>
  <c r="L300" i="13" s="1"/>
  <c r="L331" i="13" s="1"/>
  <c r="F269" i="13"/>
  <c r="F300" i="13" s="1"/>
  <c r="F331" i="13" s="1"/>
  <c r="K269" i="13"/>
  <c r="K300" i="13" s="1"/>
  <c r="K331" i="13" s="1"/>
  <c r="G269" i="13"/>
  <c r="G300" i="13" s="1"/>
  <c r="G331" i="13" s="1"/>
  <c r="B34" i="10" l="1"/>
  <c r="B37" i="17" s="1"/>
  <c r="E300" i="13"/>
  <c r="E331" i="13" s="1"/>
  <c r="G30" i="9"/>
  <c r="M300" i="13"/>
  <c r="M331" i="13" s="1"/>
  <c r="O30" i="9"/>
  <c r="I300" i="13"/>
  <c r="I331" i="13" s="1"/>
  <c r="C67" i="13"/>
  <c r="E271" i="13" s="1"/>
  <c r="E302" i="13" s="1"/>
  <c r="E333" i="13" s="1"/>
  <c r="G32" i="9" s="1"/>
  <c r="J67" i="13"/>
  <c r="L271" i="13" s="1"/>
  <c r="L302" i="13" s="1"/>
  <c r="L333" i="13" s="1"/>
  <c r="N67" i="13"/>
  <c r="P271" i="13" s="1"/>
  <c r="P302" i="13" s="1"/>
  <c r="P333" i="13" s="1"/>
  <c r="G67" i="13"/>
  <c r="I271" i="13" s="1"/>
  <c r="I302" i="13" s="1"/>
  <c r="I333" i="13" s="1"/>
  <c r="K32" i="9" s="1"/>
  <c r="L67" i="13"/>
  <c r="N271" i="13" s="1"/>
  <c r="N302" i="13" s="1"/>
  <c r="N333" i="13" s="1"/>
  <c r="M67" i="13"/>
  <c r="O271" i="13" s="1"/>
  <c r="O302" i="13" s="1"/>
  <c r="O333" i="13" s="1"/>
  <c r="K67" i="13"/>
  <c r="M271" i="13" s="1"/>
  <c r="M302" i="13" s="1"/>
  <c r="M333" i="13" s="1"/>
  <c r="O32" i="9" s="1"/>
  <c r="F67" i="13"/>
  <c r="H271" i="13" s="1"/>
  <c r="H302" i="13" s="1"/>
  <c r="H333" i="13" s="1"/>
  <c r="H67" i="13"/>
  <c r="J271" i="13" s="1"/>
  <c r="J302" i="13" s="1"/>
  <c r="J333" i="13" s="1"/>
  <c r="D108" i="10" s="1"/>
  <c r="B35" i="10" s="1"/>
  <c r="B38" i="17" s="1"/>
  <c r="E67" i="13"/>
  <c r="G271" i="13" s="1"/>
  <c r="G302" i="13" s="1"/>
  <c r="G333" i="13" s="1"/>
  <c r="D67" i="13"/>
  <c r="F271" i="13" s="1"/>
  <c r="F302" i="13" s="1"/>
  <c r="F333" i="13" s="1"/>
  <c r="I67" i="13"/>
  <c r="K271" i="13" s="1"/>
  <c r="K302" i="13" s="1"/>
  <c r="K333" i="1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<sst xmlns="http://schemas.openxmlformats.org/spreadsheetml/2006/main" count="4712" uniqueCount="534">
  <si>
    <t>1-row</t>
  </si>
  <si>
    <t>2-row</t>
  </si>
  <si>
    <t>3-row</t>
  </si>
  <si>
    <t>4-row</t>
  </si>
  <si>
    <t>[L/s]</t>
  </si>
  <si>
    <t>NC</t>
  </si>
  <si>
    <t>Pa</t>
  </si>
  <si>
    <t>FACE (active size mm)</t>
  </si>
  <si>
    <t>Face</t>
  </si>
  <si>
    <t>Height</t>
  </si>
  <si>
    <t>[Pa]</t>
  </si>
  <si>
    <t>[NC]</t>
  </si>
  <si>
    <t>&lt; 5</t>
  </si>
  <si>
    <t>Key</t>
  </si>
  <si>
    <t xml:space="preserve">≤ 20 </t>
  </si>
  <si>
    <t>L/s</t>
  </si>
  <si>
    <t xml:space="preserve">≤ 25 </t>
  </si>
  <si>
    <t xml:space="preserve">≤ 35 </t>
  </si>
  <si>
    <t>≤ 50</t>
  </si>
  <si>
    <t xml:space="preserve">≤ 40 </t>
  </si>
  <si>
    <t>≤ 30</t>
  </si>
  <si>
    <t>≤ 40</t>
  </si>
  <si>
    <t>Pt</t>
  </si>
  <si>
    <t>Lp*</t>
  </si>
  <si>
    <r>
      <t xml:space="preserve">* </t>
    </r>
    <r>
      <rPr>
        <sz val="11"/>
        <color theme="1"/>
        <rFont val="Calibri"/>
        <family val="2"/>
        <scheme val="minor"/>
      </rPr>
      <t>Based on 10 dB room absorption</t>
    </r>
  </si>
  <si>
    <t>Width</t>
  </si>
  <si>
    <t>[mm]</t>
  </si>
  <si>
    <t>Flange  Dimensions</t>
  </si>
  <si>
    <t>Input Airflow Rate</t>
  </si>
  <si>
    <t>K=</t>
  </si>
  <si>
    <t>K1=</t>
  </si>
  <si>
    <t>Min Discharge Height</t>
  </si>
  <si>
    <t>m</t>
  </si>
  <si>
    <t>mm</t>
  </si>
  <si>
    <t>K</t>
  </si>
  <si>
    <t>Setting</t>
  </si>
  <si>
    <t>Discharge</t>
  </si>
  <si>
    <t>(1-row)</t>
  </si>
  <si>
    <t>H.neck</t>
  </si>
  <si>
    <t>W.neck</t>
  </si>
  <si>
    <t>(2-row)</t>
  </si>
  <si>
    <t>INPUT</t>
  </si>
  <si>
    <t>NC*</t>
  </si>
  <si>
    <t>* for 10 dB room absorption</t>
  </si>
  <si>
    <t>(3-row)</t>
  </si>
  <si>
    <t>(4-row)</t>
  </si>
  <si>
    <t>Lw</t>
  </si>
  <si>
    <t>≤ 45</t>
  </si>
  <si>
    <t>≤ 55</t>
  </si>
  <si>
    <t>dB(A)</t>
  </si>
  <si>
    <t>`</t>
  </si>
  <si>
    <t>≤ 35</t>
  </si>
  <si>
    <t>v.room ≤</t>
  </si>
  <si>
    <t>dT(cooling) =</t>
  </si>
  <si>
    <t>H.diffuser =</t>
  </si>
  <si>
    <t xml:space="preserve">     =</t>
  </si>
  <si>
    <t>Lmin</t>
  </si>
  <si>
    <t>Lmax</t>
  </si>
  <si>
    <t>M</t>
  </si>
  <si>
    <t>Medium</t>
  </si>
  <si>
    <t>Wmin</t>
  </si>
  <si>
    <t>Wmax</t>
  </si>
  <si>
    <t>FACTORS:</t>
  </si>
  <si>
    <t>PMW-</t>
  </si>
  <si>
    <t>AD-</t>
  </si>
  <si>
    <t>S</t>
  </si>
  <si>
    <t>Short</t>
  </si>
  <si>
    <t>L</t>
  </si>
  <si>
    <t>Long</t>
  </si>
  <si>
    <t>K.l.min</t>
  </si>
  <si>
    <t>K.l.max</t>
  </si>
  <si>
    <t>L Vsp.min</t>
  </si>
  <si>
    <t>L Vsp.max</t>
  </si>
  <si>
    <t>W Vsp.min</t>
  </si>
  <si>
    <t>W Vsp.max</t>
  </si>
  <si>
    <t>L,W Vsp.min</t>
  </si>
  <si>
    <t>L,W Vsp.max</t>
  </si>
  <si>
    <t>L,W throw max</t>
  </si>
  <si>
    <t>K.dT</t>
  </si>
  <si>
    <t>L throw max</t>
  </si>
  <si>
    <t>W throw max</t>
  </si>
  <si>
    <t>K.H.min(sp)</t>
  </si>
  <si>
    <t>K.H.max(vol)</t>
  </si>
  <si>
    <t>K.2D/3D</t>
  </si>
  <si>
    <t>Fig 8 / Fig 7 @ 0.25, Krantz Layout Criteria TB 69 E</t>
  </si>
  <si>
    <t>-12 K / dT</t>
  </si>
  <si>
    <t>Increased draught risk as height increases, Fig 8, Krantz Layout Criteria TB 69 E</t>
  </si>
  <si>
    <t>Reduce max throw with height to maintain constant volume to prevent stagnation</t>
  </si>
  <si>
    <r>
      <t xml:space="preserve">ADPI </t>
    </r>
    <r>
      <rPr>
        <b/>
        <sz val="11"/>
        <color theme="1"/>
        <rFont val="Symbol"/>
        <family val="1"/>
        <charset val="2"/>
      </rPr>
      <t>³</t>
    </r>
  </si>
  <si>
    <t>%</t>
  </si>
  <si>
    <t>m/s, Krantz Layout Criteria TB 69 E</t>
  </si>
  <si>
    <t>K.adpi</t>
  </si>
  <si>
    <t>Adjustment factor for ADPI</t>
  </si>
  <si>
    <t>Hmin</t>
  </si>
  <si>
    <t>K.h.min</t>
  </si>
  <si>
    <t>DN 950</t>
  </si>
  <si>
    <t>DN 1500</t>
  </si>
  <si>
    <t>DN 600</t>
  </si>
  <si>
    <t>Bespoke</t>
  </si>
  <si>
    <t>Elements Long (nL)</t>
  </si>
  <si>
    <t>dT = -8 K to -12 K</t>
  </si>
  <si>
    <t>70%, 80%, 90% or 95%</t>
  </si>
  <si>
    <t>Height to Diffuser Centre-Line = 2.0 to 4.5 m</t>
  </si>
  <si>
    <t>1 &lt;= nH &lt;= 4</t>
  </si>
  <si>
    <t>2 &lt;= nL &lt;= 21</t>
  </si>
  <si>
    <t>9 L/s to 600 L/s</t>
  </si>
  <si>
    <t>W.n</t>
  </si>
  <si>
    <t>H.f</t>
  </si>
  <si>
    <t>DN600</t>
  </si>
  <si>
    <t>DN950</t>
  </si>
  <si>
    <t>DN1500</t>
  </si>
  <si>
    <t>Rows</t>
  </si>
  <si>
    <t>H.c</t>
  </si>
  <si>
    <t>L.f</t>
  </si>
  <si>
    <t>L.c</t>
  </si>
  <si>
    <t>L.neck</t>
  </si>
  <si>
    <t>Length</t>
  </si>
  <si>
    <t>Throw</t>
  </si>
  <si>
    <t>Elements High (nH)</t>
  </si>
  <si>
    <r>
      <t xml:space="preserve">SMARTEMP </t>
    </r>
    <r>
      <rPr>
        <sz val="14"/>
        <color rgb="FFFF9900"/>
        <rFont val="Calibri"/>
        <family val="2"/>
        <scheme val="minor"/>
      </rPr>
      <t>PRODUCT SELECTION CALCULATOR</t>
    </r>
  </si>
  <si>
    <t>Inputs</t>
  </si>
  <si>
    <t>Diffuser Height</t>
  </si>
  <si>
    <t xml:space="preserve"> Maximum Airflow Rate</t>
  </si>
  <si>
    <t>ΔT (cooling)</t>
  </si>
  <si>
    <t>ADPI</t>
  </si>
  <si>
    <r>
      <t xml:space="preserve">ADPI </t>
    </r>
    <r>
      <rPr>
        <b/>
        <sz val="11"/>
        <color theme="1" tint="0.499984740745262"/>
        <rFont val="Calibri"/>
        <family val="2"/>
      </rPr>
      <t>≥</t>
    </r>
  </si>
  <si>
    <r>
      <t xml:space="preserve">default </t>
    </r>
    <r>
      <rPr>
        <sz val="11"/>
        <color theme="0" tint="-0.34998626667073579"/>
        <rFont val="Calibri"/>
        <family val="2"/>
      </rPr>
      <t>≥ 90%</t>
    </r>
  </si>
  <si>
    <t>Thermal Comfort Guide</t>
  </si>
  <si>
    <t>W.f</t>
  </si>
  <si>
    <t>Throw Setting</t>
  </si>
  <si>
    <t>Short (S)</t>
  </si>
  <si>
    <t>Medium (M)</t>
  </si>
  <si>
    <t>Long (L)</t>
  </si>
  <si>
    <t>Results</t>
  </si>
  <si>
    <r>
      <t xml:space="preserve">SMARTEMP </t>
    </r>
    <r>
      <rPr>
        <sz val="14"/>
        <color rgb="FFFF9900"/>
        <rFont val="Calibri"/>
        <family val="2"/>
        <scheme val="minor"/>
      </rPr>
      <t>PRODUCT SELECTION BESPOKE CALCULATOR</t>
    </r>
  </si>
  <si>
    <t>click here to see product on smartair.asia</t>
  </si>
  <si>
    <t>[dB(A)]</t>
  </si>
  <si>
    <t>[m]</t>
  </si>
  <si>
    <t>Face Width</t>
  </si>
  <si>
    <t xml:space="preserve">Lmin </t>
  </si>
  <si>
    <t xml:space="preserve">Lmax </t>
  </si>
  <si>
    <t>Neck Width</t>
  </si>
  <si>
    <t>Sound Power Level</t>
  </si>
  <si>
    <t>Min Diffuser Height</t>
  </si>
  <si>
    <t>Rows (Height)</t>
  </si>
  <si>
    <t xml:space="preserve">Bmin </t>
  </si>
  <si>
    <t xml:space="preserve">Bmax </t>
  </si>
  <si>
    <t>Maximum Total Pressure</t>
  </si>
  <si>
    <t>Bmax</t>
  </si>
  <si>
    <t xml:space="preserve">Key: </t>
  </si>
  <si>
    <t>Suitable</t>
  </si>
  <si>
    <t>Not Suitable</t>
  </si>
  <si>
    <t>Warning</t>
  </si>
  <si>
    <t>Bespoke Unit Size</t>
  </si>
  <si>
    <r>
      <t xml:space="preserve">ADPI </t>
    </r>
    <r>
      <rPr>
        <sz val="11"/>
        <color theme="1"/>
        <rFont val="Calibri"/>
        <family val="2"/>
      </rPr>
      <t>≥</t>
    </r>
    <r>
      <rPr>
        <sz val="11"/>
        <color theme="1"/>
        <rFont val="Calibri"/>
        <family val="2"/>
        <scheme val="minor"/>
      </rPr>
      <t xml:space="preserve"> 90%</t>
    </r>
  </si>
  <si>
    <r>
      <rPr>
        <sz val="11"/>
        <color theme="1" tint="0.34998626667073579"/>
        <rFont val="Calibri"/>
        <family val="2"/>
      </rPr>
      <t>°</t>
    </r>
    <r>
      <rPr>
        <sz val="9.9"/>
        <color theme="1" tint="0.34998626667073579"/>
        <rFont val="Calibri"/>
        <family val="2"/>
      </rPr>
      <t>C</t>
    </r>
  </si>
  <si>
    <t>DR</t>
  </si>
  <si>
    <t>Select a model to create product code</t>
  </si>
  <si>
    <t>Model</t>
  </si>
  <si>
    <t>Radio</t>
  </si>
  <si>
    <t>code</t>
  </si>
  <si>
    <t>Colour</t>
  </si>
  <si>
    <t>short</t>
  </si>
  <si>
    <t>long</t>
  </si>
  <si>
    <t>left</t>
  </si>
  <si>
    <t>right</t>
  </si>
  <si>
    <t>other</t>
  </si>
  <si>
    <t>RAL9005 (jet black)</t>
  </si>
  <si>
    <t>Order Code</t>
  </si>
  <si>
    <t>Discharge Direction (in direction of airflow)</t>
  </si>
  <si>
    <t>* indicates standard/default option</t>
  </si>
  <si>
    <r>
      <t xml:space="preserve">20 </t>
    </r>
    <r>
      <rPr>
        <sz val="11"/>
        <color theme="0" tint="-0.34998626667073579"/>
        <rFont val="Calibri"/>
        <family val="2"/>
      </rPr>
      <t>°C to 26 °C (default 23 °C)</t>
    </r>
  </si>
  <si>
    <t>Mean Room Air Velocity</t>
  </si>
  <si>
    <t>[m/s]</t>
  </si>
  <si>
    <t>Mean PPD</t>
  </si>
  <si>
    <t>Selected Area</t>
  </si>
  <si>
    <t>H</t>
  </si>
  <si>
    <t>Ax</t>
  </si>
  <si>
    <t>^B</t>
  </si>
  <si>
    <t>height</t>
  </si>
  <si>
    <t>B</t>
  </si>
  <si>
    <t>PPD</t>
  </si>
  <si>
    <t xml:space="preserve"> Specific Airflow Rate </t>
  </si>
  <si>
    <t>default 30 Pa</t>
  </si>
  <si>
    <t>Room Temperature</t>
  </si>
  <si>
    <t>Units</t>
  </si>
  <si>
    <t>Type</t>
  </si>
  <si>
    <r>
      <t>m</t>
    </r>
    <r>
      <rPr>
        <vertAlign val="superscript"/>
        <sz val="11"/>
        <color theme="1" tint="0.34998626667073579"/>
        <rFont val="Calibri"/>
        <family val="2"/>
        <scheme val="minor"/>
      </rPr>
      <t>3</t>
    </r>
    <r>
      <rPr>
        <sz val="11"/>
        <color theme="1" tint="0.34998626667073579"/>
        <rFont val="Calibri"/>
        <family val="2"/>
        <scheme val="minor"/>
      </rPr>
      <t>/h</t>
    </r>
  </si>
  <si>
    <t>Multiplier</t>
  </si>
  <si>
    <t>Type2</t>
  </si>
  <si>
    <t>Project</t>
  </si>
  <si>
    <t>Company</t>
  </si>
  <si>
    <t>Product</t>
  </si>
  <si>
    <t>Project Summary</t>
  </si>
  <si>
    <t>Selected Airflow</t>
  </si>
  <si>
    <t>Acoustic Performance</t>
  </si>
  <si>
    <t>Satisfies PPD (ISO7730)</t>
  </si>
  <si>
    <t>Description</t>
  </si>
  <si>
    <t>Size</t>
  </si>
  <si>
    <t>m/s</t>
  </si>
  <si>
    <t>Product Code</t>
  </si>
  <si>
    <t>Product Selection &amp; Code Generator</t>
  </si>
  <si>
    <t>&lt;Name&gt;</t>
  </si>
  <si>
    <t>Project:</t>
  </si>
  <si>
    <t>&lt;Project Name&gt;</t>
  </si>
  <si>
    <t>V @Pmax</t>
  </si>
  <si>
    <t>min</t>
  </si>
  <si>
    <t>max</t>
  </si>
  <si>
    <t>Neck Height</t>
  </si>
  <si>
    <t>Face Height</t>
  </si>
  <si>
    <t>Total Pressure</t>
  </si>
  <si>
    <t>Sound Pressure Level</t>
  </si>
  <si>
    <t xml:space="preserve">Wn </t>
  </si>
  <si>
    <t>Wf</t>
  </si>
  <si>
    <t>Hr</t>
  </si>
  <si>
    <t>Hn</t>
  </si>
  <si>
    <t>Hf</t>
  </si>
  <si>
    <t>v</t>
  </si>
  <si>
    <t>[%]</t>
  </si>
  <si>
    <t>Mean Draught Rating</t>
  </si>
  <si>
    <t>(ISO7730)</t>
  </si>
  <si>
    <t>Satisfies PPD Category</t>
  </si>
  <si>
    <t xml:space="preserve">Manual Throw Length </t>
  </si>
  <si>
    <t xml:space="preserve">Manual Throw Breadth </t>
  </si>
  <si>
    <t xml:space="preserve">Room Temperature </t>
  </si>
  <si>
    <t>Number of Rows High (Rh)</t>
  </si>
  <si>
    <t>Wn</t>
  </si>
  <si>
    <t>Cw</t>
  </si>
  <si>
    <t>Rh</t>
  </si>
  <si>
    <r>
      <t xml:space="preserve"> 1 </t>
    </r>
    <r>
      <rPr>
        <sz val="11"/>
        <color theme="0" tint="-0.34998626667073579"/>
        <rFont val="Calibri"/>
        <family val="2"/>
      </rPr>
      <t>≤</t>
    </r>
    <r>
      <rPr>
        <sz val="11"/>
        <color theme="0" tint="-0.34998626667073579"/>
        <rFont val="Calibri"/>
        <family val="2"/>
        <scheme val="minor"/>
      </rPr>
      <t xml:space="preserve"> Rh </t>
    </r>
    <r>
      <rPr>
        <sz val="11"/>
        <color theme="0" tint="-0.34998626667073579"/>
        <rFont val="Calibri"/>
        <family val="2"/>
      </rPr>
      <t>≤</t>
    </r>
    <r>
      <rPr>
        <sz val="11"/>
        <color theme="0" tint="-0.34998626667073579"/>
        <rFont val="Calibri"/>
        <family val="2"/>
        <scheme val="minor"/>
      </rPr>
      <t xml:space="preserve"> 4</t>
    </r>
  </si>
  <si>
    <t xml:space="preserve">VAV </t>
  </si>
  <si>
    <t>Turndown to</t>
  </si>
  <si>
    <t>VAV: Turndown to</t>
  </si>
  <si>
    <t>use 100% for CAV</t>
  </si>
  <si>
    <t>RESULTS</t>
  </si>
  <si>
    <t>VAV</t>
  </si>
  <si>
    <t>Max Total Pressure</t>
  </si>
  <si>
    <t>Total Pressure @</t>
  </si>
  <si>
    <t>Min Recommended Height</t>
  </si>
  <si>
    <t>Airflow Rate Input</t>
  </si>
  <si>
    <t>Airflow Rate Converted</t>
  </si>
  <si>
    <t>Selection</t>
  </si>
  <si>
    <t>Mutiplier</t>
  </si>
  <si>
    <t>Turndown %</t>
  </si>
  <si>
    <t>dT (cooling)</t>
  </si>
  <si>
    <t>Factors</t>
  </si>
  <si>
    <t>1</t>
  </si>
  <si>
    <r>
      <t xml:space="preserve">Medium (M)
</t>
    </r>
    <r>
      <rPr>
        <sz val="12"/>
        <color theme="1"/>
        <rFont val="Calibri"/>
        <family val="2"/>
        <scheme val="minor"/>
      </rPr>
      <t>(default)</t>
    </r>
  </si>
  <si>
    <t>Medium Avg Area</t>
  </si>
  <si>
    <t>Long Avg Area</t>
  </si>
  <si>
    <t>Neck</t>
  </si>
  <si>
    <t>Min Area</t>
  </si>
  <si>
    <t>Max Area</t>
  </si>
  <si>
    <t>Avg</t>
  </si>
  <si>
    <t>Avg-Avg Area</t>
  </si>
  <si>
    <t>SELECTION CRITERIA</t>
  </si>
  <si>
    <t>TRUE = SHADE</t>
  </si>
  <si>
    <t>Max/Min Pressure</t>
  </si>
  <si>
    <t>Area Type</t>
  </si>
  <si>
    <t>Converted Spec Flow</t>
  </si>
  <si>
    <t>Area from spec flow</t>
  </si>
  <si>
    <t>Selected Spec. Flow</t>
  </si>
  <si>
    <t>Q"</t>
  </si>
  <si>
    <t>ADPI-Velocity Chart</t>
  </si>
  <si>
    <t>Target Velocity</t>
  </si>
  <si>
    <t>Target Q'' from ADPI</t>
  </si>
  <si>
    <t>Aq</t>
  </si>
  <si>
    <t>q^b</t>
  </si>
  <si>
    <t>Q to v conversion</t>
  </si>
  <si>
    <t>W/m2 for selected area</t>
  </si>
  <si>
    <t>Q'' Multiplier for v_avg to v_max at 30 Pa)</t>
  </si>
  <si>
    <t>Discharge Velocity - Factor</t>
  </si>
  <si>
    <t>(not used in formulas but Discharge Velocity-Factor is based off this number)</t>
  </si>
  <si>
    <t>Room Temp</t>
  </si>
  <si>
    <t>Selected B</t>
  </si>
  <si>
    <t>Selected L</t>
  </si>
  <si>
    <t>Type 2 Selected Area</t>
  </si>
  <si>
    <t>Selected Spec Flow</t>
  </si>
  <si>
    <t>100% Airflow</t>
  </si>
  <si>
    <t>VAV Turndown</t>
  </si>
  <si>
    <t>Turndown Flow rate</t>
  </si>
  <si>
    <t>Pressure</t>
  </si>
  <si>
    <t>&lt; old velocity at 90%adpi</t>
  </si>
  <si>
    <t>SUMMARY</t>
  </si>
  <si>
    <t>DISTANCE RESULT</t>
  </si>
  <si>
    <t>Min Recommended Diffuser Height</t>
  </si>
  <si>
    <t>Sound Pressure Level *</t>
  </si>
  <si>
    <t>Lp</t>
  </si>
  <si>
    <t>Results Format</t>
  </si>
  <si>
    <t>Column shade</t>
  </si>
  <si>
    <t>Merged cell shade</t>
  </si>
  <si>
    <t xml:space="preserve">Short (S) </t>
  </si>
  <si>
    <t>Cell Shading</t>
  </si>
  <si>
    <t>Min Recommended Flow Rate</t>
  </si>
  <si>
    <t>V min</t>
  </si>
  <si>
    <t>Min Flow Rate @ -12</t>
  </si>
  <si>
    <t>Min Flow Rate @ dT</t>
  </si>
  <si>
    <t>old @ 128 L/s 50% td , -12K</t>
  </si>
  <si>
    <t>Min Flow</t>
  </si>
  <si>
    <t>Numbers Format &amp; units</t>
  </si>
  <si>
    <t>Min Flowrate</t>
  </si>
  <si>
    <t>Vmin</t>
  </si>
  <si>
    <t>Specific Airflow Rate</t>
  </si>
  <si>
    <t>Manual Throw: Length</t>
  </si>
  <si>
    <t>Manual Throw: Breadth</t>
  </si>
  <si>
    <t>²</t>
  </si>
  <si>
    <t>m³/h</t>
  </si>
  <si>
    <t>L/s/m²</t>
  </si>
  <si>
    <t>m³/h/m²</t>
  </si>
  <si>
    <t>Collated</t>
  </si>
  <si>
    <t>m2</t>
  </si>
  <si>
    <t>Type 2 Spec Flow</t>
  </si>
  <si>
    <t>uses 8K for values between 0 to 8</t>
  </si>
  <si>
    <t>Accessories</t>
  </si>
  <si>
    <t>With insulated connection box</t>
  </si>
  <si>
    <t>for return air grille please contact Smartair Diffusion</t>
  </si>
  <si>
    <t>Order Code for DN Sizes</t>
  </si>
  <si>
    <t>Size Radio</t>
  </si>
  <si>
    <t>Text</t>
  </si>
  <si>
    <t>Throw setting radio</t>
  </si>
  <si>
    <t>Code</t>
  </si>
  <si>
    <t>Select</t>
  </si>
  <si>
    <t>Discharge direction</t>
  </si>
  <si>
    <t>Left</t>
  </si>
  <si>
    <t>C</t>
  </si>
  <si>
    <t>R</t>
  </si>
  <si>
    <t>Centre</t>
  </si>
  <si>
    <t>Right</t>
  </si>
  <si>
    <t>Discharge select</t>
  </si>
  <si>
    <t>Colour selection</t>
  </si>
  <si>
    <t>RAL9003</t>
  </si>
  <si>
    <t>RAL9005</t>
  </si>
  <si>
    <t>Signal White</t>
  </si>
  <si>
    <t>Jet Black</t>
  </si>
  <si>
    <t>Order Code:</t>
  </si>
  <si>
    <t>Accessory select</t>
  </si>
  <si>
    <t>TS</t>
  </si>
  <si>
    <t>TM</t>
  </si>
  <si>
    <t>TL</t>
  </si>
  <si>
    <t>Diffuser only (no accessories)</t>
  </si>
  <si>
    <t>Throw Selection</t>
  </si>
  <si>
    <t>Airflow Pressure</t>
  </si>
  <si>
    <t>Main Page</t>
  </si>
  <si>
    <t>Airflow</t>
  </si>
  <si>
    <t>Min airflow</t>
  </si>
  <si>
    <t>min flow</t>
  </si>
  <si>
    <t>TD to</t>
  </si>
  <si>
    <t>Min Permissible Airflow</t>
  </si>
  <si>
    <t>dt</t>
  </si>
  <si>
    <t>Δ</t>
  </si>
  <si>
    <t xml:space="preserve">Acoustic </t>
  </si>
  <si>
    <t>SWL</t>
  </si>
  <si>
    <t>SPL</t>
  </si>
  <si>
    <t>Min Selected Airflow</t>
  </si>
  <si>
    <t>Min Recommended Airflow</t>
  </si>
  <si>
    <t>Mean room air</t>
  </si>
  <si>
    <t>draught rating</t>
  </si>
  <si>
    <t>ppd</t>
  </si>
  <si>
    <t>PMV</t>
  </si>
  <si>
    <t>Satisfies PMV</t>
  </si>
  <si>
    <t>Satifies PMV</t>
  </si>
  <si>
    <r>
      <t xml:space="preserve">Satisfies PPD Category </t>
    </r>
    <r>
      <rPr>
        <sz val="12"/>
        <color theme="1"/>
        <rFont val="Calibri"/>
        <family val="2"/>
        <scheme val="minor"/>
      </rPr>
      <t>(ISO7730)</t>
    </r>
  </si>
  <si>
    <r>
      <t xml:space="preserve">|PMV| </t>
    </r>
    <r>
      <rPr>
        <sz val="12"/>
        <color theme="1"/>
        <rFont val="Calibri"/>
        <family val="2"/>
        <scheme val="minor"/>
      </rPr>
      <t>(ISO7730 &amp; Ashrae Std 55)</t>
    </r>
  </si>
  <si>
    <t>satisfies category</t>
  </si>
  <si>
    <t>Draught Rating (DR)</t>
  </si>
  <si>
    <t>Satisfies PMV *</t>
  </si>
  <si>
    <t>* ISO7730; ASHRAE Std 55</t>
  </si>
  <si>
    <t>Recommended Layout</t>
  </si>
  <si>
    <t>selectrion</t>
  </si>
  <si>
    <t>spec flow</t>
  </si>
  <si>
    <t>custom colour</t>
  </si>
  <si>
    <t>Neck Dimensions</t>
  </si>
  <si>
    <t>Face Dimensions</t>
  </si>
  <si>
    <t>Diffuser Only *</t>
  </si>
  <si>
    <t>&lt;colour&gt;</t>
  </si>
  <si>
    <t>VAV Turndown to</t>
  </si>
  <si>
    <t>for custom sizes refer to 'Bespoke' Sheet</t>
  </si>
  <si>
    <t>Max Flow</t>
  </si>
  <si>
    <t>Rh = 2 elements high</t>
  </si>
  <si>
    <r>
      <t xml:space="preserve">ADPI </t>
    </r>
    <r>
      <rPr>
        <sz val="10"/>
        <color theme="1" tint="0.499984740745262"/>
        <rFont val="Calibri"/>
        <family val="2"/>
      </rPr>
      <t xml:space="preserve">≥ </t>
    </r>
    <r>
      <rPr>
        <b/>
        <sz val="10"/>
        <color theme="1" tint="0.499984740745262"/>
        <rFont val="Calibri"/>
        <family val="2"/>
      </rPr>
      <t>95%</t>
    </r>
    <r>
      <rPr>
        <sz val="10"/>
        <color theme="1" tint="0.499984740745262"/>
        <rFont val="Calibri"/>
        <family val="2"/>
      </rPr>
      <t xml:space="preserve">; ṽ ≤ </t>
    </r>
    <r>
      <rPr>
        <b/>
        <sz val="10"/>
        <color theme="1" tint="0.499984740745262"/>
        <rFont val="Calibri"/>
        <family val="2"/>
      </rPr>
      <t>0.20</t>
    </r>
    <r>
      <rPr>
        <sz val="10"/>
        <color theme="1" tint="0.499984740745262"/>
        <rFont val="Calibri"/>
        <family val="2"/>
      </rPr>
      <t xml:space="preserve"> m/s:</t>
    </r>
    <r>
      <rPr>
        <sz val="10"/>
        <color theme="1" tint="0.499984740745262"/>
        <rFont val="Calibri"/>
        <family val="2"/>
        <scheme val="minor"/>
      </rPr>
      <t xml:space="preserve"> Premium comfort, sedentary activity, such as in auditoria.</t>
    </r>
  </si>
  <si>
    <r>
      <t xml:space="preserve">ADPI </t>
    </r>
    <r>
      <rPr>
        <sz val="10"/>
        <color theme="1" tint="0.499984740745262"/>
        <rFont val="Calibri"/>
        <family val="2"/>
      </rPr>
      <t xml:space="preserve">≥ </t>
    </r>
    <r>
      <rPr>
        <b/>
        <sz val="10"/>
        <color theme="1" tint="0.499984740745262"/>
        <rFont val="Calibri"/>
        <family val="2"/>
      </rPr>
      <t>90%</t>
    </r>
    <r>
      <rPr>
        <sz val="10"/>
        <color theme="1" tint="0.499984740745262"/>
        <rFont val="Calibri"/>
        <family val="2"/>
      </rPr>
      <t xml:space="preserve">; ṽ ≤ </t>
    </r>
    <r>
      <rPr>
        <b/>
        <sz val="10"/>
        <color theme="1" tint="0.499984740745262"/>
        <rFont val="Calibri"/>
        <family val="2"/>
      </rPr>
      <t>0.25</t>
    </r>
    <r>
      <rPr>
        <sz val="10"/>
        <color theme="1" tint="0.499984740745262"/>
        <rFont val="Calibri"/>
        <family val="2"/>
      </rPr>
      <t xml:space="preserve"> m/s: </t>
    </r>
    <r>
      <rPr>
        <sz val="10"/>
        <color theme="1" tint="0.499984740745262"/>
        <rFont val="Calibri"/>
        <family val="2"/>
        <scheme val="minor"/>
      </rPr>
      <t>High comfort near-sedentary activity, such as in board rooms, high end offices and libraries.</t>
    </r>
  </si>
  <si>
    <r>
      <t xml:space="preserve">ADPI </t>
    </r>
    <r>
      <rPr>
        <sz val="10"/>
        <color theme="1" tint="0.499984740745262"/>
        <rFont val="Calibri"/>
        <family val="2"/>
      </rPr>
      <t xml:space="preserve">≥ </t>
    </r>
    <r>
      <rPr>
        <b/>
        <sz val="10"/>
        <color theme="1" tint="0.499984740745262"/>
        <rFont val="Calibri"/>
        <family val="2"/>
      </rPr>
      <t>80%</t>
    </r>
    <r>
      <rPr>
        <sz val="10"/>
        <color theme="1" tint="0.499984740745262"/>
        <rFont val="Calibri"/>
        <family val="2"/>
      </rPr>
      <t xml:space="preserve">; ṽ ≤ </t>
    </r>
    <r>
      <rPr>
        <b/>
        <sz val="10"/>
        <color theme="1" tint="0.499984740745262"/>
        <rFont val="Calibri"/>
        <family val="2"/>
      </rPr>
      <t>0.29</t>
    </r>
    <r>
      <rPr>
        <sz val="10"/>
        <color theme="1" tint="0.499984740745262"/>
        <rFont val="Calibri"/>
        <family val="2"/>
      </rPr>
      <t xml:space="preserve"> m/s:</t>
    </r>
    <r>
      <rPr>
        <sz val="10"/>
        <color theme="1" tint="0.499984740745262"/>
        <rFont val="Calibri"/>
        <family val="2"/>
        <scheme val="minor"/>
      </rPr>
      <t xml:space="preserve"> Good comfort near sedentary activity, such as open-plan offices and meeting rooms.</t>
    </r>
  </si>
  <si>
    <r>
      <t xml:space="preserve">ADPI </t>
    </r>
    <r>
      <rPr>
        <sz val="10"/>
        <color theme="1" tint="0.499984740745262"/>
        <rFont val="Calibri"/>
        <family val="2"/>
      </rPr>
      <t xml:space="preserve">≥ </t>
    </r>
    <r>
      <rPr>
        <b/>
        <sz val="10"/>
        <color theme="1" tint="0.499984740745262"/>
        <rFont val="Calibri"/>
        <family val="2"/>
      </rPr>
      <t>70%</t>
    </r>
    <r>
      <rPr>
        <sz val="10"/>
        <color theme="1" tint="0.499984740745262"/>
        <rFont val="Calibri"/>
        <family val="2"/>
      </rPr>
      <t xml:space="preserve">; ṽ ≤ </t>
    </r>
    <r>
      <rPr>
        <b/>
        <sz val="10"/>
        <color theme="1" tint="0.499984740745262"/>
        <rFont val="Calibri"/>
        <family val="2"/>
      </rPr>
      <t>0.33</t>
    </r>
    <r>
      <rPr>
        <sz val="10"/>
        <color theme="1" tint="0.499984740745262"/>
        <rFont val="Calibri"/>
        <family val="2"/>
      </rPr>
      <t xml:space="preserve"> m/s:</t>
    </r>
    <r>
      <rPr>
        <sz val="10"/>
        <color theme="1" tint="0.499984740745262"/>
        <rFont val="Calibri"/>
        <family val="2"/>
        <scheme val="minor"/>
      </rPr>
      <t xml:space="preserve"> Standard comfort medium activity, such as in transient spaces, retail and lobbies.</t>
    </r>
  </si>
  <si>
    <r>
      <t>Cw</t>
    </r>
    <r>
      <rPr>
        <vertAlign val="subscript"/>
        <sz val="11"/>
        <color theme="1" tint="0.499984740745262"/>
        <rFont val="Calibri"/>
        <family val="2"/>
        <scheme val="minor"/>
      </rPr>
      <t xml:space="preserve"> </t>
    </r>
    <r>
      <rPr>
        <sz val="11"/>
        <color theme="1" tint="0.499984740745262"/>
        <rFont val="Calibri"/>
        <family val="2"/>
        <scheme val="minor"/>
      </rPr>
      <t>: number of element columns wide</t>
    </r>
  </si>
  <si>
    <t>Rh : number of element rows high</t>
  </si>
  <si>
    <t>Wn/Hn : Neck width/height</t>
  </si>
  <si>
    <t>Wf/Hf : Face width/height</t>
  </si>
  <si>
    <t>Order Size</t>
  </si>
  <si>
    <t>DN</t>
  </si>
  <si>
    <t>Check if matches DN size</t>
  </si>
  <si>
    <t>With insulated connection box and VCD</t>
  </si>
  <si>
    <t>SELECTION</t>
  </si>
  <si>
    <t>Throw Setting Guide</t>
  </si>
  <si>
    <t>&lt;old K.H.min</t>
  </si>
  <si>
    <t>Mean Room Air Velocity (adj height)</t>
  </si>
  <si>
    <t xml:space="preserve"> 2.0 m to 5.5 m (recommended)</t>
  </si>
  <si>
    <t>selection</t>
  </si>
  <si>
    <t>selected height</t>
  </si>
  <si>
    <t xml:space="preserve"> 0 K to -15 K</t>
  </si>
  <si>
    <t>Input Validation</t>
  </si>
  <si>
    <t>OBD</t>
  </si>
  <si>
    <t>OBD: opposed blade damper</t>
  </si>
  <si>
    <t>D1</t>
  </si>
  <si>
    <t>Supply/Return</t>
  </si>
  <si>
    <t>return air</t>
  </si>
  <si>
    <t>description</t>
  </si>
  <si>
    <t>supply: adjustable direction</t>
  </si>
  <si>
    <t>with integrated OBD</t>
  </si>
  <si>
    <t>supp/rtn radio</t>
  </si>
  <si>
    <t>AD</t>
  </si>
  <si>
    <t>RA</t>
  </si>
  <si>
    <t>Selecte</t>
  </si>
  <si>
    <t>Rtn/Supply</t>
  </si>
  <si>
    <t>supply/rtn</t>
  </si>
  <si>
    <t>note:</t>
  </si>
  <si>
    <t>OBD add</t>
  </si>
  <si>
    <t>Dimension</t>
  </si>
  <si>
    <t>Notes</t>
  </si>
  <si>
    <t>Rows (High)</t>
  </si>
  <si>
    <r>
      <t xml:space="preserve">Width </t>
    </r>
    <r>
      <rPr>
        <vertAlign val="superscript"/>
        <sz val="12"/>
        <color theme="1"/>
        <rFont val="Calibri"/>
        <family val="2"/>
        <scheme val="minor"/>
      </rPr>
      <t>(1)</t>
    </r>
  </si>
  <si>
    <r>
      <t xml:space="preserve">Height </t>
    </r>
    <r>
      <rPr>
        <vertAlign val="superscript"/>
        <sz val="12"/>
        <color theme="1"/>
        <rFont val="Calibri"/>
        <family val="2"/>
        <scheme val="minor"/>
      </rPr>
      <t>(1)</t>
    </r>
  </si>
  <si>
    <r>
      <t xml:space="preserve">Sound Pressure Level </t>
    </r>
    <r>
      <rPr>
        <vertAlign val="superscript"/>
        <sz val="12"/>
        <color theme="1" tint="0.14996795556505021"/>
        <rFont val="Calibri"/>
        <family val="2"/>
        <scheme val="minor"/>
      </rPr>
      <t>(2)</t>
    </r>
  </si>
  <si>
    <r>
      <t xml:space="preserve">Note </t>
    </r>
    <r>
      <rPr>
        <vertAlign val="superscript"/>
        <sz val="11"/>
        <color theme="1" tint="0.249977111117893"/>
        <rFont val="Calibri"/>
        <family val="2"/>
        <scheme val="minor"/>
      </rPr>
      <t>(1)</t>
    </r>
    <r>
      <rPr>
        <sz val="11"/>
        <color theme="1" tint="0.249977111117893"/>
        <rFont val="Calibri"/>
        <family val="2"/>
        <scheme val="minor"/>
      </rPr>
      <t>:</t>
    </r>
  </si>
  <si>
    <t>obd adj</t>
  </si>
  <si>
    <r>
      <t>Height</t>
    </r>
    <r>
      <rPr>
        <sz val="12"/>
        <color theme="1"/>
        <rFont val="Calibri"/>
        <family val="2"/>
        <scheme val="minor"/>
      </rPr>
      <t xml:space="preserve"> </t>
    </r>
    <r>
      <rPr>
        <vertAlign val="superscript"/>
        <sz val="12"/>
        <color theme="1"/>
        <rFont val="Calibri"/>
        <family val="2"/>
        <scheme val="minor"/>
      </rPr>
      <t>(1)</t>
    </r>
  </si>
  <si>
    <t>with uninsultated connection box (not available in AU)</t>
  </si>
  <si>
    <t>with uninsulated connection box (not available in AU)</t>
  </si>
  <si>
    <t>supply: adjustable direction *</t>
  </si>
  <si>
    <t>medium *</t>
  </si>
  <si>
    <t>centre *</t>
  </si>
  <si>
    <t>RAL9003 (signal white) *</t>
  </si>
  <si>
    <t>contact Smartair Diffusion for custom colours</t>
  </si>
  <si>
    <t>example (below):</t>
  </si>
  <si>
    <t>Detailed Selection</t>
  </si>
  <si>
    <t>Diffuser only (no conection box)</t>
  </si>
  <si>
    <t>Comfort Performance</t>
  </si>
  <si>
    <t>Contact</t>
  </si>
  <si>
    <t>(for selected distances see Figure 1)</t>
  </si>
  <si>
    <t>NOMINAL DISTANCE RESULT</t>
  </si>
  <si>
    <t>Lavg</t>
  </si>
  <si>
    <t>Bavg</t>
  </si>
  <si>
    <t>Selection Throw and Area</t>
  </si>
  <si>
    <t>Selected Length</t>
  </si>
  <si>
    <t>Selected Width</t>
  </si>
  <si>
    <t>Average</t>
  </si>
  <si>
    <t>Selected</t>
  </si>
  <si>
    <t>Nominal</t>
  </si>
  <si>
    <t>Breadth</t>
  </si>
  <si>
    <t>Area</t>
  </si>
  <si>
    <t>Converted</t>
  </si>
  <si>
    <t>type</t>
  </si>
  <si>
    <t>Selected ADPI</t>
  </si>
  <si>
    <t>Title</t>
  </si>
  <si>
    <t>Nominal Distance</t>
  </si>
  <si>
    <t>selected spec flow</t>
  </si>
  <si>
    <t>Spec flow</t>
  </si>
  <si>
    <t>Spec flow converted</t>
  </si>
  <si>
    <t>L/s/m2</t>
  </si>
  <si>
    <t>Nominal Length</t>
  </si>
  <si>
    <t>Nominal Bredth</t>
  </si>
  <si>
    <t>0 K to -15 K</t>
  </si>
  <si>
    <t>BMW-AD-</t>
  </si>
  <si>
    <t>Pressure for throw calc</t>
  </si>
  <si>
    <t>(Pt)(t)</t>
  </si>
  <si>
    <t>K.Pt</t>
  </si>
  <si>
    <t>Pressure (throw)</t>
  </si>
  <si>
    <t>Related Products</t>
  </si>
  <si>
    <t>Smartemp PMW-AD: for a perforated face aesthetic</t>
  </si>
  <si>
    <t>Pt(t)</t>
  </si>
  <si>
    <t>BMW-AD Performance Calculator Summary</t>
  </si>
  <si>
    <t>SMARTEMP BMW-AD</t>
  </si>
  <si>
    <t>Bar Multi-stream Diffuser  [BMW-AD]</t>
  </si>
  <si>
    <t>Bar Multi-stream Adjustable Wall Diffuser</t>
  </si>
  <si>
    <r>
      <rPr>
        <b/>
        <i/>
        <sz val="16"/>
        <color theme="0"/>
        <rFont val="Calibri"/>
        <family val="2"/>
        <scheme val="minor"/>
      </rPr>
      <t>Bespoke</t>
    </r>
    <r>
      <rPr>
        <b/>
        <sz val="16"/>
        <color theme="0"/>
        <rFont val="Calibri"/>
        <family val="2"/>
        <scheme val="minor"/>
      </rPr>
      <t xml:space="preserve"> Bar Multi-stream Diffuser  [BMW-AD] </t>
    </r>
  </si>
  <si>
    <t>BMW-AD-Bespoke</t>
  </si>
  <si>
    <t>SMARTEMP BMW-AD Bespoke</t>
  </si>
  <si>
    <t>Neck Width (PMW)</t>
  </si>
  <si>
    <t>Face Options</t>
  </si>
  <si>
    <t>face selection</t>
  </si>
  <si>
    <t>SF</t>
  </si>
  <si>
    <t>SN</t>
  </si>
  <si>
    <t>Face/Flange</t>
  </si>
  <si>
    <t>Flangeless</t>
  </si>
  <si>
    <t>With side flanges</t>
  </si>
  <si>
    <t>Flangeless face available; see Product Selection (Row 64)</t>
  </si>
  <si>
    <r>
      <t>Note</t>
    </r>
    <r>
      <rPr>
        <vertAlign val="superscript"/>
        <sz val="11"/>
        <color theme="1" tint="0.249977111117893"/>
        <rFont val="Calibri"/>
        <family val="2"/>
        <scheme val="minor"/>
      </rPr>
      <t xml:space="preserve"> (2)</t>
    </r>
    <r>
      <rPr>
        <sz val="11"/>
        <color theme="1" tint="0.249977111117893"/>
        <rFont val="Calibri"/>
        <family val="2"/>
        <scheme val="minor"/>
      </rPr>
      <t>: Based on 10dB room absorption</t>
    </r>
  </si>
  <si>
    <t>Neck Options</t>
  </si>
  <si>
    <t xml:space="preserve"> (select from dropdown)</t>
  </si>
  <si>
    <t xml:space="preserve">Neck Width (BMW) </t>
  </si>
  <si>
    <t>Draught Rating &amp; Comfort</t>
  </si>
  <si>
    <t>Flangless</t>
  </si>
  <si>
    <t>Height Size Guide:</t>
  </si>
  <si>
    <t>Neck Width (PMW (equi)</t>
  </si>
  <si>
    <t>ADPI ≥ 95%; ṽ ≤ 0.20 m/s: Premium comfort, sedentary activity, such as in auditoria.</t>
  </si>
  <si>
    <t>ADPI ≥ 90%; ṽ ≤ 0.25 m/s: High comfort near-sedentary activity, such as in board rooms, high end offices and libraries.</t>
  </si>
  <si>
    <t>ADPI ≥ 80%; ṽ ≤ 0.29 m/s: Good comfort near sedentary activity, such as open-plan offices and meeting rooms.</t>
  </si>
  <si>
    <t>ADPI ≥ 70%; ṽ ≤ 0.33 m/s: Standard comfort medium activity, such as in transient spaces, retail and lobbies.</t>
  </si>
  <si>
    <t>With side flanges (default)</t>
  </si>
  <si>
    <t>Face Selection</t>
  </si>
  <si>
    <t>With Side Flanges (default)</t>
  </si>
  <si>
    <t>Related Projects</t>
  </si>
  <si>
    <t>Fabrica 1921, Lisbon, PT</t>
  </si>
  <si>
    <r>
      <t xml:space="preserve">Wf </t>
    </r>
    <r>
      <rPr>
        <b/>
        <sz val="12"/>
        <color theme="1" tint="0.14999847407452621"/>
        <rFont val="Calibri"/>
        <family val="2"/>
      </rPr>
      <t xml:space="preserve">× </t>
    </r>
    <r>
      <rPr>
        <b/>
        <sz val="12"/>
        <color theme="1" tint="0.14999847407452621"/>
        <rFont val="Calibri"/>
        <family val="2"/>
        <scheme val="minor"/>
      </rPr>
      <t>Hr</t>
    </r>
  </si>
  <si>
    <t>(with OBD)</t>
  </si>
  <si>
    <t>(no OBD)</t>
  </si>
  <si>
    <t>flange selection</t>
  </si>
  <si>
    <t>K23</t>
  </si>
  <si>
    <t>N23</t>
  </si>
  <si>
    <t>Cell Ref</t>
  </si>
  <si>
    <t>Cell</t>
  </si>
  <si>
    <t>L13</t>
  </si>
  <si>
    <t>O13</t>
  </si>
  <si>
    <t>flange</t>
  </si>
  <si>
    <t>DN1000</t>
  </si>
  <si>
    <t>DN1200</t>
  </si>
  <si>
    <t>Face Width flange/flangeless</t>
  </si>
  <si>
    <t>Face Width flanged</t>
  </si>
  <si>
    <t>Neck Width (Wn) [mm]</t>
  </si>
  <si>
    <t>Neck Width (selection)</t>
  </si>
  <si>
    <t>Face Width (flangeless)</t>
  </si>
  <si>
    <t>Face Width (flanged)</t>
  </si>
  <si>
    <t>OBD selected in Cell G66, neck dimensions include additional 8 mm</t>
  </si>
  <si>
    <t>rows high</t>
  </si>
  <si>
    <t>neck height</t>
  </si>
  <si>
    <t>face height</t>
  </si>
  <si>
    <t>Dimensions</t>
  </si>
  <si>
    <t>+ 8 mm to neck dimensions with optional opposed blade damper (OBD)</t>
  </si>
  <si>
    <t>(Face)</t>
  </si>
  <si>
    <t>(Neck)</t>
  </si>
  <si>
    <t>v 2.0 [01/2026]</t>
  </si>
  <si>
    <t>Copyright © 2026 SMARTAIR DIFFUSION</t>
  </si>
  <si>
    <r>
      <t xml:space="preserve">Note </t>
    </r>
    <r>
      <rPr>
        <vertAlign val="superscript"/>
        <sz val="12"/>
        <color theme="1"/>
        <rFont val="Calibri"/>
        <family val="2"/>
        <scheme val="minor"/>
      </rPr>
      <t>(1)</t>
    </r>
    <r>
      <rPr>
        <sz val="12"/>
        <color theme="1"/>
        <rFont val="Calibri"/>
        <family val="2"/>
        <scheme val="minor"/>
      </rPr>
      <t>:</t>
    </r>
  </si>
  <si>
    <r>
      <t>Note</t>
    </r>
    <r>
      <rPr>
        <vertAlign val="superscript"/>
        <sz val="12"/>
        <color theme="1"/>
        <rFont val="Calibri"/>
        <family val="2"/>
        <scheme val="minor"/>
      </rPr>
      <t xml:space="preserve"> (2)</t>
    </r>
    <r>
      <rPr>
        <sz val="12"/>
        <color theme="1"/>
        <rFont val="Calibri"/>
        <family val="2"/>
        <scheme val="minor"/>
      </rPr>
      <t>: Based on 10dB room absorption</t>
    </r>
  </si>
  <si>
    <t>Smartemp BAW-FD: budget-friendly option with similar look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</si>
</sst>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0.0%"/>
    <numFmt numFmtId="167" formatCode="0.00000"/>
    <numFmt numFmtId="168" formatCode="0.0000"/>
  </numFmts>
  <fonts count="8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Symbol"/>
      <family val="1"/>
      <charset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6"/>
      <color rgb="FFFF9900"/>
      <name val="Calibri"/>
      <family val="2"/>
      <scheme val="minor"/>
    </font>
    <font>
      <sz val="14"/>
      <color rgb="FFFF9900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1" tint="0.499984740745262"/>
      <name val="Calibri"/>
      <family val="2"/>
    </font>
    <font>
      <sz val="11"/>
      <color theme="0" tint="-0.34998626667073579"/>
      <name val="Calibri"/>
      <family val="2"/>
    </font>
    <font>
      <sz val="9"/>
      <color theme="1" tint="0.499984740745262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 tint="0.14999847407452621"/>
      <name val="Calibri"/>
      <family val="2"/>
      <scheme val="minor"/>
    </font>
    <font>
      <sz val="12"/>
      <color theme="1" tint="0.1499984740745262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FF9900"/>
      <name val="Calibri"/>
      <family val="2"/>
      <scheme val="minor"/>
    </font>
    <font>
      <sz val="11"/>
      <color theme="9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 tint="0.34998626667073579"/>
      <name val="Calibri"/>
      <family val="2"/>
    </font>
    <font>
      <sz val="9.9"/>
      <color theme="1" tint="0.34998626667073579"/>
      <name val="Calibri"/>
      <family val="2"/>
    </font>
    <font>
      <sz val="8"/>
      <color rgb="FF000000"/>
      <name val="Segoe UI"/>
      <family val="2"/>
    </font>
    <font>
      <b/>
      <sz val="11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vertAlign val="superscript"/>
      <sz val="11"/>
      <color theme="1" tint="0.34998626667073579"/>
      <name val="Calibri"/>
      <family val="2"/>
      <scheme val="minor"/>
    </font>
    <font>
      <sz val="10"/>
      <color rgb="FFCC0000"/>
      <name val="Calibri"/>
      <family val="2"/>
      <scheme val="minor"/>
    </font>
    <font>
      <b/>
      <sz val="16"/>
      <color theme="1"/>
      <name val="Cambria"/>
      <family val="1"/>
      <scheme val="major"/>
    </font>
    <font>
      <sz val="16"/>
      <color theme="1"/>
      <name val="Cambria"/>
      <family val="1"/>
      <scheme val="major"/>
    </font>
    <font>
      <b/>
      <sz val="14"/>
      <color theme="1"/>
      <name val="Calibri"/>
      <family val="2"/>
      <scheme val="minor"/>
    </font>
    <font>
      <sz val="5"/>
      <color rgb="FF9DA5B4"/>
      <name val="Monaco"/>
      <family val="3"/>
    </font>
    <font>
      <sz val="11"/>
      <color theme="1" tint="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b/>
      <i/>
      <sz val="16"/>
      <color theme="0"/>
      <name val="Calibri"/>
      <family val="2"/>
      <scheme val="minor"/>
    </font>
    <font>
      <b/>
      <sz val="12"/>
      <color theme="1" tint="0.14999847407452621"/>
      <name val="Calibri"/>
      <family val="2"/>
    </font>
    <font>
      <sz val="10"/>
      <color theme="1" tint="0.499984740745262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sz val="10"/>
      <color theme="1" tint="0.499984740745262"/>
      <name val="Calibri"/>
      <family val="2"/>
    </font>
    <font>
      <b/>
      <sz val="10"/>
      <color theme="1" tint="0.499984740745262"/>
      <name val="Calibri"/>
      <family val="2"/>
    </font>
    <font>
      <vertAlign val="subscript"/>
      <sz val="11"/>
      <color theme="1" tint="0.499984740745262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b/>
      <sz val="12"/>
      <color theme="0" tint="-0.34998626667073579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1"/>
      <color theme="4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vertAlign val="superscript"/>
      <sz val="11"/>
      <color theme="1" tint="0.249977111117893"/>
      <name val="Calibri"/>
      <family val="2"/>
      <scheme val="minor"/>
    </font>
    <font>
      <vertAlign val="superscript"/>
      <sz val="12"/>
      <color theme="1" tint="0.14996795556505021"/>
      <name val="Calibri"/>
      <family val="2"/>
      <scheme val="minor"/>
    </font>
    <font>
      <sz val="16"/>
      <color theme="1"/>
      <name val="Aptos Narrow"/>
      <family val="2"/>
    </font>
    <font>
      <b/>
      <sz val="16"/>
      <color theme="1"/>
      <name val="Aptos Narrow"/>
      <family val="2"/>
    </font>
    <font>
      <sz val="11"/>
      <color theme="1"/>
      <name val="Aptos Narrow"/>
      <family val="2"/>
    </font>
    <font>
      <sz val="12"/>
      <color theme="1"/>
      <name val="Aptos Narrow"/>
      <family val="2"/>
    </font>
    <font>
      <sz val="10"/>
      <color rgb="FF000000"/>
      <name val="Aptos Narrow"/>
      <family val="2"/>
    </font>
    <font>
      <sz val="10"/>
      <color theme="1"/>
      <name val="Aptos Narrow"/>
      <family val="2"/>
    </font>
    <font>
      <b/>
      <sz val="10"/>
      <color theme="1"/>
      <name val="Aptos Narrow"/>
      <family val="2"/>
    </font>
    <font>
      <b/>
      <sz val="10"/>
      <color rgb="FF000000"/>
      <name val="Aptos Narrow"/>
      <family val="2"/>
    </font>
    <font>
      <sz val="9"/>
      <color theme="1"/>
      <name val="Aptos Narrow"/>
      <family val="2"/>
    </font>
    <font>
      <sz val="8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2"/>
      <color theme="1" tint="0.499984740745262"/>
      <name val="Calibri"/>
      <family val="2"/>
      <scheme val="minor"/>
    </font>
    <font>
      <sz val="12"/>
      <color theme="0" tint="-0.34998626667073579"/>
      <name val="Calibri"/>
      <family val="2"/>
      <scheme val="minor"/>
    </font>
    <font>
      <u/>
      <sz val="11"/>
      <color theme="9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indexed="64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indexed="64"/>
      </right>
      <top style="medium">
        <color auto="1"/>
      </top>
      <bottom/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 style="thick">
        <color indexed="64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ck">
        <color indexed="64"/>
      </right>
      <top/>
      <bottom style="thin">
        <color theme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ck">
        <color indexed="64"/>
      </right>
      <top style="thick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ck">
        <color indexed="64"/>
      </right>
      <top style="medium">
        <color auto="1"/>
      </top>
      <bottom/>
      <diagonal/>
    </border>
    <border>
      <left/>
      <right style="thick">
        <color indexed="64"/>
      </right>
      <top/>
      <bottom style="thin">
        <color auto="1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auto="1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auto="1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ck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  <border>
      <left style="thick">
        <color indexed="64"/>
      </left>
      <right style="thin">
        <color auto="1"/>
      </right>
      <top style="thin">
        <color indexed="64"/>
      </top>
      <bottom/>
      <diagonal/>
    </border>
    <border>
      <left style="thick">
        <color indexed="64"/>
      </left>
      <right style="thin">
        <color auto="1"/>
      </right>
      <top style="thick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n">
        <color auto="1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ck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/>
      <diagonal/>
    </border>
    <border>
      <left style="thick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thick">
        <color indexed="64"/>
      </top>
      <bottom/>
      <diagonal/>
    </border>
    <border>
      <left style="thin">
        <color auto="1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auto="1"/>
      </right>
      <top/>
      <bottom style="thick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theme="1" tint="0.14996795556505021"/>
      </left>
      <right/>
      <top/>
      <bottom/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double">
        <color rgb="FFFF80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indexed="64"/>
      </right>
      <top/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/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auto="1"/>
      </left>
      <right/>
      <top style="thin">
        <color theme="0" tint="-0.249977111117893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theme="1"/>
      </left>
      <right style="thin">
        <color theme="0" tint="-0.249977111117893"/>
      </right>
      <top style="thin">
        <color theme="1"/>
      </top>
      <bottom/>
      <diagonal/>
    </border>
    <border>
      <left style="thin">
        <color theme="1"/>
      </left>
      <right style="thin">
        <color theme="0" tint="-0.249977111117893"/>
      </right>
      <top/>
      <bottom/>
      <diagonal/>
    </border>
    <border>
      <left style="thin">
        <color auto="1"/>
      </left>
      <right/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/>
      <bottom style="thin">
        <color auto="1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auto="1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auto="1"/>
      </top>
      <bottom/>
      <diagonal/>
    </border>
    <border>
      <left style="thin">
        <color theme="9" tint="-0.249977111117893"/>
      </left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double">
        <color theme="9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1" tint="0.14996795556505021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34998626667073579"/>
      </top>
      <bottom style="thin">
        <color theme="0" tint="-0.249977111117893"/>
      </bottom>
      <diagonal/>
    </border>
    <border>
      <left/>
      <right/>
      <top style="thin">
        <color theme="0" tint="-0.34998626667073579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34998626667073579"/>
      </top>
      <bottom style="thin">
        <color theme="0" tint="-0.24997711111789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0" tint="-0.249977111117893"/>
      </right>
      <top/>
      <bottom style="thin">
        <color indexed="64"/>
      </bottom>
      <diagonal/>
    </border>
    <border>
      <left/>
      <right/>
      <top/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double">
        <color theme="9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double">
        <color theme="9"/>
      </bottom>
      <diagonal/>
    </border>
    <border>
      <left style="thin">
        <color theme="1" tint="0.14999847407452621"/>
      </left>
      <right/>
      <top style="thin">
        <color theme="1" tint="0.14999847407452621"/>
      </top>
      <bottom style="thin">
        <color theme="1" tint="0.14999847407452621"/>
      </bottom>
      <diagonal/>
    </border>
    <border>
      <left/>
      <right/>
      <top style="thin">
        <color theme="1" tint="0.14999847407452621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499984740745262"/>
      </left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 style="thin">
        <color theme="0" tint="-0.249977111117893"/>
      </left>
      <right style="thin">
        <color indexed="64"/>
      </right>
      <top/>
      <bottom style="thin">
        <color indexed="64"/>
      </bottom>
      <diagonal/>
    </border>
    <border>
      <left style="thin">
        <color theme="9" tint="-0.249977111117893"/>
      </left>
      <right/>
      <top style="double">
        <color theme="9"/>
      </top>
      <bottom style="double">
        <color theme="9"/>
      </bottom>
      <diagonal/>
    </border>
    <border>
      <left style="thin">
        <color theme="0" tint="-0.34998626667073579"/>
      </left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theme="1" tint="0.249977111117893"/>
      </bottom>
      <diagonal/>
    </border>
    <border>
      <left/>
      <right/>
      <top/>
      <bottom style="medium">
        <color theme="1" tint="0.249977111117893"/>
      </bottom>
      <diagonal/>
    </border>
    <border>
      <left style="medium">
        <color theme="1" tint="0.249977111117893"/>
      </left>
      <right style="thin">
        <color auto="1"/>
      </right>
      <top style="medium">
        <color theme="1" tint="0.249977111117893"/>
      </top>
      <bottom/>
      <diagonal/>
    </border>
    <border>
      <left style="thin">
        <color auto="1"/>
      </left>
      <right/>
      <top style="medium">
        <color theme="1" tint="0.249977111117893"/>
      </top>
      <bottom/>
      <diagonal/>
    </border>
    <border>
      <left/>
      <right style="thin">
        <color auto="1"/>
      </right>
      <top style="medium">
        <color theme="1" tint="0.249977111117893"/>
      </top>
      <bottom/>
      <diagonal/>
    </border>
    <border>
      <left style="medium">
        <color theme="1" tint="0.249977111117893"/>
      </left>
      <right style="thin">
        <color auto="1"/>
      </right>
      <top/>
      <bottom/>
      <diagonal/>
    </border>
    <border>
      <left style="medium">
        <color theme="1" tint="0.249977111117893"/>
      </left>
      <right style="thin">
        <color auto="1"/>
      </right>
      <top/>
      <bottom style="medium">
        <color theme="1" tint="0.249977111117893"/>
      </bottom>
      <diagonal/>
    </border>
    <border>
      <left style="thin">
        <color auto="1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auto="1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auto="1"/>
      </left>
      <right style="thin">
        <color indexed="64"/>
      </right>
      <top/>
      <bottom style="medium">
        <color theme="1" tint="0.249977111117893"/>
      </bottom>
      <diagonal/>
    </border>
    <border>
      <left style="thin">
        <color indexed="64"/>
      </left>
      <right style="thin">
        <color auto="1"/>
      </right>
      <top style="medium">
        <color theme="1" tint="0.249977111117893"/>
      </top>
      <bottom/>
      <diagonal/>
    </border>
    <border>
      <left style="thin">
        <color auto="1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/>
      <top/>
      <bottom/>
      <diagonal/>
    </border>
    <border>
      <left style="thin">
        <color indexed="64"/>
      </left>
      <right style="thin">
        <color auto="1"/>
      </right>
      <top/>
      <bottom style="medium">
        <color theme="0" tint="-0.249977111117893"/>
      </bottom>
      <diagonal/>
    </border>
    <border>
      <left/>
      <right style="thin">
        <color theme="9" tint="-0.249977111117893"/>
      </right>
      <top style="double">
        <color theme="9"/>
      </top>
      <bottom style="double">
        <color theme="9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theme="0" tint="-0.249977111117893"/>
      </bottom>
      <diagonal/>
    </border>
    <border>
      <left style="medium">
        <color indexed="64"/>
      </left>
      <right/>
      <top style="thin">
        <color theme="0" tint="-0.249977111117893"/>
      </top>
      <bottom/>
      <diagonal/>
    </border>
    <border>
      <left style="medium">
        <color indexed="64"/>
      </left>
      <right style="thin">
        <color theme="0" tint="-0.249977111117893"/>
      </right>
      <top style="thin">
        <color theme="1"/>
      </top>
      <bottom/>
      <diagonal/>
    </border>
    <border>
      <left style="medium">
        <color indexed="64"/>
      </left>
      <right style="thin">
        <color theme="0" tint="-0.249977111117893"/>
      </right>
      <top/>
      <bottom/>
      <diagonal/>
    </border>
    <border>
      <left style="medium">
        <color indexed="64"/>
      </left>
      <right style="thin">
        <color theme="0" tint="-0.249977111117893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theme="0" tint="-0.249977111117893"/>
      </bottom>
      <diagonal/>
    </border>
    <border>
      <left style="medium">
        <color theme="1"/>
      </left>
      <right style="thin">
        <color indexed="64"/>
      </right>
      <top/>
      <bottom/>
      <diagonal/>
    </border>
    <border>
      <left style="thin">
        <color theme="0" tint="-0.249977111117893"/>
      </left>
      <right style="thin">
        <color indexed="64"/>
      </right>
      <top/>
      <bottom/>
      <diagonal/>
    </border>
    <border>
      <left/>
      <right style="thin">
        <color theme="1" tint="0.249977111117893"/>
      </right>
      <top style="thin">
        <color auto="1"/>
      </top>
      <bottom/>
      <diagonal/>
    </border>
    <border>
      <left/>
      <right style="thin">
        <color theme="1" tint="0.249977111117893"/>
      </right>
      <top/>
      <bottom style="thin">
        <color theme="0" tint="-0.249977111117893"/>
      </bottom>
      <diagonal/>
    </border>
    <border>
      <left/>
      <right style="thin">
        <color theme="1" tint="0.249977111117893"/>
      </right>
      <top/>
      <bottom/>
      <diagonal/>
    </border>
    <border>
      <left/>
      <right style="thin">
        <color theme="1" tint="0.249977111117893"/>
      </right>
      <top/>
      <bottom style="thin">
        <color auto="1"/>
      </bottom>
      <diagonal/>
    </border>
    <border>
      <left/>
      <right style="thin">
        <color theme="1" tint="0.249977111117893"/>
      </right>
      <top style="thin">
        <color theme="0" tint="-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/>
      <bottom style="thin">
        <color theme="1" tint="0.249977111117893"/>
      </bottom>
      <diagonal/>
    </border>
    <border>
      <left/>
      <right style="thin">
        <color indexed="64"/>
      </right>
      <top style="medium">
        <color theme="0" tint="-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0" tint="-0.249977111117893"/>
      </top>
      <bottom/>
      <diagonal/>
    </border>
    <border>
      <left style="medium">
        <color theme="1" tint="0.249977111117893"/>
      </left>
      <right/>
      <top/>
      <bottom/>
      <diagonal/>
    </border>
    <border>
      <left style="thin">
        <color theme="1" tint="0.249977111117893"/>
      </left>
      <right/>
      <top/>
      <bottom style="thin">
        <color theme="0" tint="-0.249977111117893"/>
      </bottom>
      <diagonal/>
    </border>
    <border>
      <left style="thin">
        <color theme="1" tint="0.249977111117893"/>
      </left>
      <right/>
      <top/>
      <bottom/>
      <diagonal/>
    </border>
    <border>
      <left/>
      <right/>
      <top style="medium">
        <color theme="0" tint="-0.249977111117893"/>
      </top>
      <bottom style="thin">
        <color theme="1" tint="0.249977111117893"/>
      </bottom>
      <diagonal/>
    </border>
    <border>
      <left style="thin">
        <color theme="0" tint="-0.249977111117893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249977111117893"/>
      </right>
      <top/>
      <bottom style="thin">
        <color theme="0" tint="-0.14999847407452621"/>
      </bottom>
      <diagonal/>
    </border>
    <border>
      <left/>
      <right style="thin">
        <color indexed="64"/>
      </right>
      <top style="medium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77111117893"/>
      </bottom>
      <diagonal/>
    </border>
    <border>
      <left/>
      <right/>
      <top style="thin">
        <color indexed="64"/>
      </top>
      <bottom style="thin">
        <color theme="0" tint="-0.249977111117893"/>
      </bottom>
      <diagonal/>
    </border>
    <border>
      <left/>
      <right/>
      <top style="thick">
        <color theme="0" tint="-0.2499465926084170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medium">
        <color theme="1" tint="0.249977111117893"/>
      </top>
      <bottom/>
      <diagonal/>
    </border>
    <border>
      <left style="thin">
        <color theme="0" tint="-0.249977111117893"/>
      </left>
      <right/>
      <top style="medium">
        <color theme="1" tint="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1" tint="0.249977111117893"/>
      </top>
      <bottom/>
      <diagonal/>
    </border>
    <border>
      <left/>
      <right style="medium">
        <color theme="1" tint="0.249977111117893"/>
      </right>
      <top style="medium">
        <color theme="1" tint="0.249977111117893"/>
      </top>
      <bottom/>
      <diagonal/>
    </border>
    <border>
      <left/>
      <right style="medium">
        <color theme="1" tint="0.249977111117893"/>
      </right>
      <top/>
      <bottom style="thin">
        <color theme="0" tint="-0.249977111117893"/>
      </bottom>
      <diagonal/>
    </border>
    <border>
      <left/>
      <right style="medium">
        <color theme="1" tint="0.249977111117893"/>
      </right>
      <top/>
      <bottom/>
      <diagonal/>
    </border>
    <border>
      <left style="thin">
        <color theme="0" tint="-0.249977111117893"/>
      </left>
      <right/>
      <top/>
      <bottom style="medium">
        <color theme="1" tint="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medium">
        <color theme="1" tint="0.249977111117893"/>
      </bottom>
      <diagonal/>
    </border>
    <border>
      <left/>
      <right style="medium">
        <color theme="1" tint="0.249977111117893"/>
      </right>
      <top/>
      <bottom style="medium">
        <color theme="1" tint="0.249977111117893"/>
      </bottom>
      <diagonal/>
    </border>
    <border>
      <left style="thin">
        <color auto="1"/>
      </left>
      <right style="thin">
        <color theme="0" tint="-0.249977111117893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theme="1" tint="0.249977111117893"/>
      </right>
      <top style="medium">
        <color indexed="64"/>
      </top>
      <bottom/>
      <diagonal/>
    </border>
    <border>
      <left style="thin">
        <color theme="1" tint="0.249977111117893"/>
      </left>
      <right style="medium">
        <color indexed="64"/>
      </right>
      <top style="medium">
        <color indexed="64"/>
      </top>
      <bottom/>
      <diagonal/>
    </border>
    <border>
      <left style="thin">
        <color theme="1" tint="0.249977111117893"/>
      </left>
      <right style="medium">
        <color indexed="64"/>
      </right>
      <top/>
      <bottom style="thin">
        <color theme="0" tint="-0.249977111117893"/>
      </bottom>
      <diagonal/>
    </border>
    <border>
      <left style="thin">
        <color theme="1" tint="0.249977111117893"/>
      </left>
      <right style="medium">
        <color indexed="64"/>
      </right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theme="1" tint="0.249977111117893"/>
      </right>
      <top/>
      <bottom style="medium">
        <color indexed="64"/>
      </bottom>
      <diagonal/>
    </border>
    <border>
      <left style="thin">
        <color theme="1" tint="0.249977111117893"/>
      </left>
      <right style="medium">
        <color indexed="64"/>
      </right>
      <top/>
      <bottom style="medium">
        <color indexed="64"/>
      </bottom>
      <diagonal/>
    </border>
    <border>
      <left style="thin">
        <color theme="1" tint="0.249977111117893"/>
      </left>
      <right style="medium">
        <color indexed="64"/>
      </right>
      <top style="thin">
        <color theme="0" tint="-0.249977111117893"/>
      </top>
      <bottom/>
      <diagonal/>
    </border>
  </borders>
  <cellStyleXfs count="6">
    <xf numFmtId="0" fontId="0" fillId="0" borderId="0"/>
    <xf numFmtId="0" fontId="10" fillId="0" borderId="0" applyNumberFormat="0" applyFill="0" applyBorder="0" applyAlignment="0" applyProtection="0"/>
    <xf numFmtId="0" fontId="11" fillId="0" borderId="115" applyNumberFormat="0" applyFill="0" applyAlignment="0" applyProtection="0"/>
    <xf numFmtId="0" fontId="12" fillId="0" borderId="116" applyNumberFormat="0" applyFill="0" applyAlignment="0" applyProtection="0"/>
    <xf numFmtId="0" fontId="29" fillId="0" borderId="0" applyNumberFormat="0" applyFill="0" applyBorder="0" applyAlignment="0" applyProtection="0"/>
    <xf numFmtId="9" fontId="35" fillId="0" borderId="0" applyFont="0" applyFill="0" applyBorder="0" applyAlignment="0" applyProtection="0"/>
  </cellStyleXfs>
  <cellXfs count="1117">
    <xf numFmtId="0" fontId="0" fillId="0" borderId="0" xfId="0"/>
    <xf numFmtId="1" fontId="0" fillId="0" borderId="0" xfId="0" applyNumberFormat="1"/>
    <xf numFmtId="0" fontId="1" fillId="0" borderId="0" xfId="0" applyFont="1"/>
    <xf numFmtId="1" fontId="0" fillId="0" borderId="0" xfId="0" applyNumberFormat="1" applyAlignment="1">
      <alignment horizontal="center"/>
    </xf>
    <xf numFmtId="1" fontId="0" fillId="5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" fontId="0" fillId="3" borderId="0" xfId="0" applyNumberFormat="1" applyFill="1" applyAlignment="1">
      <alignment horizontal="center"/>
    </xf>
    <xf numFmtId="1" fontId="0" fillId="4" borderId="0" xfId="0" applyNumberFormat="1" applyFill="1" applyAlignment="1">
      <alignment horizontal="center"/>
    </xf>
    <xf numFmtId="1" fontId="2" fillId="5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3" borderId="0" xfId="0" applyNumberFormat="1" applyFont="1" applyFill="1" applyAlignment="1">
      <alignment horizontal="center"/>
    </xf>
    <xf numFmtId="1" fontId="2" fillId="4" borderId="0" xfId="0" applyNumberFormat="1" applyFont="1" applyFill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left"/>
    </xf>
    <xf numFmtId="1" fontId="0" fillId="0" borderId="3" xfId="0" applyNumberFormat="1" applyBorder="1"/>
    <xf numFmtId="0" fontId="0" fillId="0" borderId="4" xfId="0" applyBorder="1"/>
    <xf numFmtId="1" fontId="0" fillId="0" borderId="6" xfId="0" applyNumberFormat="1" applyBorder="1"/>
    <xf numFmtId="1" fontId="0" fillId="0" borderId="6" xfId="0" applyNumberFormat="1" applyBorder="1" applyAlignment="1">
      <alignment horizontal="center"/>
    </xf>
    <xf numFmtId="1" fontId="0" fillId="5" borderId="6" xfId="0" applyNumberFormat="1" applyFill="1" applyBorder="1" applyAlignment="1">
      <alignment horizontal="center"/>
    </xf>
    <xf numFmtId="1" fontId="0" fillId="2" borderId="6" xfId="0" applyNumberFormat="1" applyFill="1" applyBorder="1" applyAlignment="1">
      <alignment horizontal="center"/>
    </xf>
    <xf numFmtId="1" fontId="0" fillId="3" borderId="6" xfId="0" applyNumberFormat="1" applyFill="1" applyBorder="1" applyAlignment="1">
      <alignment horizontal="center"/>
    </xf>
    <xf numFmtId="1" fontId="0" fillId="4" borderId="6" xfId="0" applyNumberFormat="1" applyFill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1" fillId="0" borderId="8" xfId="0" applyNumberFormat="1" applyFont="1" applyBorder="1" applyAlignment="1">
      <alignment horizontal="left"/>
    </xf>
    <xf numFmtId="1" fontId="1" fillId="0" borderId="9" xfId="0" applyNumberFormat="1" applyFont="1" applyBorder="1" applyAlignment="1">
      <alignment horizontal="left"/>
    </xf>
    <xf numFmtId="1" fontId="1" fillId="0" borderId="10" xfId="0" applyNumberFormat="1" applyFont="1" applyBorder="1" applyAlignment="1">
      <alignment horizontal="left"/>
    </xf>
    <xf numFmtId="1" fontId="0" fillId="0" borderId="14" xfId="0" applyNumberForma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1" fontId="1" fillId="0" borderId="19" xfId="0" applyNumberFormat="1" applyFont="1" applyBorder="1" applyAlignment="1">
      <alignment horizontal="left"/>
    </xf>
    <xf numFmtId="1" fontId="0" fillId="0" borderId="19" xfId="0" applyNumberFormat="1" applyBorder="1" applyAlignment="1">
      <alignment horizontal="left"/>
    </xf>
    <xf numFmtId="1" fontId="0" fillId="0" borderId="19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1" fillId="0" borderId="24" xfId="0" applyNumberFormat="1" applyFont="1" applyBorder="1" applyAlignment="1">
      <alignment horizontal="left"/>
    </xf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1" fontId="0" fillId="0" borderId="0" xfId="0" applyNumberFormat="1" applyAlignment="1">
      <alignment horizontal="left"/>
    </xf>
    <xf numFmtId="1" fontId="0" fillId="0" borderId="29" xfId="0" applyNumberFormat="1" applyBorder="1"/>
    <xf numFmtId="1" fontId="1" fillId="0" borderId="30" xfId="0" applyNumberFormat="1" applyFont="1" applyBorder="1" applyAlignment="1">
      <alignment horizontal="left"/>
    </xf>
    <xf numFmtId="1" fontId="0" fillId="5" borderId="29" xfId="0" applyNumberFormat="1" applyFill="1" applyBorder="1" applyAlignment="1">
      <alignment horizontal="center"/>
    </xf>
    <xf numFmtId="1" fontId="0" fillId="2" borderId="29" xfId="0" applyNumberFormat="1" applyFill="1" applyBorder="1" applyAlignment="1">
      <alignment horizontal="center"/>
    </xf>
    <xf numFmtId="1" fontId="0" fillId="3" borderId="29" xfId="0" applyNumberFormat="1" applyFill="1" applyBorder="1" applyAlignment="1">
      <alignment horizontal="center"/>
    </xf>
    <xf numFmtId="1" fontId="0" fillId="0" borderId="29" xfId="0" applyNumberFormat="1" applyBorder="1" applyAlignment="1">
      <alignment horizontal="center"/>
    </xf>
    <xf numFmtId="0" fontId="1" fillId="0" borderId="31" xfId="0" applyFont="1" applyBorder="1"/>
    <xf numFmtId="0" fontId="1" fillId="0" borderId="32" xfId="0" applyFont="1" applyBorder="1"/>
    <xf numFmtId="0" fontId="0" fillId="0" borderId="33" xfId="0" applyBorder="1"/>
    <xf numFmtId="1" fontId="0" fillId="0" borderId="33" xfId="0" applyNumberFormat="1" applyBorder="1"/>
    <xf numFmtId="1" fontId="1" fillId="0" borderId="34" xfId="0" applyNumberFormat="1" applyFont="1" applyBorder="1" applyAlignment="1">
      <alignment horizontal="left"/>
    </xf>
    <xf numFmtId="1" fontId="0" fillId="0" borderId="33" xfId="0" applyNumberFormat="1" applyBorder="1" applyAlignment="1">
      <alignment horizontal="center"/>
    </xf>
    <xf numFmtId="1" fontId="0" fillId="5" borderId="33" xfId="0" applyNumberFormat="1" applyFill="1" applyBorder="1" applyAlignment="1">
      <alignment horizontal="center"/>
    </xf>
    <xf numFmtId="1" fontId="0" fillId="2" borderId="33" xfId="0" applyNumberFormat="1" applyFill="1" applyBorder="1" applyAlignment="1">
      <alignment horizontal="center"/>
    </xf>
    <xf numFmtId="1" fontId="0" fillId="3" borderId="33" xfId="0" applyNumberFormat="1" applyFill="1" applyBorder="1" applyAlignment="1">
      <alignment horizontal="center"/>
    </xf>
    <xf numFmtId="1" fontId="0" fillId="4" borderId="33" xfId="0" applyNumberFormat="1" applyFill="1" applyBorder="1" applyAlignment="1">
      <alignment horizontal="center"/>
    </xf>
    <xf numFmtId="1" fontId="0" fillId="4" borderId="29" xfId="0" applyNumberFormat="1" applyFill="1" applyBorder="1" applyAlignment="1">
      <alignment horizontal="center"/>
    </xf>
    <xf numFmtId="1" fontId="0" fillId="0" borderId="35" xfId="0" applyNumberFormat="1" applyBorder="1" applyAlignment="1">
      <alignment horizontal="center"/>
    </xf>
    <xf numFmtId="1" fontId="0" fillId="0" borderId="36" xfId="0" applyNumberFormat="1" applyBorder="1" applyAlignment="1">
      <alignment horizontal="center"/>
    </xf>
    <xf numFmtId="0" fontId="1" fillId="0" borderId="37" xfId="0" applyFont="1" applyBorder="1"/>
    <xf numFmtId="1" fontId="0" fillId="0" borderId="38" xfId="0" applyNumberFormat="1" applyBorder="1" applyAlignment="1">
      <alignment horizontal="center"/>
    </xf>
    <xf numFmtId="0" fontId="1" fillId="0" borderId="39" xfId="0" applyFont="1" applyBorder="1"/>
    <xf numFmtId="1" fontId="2" fillId="0" borderId="33" xfId="0" applyNumberFormat="1" applyFont="1" applyBorder="1" applyAlignment="1">
      <alignment horizontal="center"/>
    </xf>
    <xf numFmtId="1" fontId="1" fillId="0" borderId="33" xfId="0" applyNumberFormat="1" applyFont="1" applyBorder="1" applyAlignment="1">
      <alignment horizontal="center"/>
    </xf>
    <xf numFmtId="0" fontId="1" fillId="0" borderId="40" xfId="0" applyFont="1" applyBorder="1"/>
    <xf numFmtId="1" fontId="2" fillId="0" borderId="29" xfId="0" applyNumberFormat="1" applyFont="1" applyBorder="1" applyAlignment="1">
      <alignment horizontal="center"/>
    </xf>
    <xf numFmtId="1" fontId="1" fillId="0" borderId="29" xfId="0" applyNumberFormat="1" applyFont="1" applyBorder="1" applyAlignment="1">
      <alignment horizontal="center"/>
    </xf>
    <xf numFmtId="1" fontId="0" fillId="0" borderId="4" xfId="0" applyNumberFormat="1" applyBorder="1"/>
    <xf numFmtId="1" fontId="0" fillId="0" borderId="5" xfId="0" applyNumberFormat="1" applyBorder="1"/>
    <xf numFmtId="1" fontId="0" fillId="0" borderId="41" xfId="0" applyNumberFormat="1" applyBorder="1"/>
    <xf numFmtId="1" fontId="0" fillId="0" borderId="42" xfId="0" applyNumberFormat="1" applyBorder="1"/>
    <xf numFmtId="0" fontId="0" fillId="0" borderId="3" xfId="0" applyBorder="1"/>
    <xf numFmtId="1" fontId="0" fillId="0" borderId="12" xfId="0" applyNumberFormat="1" applyBorder="1"/>
    <xf numFmtId="0" fontId="1" fillId="0" borderId="3" xfId="0" applyFont="1" applyBorder="1"/>
    <xf numFmtId="0" fontId="1" fillId="0" borderId="6" xfId="0" applyFont="1" applyBorder="1"/>
    <xf numFmtId="0" fontId="1" fillId="0" borderId="43" xfId="0" applyFont="1" applyBorder="1"/>
    <xf numFmtId="0" fontId="3" fillId="0" borderId="0" xfId="0" applyFont="1"/>
    <xf numFmtId="1" fontId="3" fillId="0" borderId="2" xfId="0" applyNumberFormat="1" applyFont="1" applyBorder="1"/>
    <xf numFmtId="1" fontId="1" fillId="0" borderId="7" xfId="0" applyNumberFormat="1" applyFont="1" applyBorder="1" applyAlignment="1">
      <alignment horizontal="left"/>
    </xf>
    <xf numFmtId="1" fontId="1" fillId="0" borderId="21" xfId="0" applyNumberFormat="1" applyFont="1" applyBorder="1" applyAlignment="1">
      <alignment horizontal="left"/>
    </xf>
    <xf numFmtId="1" fontId="1" fillId="0" borderId="28" xfId="0" applyNumberFormat="1" applyFont="1" applyBorder="1" applyAlignment="1">
      <alignment horizontal="left"/>
    </xf>
    <xf numFmtId="1" fontId="1" fillId="0" borderId="11" xfId="0" applyNumberFormat="1" applyFont="1" applyBorder="1" applyAlignment="1">
      <alignment horizontal="left"/>
    </xf>
    <xf numFmtId="0" fontId="1" fillId="0" borderId="22" xfId="0" applyFont="1" applyBorder="1"/>
    <xf numFmtId="0" fontId="1" fillId="0" borderId="23" xfId="0" applyFont="1" applyBorder="1"/>
    <xf numFmtId="0" fontId="1" fillId="0" borderId="4" xfId="0" applyFont="1" applyBorder="1"/>
    <xf numFmtId="0" fontId="1" fillId="0" borderId="5" xfId="0" applyFont="1" applyBorder="1"/>
    <xf numFmtId="1" fontId="2" fillId="0" borderId="0" xfId="0" applyNumberFormat="1" applyFont="1" applyAlignment="1">
      <alignment horizontal="center"/>
    </xf>
    <xf numFmtId="2" fontId="1" fillId="0" borderId="4" xfId="0" applyNumberFormat="1" applyFont="1" applyBorder="1"/>
    <xf numFmtId="2" fontId="1" fillId="0" borderId="21" xfId="0" applyNumberFormat="1" applyFont="1" applyBorder="1" applyAlignment="1">
      <alignment horizontal="left"/>
    </xf>
    <xf numFmtId="2" fontId="0" fillId="0" borderId="0" xfId="0" applyNumberFormat="1"/>
    <xf numFmtId="2" fontId="1" fillId="0" borderId="9" xfId="0" applyNumberFormat="1" applyFont="1" applyBorder="1" applyAlignment="1">
      <alignment horizontal="left"/>
    </xf>
    <xf numFmtId="2" fontId="0" fillId="0" borderId="0" xfId="0" applyNumberFormat="1" applyAlignment="1">
      <alignment horizontal="center"/>
    </xf>
    <xf numFmtId="2" fontId="0" fillId="5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/>
    </xf>
    <xf numFmtId="2" fontId="0" fillId="3" borderId="0" xfId="0" applyNumberFormat="1" applyFill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26" xfId="0" applyNumberFormat="1" applyFont="1" applyBorder="1"/>
    <xf numFmtId="2" fontId="0" fillId="0" borderId="4" xfId="0" applyNumberFormat="1" applyBorder="1"/>
    <xf numFmtId="164" fontId="0" fillId="0" borderId="0" xfId="0" applyNumberFormat="1" applyAlignment="1">
      <alignment horizontal="center"/>
    </xf>
    <xf numFmtId="2" fontId="0" fillId="4" borderId="0" xfId="0" applyNumberFormat="1" applyFill="1" applyAlignment="1">
      <alignment horizontal="center"/>
    </xf>
    <xf numFmtId="165" fontId="1" fillId="0" borderId="4" xfId="0" applyNumberFormat="1" applyFont="1" applyBorder="1"/>
    <xf numFmtId="165" fontId="1" fillId="0" borderId="0" xfId="0" applyNumberFormat="1" applyFont="1" applyAlignment="1">
      <alignment horizontal="left"/>
    </xf>
    <xf numFmtId="165" fontId="0" fillId="0" borderId="0" xfId="0" applyNumberFormat="1"/>
    <xf numFmtId="165" fontId="1" fillId="0" borderId="9" xfId="0" applyNumberFormat="1" applyFont="1" applyBorder="1" applyAlignment="1">
      <alignment horizontal="left"/>
    </xf>
    <xf numFmtId="165" fontId="1" fillId="0" borderId="0" xfId="0" applyNumberFormat="1" applyFont="1" applyAlignment="1">
      <alignment horizontal="center"/>
    </xf>
    <xf numFmtId="165" fontId="1" fillId="0" borderId="26" xfId="0" applyNumberFormat="1" applyFont="1" applyBorder="1"/>
    <xf numFmtId="165" fontId="3" fillId="0" borderId="4" xfId="0" applyNumberFormat="1" applyFont="1" applyBorder="1"/>
    <xf numFmtId="165" fontId="2" fillId="5" borderId="0" xfId="0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5" fontId="2" fillId="3" borderId="0" xfId="0" applyNumberFormat="1" applyFont="1" applyFill="1" applyAlignment="1">
      <alignment horizontal="center"/>
    </xf>
    <xf numFmtId="165" fontId="2" fillId="4" borderId="0" xfId="0" applyNumberFormat="1" applyFont="1" applyFill="1" applyAlignment="1">
      <alignment horizontal="center"/>
    </xf>
    <xf numFmtId="164" fontId="0" fillId="0" borderId="0" xfId="0" applyNumberFormat="1"/>
    <xf numFmtId="164" fontId="0" fillId="0" borderId="7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29" xfId="0" applyNumberFormat="1" applyBorder="1"/>
    <xf numFmtId="164" fontId="0" fillId="0" borderId="33" xfId="0" applyNumberFormat="1" applyBorder="1"/>
    <xf numFmtId="164" fontId="0" fillId="0" borderId="6" xfId="0" applyNumberFormat="1" applyBorder="1"/>
    <xf numFmtId="0" fontId="0" fillId="0" borderId="6" xfId="0" applyBorder="1"/>
    <xf numFmtId="1" fontId="0" fillId="0" borderId="0" xfId="0" applyNumberFormat="1" applyAlignment="1">
      <alignment horizontal="right"/>
    </xf>
    <xf numFmtId="1" fontId="4" fillId="0" borderId="0" xfId="0" applyNumberFormat="1" applyFont="1" applyAlignment="1">
      <alignment horizontal="left"/>
    </xf>
    <xf numFmtId="0" fontId="1" fillId="0" borderId="47" xfId="0" applyFont="1" applyBorder="1"/>
    <xf numFmtId="1" fontId="1" fillId="0" borderId="2" xfId="0" applyNumberFormat="1" applyFont="1" applyBorder="1" applyAlignment="1">
      <alignment horizontal="left"/>
    </xf>
    <xf numFmtId="1" fontId="0" fillId="0" borderId="3" xfId="0" applyNumberFormat="1" applyBorder="1" applyAlignment="1">
      <alignment horizontal="center"/>
    </xf>
    <xf numFmtId="1" fontId="0" fillId="0" borderId="49" xfId="0" applyNumberForma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0" fillId="0" borderId="47" xfId="0" applyNumberFormat="1" applyBorder="1" applyAlignment="1">
      <alignment horizontal="center"/>
    </xf>
    <xf numFmtId="0" fontId="0" fillId="0" borderId="50" xfId="0" applyBorder="1"/>
    <xf numFmtId="0" fontId="0" fillId="0" borderId="29" xfId="0" applyBorder="1"/>
    <xf numFmtId="1" fontId="1" fillId="0" borderId="4" xfId="0" applyNumberFormat="1" applyFont="1" applyBorder="1" applyAlignment="1">
      <alignment horizontal="left"/>
    </xf>
    <xf numFmtId="1" fontId="1" fillId="0" borderId="3" xfId="0" applyNumberFormat="1" applyFont="1" applyBorder="1" applyAlignment="1">
      <alignment horizontal="left"/>
    </xf>
    <xf numFmtId="1" fontId="0" fillId="0" borderId="67" xfId="0" applyNumberFormat="1" applyBorder="1" applyAlignment="1">
      <alignment horizontal="left"/>
    </xf>
    <xf numFmtId="0" fontId="0" fillId="0" borderId="67" xfId="0" applyBorder="1"/>
    <xf numFmtId="0" fontId="0" fillId="0" borderId="47" xfId="0" applyBorder="1"/>
    <xf numFmtId="0" fontId="0" fillId="0" borderId="1" xfId="0" applyBorder="1"/>
    <xf numFmtId="1" fontId="1" fillId="0" borderId="6" xfId="0" applyNumberFormat="1" applyFont="1" applyBorder="1" applyAlignment="1">
      <alignment horizontal="left"/>
    </xf>
    <xf numFmtId="0" fontId="1" fillId="0" borderId="83" xfId="0" applyFont="1" applyBorder="1" applyAlignment="1">
      <alignment horizontal="center"/>
    </xf>
    <xf numFmtId="0" fontId="0" fillId="0" borderId="51" xfId="0" applyBorder="1"/>
    <xf numFmtId="1" fontId="0" fillId="0" borderId="51" xfId="0" applyNumberFormat="1" applyBorder="1"/>
    <xf numFmtId="1" fontId="0" fillId="0" borderId="51" xfId="0" applyNumberFormat="1" applyBorder="1" applyAlignment="1">
      <alignment horizontal="left"/>
    </xf>
    <xf numFmtId="1" fontId="0" fillId="0" borderId="85" xfId="0" applyNumberFormat="1" applyBorder="1"/>
    <xf numFmtId="1" fontId="1" fillId="0" borderId="42" xfId="0" applyNumberFormat="1" applyFont="1" applyBorder="1" applyAlignment="1">
      <alignment horizontal="left"/>
    </xf>
    <xf numFmtId="1" fontId="1" fillId="0" borderId="66" xfId="0" applyNumberFormat="1" applyFont="1" applyBorder="1" applyAlignment="1">
      <alignment horizontal="left"/>
    </xf>
    <xf numFmtId="1" fontId="1" fillId="0" borderId="5" xfId="0" applyNumberFormat="1" applyFont="1" applyBorder="1" applyAlignment="1">
      <alignment horizontal="left"/>
    </xf>
    <xf numFmtId="0" fontId="1" fillId="0" borderId="51" xfId="0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0" fillId="0" borderId="49" xfId="0" applyBorder="1"/>
    <xf numFmtId="0" fontId="0" fillId="0" borderId="9" xfId="0" applyBorder="1" applyAlignment="1">
      <alignment horizontal="center"/>
    </xf>
    <xf numFmtId="0" fontId="0" fillId="0" borderId="84" xfId="0" applyBorder="1" applyAlignment="1">
      <alignment horizontal="center"/>
    </xf>
    <xf numFmtId="1" fontId="0" fillId="0" borderId="49" xfId="0" applyNumberFormat="1" applyBorder="1" applyAlignment="1">
      <alignment horizontal="left"/>
    </xf>
    <xf numFmtId="1" fontId="0" fillId="0" borderId="47" xfId="0" applyNumberFormat="1" applyBorder="1" applyAlignment="1">
      <alignment horizontal="left"/>
    </xf>
    <xf numFmtId="1" fontId="0" fillId="0" borderId="67" xfId="0" applyNumberFormat="1" applyBorder="1" applyAlignment="1">
      <alignment horizontal="center"/>
    </xf>
    <xf numFmtId="1" fontId="2" fillId="5" borderId="76" xfId="0" applyNumberFormat="1" applyFont="1" applyFill="1" applyBorder="1" applyAlignment="1">
      <alignment horizontal="center"/>
    </xf>
    <xf numFmtId="1" fontId="2" fillId="2" borderId="3" xfId="0" applyNumberFormat="1" applyFont="1" applyFill="1" applyBorder="1" applyAlignment="1">
      <alignment horizontal="center"/>
    </xf>
    <xf numFmtId="1" fontId="2" fillId="3" borderId="3" xfId="0" applyNumberFormat="1" applyFont="1" applyFill="1" applyBorder="1" applyAlignment="1">
      <alignment horizontal="center"/>
    </xf>
    <xf numFmtId="1" fontId="2" fillId="4" borderId="3" xfId="0" applyNumberFormat="1" applyFont="1" applyFill="1" applyBorder="1" applyAlignment="1">
      <alignment horizontal="center"/>
    </xf>
    <xf numFmtId="0" fontId="0" fillId="0" borderId="76" xfId="0" applyBorder="1"/>
    <xf numFmtId="1" fontId="0" fillId="0" borderId="72" xfId="0" applyNumberFormat="1" applyBorder="1" applyAlignment="1">
      <alignment horizontal="center"/>
    </xf>
    <xf numFmtId="1" fontId="0" fillId="0" borderId="86" xfId="0" applyNumberFormat="1" applyBorder="1" applyAlignment="1">
      <alignment horizontal="center"/>
    </xf>
    <xf numFmtId="1" fontId="0" fillId="0" borderId="50" xfId="0" applyNumberFormat="1" applyBorder="1" applyAlignment="1">
      <alignment horizontal="center"/>
    </xf>
    <xf numFmtId="1" fontId="2" fillId="5" borderId="71" xfId="0" applyNumberFormat="1" applyFont="1" applyFill="1" applyBorder="1" applyAlignment="1">
      <alignment horizontal="center"/>
    </xf>
    <xf numFmtId="1" fontId="0" fillId="0" borderId="81" xfId="0" applyNumberFormat="1" applyBorder="1" applyAlignment="1">
      <alignment horizontal="left"/>
    </xf>
    <xf numFmtId="1" fontId="2" fillId="2" borderId="29" xfId="0" applyNumberFormat="1" applyFont="1" applyFill="1" applyBorder="1" applyAlignment="1">
      <alignment horizontal="center"/>
    </xf>
    <xf numFmtId="1" fontId="2" fillId="3" borderId="29" xfId="0" applyNumberFormat="1" applyFont="1" applyFill="1" applyBorder="1" applyAlignment="1">
      <alignment horizontal="center"/>
    </xf>
    <xf numFmtId="1" fontId="2" fillId="4" borderId="29" xfId="0" applyNumberFormat="1" applyFont="1" applyFill="1" applyBorder="1" applyAlignment="1">
      <alignment horizontal="center"/>
    </xf>
    <xf numFmtId="1" fontId="2" fillId="5" borderId="82" xfId="0" applyNumberFormat="1" applyFont="1" applyFill="1" applyBorder="1" applyAlignment="1">
      <alignment horizontal="center"/>
    </xf>
    <xf numFmtId="165" fontId="0" fillId="0" borderId="60" xfId="0" applyNumberFormat="1" applyBorder="1" applyAlignment="1">
      <alignment horizontal="right"/>
    </xf>
    <xf numFmtId="0" fontId="0" fillId="0" borderId="72" xfId="0" applyBorder="1"/>
    <xf numFmtId="0" fontId="0" fillId="0" borderId="73" xfId="0" applyBorder="1"/>
    <xf numFmtId="1" fontId="1" fillId="0" borderId="87" xfId="0" applyNumberFormat="1" applyFont="1" applyBorder="1" applyAlignment="1">
      <alignment horizontal="center"/>
    </xf>
    <xf numFmtId="0" fontId="0" fillId="0" borderId="71" xfId="0" applyBorder="1"/>
    <xf numFmtId="1" fontId="0" fillId="0" borderId="73" xfId="0" applyNumberFormat="1" applyBorder="1" applyAlignment="1">
      <alignment horizontal="center"/>
    </xf>
    <xf numFmtId="165" fontId="0" fillId="6" borderId="93" xfId="0" applyNumberFormat="1" applyFill="1" applyBorder="1"/>
    <xf numFmtId="165" fontId="0" fillId="6" borderId="54" xfId="0" applyNumberFormat="1" applyFill="1" applyBorder="1"/>
    <xf numFmtId="165" fontId="0" fillId="6" borderId="94" xfId="0" applyNumberFormat="1" applyFill="1" applyBorder="1"/>
    <xf numFmtId="165" fontId="0" fillId="6" borderId="58" xfId="0" applyNumberFormat="1" applyFill="1" applyBorder="1"/>
    <xf numFmtId="165" fontId="0" fillId="6" borderId="61" xfId="0" applyNumberFormat="1" applyFill="1" applyBorder="1"/>
    <xf numFmtId="165" fontId="0" fillId="6" borderId="95" xfId="0" applyNumberFormat="1" applyFill="1" applyBorder="1"/>
    <xf numFmtId="165" fontId="0" fillId="6" borderId="59" xfId="0" applyNumberFormat="1" applyFill="1" applyBorder="1"/>
    <xf numFmtId="165" fontId="0" fillId="6" borderId="63" xfId="0" applyNumberFormat="1" applyFill="1" applyBorder="1"/>
    <xf numFmtId="165" fontId="0" fillId="6" borderId="96" xfId="0" applyNumberFormat="1" applyFill="1" applyBorder="1"/>
    <xf numFmtId="165" fontId="0" fillId="6" borderId="62" xfId="0" applyNumberFormat="1" applyFill="1" applyBorder="1"/>
    <xf numFmtId="165" fontId="0" fillId="6" borderId="97" xfId="0" applyNumberFormat="1" applyFill="1" applyBorder="1"/>
    <xf numFmtId="165" fontId="0" fillId="6" borderId="52" xfId="0" applyNumberFormat="1" applyFill="1" applyBorder="1"/>
    <xf numFmtId="165" fontId="0" fillId="6" borderId="55" xfId="0" applyNumberFormat="1" applyFill="1" applyBorder="1"/>
    <xf numFmtId="165" fontId="0" fillId="6" borderId="98" xfId="0" applyNumberFormat="1" applyFill="1" applyBorder="1"/>
    <xf numFmtId="165" fontId="0" fillId="6" borderId="56" xfId="0" applyNumberFormat="1" applyFill="1" applyBorder="1"/>
    <xf numFmtId="165" fontId="0" fillId="6" borderId="99" xfId="0" applyNumberFormat="1" applyFill="1" applyBorder="1"/>
    <xf numFmtId="165" fontId="0" fillId="6" borderId="100" xfId="0" applyNumberFormat="1" applyFill="1" applyBorder="1"/>
    <xf numFmtId="165" fontId="0" fillId="6" borderId="78" xfId="0" applyNumberFormat="1" applyFill="1" applyBorder="1"/>
    <xf numFmtId="165" fontId="0" fillId="6" borderId="92" xfId="0" applyNumberFormat="1" applyFill="1" applyBorder="1"/>
    <xf numFmtId="165" fontId="0" fillId="6" borderId="80" xfId="0" applyNumberFormat="1" applyFill="1" applyBorder="1"/>
    <xf numFmtId="165" fontId="0" fillId="6" borderId="101" xfId="0" applyNumberFormat="1" applyFill="1" applyBorder="1"/>
    <xf numFmtId="165" fontId="0" fillId="6" borderId="57" xfId="0" applyNumberFormat="1" applyFill="1" applyBorder="1"/>
    <xf numFmtId="165" fontId="0" fillId="6" borderId="32" xfId="0" applyNumberFormat="1" applyFill="1" applyBorder="1"/>
    <xf numFmtId="165" fontId="0" fillId="6" borderId="40" xfId="0" applyNumberFormat="1" applyFill="1" applyBorder="1"/>
    <xf numFmtId="165" fontId="0" fillId="6" borderId="75" xfId="0" applyNumberFormat="1" applyFill="1" applyBorder="1"/>
    <xf numFmtId="165" fontId="0" fillId="6" borderId="31" xfId="0" applyNumberFormat="1" applyFill="1" applyBorder="1"/>
    <xf numFmtId="165" fontId="0" fillId="6" borderId="27" xfId="0" applyNumberFormat="1" applyFill="1" applyBorder="1"/>
    <xf numFmtId="1" fontId="1" fillId="0" borderId="89" xfId="0" applyNumberFormat="1" applyFont="1" applyBorder="1" applyAlignment="1">
      <alignment horizontal="center"/>
    </xf>
    <xf numFmtId="1" fontId="1" fillId="0" borderId="90" xfId="0" applyNumberFormat="1" applyFont="1" applyBorder="1" applyAlignment="1">
      <alignment horizontal="center"/>
    </xf>
    <xf numFmtId="0" fontId="0" fillId="0" borderId="66" xfId="0" applyBorder="1"/>
    <xf numFmtId="165" fontId="0" fillId="0" borderId="77" xfId="0" applyNumberFormat="1" applyBorder="1" applyAlignment="1">
      <alignment horizontal="right"/>
    </xf>
    <xf numFmtId="165" fontId="0" fillId="0" borderId="91" xfId="0" applyNumberFormat="1" applyBorder="1" applyAlignment="1">
      <alignment horizontal="right"/>
    </xf>
    <xf numFmtId="165" fontId="0" fillId="0" borderId="79" xfId="0" applyNumberFormat="1" applyBorder="1" applyAlignment="1">
      <alignment horizontal="right"/>
    </xf>
    <xf numFmtId="165" fontId="0" fillId="0" borderId="78" xfId="0" applyNumberFormat="1" applyBorder="1" applyAlignment="1">
      <alignment horizontal="right"/>
    </xf>
    <xf numFmtId="165" fontId="0" fillId="0" borderId="92" xfId="0" applyNumberFormat="1" applyBorder="1" applyAlignment="1">
      <alignment horizontal="right"/>
    </xf>
    <xf numFmtId="165" fontId="0" fillId="0" borderId="80" xfId="0" applyNumberFormat="1" applyBorder="1" applyAlignment="1">
      <alignment horizontal="right"/>
    </xf>
    <xf numFmtId="165" fontId="0" fillId="0" borderId="74" xfId="0" applyNumberFormat="1" applyBorder="1" applyAlignment="1">
      <alignment horizontal="right"/>
    </xf>
    <xf numFmtId="165" fontId="0" fillId="0" borderId="43" xfId="0" applyNumberFormat="1" applyBorder="1" applyAlignment="1">
      <alignment horizontal="right"/>
    </xf>
    <xf numFmtId="165" fontId="0" fillId="0" borderId="75" xfId="0" applyNumberFormat="1" applyBorder="1" applyAlignment="1">
      <alignment horizontal="right"/>
    </xf>
    <xf numFmtId="0" fontId="0" fillId="0" borderId="86" xfId="0" applyBorder="1"/>
    <xf numFmtId="0" fontId="0" fillId="0" borderId="45" xfId="0" applyBorder="1"/>
    <xf numFmtId="0" fontId="0" fillId="0" borderId="46" xfId="0" applyBorder="1"/>
    <xf numFmtId="0" fontId="0" fillId="0" borderId="48" xfId="0" applyBorder="1"/>
    <xf numFmtId="165" fontId="0" fillId="0" borderId="83" xfId="0" applyNumberFormat="1" applyBorder="1" applyAlignment="1">
      <alignment horizontal="right"/>
    </xf>
    <xf numFmtId="165" fontId="0" fillId="0" borderId="84" xfId="0" applyNumberFormat="1" applyBorder="1" applyAlignment="1">
      <alignment horizontal="right"/>
    </xf>
    <xf numFmtId="165" fontId="0" fillId="6" borderId="102" xfId="0" applyNumberFormat="1" applyFill="1" applyBorder="1"/>
    <xf numFmtId="165" fontId="0" fillId="6" borderId="103" xfId="0" applyNumberFormat="1" applyFill="1" applyBorder="1"/>
    <xf numFmtId="165" fontId="0" fillId="6" borderId="104" xfId="0" applyNumberFormat="1" applyFill="1" applyBorder="1"/>
    <xf numFmtId="165" fontId="0" fillId="6" borderId="84" xfId="0" applyNumberFormat="1" applyFill="1" applyBorder="1"/>
    <xf numFmtId="165" fontId="0" fillId="6" borderId="51" xfId="0" applyNumberFormat="1" applyFill="1" applyBorder="1"/>
    <xf numFmtId="165" fontId="0" fillId="6" borderId="85" xfId="0" applyNumberFormat="1" applyFill="1" applyBorder="1"/>
    <xf numFmtId="0" fontId="0" fillId="0" borderId="41" xfId="0" applyBorder="1"/>
    <xf numFmtId="0" fontId="0" fillId="0" borderId="42" xfId="0" applyBorder="1"/>
    <xf numFmtId="0" fontId="0" fillId="0" borderId="12" xfId="0" applyBorder="1"/>
    <xf numFmtId="165" fontId="0" fillId="0" borderId="51" xfId="0" applyNumberFormat="1" applyBorder="1" applyAlignment="1">
      <alignment horizontal="right"/>
    </xf>
    <xf numFmtId="165" fontId="0" fillId="0" borderId="53" xfId="0" applyNumberFormat="1" applyBorder="1" applyAlignment="1">
      <alignment horizontal="right"/>
    </xf>
    <xf numFmtId="165" fontId="0" fillId="0" borderId="54" xfId="0" applyNumberFormat="1" applyBorder="1" applyAlignment="1">
      <alignment horizontal="right"/>
    </xf>
    <xf numFmtId="165" fontId="0" fillId="0" borderId="94" xfId="0" applyNumberFormat="1" applyBorder="1" applyAlignment="1">
      <alignment horizontal="right"/>
    </xf>
    <xf numFmtId="165" fontId="0" fillId="0" borderId="26" xfId="0" applyNumberFormat="1" applyBorder="1" applyAlignment="1">
      <alignment horizontal="right"/>
    </xf>
    <xf numFmtId="1" fontId="0" fillId="0" borderId="46" xfId="0" applyNumberFormat="1" applyBorder="1" applyAlignment="1">
      <alignment horizontal="left"/>
    </xf>
    <xf numFmtId="1" fontId="1" fillId="0" borderId="88" xfId="0" applyNumberFormat="1" applyFont="1" applyBorder="1" applyAlignment="1">
      <alignment horizontal="center"/>
    </xf>
    <xf numFmtId="165" fontId="0" fillId="0" borderId="56" xfId="0" applyNumberFormat="1" applyBorder="1" applyAlignment="1">
      <alignment horizontal="right"/>
    </xf>
    <xf numFmtId="1" fontId="1" fillId="0" borderId="85" xfId="0" applyNumberFormat="1" applyFont="1" applyBorder="1" applyAlignment="1">
      <alignment horizontal="left"/>
    </xf>
    <xf numFmtId="1" fontId="1" fillId="0" borderId="84" xfId="0" applyNumberFormat="1" applyFont="1" applyBorder="1" applyAlignment="1">
      <alignment horizontal="left"/>
    </xf>
    <xf numFmtId="1" fontId="1" fillId="0" borderId="102" xfId="0" applyNumberFormat="1" applyFont="1" applyBorder="1" applyAlignment="1">
      <alignment horizontal="left"/>
    </xf>
    <xf numFmtId="165" fontId="5" fillId="7" borderId="83" xfId="0" applyNumberFormat="1" applyFont="1" applyFill="1" applyBorder="1" applyAlignment="1">
      <alignment horizontal="center"/>
    </xf>
    <xf numFmtId="0" fontId="0" fillId="0" borderId="83" xfId="0" applyBorder="1"/>
    <xf numFmtId="0" fontId="0" fillId="0" borderId="51" xfId="0" applyBorder="1" applyAlignment="1">
      <alignment horizontal="center"/>
    </xf>
    <xf numFmtId="0" fontId="0" fillId="0" borderId="51" xfId="0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0" fillId="0" borderId="102" xfId="0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1" fontId="1" fillId="0" borderId="51" xfId="0" applyNumberFormat="1" applyFont="1" applyBorder="1" applyAlignment="1">
      <alignment horizontal="center" vertical="center"/>
    </xf>
    <xf numFmtId="1" fontId="0" fillId="0" borderId="51" xfId="0" applyNumberFormat="1" applyBorder="1" applyAlignment="1">
      <alignment horizontal="center" vertical="center"/>
    </xf>
    <xf numFmtId="1" fontId="0" fillId="0" borderId="85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right"/>
    </xf>
    <xf numFmtId="1" fontId="2" fillId="0" borderId="71" xfId="0" applyNumberFormat="1" applyFont="1" applyBorder="1" applyAlignment="1">
      <alignment horizontal="center"/>
    </xf>
    <xf numFmtId="1" fontId="1" fillId="0" borderId="51" xfId="0" applyNumberFormat="1" applyFont="1" applyBorder="1" applyAlignment="1">
      <alignment horizontal="left"/>
    </xf>
    <xf numFmtId="1" fontId="1" fillId="0" borderId="103" xfId="0" applyNumberFormat="1" applyFont="1" applyBorder="1" applyAlignment="1">
      <alignment horizontal="left"/>
    </xf>
    <xf numFmtId="1" fontId="1" fillId="0" borderId="51" xfId="0" applyNumberFormat="1" applyFont="1" applyBorder="1" applyAlignment="1">
      <alignment horizontal="center"/>
    </xf>
    <xf numFmtId="165" fontId="0" fillId="6" borderId="53" xfId="0" applyNumberFormat="1" applyFill="1" applyBorder="1"/>
    <xf numFmtId="0" fontId="1" fillId="0" borderId="41" xfId="0" applyFont="1" applyBorder="1"/>
    <xf numFmtId="165" fontId="0" fillId="0" borderId="1" xfId="0" applyNumberFormat="1" applyBorder="1" applyAlignment="1">
      <alignment horizontal="right"/>
    </xf>
    <xf numFmtId="165" fontId="0" fillId="6" borderId="74" xfId="0" applyNumberFormat="1" applyFill="1" applyBorder="1"/>
    <xf numFmtId="165" fontId="0" fillId="0" borderId="0" xfId="0" applyNumberFormat="1" applyAlignment="1">
      <alignment horizontal="right"/>
    </xf>
    <xf numFmtId="49" fontId="0" fillId="0" borderId="0" xfId="0" applyNumberFormat="1"/>
    <xf numFmtId="2" fontId="7" fillId="0" borderId="0" xfId="0" applyNumberFormat="1" applyFont="1" applyAlignment="1">
      <alignment horizontal="center"/>
    </xf>
    <xf numFmtId="0" fontId="0" fillId="0" borderId="50" xfId="0" applyBorder="1" applyAlignment="1">
      <alignment horizontal="left"/>
    </xf>
    <xf numFmtId="0" fontId="0" fillId="0" borderId="2" xfId="0" applyBorder="1"/>
    <xf numFmtId="165" fontId="0" fillId="0" borderId="4" xfId="0" applyNumberFormat="1" applyBorder="1"/>
    <xf numFmtId="165" fontId="0" fillId="0" borderId="62" xfId="0" applyNumberFormat="1" applyBorder="1" applyAlignment="1">
      <alignment horizontal="right"/>
    </xf>
    <xf numFmtId="165" fontId="0" fillId="0" borderId="97" xfId="0" applyNumberFormat="1" applyBorder="1" applyAlignment="1">
      <alignment horizontal="right"/>
    </xf>
    <xf numFmtId="165" fontId="0" fillId="0" borderId="4" xfId="0" applyNumberFormat="1" applyBorder="1" applyAlignment="1">
      <alignment horizontal="right"/>
    </xf>
    <xf numFmtId="165" fontId="0" fillId="0" borderId="66" xfId="0" applyNumberFormat="1" applyBorder="1" applyAlignment="1">
      <alignment horizontal="right"/>
    </xf>
    <xf numFmtId="165" fontId="0" fillId="0" borderId="101" xfId="0" applyNumberFormat="1" applyBorder="1" applyAlignment="1">
      <alignment horizontal="right"/>
    </xf>
    <xf numFmtId="165" fontId="0" fillId="0" borderId="21" xfId="0" applyNumberFormat="1" applyBorder="1" applyAlignment="1">
      <alignment horizontal="right"/>
    </xf>
    <xf numFmtId="165" fontId="0" fillId="0" borderId="73" xfId="0" applyNumberFormat="1" applyBorder="1" applyAlignment="1">
      <alignment horizontal="right"/>
    </xf>
    <xf numFmtId="165" fontId="0" fillId="0" borderId="73" xfId="0" applyNumberFormat="1" applyBorder="1"/>
    <xf numFmtId="0" fontId="0" fillId="0" borderId="5" xfId="0" applyBorder="1"/>
    <xf numFmtId="165" fontId="0" fillId="0" borderId="1" xfId="0" applyNumberFormat="1" applyBorder="1"/>
    <xf numFmtId="165" fontId="0" fillId="0" borderId="41" xfId="0" applyNumberFormat="1" applyBorder="1" applyAlignment="1">
      <alignment horizontal="right"/>
    </xf>
    <xf numFmtId="2" fontId="8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165" fontId="0" fillId="0" borderId="67" xfId="0" applyNumberFormat="1" applyBorder="1" applyAlignment="1">
      <alignment horizontal="right"/>
    </xf>
    <xf numFmtId="165" fontId="0" fillId="0" borderId="107" xfId="0" applyNumberFormat="1" applyBorder="1" applyAlignment="1">
      <alignment horizontal="right"/>
    </xf>
    <xf numFmtId="165" fontId="0" fillId="0" borderId="108" xfId="0" applyNumberFormat="1" applyBorder="1" applyAlignment="1">
      <alignment horizontal="right"/>
    </xf>
    <xf numFmtId="165" fontId="0" fillId="0" borderId="21" xfId="0" applyNumberFormat="1" applyBorder="1"/>
    <xf numFmtId="0" fontId="1" fillId="0" borderId="66" xfId="0" applyFont="1" applyBorder="1"/>
    <xf numFmtId="2" fontId="0" fillId="6" borderId="84" xfId="0" applyNumberFormat="1" applyFill="1" applyBorder="1"/>
    <xf numFmtId="2" fontId="0" fillId="6" borderId="74" xfId="0" applyNumberFormat="1" applyFill="1" applyBorder="1"/>
    <xf numFmtId="2" fontId="0" fillId="6" borderId="92" xfId="0" applyNumberFormat="1" applyFill="1" applyBorder="1"/>
    <xf numFmtId="2" fontId="0" fillId="6" borderId="80" xfId="0" applyNumberFormat="1" applyFill="1" applyBorder="1"/>
    <xf numFmtId="1" fontId="1" fillId="0" borderId="86" xfId="0" applyNumberFormat="1" applyFont="1" applyBorder="1" applyAlignment="1">
      <alignment horizontal="left"/>
    </xf>
    <xf numFmtId="0" fontId="1" fillId="0" borderId="84" xfId="0" applyFont="1" applyBorder="1"/>
    <xf numFmtId="0" fontId="1" fillId="0" borderId="67" xfId="0" applyFont="1" applyBorder="1"/>
    <xf numFmtId="165" fontId="0" fillId="0" borderId="66" xfId="0" applyNumberFormat="1" applyBorder="1"/>
    <xf numFmtId="165" fontId="0" fillId="0" borderId="67" xfId="0" applyNumberFormat="1" applyBorder="1"/>
    <xf numFmtId="0" fontId="1" fillId="0" borderId="45" xfId="0" applyFont="1" applyBorder="1"/>
    <xf numFmtId="2" fontId="0" fillId="0" borderId="67" xfId="0" applyNumberFormat="1" applyBorder="1"/>
    <xf numFmtId="1" fontId="1" fillId="0" borderId="47" xfId="0" applyNumberFormat="1" applyFont="1" applyBorder="1" applyAlignment="1">
      <alignment horizontal="center"/>
    </xf>
    <xf numFmtId="165" fontId="0" fillId="0" borderId="47" xfId="0" applyNumberFormat="1" applyBorder="1"/>
    <xf numFmtId="2" fontId="0" fillId="6" borderId="75" xfId="0" applyNumberFormat="1" applyFill="1" applyBorder="1"/>
    <xf numFmtId="2" fontId="0" fillId="6" borderId="78" xfId="0" applyNumberFormat="1" applyFill="1" applyBorder="1"/>
    <xf numFmtId="1" fontId="1" fillId="0" borderId="85" xfId="0" applyNumberFormat="1" applyFont="1" applyBorder="1" applyAlignment="1">
      <alignment horizontal="center"/>
    </xf>
    <xf numFmtId="0" fontId="5" fillId="8" borderId="83" xfId="0" applyFont="1" applyFill="1" applyBorder="1" applyAlignment="1">
      <alignment horizontal="center"/>
    </xf>
    <xf numFmtId="0" fontId="5" fillId="8" borderId="51" xfId="0" applyFont="1" applyFill="1" applyBorder="1" applyAlignment="1">
      <alignment horizontal="center"/>
    </xf>
    <xf numFmtId="0" fontId="5" fillId="8" borderId="85" xfId="0" applyFont="1" applyFill="1" applyBorder="1" applyAlignment="1">
      <alignment horizontal="center"/>
    </xf>
    <xf numFmtId="1" fontId="0" fillId="0" borderId="45" xfId="0" applyNumberFormat="1" applyBorder="1" applyAlignment="1">
      <alignment horizontal="center"/>
    </xf>
    <xf numFmtId="2" fontId="0" fillId="0" borderId="47" xfId="0" applyNumberFormat="1" applyBorder="1"/>
    <xf numFmtId="2" fontId="0" fillId="0" borderId="66" xfId="0" applyNumberFormat="1" applyBorder="1"/>
    <xf numFmtId="0" fontId="0" fillId="0" borderId="47" xfId="0" applyBorder="1" applyAlignment="1">
      <alignment horizontal="left"/>
    </xf>
    <xf numFmtId="1" fontId="5" fillId="8" borderId="4" xfId="0" applyNumberFormat="1" applyFont="1" applyFill="1" applyBorder="1" applyAlignment="1">
      <alignment horizontal="left"/>
    </xf>
    <xf numFmtId="0" fontId="0" fillId="0" borderId="9" xfId="0" applyBorder="1"/>
    <xf numFmtId="1" fontId="0" fillId="0" borderId="9" xfId="0" applyNumberFormat="1" applyBorder="1" applyAlignment="1">
      <alignment horizontal="center"/>
    </xf>
    <xf numFmtId="0" fontId="1" fillId="0" borderId="9" xfId="0" applyFont="1" applyBorder="1"/>
    <xf numFmtId="1" fontId="0" fillId="0" borderId="70" xfId="0" applyNumberFormat="1" applyBorder="1" applyAlignment="1">
      <alignment horizontal="left"/>
    </xf>
    <xf numFmtId="1" fontId="1" fillId="0" borderId="70" xfId="0" applyNumberFormat="1" applyFont="1" applyBorder="1" applyAlignment="1">
      <alignment horizontal="left"/>
    </xf>
    <xf numFmtId="1" fontId="0" fillId="0" borderId="9" xfId="0" applyNumberFormat="1" applyBorder="1" applyAlignment="1">
      <alignment horizontal="left"/>
    </xf>
    <xf numFmtId="0" fontId="5" fillId="8" borderId="70" xfId="0" applyFont="1" applyFill="1" applyBorder="1" applyAlignment="1">
      <alignment horizontal="center"/>
    </xf>
    <xf numFmtId="0" fontId="1" fillId="0" borderId="70" xfId="0" applyFont="1" applyBorder="1" applyAlignment="1">
      <alignment horizontal="center"/>
    </xf>
    <xf numFmtId="0" fontId="5" fillId="8" borderId="9" xfId="0" applyFont="1" applyFill="1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10" xfId="0" applyBorder="1" applyAlignment="1">
      <alignment horizontal="left"/>
    </xf>
    <xf numFmtId="0" fontId="5" fillId="8" borderId="10" xfId="0" applyFont="1" applyFill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0" fillId="0" borderId="9" xfId="0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68" xfId="0" applyFont="1" applyBorder="1"/>
    <xf numFmtId="1" fontId="1" fillId="0" borderId="68" xfId="0" applyNumberFormat="1" applyFont="1" applyBorder="1" applyAlignment="1">
      <alignment horizontal="left"/>
    </xf>
    <xf numFmtId="0" fontId="0" fillId="0" borderId="9" xfId="0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" fontId="1" fillId="0" borderId="41" xfId="0" applyNumberFormat="1" applyFont="1" applyBorder="1" applyAlignment="1">
      <alignment horizontal="left"/>
    </xf>
    <xf numFmtId="1" fontId="1" fillId="0" borderId="71" xfId="0" applyNumberFormat="1" applyFont="1" applyBorder="1" applyAlignment="1">
      <alignment horizontal="left"/>
    </xf>
    <xf numFmtId="165" fontId="5" fillId="0" borderId="73" xfId="0" applyNumberFormat="1" applyFont="1" applyBorder="1" applyAlignment="1">
      <alignment horizontal="center"/>
    </xf>
    <xf numFmtId="1" fontId="5" fillId="0" borderId="69" xfId="0" applyNumberFormat="1" applyFont="1" applyBorder="1" applyAlignment="1">
      <alignment horizontal="center"/>
    </xf>
    <xf numFmtId="165" fontId="5" fillId="0" borderId="71" xfId="0" applyNumberFormat="1" applyFont="1" applyBorder="1" applyAlignment="1">
      <alignment horizontal="center"/>
    </xf>
    <xf numFmtId="1" fontId="5" fillId="0" borderId="109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1" fontId="1" fillId="0" borderId="76" xfId="0" applyNumberFormat="1" applyFont="1" applyBorder="1" applyAlignment="1">
      <alignment horizontal="left"/>
    </xf>
    <xf numFmtId="1" fontId="1" fillId="0" borderId="109" xfId="0" applyNumberFormat="1" applyFont="1" applyBorder="1" applyAlignment="1">
      <alignment horizontal="left"/>
    </xf>
    <xf numFmtId="165" fontId="5" fillId="0" borderId="0" xfId="0" applyNumberFormat="1" applyFont="1" applyAlignment="1">
      <alignment horizontal="center"/>
    </xf>
    <xf numFmtId="1" fontId="0" fillId="0" borderId="71" xfId="0" applyNumberFormat="1" applyBorder="1" applyAlignment="1">
      <alignment horizontal="left"/>
    </xf>
    <xf numFmtId="1" fontId="1" fillId="0" borderId="81" xfId="0" applyNumberFormat="1" applyFont="1" applyBorder="1" applyAlignment="1">
      <alignment horizontal="left"/>
    </xf>
    <xf numFmtId="165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1" fontId="0" fillId="0" borderId="30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left"/>
    </xf>
    <xf numFmtId="165" fontId="5" fillId="0" borderId="47" xfId="0" applyNumberFormat="1" applyFont="1" applyBorder="1" applyAlignment="1">
      <alignment horizontal="center"/>
    </xf>
    <xf numFmtId="2" fontId="5" fillId="0" borderId="73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2" fontId="5" fillId="0" borderId="71" xfId="0" applyNumberFormat="1" applyFont="1" applyBorder="1" applyAlignment="1">
      <alignment horizontal="center"/>
    </xf>
    <xf numFmtId="165" fontId="5" fillId="0" borderId="72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" fillId="0" borderId="10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4" xfId="0" applyBorder="1"/>
    <xf numFmtId="0" fontId="0" fillId="0" borderId="73" xfId="0" applyBorder="1" applyAlignment="1">
      <alignment horizontal="left"/>
    </xf>
    <xf numFmtId="0" fontId="0" fillId="0" borderId="82" xfId="0" applyBorder="1"/>
    <xf numFmtId="0" fontId="0" fillId="0" borderId="110" xfId="0" applyBorder="1"/>
    <xf numFmtId="0" fontId="0" fillId="0" borderId="81" xfId="0" applyBorder="1"/>
    <xf numFmtId="0" fontId="0" fillId="0" borderId="111" xfId="0" applyBorder="1"/>
    <xf numFmtId="0" fontId="0" fillId="0" borderId="106" xfId="0" applyBorder="1"/>
    <xf numFmtId="0" fontId="0" fillId="0" borderId="65" xfId="0" applyBorder="1" applyAlignment="1">
      <alignment horizontal="left"/>
    </xf>
    <xf numFmtId="165" fontId="0" fillId="0" borderId="76" xfId="0" applyNumberFormat="1" applyBorder="1" applyAlignment="1">
      <alignment horizontal="left"/>
    </xf>
    <xf numFmtId="0" fontId="0" fillId="0" borderId="49" xfId="0" applyBorder="1" applyAlignment="1">
      <alignment horizontal="left"/>
    </xf>
    <xf numFmtId="165" fontId="0" fillId="0" borderId="71" xfId="0" applyNumberFormat="1" applyBorder="1" applyAlignment="1">
      <alignment horizontal="left"/>
    </xf>
    <xf numFmtId="2" fontId="5" fillId="7" borderId="51" xfId="0" applyNumberFormat="1" applyFont="1" applyFill="1" applyBorder="1" applyAlignment="1" applyProtection="1">
      <alignment horizontal="center"/>
      <protection locked="0"/>
    </xf>
    <xf numFmtId="165" fontId="5" fillId="7" borderId="51" xfId="0" applyNumberFormat="1" applyFont="1" applyFill="1" applyBorder="1" applyAlignment="1" applyProtection="1">
      <alignment horizontal="center"/>
      <protection locked="0"/>
    </xf>
    <xf numFmtId="0" fontId="0" fillId="0" borderId="103" xfId="0" applyBorder="1"/>
    <xf numFmtId="0" fontId="5" fillId="0" borderId="10" xfId="0" applyFont="1" applyBorder="1" applyAlignment="1">
      <alignment horizontal="center"/>
    </xf>
    <xf numFmtId="0" fontId="0" fillId="0" borderId="69" xfId="0" applyBorder="1" applyAlignment="1">
      <alignment horizontal="left"/>
    </xf>
    <xf numFmtId="165" fontId="0" fillId="0" borderId="93" xfId="0" applyNumberFormat="1" applyBorder="1" applyAlignment="1">
      <alignment horizontal="right"/>
    </xf>
    <xf numFmtId="165" fontId="0" fillId="0" borderId="31" xfId="0" applyNumberFormat="1" applyBorder="1" applyAlignment="1">
      <alignment horizontal="right"/>
    </xf>
    <xf numFmtId="165" fontId="0" fillId="0" borderId="102" xfId="0" applyNumberFormat="1" applyBorder="1" applyAlignment="1">
      <alignment horizontal="right"/>
    </xf>
    <xf numFmtId="1" fontId="0" fillId="0" borderId="1" xfId="0" applyNumberFormat="1" applyBorder="1" applyAlignment="1">
      <alignment horizontal="left"/>
    </xf>
    <xf numFmtId="1" fontId="5" fillId="7" borderId="51" xfId="0" applyNumberFormat="1" applyFont="1" applyFill="1" applyBorder="1" applyAlignment="1" applyProtection="1">
      <alignment horizontal="center"/>
      <protection locked="0"/>
    </xf>
    <xf numFmtId="1" fontId="0" fillId="0" borderId="72" xfId="0" applyNumberFormat="1" applyBorder="1" applyAlignment="1">
      <alignment horizontal="left"/>
    </xf>
    <xf numFmtId="1" fontId="0" fillId="0" borderId="73" xfId="0" applyNumberFormat="1" applyBorder="1" applyAlignment="1">
      <alignment horizontal="left"/>
    </xf>
    <xf numFmtId="165" fontId="5" fillId="7" borderId="64" xfId="0" applyNumberFormat="1" applyFont="1" applyFill="1" applyBorder="1" applyAlignment="1">
      <alignment horizontal="center"/>
    </xf>
    <xf numFmtId="2" fontId="5" fillId="7" borderId="83" xfId="0" applyNumberFormat="1" applyFont="1" applyFill="1" applyBorder="1" applyAlignment="1" applyProtection="1">
      <alignment horizontal="center"/>
      <protection locked="0"/>
    </xf>
    <xf numFmtId="0" fontId="1" fillId="0" borderId="51" xfId="0" applyFont="1" applyBorder="1"/>
    <xf numFmtId="1" fontId="0" fillId="0" borderId="51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65" fontId="0" fillId="9" borderId="84" xfId="0" applyNumberFormat="1" applyFill="1" applyBorder="1"/>
    <xf numFmtId="0" fontId="0" fillId="9" borderId="47" xfId="0" applyFill="1" applyBorder="1"/>
    <xf numFmtId="165" fontId="0" fillId="9" borderId="4" xfId="0" applyNumberFormat="1" applyFill="1" applyBorder="1" applyAlignment="1">
      <alignment horizontal="right"/>
    </xf>
    <xf numFmtId="165" fontId="0" fillId="9" borderId="0" xfId="0" applyNumberFormat="1" applyFill="1" applyAlignment="1">
      <alignment horizontal="right"/>
    </xf>
    <xf numFmtId="165" fontId="0" fillId="9" borderId="78" xfId="0" applyNumberFormat="1" applyFill="1" applyBorder="1"/>
    <xf numFmtId="165" fontId="0" fillId="9" borderId="92" xfId="0" applyNumberFormat="1" applyFill="1" applyBorder="1"/>
    <xf numFmtId="165" fontId="0" fillId="9" borderId="80" xfId="0" applyNumberFormat="1" applyFill="1" applyBorder="1"/>
    <xf numFmtId="0" fontId="1" fillId="9" borderId="41" xfId="0" applyFont="1" applyFill="1" applyBorder="1"/>
    <xf numFmtId="1" fontId="0" fillId="9" borderId="1" xfId="0" applyNumberFormat="1" applyFill="1" applyBorder="1" applyAlignment="1">
      <alignment horizontal="left"/>
    </xf>
    <xf numFmtId="165" fontId="0" fillId="9" borderId="102" xfId="0" applyNumberFormat="1" applyFill="1" applyBorder="1"/>
    <xf numFmtId="0" fontId="0" fillId="9" borderId="45" xfId="0" applyFill="1" applyBorder="1"/>
    <xf numFmtId="165" fontId="0" fillId="9" borderId="41" xfId="0" applyNumberFormat="1" applyFill="1" applyBorder="1" applyAlignment="1">
      <alignment horizontal="right"/>
    </xf>
    <xf numFmtId="165" fontId="0" fillId="9" borderId="1" xfId="0" applyNumberFormat="1" applyFill="1" applyBorder="1" applyAlignment="1">
      <alignment horizontal="right"/>
    </xf>
    <xf numFmtId="165" fontId="0" fillId="9" borderId="101" xfId="0" applyNumberFormat="1" applyFill="1" applyBorder="1"/>
    <xf numFmtId="165" fontId="0" fillId="9" borderId="62" xfId="0" applyNumberFormat="1" applyFill="1" applyBorder="1"/>
    <xf numFmtId="165" fontId="0" fillId="9" borderId="97" xfId="0" applyNumberFormat="1" applyFill="1" applyBorder="1"/>
    <xf numFmtId="0" fontId="1" fillId="9" borderId="4" xfId="0" applyFont="1" applyFill="1" applyBorder="1"/>
    <xf numFmtId="1" fontId="0" fillId="9" borderId="0" xfId="0" applyNumberFormat="1" applyFill="1" applyAlignment="1">
      <alignment horizontal="left"/>
    </xf>
    <xf numFmtId="165" fontId="0" fillId="9" borderId="51" xfId="0" applyNumberFormat="1" applyFill="1" applyBorder="1"/>
    <xf numFmtId="165" fontId="0" fillId="9" borderId="56" xfId="0" applyNumberFormat="1" applyFill="1" applyBorder="1"/>
    <xf numFmtId="165" fontId="0" fillId="9" borderId="54" xfId="0" applyNumberFormat="1" applyFill="1" applyBorder="1"/>
    <xf numFmtId="165" fontId="0" fillId="9" borderId="94" xfId="0" applyNumberFormat="1" applyFill="1" applyBorder="1"/>
    <xf numFmtId="165" fontId="0" fillId="0" borderId="102" xfId="0" applyNumberFormat="1" applyBorder="1"/>
    <xf numFmtId="165" fontId="0" fillId="0" borderId="101" xfId="0" applyNumberFormat="1" applyBorder="1"/>
    <xf numFmtId="165" fontId="0" fillId="0" borderId="62" xfId="0" applyNumberFormat="1" applyBorder="1"/>
    <xf numFmtId="165" fontId="0" fillId="0" borderId="97" xfId="0" applyNumberFormat="1" applyBorder="1"/>
    <xf numFmtId="165" fontId="0" fillId="0" borderId="51" xfId="0" applyNumberFormat="1" applyBorder="1"/>
    <xf numFmtId="165" fontId="0" fillId="0" borderId="56" xfId="0" applyNumberFormat="1" applyBorder="1"/>
    <xf numFmtId="165" fontId="0" fillId="0" borderId="54" xfId="0" applyNumberFormat="1" applyBorder="1"/>
    <xf numFmtId="165" fontId="0" fillId="0" borderId="94" xfId="0" applyNumberFormat="1" applyBorder="1"/>
    <xf numFmtId="165" fontId="0" fillId="0" borderId="84" xfId="0" applyNumberFormat="1" applyBorder="1"/>
    <xf numFmtId="165" fontId="0" fillId="0" borderId="78" xfId="0" applyNumberFormat="1" applyBorder="1"/>
    <xf numFmtId="165" fontId="0" fillId="0" borderId="92" xfId="0" applyNumberFormat="1" applyBorder="1"/>
    <xf numFmtId="165" fontId="0" fillId="0" borderId="80" xfId="0" applyNumberFormat="1" applyBorder="1"/>
    <xf numFmtId="0" fontId="0" fillId="9" borderId="0" xfId="0" applyFill="1"/>
    <xf numFmtId="0" fontId="8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0" fillId="0" borderId="54" xfId="0" applyBorder="1" applyAlignment="1">
      <alignment horizontal="right"/>
    </xf>
    <xf numFmtId="0" fontId="0" fillId="0" borderId="91" xfId="0" applyBorder="1"/>
    <xf numFmtId="0" fontId="1" fillId="0" borderId="91" xfId="0" applyFont="1" applyBorder="1" applyAlignment="1">
      <alignment horizontal="center"/>
    </xf>
    <xf numFmtId="1" fontId="1" fillId="0" borderId="91" xfId="0" applyNumberFormat="1" applyFont="1" applyBorder="1" applyAlignment="1">
      <alignment horizontal="left"/>
    </xf>
    <xf numFmtId="0" fontId="0" fillId="0" borderId="54" xfId="0" applyBorder="1"/>
    <xf numFmtId="0" fontId="1" fillId="0" borderId="54" xfId="0" applyFont="1" applyBorder="1" applyAlignment="1">
      <alignment horizontal="center"/>
    </xf>
    <xf numFmtId="1" fontId="1" fillId="0" borderId="54" xfId="0" applyNumberFormat="1" applyFont="1" applyBorder="1" applyAlignment="1">
      <alignment horizontal="left"/>
    </xf>
    <xf numFmtId="0" fontId="0" fillId="0" borderId="54" xfId="0" applyBorder="1" applyAlignment="1">
      <alignment horizontal="center"/>
    </xf>
    <xf numFmtId="165" fontId="0" fillId="0" borderId="53" xfId="0" applyNumberFormat="1" applyBorder="1"/>
    <xf numFmtId="0" fontId="1" fillId="0" borderId="54" xfId="0" applyFont="1" applyBorder="1"/>
    <xf numFmtId="1" fontId="0" fillId="0" borderId="54" xfId="0" applyNumberFormat="1" applyBorder="1" applyAlignment="1">
      <alignment horizontal="left"/>
    </xf>
    <xf numFmtId="165" fontId="0" fillId="0" borderId="26" xfId="0" applyNumberFormat="1" applyBorder="1"/>
    <xf numFmtId="0" fontId="0" fillId="0" borderId="92" xfId="0" applyBorder="1"/>
    <xf numFmtId="0" fontId="0" fillId="0" borderId="92" xfId="0" applyBorder="1" applyAlignment="1">
      <alignment horizontal="center"/>
    </xf>
    <xf numFmtId="0" fontId="1" fillId="0" borderId="92" xfId="0" applyFont="1" applyBorder="1"/>
    <xf numFmtId="1" fontId="1" fillId="0" borderId="92" xfId="0" applyNumberFormat="1" applyFont="1" applyBorder="1" applyAlignment="1">
      <alignment horizontal="left"/>
    </xf>
    <xf numFmtId="0" fontId="0" fillId="0" borderId="54" xfId="0" applyBorder="1" applyAlignment="1">
      <alignment horizontal="center" vertical="center"/>
    </xf>
    <xf numFmtId="0" fontId="0" fillId="0" borderId="61" xfId="0" applyBorder="1"/>
    <xf numFmtId="1" fontId="1" fillId="0" borderId="54" xfId="0" applyNumberFormat="1" applyFont="1" applyBorder="1" applyAlignment="1">
      <alignment horizontal="center" vertical="center"/>
    </xf>
    <xf numFmtId="1" fontId="1" fillId="0" borderId="61" xfId="0" applyNumberFormat="1" applyFont="1" applyBorder="1" applyAlignment="1">
      <alignment horizontal="left"/>
    </xf>
    <xf numFmtId="0" fontId="0" fillId="0" borderId="63" xfId="0" applyBorder="1"/>
    <xf numFmtId="0" fontId="0" fillId="0" borderId="92" xfId="0" applyBorder="1" applyAlignment="1">
      <alignment horizontal="center" vertical="center"/>
    </xf>
    <xf numFmtId="0" fontId="1" fillId="9" borderId="62" xfId="0" applyFont="1" applyFill="1" applyBorder="1"/>
    <xf numFmtId="1" fontId="0" fillId="9" borderId="62" xfId="0" applyNumberFormat="1" applyFill="1" applyBorder="1" applyAlignment="1">
      <alignment horizontal="left"/>
    </xf>
    <xf numFmtId="0" fontId="0" fillId="9" borderId="62" xfId="0" applyFill="1" applyBorder="1"/>
    <xf numFmtId="0" fontId="1" fillId="0" borderId="62" xfId="0" applyFont="1" applyBorder="1"/>
    <xf numFmtId="0" fontId="1" fillId="9" borderId="54" xfId="0" applyFont="1" applyFill="1" applyBorder="1"/>
    <xf numFmtId="1" fontId="0" fillId="9" borderId="54" xfId="0" applyNumberFormat="1" applyFill="1" applyBorder="1" applyAlignment="1">
      <alignment horizontal="left"/>
    </xf>
    <xf numFmtId="0" fontId="0" fillId="9" borderId="54" xfId="0" applyFill="1" applyBorder="1"/>
    <xf numFmtId="0" fontId="0" fillId="0" borderId="62" xfId="0" applyBorder="1"/>
    <xf numFmtId="1" fontId="1" fillId="0" borderId="62" xfId="0" applyNumberFormat="1" applyFont="1" applyBorder="1" applyAlignment="1">
      <alignment horizontal="left"/>
    </xf>
    <xf numFmtId="0" fontId="0" fillId="0" borderId="62" xfId="0" applyBorder="1" applyAlignment="1">
      <alignment horizontal="center" vertical="center"/>
    </xf>
    <xf numFmtId="1" fontId="1" fillId="0" borderId="54" xfId="0" applyNumberFormat="1" applyFont="1" applyBorder="1" applyAlignment="1">
      <alignment horizontal="center"/>
    </xf>
    <xf numFmtId="0" fontId="1" fillId="0" borderId="54" xfId="0" applyFont="1" applyBorder="1" applyAlignment="1">
      <alignment horizontal="center" vertical="center"/>
    </xf>
    <xf numFmtId="1" fontId="0" fillId="0" borderId="54" xfId="0" applyNumberFormat="1" applyBorder="1"/>
    <xf numFmtId="0" fontId="0" fillId="0" borderId="55" xfId="0" applyBorder="1"/>
    <xf numFmtId="1" fontId="0" fillId="0" borderId="55" xfId="0" applyNumberFormat="1" applyBorder="1"/>
    <xf numFmtId="1" fontId="0" fillId="0" borderId="55" xfId="0" applyNumberFormat="1" applyBorder="1" applyAlignment="1">
      <alignment horizontal="center" vertical="center"/>
    </xf>
    <xf numFmtId="1" fontId="1" fillId="0" borderId="55" xfId="0" applyNumberFormat="1" applyFont="1" applyBorder="1" applyAlignment="1">
      <alignment horizontal="left"/>
    </xf>
    <xf numFmtId="165" fontId="0" fillId="0" borderId="44" xfId="0" applyNumberFormat="1" applyBorder="1"/>
    <xf numFmtId="1" fontId="7" fillId="0" borderId="112" xfId="0" applyNumberFormat="1" applyFont="1" applyBorder="1" applyAlignment="1">
      <alignment horizontal="left"/>
    </xf>
    <xf numFmtId="0" fontId="8" fillId="0" borderId="65" xfId="0" applyFont="1" applyBorder="1" applyAlignment="1">
      <alignment horizontal="right"/>
    </xf>
    <xf numFmtId="0" fontId="8" fillId="0" borderId="113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8" fillId="0" borderId="53" xfId="0" applyFont="1" applyBorder="1" applyAlignment="1" applyProtection="1">
      <alignment horizontal="right"/>
      <protection locked="0"/>
    </xf>
    <xf numFmtId="0" fontId="0" fillId="0" borderId="26" xfId="0" applyBorder="1" applyAlignment="1">
      <alignment horizontal="right"/>
    </xf>
    <xf numFmtId="0" fontId="8" fillId="0" borderId="44" xfId="0" applyFont="1" applyBorder="1" applyAlignment="1" applyProtection="1">
      <alignment horizontal="right"/>
      <protection locked="0"/>
    </xf>
    <xf numFmtId="0" fontId="0" fillId="0" borderId="21" xfId="0" applyBorder="1" applyAlignment="1">
      <alignment horizontal="right"/>
    </xf>
    <xf numFmtId="0" fontId="0" fillId="0" borderId="52" xfId="0" applyBorder="1" applyAlignment="1">
      <alignment horizontal="right"/>
    </xf>
    <xf numFmtId="0" fontId="0" fillId="0" borderId="55" xfId="0" applyBorder="1" applyAlignment="1">
      <alignment horizontal="right"/>
    </xf>
    <xf numFmtId="0" fontId="0" fillId="0" borderId="27" xfId="0" applyBorder="1" applyAlignment="1">
      <alignment horizontal="right"/>
    </xf>
    <xf numFmtId="0" fontId="0" fillId="0" borderId="114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9" xfId="0" applyBorder="1" applyAlignment="1">
      <alignment horizontal="right"/>
    </xf>
    <xf numFmtId="0" fontId="0" fillId="0" borderId="50" xfId="0" applyBorder="1" applyAlignment="1">
      <alignment horizontal="right"/>
    </xf>
    <xf numFmtId="0" fontId="0" fillId="0" borderId="4" xfId="0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" fontId="0" fillId="0" borderId="4" xfId="0" applyNumberFormat="1" applyBorder="1" applyAlignment="1">
      <alignment horizontal="left"/>
    </xf>
    <xf numFmtId="0" fontId="7" fillId="0" borderId="60" xfId="0" applyFont="1" applyBorder="1" applyAlignment="1" applyProtection="1">
      <alignment horizontal="right"/>
      <protection locked="0"/>
    </xf>
    <xf numFmtId="0" fontId="1" fillId="0" borderId="91" xfId="0" applyFont="1" applyBorder="1" applyAlignment="1">
      <alignment horizontal="right"/>
    </xf>
    <xf numFmtId="0" fontId="1" fillId="0" borderId="43" xfId="0" applyFont="1" applyBorder="1" applyAlignment="1">
      <alignment horizontal="right"/>
    </xf>
    <xf numFmtId="0" fontId="7" fillId="0" borderId="107" xfId="0" applyFont="1" applyBorder="1" applyAlignment="1" applyProtection="1">
      <alignment horizontal="right"/>
      <protection locked="0"/>
    </xf>
    <xf numFmtId="0" fontId="1" fillId="0" borderId="108" xfId="0" applyFont="1" applyBorder="1" applyAlignment="1">
      <alignment horizontal="right"/>
    </xf>
    <xf numFmtId="0" fontId="8" fillId="0" borderId="2" xfId="0" applyFont="1" applyBorder="1" applyAlignment="1" applyProtection="1">
      <alignment horizontal="right"/>
      <protection locked="0"/>
    </xf>
    <xf numFmtId="0" fontId="9" fillId="0" borderId="3" xfId="0" applyFont="1" applyBorder="1" applyAlignment="1">
      <alignment horizontal="right"/>
    </xf>
    <xf numFmtId="1" fontId="0" fillId="0" borderId="3" xfId="0" applyNumberFormat="1" applyBorder="1" applyAlignment="1">
      <alignment horizontal="right"/>
    </xf>
    <xf numFmtId="0" fontId="8" fillId="0" borderId="3" xfId="0" applyFont="1" applyBorder="1" applyAlignment="1" applyProtection="1">
      <alignment horizontal="right"/>
      <protection locked="0"/>
    </xf>
    <xf numFmtId="0" fontId="8" fillId="0" borderId="5" xfId="0" applyFont="1" applyBorder="1" applyAlignment="1" applyProtection="1">
      <alignment horizontal="right"/>
      <protection locked="0"/>
    </xf>
    <xf numFmtId="0" fontId="9" fillId="0" borderId="6" xfId="0" applyFont="1" applyBorder="1" applyAlignment="1">
      <alignment horizontal="right"/>
    </xf>
    <xf numFmtId="1" fontId="0" fillId="0" borderId="6" xfId="0" applyNumberFormat="1" applyBorder="1" applyAlignment="1">
      <alignment horizontal="right"/>
    </xf>
    <xf numFmtId="0" fontId="8" fillId="0" borderId="6" xfId="0" applyFont="1" applyBorder="1" applyAlignment="1" applyProtection="1">
      <alignment horizontal="right"/>
      <protection locked="0"/>
    </xf>
    <xf numFmtId="1" fontId="1" fillId="0" borderId="64" xfId="0" applyNumberFormat="1" applyFont="1" applyBorder="1" applyAlignment="1">
      <alignment horizontal="left"/>
    </xf>
    <xf numFmtId="1" fontId="2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66" xfId="0" applyBorder="1" applyAlignment="1">
      <alignment horizontal="center"/>
    </xf>
    <xf numFmtId="165" fontId="7" fillId="0" borderId="112" xfId="0" applyNumberFormat="1" applyFont="1" applyBorder="1" applyAlignment="1">
      <alignment horizontal="right"/>
    </xf>
    <xf numFmtId="0" fontId="7" fillId="0" borderId="65" xfId="0" applyFont="1" applyBorder="1" applyAlignment="1">
      <alignment horizontal="right"/>
    </xf>
    <xf numFmtId="1" fontId="7" fillId="0" borderId="65" xfId="0" applyNumberFormat="1" applyFont="1" applyBorder="1" applyAlignment="1">
      <alignment horizontal="right"/>
    </xf>
    <xf numFmtId="165" fontId="7" fillId="0" borderId="65" xfId="0" applyNumberFormat="1" applyFont="1" applyBorder="1" applyAlignment="1">
      <alignment horizontal="right"/>
    </xf>
    <xf numFmtId="0" fontId="0" fillId="10" borderId="0" xfId="0" applyFill="1"/>
    <xf numFmtId="0" fontId="0" fillId="10" borderId="117" xfId="0" applyFill="1" applyBorder="1"/>
    <xf numFmtId="0" fontId="13" fillId="10" borderId="0" xfId="0" applyFont="1" applyFill="1"/>
    <xf numFmtId="0" fontId="15" fillId="10" borderId="0" xfId="0" applyFont="1" applyFill="1" applyAlignment="1">
      <alignment vertical="center"/>
    </xf>
    <xf numFmtId="0" fontId="16" fillId="10" borderId="0" xfId="1" applyFont="1" applyFill="1" applyBorder="1"/>
    <xf numFmtId="0" fontId="10" fillId="10" borderId="0" xfId="1" applyFill="1" applyBorder="1"/>
    <xf numFmtId="0" fontId="0" fillId="11" borderId="118" xfId="0" applyFill="1" applyBorder="1"/>
    <xf numFmtId="0" fontId="7" fillId="9" borderId="119" xfId="3" applyFont="1" applyFill="1" applyBorder="1" applyAlignment="1" applyProtection="1">
      <alignment horizontal="center" vertical="center"/>
      <protection locked="0"/>
    </xf>
    <xf numFmtId="9" fontId="0" fillId="0" borderId="0" xfId="0" applyNumberFormat="1"/>
    <xf numFmtId="0" fontId="18" fillId="11" borderId="0" xfId="0" applyFont="1" applyFill="1" applyAlignment="1">
      <alignment horizontal="right"/>
    </xf>
    <xf numFmtId="0" fontId="18" fillId="11" borderId="0" xfId="0" applyFont="1" applyFill="1"/>
    <xf numFmtId="0" fontId="23" fillId="11" borderId="0" xfId="0" applyFont="1" applyFill="1" applyAlignment="1">
      <alignment horizontal="right" vertical="center"/>
    </xf>
    <xf numFmtId="0" fontId="23" fillId="11" borderId="0" xfId="0" applyFont="1" applyFill="1" applyAlignment="1">
      <alignment vertical="center"/>
    </xf>
    <xf numFmtId="0" fontId="0" fillId="11" borderId="0" xfId="0" applyFill="1"/>
    <xf numFmtId="165" fontId="8" fillId="6" borderId="62" xfId="0" applyNumberFormat="1" applyFont="1" applyFill="1" applyBorder="1"/>
    <xf numFmtId="0" fontId="26" fillId="11" borderId="29" xfId="0" applyFont="1" applyFill="1" applyBorder="1"/>
    <xf numFmtId="0" fontId="27" fillId="11" borderId="33" xfId="0" applyFont="1" applyFill="1" applyBorder="1"/>
    <xf numFmtId="0" fontId="27" fillId="11" borderId="0" xfId="0" applyFont="1" applyFill="1"/>
    <xf numFmtId="0" fontId="27" fillId="11" borderId="21" xfId="0" applyFont="1" applyFill="1" applyBorder="1"/>
    <xf numFmtId="165" fontId="26" fillId="11" borderId="0" xfId="0" applyNumberFormat="1" applyFont="1" applyFill="1" applyAlignment="1">
      <alignment horizontal="center"/>
    </xf>
    <xf numFmtId="0" fontId="27" fillId="11" borderId="11" xfId="0" applyFont="1" applyFill="1" applyBorder="1"/>
    <xf numFmtId="0" fontId="27" fillId="11" borderId="124" xfId="0" applyFont="1" applyFill="1" applyBorder="1"/>
    <xf numFmtId="165" fontId="7" fillId="9" borderId="119" xfId="3" applyNumberFormat="1" applyFont="1" applyFill="1" applyBorder="1" applyAlignment="1" applyProtection="1">
      <alignment horizontal="center" vertical="center"/>
      <protection locked="0"/>
    </xf>
    <xf numFmtId="0" fontId="26" fillId="11" borderId="0" xfId="0" applyFont="1" applyFill="1"/>
    <xf numFmtId="0" fontId="24" fillId="11" borderId="0" xfId="0" applyFont="1" applyFill="1"/>
    <xf numFmtId="0" fontId="25" fillId="11" borderId="0" xfId="0" applyFont="1" applyFill="1"/>
    <xf numFmtId="0" fontId="27" fillId="11" borderId="28" xfId="0" applyFont="1" applyFill="1" applyBorder="1"/>
    <xf numFmtId="0" fontId="26" fillId="11" borderId="120" xfId="0" applyFont="1" applyFill="1" applyBorder="1"/>
    <xf numFmtId="0" fontId="26" fillId="11" borderId="122" xfId="0" applyFont="1" applyFill="1" applyBorder="1"/>
    <xf numFmtId="0" fontId="27" fillId="11" borderId="129" xfId="0" applyFont="1" applyFill="1" applyBorder="1"/>
    <xf numFmtId="165" fontId="4" fillId="11" borderId="0" xfId="0" applyNumberFormat="1" applyFont="1" applyFill="1" applyAlignment="1">
      <alignment horizontal="left"/>
    </xf>
    <xf numFmtId="0" fontId="27" fillId="11" borderId="136" xfId="0" applyFont="1" applyFill="1" applyBorder="1"/>
    <xf numFmtId="0" fontId="28" fillId="11" borderId="33" xfId="0" applyFont="1" applyFill="1" applyBorder="1" applyAlignment="1">
      <alignment horizontal="right"/>
    </xf>
    <xf numFmtId="0" fontId="28" fillId="11" borderId="44" xfId="0" applyFont="1" applyFill="1" applyBorder="1" applyAlignment="1">
      <alignment horizontal="right"/>
    </xf>
    <xf numFmtId="0" fontId="28" fillId="11" borderId="0" xfId="0" applyFont="1" applyFill="1" applyAlignment="1">
      <alignment horizontal="right"/>
    </xf>
    <xf numFmtId="0" fontId="28" fillId="11" borderId="29" xfId="0" applyFont="1" applyFill="1" applyBorder="1" applyAlignment="1">
      <alignment horizontal="right"/>
    </xf>
    <xf numFmtId="0" fontId="28" fillId="11" borderId="133" xfId="0" applyFont="1" applyFill="1" applyBorder="1" applyAlignment="1">
      <alignment horizontal="right"/>
    </xf>
    <xf numFmtId="0" fontId="28" fillId="11" borderId="127" xfId="0" applyFont="1" applyFill="1" applyBorder="1" applyAlignment="1">
      <alignment horizontal="right"/>
    </xf>
    <xf numFmtId="0" fontId="28" fillId="11" borderId="126" xfId="0" applyFont="1" applyFill="1" applyBorder="1" applyAlignment="1">
      <alignment horizontal="right"/>
    </xf>
    <xf numFmtId="0" fontId="28" fillId="11" borderId="125" xfId="0" applyFont="1" applyFill="1" applyBorder="1" applyAlignment="1">
      <alignment horizontal="right"/>
    </xf>
    <xf numFmtId="0" fontId="17" fillId="11" borderId="0" xfId="0" applyFont="1" applyFill="1"/>
    <xf numFmtId="0" fontId="25" fillId="9" borderId="124" xfId="0" applyFont="1" applyFill="1" applyBorder="1" applyAlignment="1">
      <alignment horizontal="center"/>
    </xf>
    <xf numFmtId="0" fontId="25" fillId="9" borderId="125" xfId="0" applyFont="1" applyFill="1" applyBorder="1" applyAlignment="1">
      <alignment horizontal="center"/>
    </xf>
    <xf numFmtId="0" fontId="25" fillId="9" borderId="126" xfId="0" applyFont="1" applyFill="1" applyBorder="1" applyAlignment="1">
      <alignment horizontal="center"/>
    </xf>
    <xf numFmtId="0" fontId="26" fillId="9" borderId="132" xfId="0" applyFont="1" applyFill="1" applyBorder="1" applyAlignment="1">
      <alignment horizontal="center"/>
    </xf>
    <xf numFmtId="0" fontId="26" fillId="9" borderId="29" xfId="0" applyFont="1" applyFill="1" applyBorder="1" applyAlignment="1">
      <alignment horizontal="center"/>
    </xf>
    <xf numFmtId="0" fontId="26" fillId="9" borderId="28" xfId="0" applyFont="1" applyFill="1" applyBorder="1" applyAlignment="1">
      <alignment horizontal="center"/>
    </xf>
    <xf numFmtId="165" fontId="26" fillId="9" borderId="0" xfId="0" applyNumberFormat="1" applyFont="1" applyFill="1" applyAlignment="1">
      <alignment horizontal="center"/>
    </xf>
    <xf numFmtId="165" fontId="26" fillId="9" borderId="125" xfId="0" applyNumberFormat="1" applyFont="1" applyFill="1" applyBorder="1" applyAlignment="1">
      <alignment horizontal="center"/>
    </xf>
    <xf numFmtId="165" fontId="26" fillId="9" borderId="126" xfId="0" applyNumberFormat="1" applyFont="1" applyFill="1" applyBorder="1" applyAlignment="1">
      <alignment horizontal="center"/>
    </xf>
    <xf numFmtId="165" fontId="26" fillId="9" borderId="28" xfId="0" applyNumberFormat="1" applyFont="1" applyFill="1" applyBorder="1" applyAlignment="1">
      <alignment horizontal="center"/>
    </xf>
    <xf numFmtId="165" fontId="26" fillId="9" borderId="29" xfId="0" applyNumberFormat="1" applyFont="1" applyFill="1" applyBorder="1" applyAlignment="1">
      <alignment horizontal="center"/>
    </xf>
    <xf numFmtId="165" fontId="26" fillId="9" borderId="11" xfId="0" applyNumberFormat="1" applyFont="1" applyFill="1" applyBorder="1" applyAlignment="1">
      <alignment horizontal="center"/>
    </xf>
    <xf numFmtId="165" fontId="26" fillId="9" borderId="33" xfId="0" applyNumberFormat="1" applyFont="1" applyFill="1" applyBorder="1" applyAlignment="1">
      <alignment horizontal="center"/>
    </xf>
    <xf numFmtId="165" fontId="26" fillId="9" borderId="123" xfId="0" applyNumberFormat="1" applyFont="1" applyFill="1" applyBorder="1" applyAlignment="1">
      <alignment horizontal="center"/>
    </xf>
    <xf numFmtId="0" fontId="25" fillId="9" borderId="137" xfId="0" applyFont="1" applyFill="1" applyBorder="1" applyAlignment="1">
      <alignment horizontal="center"/>
    </xf>
    <xf numFmtId="0" fontId="26" fillId="9" borderId="139" xfId="0" applyFont="1" applyFill="1" applyBorder="1" applyAlignment="1">
      <alignment horizontal="center"/>
    </xf>
    <xf numFmtId="165" fontId="26" fillId="9" borderId="138" xfId="0" applyNumberFormat="1" applyFont="1" applyFill="1" applyBorder="1" applyAlignment="1">
      <alignment horizontal="center"/>
    </xf>
    <xf numFmtId="165" fontId="26" fillId="9" borderId="140" xfId="0" applyNumberFormat="1" applyFont="1" applyFill="1" applyBorder="1" applyAlignment="1">
      <alignment horizontal="center"/>
    </xf>
    <xf numFmtId="165" fontId="26" fillId="9" borderId="139" xfId="0" applyNumberFormat="1" applyFont="1" applyFill="1" applyBorder="1" applyAlignment="1">
      <alignment horizontal="center"/>
    </xf>
    <xf numFmtId="165" fontId="26" fillId="9" borderId="141" xfId="0" applyNumberFormat="1" applyFont="1" applyFill="1" applyBorder="1" applyAlignment="1">
      <alignment horizontal="center"/>
    </xf>
    <xf numFmtId="0" fontId="25" fillId="9" borderId="142" xfId="0" applyFont="1" applyFill="1" applyBorder="1" applyAlignment="1">
      <alignment horizontal="center"/>
    </xf>
    <xf numFmtId="0" fontId="26" fillId="9" borderId="144" xfId="0" applyFont="1" applyFill="1" applyBorder="1" applyAlignment="1">
      <alignment horizontal="center"/>
    </xf>
    <xf numFmtId="165" fontId="26" fillId="9" borderId="143" xfId="0" applyNumberFormat="1" applyFont="1" applyFill="1" applyBorder="1" applyAlignment="1">
      <alignment horizontal="center"/>
    </xf>
    <xf numFmtId="165" fontId="26" fillId="9" borderId="145" xfId="0" applyNumberFormat="1" applyFont="1" applyFill="1" applyBorder="1" applyAlignment="1">
      <alignment horizontal="center"/>
    </xf>
    <xf numFmtId="165" fontId="26" fillId="9" borderId="144" xfId="0" applyNumberFormat="1" applyFont="1" applyFill="1" applyBorder="1" applyAlignment="1">
      <alignment horizontal="center"/>
    </xf>
    <xf numFmtId="165" fontId="26" fillId="9" borderId="146" xfId="0" applyNumberFormat="1" applyFont="1" applyFill="1" applyBorder="1" applyAlignment="1">
      <alignment horizontal="center"/>
    </xf>
    <xf numFmtId="0" fontId="17" fillId="11" borderId="118" xfId="2" applyFont="1" applyFill="1" applyBorder="1" applyAlignment="1">
      <alignment horizontal="left"/>
    </xf>
    <xf numFmtId="165" fontId="26" fillId="9" borderId="124" xfId="0" applyNumberFormat="1" applyFont="1" applyFill="1" applyBorder="1" applyAlignment="1">
      <alignment horizontal="center"/>
    </xf>
    <xf numFmtId="165" fontId="26" fillId="9" borderId="21" xfId="0" applyNumberFormat="1" applyFont="1" applyFill="1" applyBorder="1" applyAlignment="1">
      <alignment horizontal="center"/>
    </xf>
    <xf numFmtId="0" fontId="32" fillId="11" borderId="0" xfId="0" applyFont="1" applyFill="1" applyAlignment="1">
      <alignment horizontal="right" vertical="center"/>
    </xf>
    <xf numFmtId="0" fontId="32" fillId="9" borderId="148" xfId="0" applyFont="1" applyFill="1" applyBorder="1" applyAlignment="1">
      <alignment horizontal="center" vertical="center"/>
    </xf>
    <xf numFmtId="0" fontId="32" fillId="6" borderId="148" xfId="0" applyFont="1" applyFill="1" applyBorder="1" applyAlignment="1">
      <alignment horizontal="center" vertical="center"/>
    </xf>
    <xf numFmtId="0" fontId="34" fillId="11" borderId="0" xfId="0" applyFont="1" applyFill="1" applyAlignment="1">
      <alignment vertical="center"/>
    </xf>
    <xf numFmtId="0" fontId="34" fillId="11" borderId="0" xfId="0" applyFont="1" applyFill="1" applyAlignment="1">
      <alignment horizontal="center" vertical="center"/>
    </xf>
    <xf numFmtId="0" fontId="34" fillId="11" borderId="149" xfId="0" applyFont="1" applyFill="1" applyBorder="1"/>
    <xf numFmtId="0" fontId="34" fillId="11" borderId="149" xfId="0" applyFont="1" applyFill="1" applyBorder="1" applyAlignment="1">
      <alignment horizontal="center" vertical="center"/>
    </xf>
    <xf numFmtId="0" fontId="34" fillId="11" borderId="125" xfId="0" applyFont="1" applyFill="1" applyBorder="1" applyAlignment="1">
      <alignment horizontal="center"/>
    </xf>
    <xf numFmtId="0" fontId="34" fillId="11" borderId="0" xfId="0" applyFont="1" applyFill="1"/>
    <xf numFmtId="0" fontId="0" fillId="10" borderId="152" xfId="0" applyFill="1" applyBorder="1"/>
    <xf numFmtId="0" fontId="0" fillId="10" borderId="153" xfId="0" applyFill="1" applyBorder="1"/>
    <xf numFmtId="0" fontId="0" fillId="10" borderId="154" xfId="0" applyFill="1" applyBorder="1"/>
    <xf numFmtId="0" fontId="0" fillId="10" borderId="155" xfId="0" applyFill="1" applyBorder="1"/>
    <xf numFmtId="0" fontId="0" fillId="10" borderId="138" xfId="0" applyFill="1" applyBorder="1"/>
    <xf numFmtId="0" fontId="15" fillId="10" borderId="149" xfId="0" applyFont="1" applyFill="1" applyBorder="1" applyAlignment="1">
      <alignment vertical="center"/>
    </xf>
    <xf numFmtId="0" fontId="0" fillId="10" borderId="149" xfId="0" applyFill="1" applyBorder="1"/>
    <xf numFmtId="0" fontId="0" fillId="11" borderId="138" xfId="0" applyFill="1" applyBorder="1"/>
    <xf numFmtId="0" fontId="0" fillId="11" borderId="149" xfId="0" applyFill="1" applyBorder="1"/>
    <xf numFmtId="0" fontId="0" fillId="11" borderId="0" xfId="0" applyFill="1" applyAlignment="1">
      <alignment horizontal="right"/>
    </xf>
    <xf numFmtId="0" fontId="19" fillId="11" borderId="0" xfId="0" applyFont="1" applyFill="1"/>
    <xf numFmtId="0" fontId="20" fillId="11" borderId="0" xfId="0" applyFont="1" applyFill="1"/>
    <xf numFmtId="0" fontId="0" fillId="11" borderId="0" xfId="0" applyFill="1" applyAlignment="1">
      <alignment horizontal="center"/>
    </xf>
    <xf numFmtId="0" fontId="20" fillId="11" borderId="0" xfId="0" applyFont="1" applyFill="1" applyAlignment="1">
      <alignment horizontal="left"/>
    </xf>
    <xf numFmtId="0" fontId="21" fillId="11" borderId="0" xfId="0" applyFont="1" applyFill="1" applyAlignment="1">
      <alignment horizontal="right"/>
    </xf>
    <xf numFmtId="0" fontId="30" fillId="10" borderId="156" xfId="4" applyFont="1" applyFill="1" applyBorder="1" applyAlignment="1">
      <alignment vertical="center"/>
    </xf>
    <xf numFmtId="0" fontId="30" fillId="10" borderId="157" xfId="4" applyFont="1" applyFill="1" applyBorder="1" applyAlignment="1">
      <alignment vertical="center"/>
    </xf>
    <xf numFmtId="0" fontId="15" fillId="10" borderId="157" xfId="0" applyFont="1" applyFill="1" applyBorder="1" applyAlignment="1">
      <alignment vertical="center"/>
    </xf>
    <xf numFmtId="0" fontId="18" fillId="11" borderId="0" xfId="0" applyFont="1" applyFill="1" applyAlignment="1">
      <alignment horizontal="left" indent="2"/>
    </xf>
    <xf numFmtId="165" fontId="24" fillId="11" borderId="0" xfId="0" applyNumberFormat="1" applyFont="1" applyFill="1" applyAlignment="1">
      <alignment horizontal="right" vertical="center"/>
    </xf>
    <xf numFmtId="165" fontId="24" fillId="11" borderId="0" xfId="0" applyNumberFormat="1" applyFont="1" applyFill="1" applyAlignment="1">
      <alignment horizontal="left" vertical="center"/>
    </xf>
    <xf numFmtId="0" fontId="25" fillId="11" borderId="0" xfId="0" applyFont="1" applyFill="1" applyAlignment="1">
      <alignment horizontal="center" vertical="center" textRotation="90"/>
    </xf>
    <xf numFmtId="0" fontId="19" fillId="11" borderId="161" xfId="0" applyFont="1" applyFill="1" applyBorder="1"/>
    <xf numFmtId="0" fontId="7" fillId="9" borderId="151" xfId="3" applyFont="1" applyFill="1" applyBorder="1" applyAlignment="1" applyProtection="1">
      <alignment horizontal="center" vertical="center"/>
      <protection locked="0"/>
    </xf>
    <xf numFmtId="0" fontId="20" fillId="11" borderId="0" xfId="0" applyFont="1" applyFill="1" applyAlignment="1">
      <alignment horizontal="right"/>
    </xf>
    <xf numFmtId="0" fontId="15" fillId="10" borderId="166" xfId="0" applyFont="1" applyFill="1" applyBorder="1" applyAlignment="1">
      <alignment vertical="center"/>
    </xf>
    <xf numFmtId="0" fontId="30" fillId="10" borderId="165" xfId="4" applyFont="1" applyFill="1" applyBorder="1" applyAlignment="1">
      <alignment vertical="center"/>
    </xf>
    <xf numFmtId="0" fontId="30" fillId="10" borderId="166" xfId="4" applyFont="1" applyFill="1" applyBorder="1" applyAlignment="1">
      <alignment vertical="center"/>
    </xf>
    <xf numFmtId="0" fontId="0" fillId="11" borderId="21" xfId="0" applyFill="1" applyBorder="1"/>
    <xf numFmtId="0" fontId="15" fillId="10" borderId="164" xfId="0" applyFont="1" applyFill="1" applyBorder="1" applyAlignment="1">
      <alignment horizontal="center" vertical="center"/>
    </xf>
    <xf numFmtId="0" fontId="15" fillId="10" borderId="165" xfId="0" applyFont="1" applyFill="1" applyBorder="1" applyAlignment="1">
      <alignment horizontal="center" vertical="center"/>
    </xf>
    <xf numFmtId="0" fontId="31" fillId="10" borderId="164" xfId="4" applyFont="1" applyFill="1" applyBorder="1" applyAlignment="1">
      <alignment vertical="center"/>
    </xf>
    <xf numFmtId="0" fontId="31" fillId="10" borderId="165" xfId="4" applyFont="1" applyFill="1" applyBorder="1" applyAlignment="1">
      <alignment vertical="center"/>
    </xf>
    <xf numFmtId="0" fontId="31" fillId="10" borderId="166" xfId="4" applyFont="1" applyFill="1" applyBorder="1" applyAlignment="1">
      <alignment vertical="center"/>
    </xf>
    <xf numFmtId="0" fontId="25" fillId="11" borderId="0" xfId="0" applyFont="1" applyFill="1" applyAlignment="1">
      <alignment horizontal="center" vertical="center"/>
    </xf>
    <xf numFmtId="0" fontId="0" fillId="11" borderId="0" xfId="0" applyFill="1" applyAlignment="1">
      <alignment horizontal="right" vertical="center"/>
    </xf>
    <xf numFmtId="0" fontId="0" fillId="11" borderId="21" xfId="0" applyFill="1" applyBorder="1" applyAlignment="1">
      <alignment horizontal="right" vertical="center"/>
    </xf>
    <xf numFmtId="165" fontId="0" fillId="11" borderId="0" xfId="0" applyNumberFormat="1" applyFill="1" applyAlignment="1">
      <alignment horizontal="left" vertical="center"/>
    </xf>
    <xf numFmtId="0" fontId="32" fillId="11" borderId="0" xfId="0" applyFont="1" applyFill="1" applyAlignment="1">
      <alignment horizontal="center" vertical="center"/>
    </xf>
    <xf numFmtId="0" fontId="33" fillId="11" borderId="0" xfId="0" applyFont="1" applyFill="1" applyAlignment="1">
      <alignment horizontal="center" vertical="center"/>
    </xf>
    <xf numFmtId="166" fontId="26" fillId="11" borderId="0" xfId="0" applyNumberFormat="1" applyFont="1" applyFill="1" applyAlignment="1">
      <alignment horizontal="center"/>
    </xf>
    <xf numFmtId="0" fontId="0" fillId="6" borderId="0" xfId="0" applyFill="1"/>
    <xf numFmtId="0" fontId="17" fillId="6" borderId="0" xfId="0" applyFont="1" applyFill="1"/>
    <xf numFmtId="0" fontId="24" fillId="6" borderId="0" xfId="0" applyFont="1" applyFill="1"/>
    <xf numFmtId="0" fontId="0" fillId="6" borderId="0" xfId="0" applyFill="1" applyAlignment="1">
      <alignment vertical="center"/>
    </xf>
    <xf numFmtId="0" fontId="25" fillId="6" borderId="0" xfId="0" applyFont="1" applyFill="1" applyAlignment="1">
      <alignment vertical="center"/>
    </xf>
    <xf numFmtId="0" fontId="0" fillId="6" borderId="138" xfId="0" applyFill="1" applyBorder="1"/>
    <xf numFmtId="0" fontId="0" fillId="6" borderId="149" xfId="0" applyFill="1" applyBorder="1"/>
    <xf numFmtId="0" fontId="25" fillId="11" borderId="138" xfId="0" applyFont="1" applyFill="1" applyBorder="1" applyAlignment="1">
      <alignment horizontal="center" vertical="center" textRotation="90"/>
    </xf>
    <xf numFmtId="0" fontId="17" fillId="6" borderId="118" xfId="2" applyFont="1" applyFill="1" applyBorder="1" applyAlignment="1"/>
    <xf numFmtId="0" fontId="0" fillId="6" borderId="118" xfId="0" applyFill="1" applyBorder="1"/>
    <xf numFmtId="0" fontId="18" fillId="6" borderId="0" xfId="0" applyFont="1" applyFill="1" applyAlignment="1">
      <alignment horizontal="right"/>
    </xf>
    <xf numFmtId="0" fontId="0" fillId="6" borderId="147" xfId="0" applyFill="1" applyBorder="1"/>
    <xf numFmtId="0" fontId="20" fillId="6" borderId="0" xfId="0" applyFont="1" applyFill="1"/>
    <xf numFmtId="0" fontId="36" fillId="6" borderId="0" xfId="0" applyFont="1" applyFill="1"/>
    <xf numFmtId="0" fontId="18" fillId="6" borderId="0" xfId="0" applyFont="1" applyFill="1"/>
    <xf numFmtId="0" fontId="23" fillId="6" borderId="0" xfId="0" applyFont="1" applyFill="1" applyAlignment="1">
      <alignment horizontal="right" vertical="center"/>
    </xf>
    <xf numFmtId="0" fontId="23" fillId="6" borderId="0" xfId="0" applyFont="1" applyFill="1" applyAlignment="1">
      <alignment vertical="center"/>
    </xf>
    <xf numFmtId="9" fontId="7" fillId="11" borderId="119" xfId="3" applyNumberFormat="1" applyFont="1" applyFill="1" applyBorder="1" applyAlignment="1" applyProtection="1">
      <alignment horizontal="center" vertical="center"/>
      <protection locked="0"/>
    </xf>
    <xf numFmtId="0" fontId="7" fillId="11" borderId="119" xfId="3" applyFont="1" applyFill="1" applyBorder="1" applyAlignment="1" applyProtection="1">
      <alignment horizontal="center" vertical="center"/>
      <protection locked="0"/>
    </xf>
    <xf numFmtId="0" fontId="19" fillId="6" borderId="0" xfId="0" applyFont="1" applyFill="1"/>
    <xf numFmtId="166" fontId="26" fillId="9" borderId="21" xfId="0" applyNumberFormat="1" applyFont="1" applyFill="1" applyBorder="1" applyAlignment="1">
      <alignment horizontal="center"/>
    </xf>
    <xf numFmtId="166" fontId="26" fillId="9" borderId="138" xfId="5" applyNumberFormat="1" applyFont="1" applyFill="1" applyBorder="1" applyAlignment="1">
      <alignment horizontal="center"/>
    </xf>
    <xf numFmtId="166" fontId="26" fillId="9" borderId="143" xfId="5" applyNumberFormat="1" applyFont="1" applyFill="1" applyBorder="1" applyAlignment="1">
      <alignment horizontal="center"/>
    </xf>
    <xf numFmtId="166" fontId="26" fillId="9" borderId="0" xfId="5" applyNumberFormat="1" applyFont="1" applyFill="1" applyBorder="1" applyAlignment="1">
      <alignment horizontal="center"/>
    </xf>
    <xf numFmtId="166" fontId="26" fillId="9" borderId="21" xfId="5" applyNumberFormat="1" applyFont="1" applyFill="1" applyBorder="1" applyAlignment="1">
      <alignment horizontal="center"/>
    </xf>
    <xf numFmtId="0" fontId="0" fillId="6" borderId="0" xfId="0" applyFill="1" applyAlignment="1">
      <alignment horizontal="right"/>
    </xf>
    <xf numFmtId="0" fontId="17" fillId="6" borderId="125" xfId="2" applyFont="1" applyFill="1" applyBorder="1" applyAlignment="1"/>
    <xf numFmtId="0" fontId="0" fillId="6" borderId="125" xfId="0" applyFill="1" applyBorder="1"/>
    <xf numFmtId="0" fontId="39" fillId="6" borderId="125" xfId="2" applyFont="1" applyFill="1" applyBorder="1" applyAlignment="1"/>
    <xf numFmtId="0" fontId="18" fillId="6" borderId="0" xfId="0" applyFont="1" applyFill="1" applyAlignment="1">
      <alignment horizontal="left"/>
    </xf>
    <xf numFmtId="0" fontId="34" fillId="0" borderId="0" xfId="0" applyFont="1"/>
    <xf numFmtId="0" fontId="7" fillId="11" borderId="151" xfId="3" applyFont="1" applyFill="1" applyBorder="1" applyAlignment="1" applyProtection="1">
      <alignment horizontal="center" vertical="center"/>
      <protection locked="0"/>
    </xf>
    <xf numFmtId="0" fontId="18" fillId="6" borderId="0" xfId="0" applyFont="1" applyFill="1" applyAlignment="1">
      <alignment horizontal="right" indent="4"/>
    </xf>
    <xf numFmtId="0" fontId="15" fillId="6" borderId="0" xfId="0" applyFont="1" applyFill="1" applyAlignment="1">
      <alignment horizontal="right"/>
    </xf>
    <xf numFmtId="0" fontId="15" fillId="6" borderId="0" xfId="0" applyFont="1" applyFill="1" applyAlignment="1">
      <alignment horizontal="left" indent="6"/>
    </xf>
    <xf numFmtId="165" fontId="7" fillId="11" borderId="151" xfId="3" applyNumberFormat="1" applyFont="1" applyFill="1" applyBorder="1" applyAlignment="1" applyProtection="1">
      <alignment horizontal="center" vertical="center"/>
      <protection locked="0"/>
    </xf>
    <xf numFmtId="165" fontId="7" fillId="11" borderId="172" xfId="3" applyNumberFormat="1" applyFont="1" applyFill="1" applyBorder="1" applyAlignment="1" applyProtection="1">
      <alignment horizontal="center" vertical="center"/>
      <protection locked="0"/>
    </xf>
    <xf numFmtId="0" fontId="32" fillId="6" borderId="0" xfId="0" applyFont="1" applyFill="1"/>
    <xf numFmtId="0" fontId="40" fillId="6" borderId="0" xfId="0" applyFont="1" applyFill="1" applyAlignment="1">
      <alignment vertical="center"/>
    </xf>
    <xf numFmtId="0" fontId="40" fillId="6" borderId="0" xfId="0" applyFont="1" applyFill="1" applyAlignment="1">
      <alignment horizontal="right" vertical="center"/>
    </xf>
    <xf numFmtId="0" fontId="40" fillId="6" borderId="0" xfId="0" applyFont="1" applyFill="1" applyAlignment="1">
      <alignment vertical="top"/>
    </xf>
    <xf numFmtId="0" fontId="40" fillId="6" borderId="0" xfId="0" applyFont="1" applyFill="1"/>
    <xf numFmtId="0" fontId="42" fillId="9" borderId="167" xfId="0" applyFont="1" applyFill="1" applyBorder="1" applyAlignment="1">
      <alignment horizontal="center" vertical="center"/>
    </xf>
    <xf numFmtId="0" fontId="0" fillId="0" borderId="44" xfId="0" applyBorder="1"/>
    <xf numFmtId="166" fontId="26" fillId="9" borderId="173" xfId="5" applyNumberFormat="1" applyFont="1" applyFill="1" applyBorder="1" applyAlignment="1">
      <alignment horizontal="center"/>
    </xf>
    <xf numFmtId="0" fontId="25" fillId="6" borderId="0" xfId="0" applyFont="1" applyFill="1" applyAlignment="1">
      <alignment horizontal="center" vertical="center"/>
    </xf>
    <xf numFmtId="0" fontId="19" fillId="11" borderId="0" xfId="0" applyFont="1" applyFill="1" applyAlignment="1">
      <alignment horizontal="right"/>
    </xf>
    <xf numFmtId="0" fontId="19" fillId="11" borderId="0" xfId="0" applyFont="1" applyFill="1" applyAlignment="1">
      <alignment horizontal="right" vertical="center"/>
    </xf>
    <xf numFmtId="0" fontId="25" fillId="6" borderId="0" xfId="0" applyFont="1" applyFill="1" applyAlignment="1">
      <alignment horizontal="center" vertical="top"/>
    </xf>
    <xf numFmtId="0" fontId="43" fillId="11" borderId="0" xfId="0" applyFont="1" applyFill="1" applyAlignment="1">
      <alignment horizontal="right"/>
    </xf>
    <xf numFmtId="0" fontId="25" fillId="11" borderId="44" xfId="0" applyFont="1" applyFill="1" applyBorder="1" applyAlignment="1">
      <alignment horizontal="left"/>
    </xf>
    <xf numFmtId="0" fontId="25" fillId="11" borderId="128" xfId="0" applyFont="1" applyFill="1" applyBorder="1" applyAlignment="1">
      <alignment horizontal="left" vertical="center"/>
    </xf>
    <xf numFmtId="0" fontId="25" fillId="11" borderId="0" xfId="0" applyFont="1" applyFill="1" applyAlignment="1">
      <alignment horizontal="left" vertical="center"/>
    </xf>
    <xf numFmtId="0" fontId="27" fillId="11" borderId="159" xfId="0" applyFont="1" applyFill="1" applyBorder="1"/>
    <xf numFmtId="0" fontId="27" fillId="11" borderId="154" xfId="0" applyFont="1" applyFill="1" applyBorder="1"/>
    <xf numFmtId="0" fontId="27" fillId="11" borderId="125" xfId="0" applyFont="1" applyFill="1" applyBorder="1"/>
    <xf numFmtId="0" fontId="25" fillId="11" borderId="126" xfId="0" applyFont="1" applyFill="1" applyBorder="1" applyAlignment="1">
      <alignment horizontal="left"/>
    </xf>
    <xf numFmtId="0" fontId="15" fillId="6" borderId="0" xfId="0" applyFont="1" applyFill="1" applyAlignment="1">
      <alignment horizontal="left" vertical="center" indent="4"/>
    </xf>
    <xf numFmtId="0" fontId="1" fillId="11" borderId="0" xfId="0" applyFont="1" applyFill="1" applyAlignment="1">
      <alignment horizontal="left"/>
    </xf>
    <xf numFmtId="0" fontId="0" fillId="11" borderId="0" xfId="0" applyFill="1" applyAlignment="1">
      <alignment horizontal="left" vertical="center"/>
    </xf>
    <xf numFmtId="0" fontId="1" fillId="11" borderId="0" xfId="0" applyFont="1" applyFill="1" applyAlignment="1">
      <alignment horizontal="left" vertical="center"/>
    </xf>
    <xf numFmtId="0" fontId="34" fillId="11" borderId="0" xfId="0" applyFont="1" applyFill="1" applyAlignment="1">
      <alignment horizontal="center"/>
    </xf>
    <xf numFmtId="1" fontId="4" fillId="11" borderId="0" xfId="0" applyNumberFormat="1" applyFont="1" applyFill="1" applyAlignment="1">
      <alignment horizontal="left" indent="2"/>
    </xf>
    <xf numFmtId="0" fontId="34" fillId="11" borderId="149" xfId="0" applyFont="1" applyFill="1" applyBorder="1" applyAlignment="1">
      <alignment horizontal="center"/>
    </xf>
    <xf numFmtId="0" fontId="45" fillId="11" borderId="44" xfId="0" applyFont="1" applyFill="1" applyBorder="1" applyAlignment="1">
      <alignment horizontal="center"/>
    </xf>
    <xf numFmtId="0" fontId="11" fillId="0" borderId="115" xfId="2"/>
    <xf numFmtId="0" fontId="11" fillId="0" borderId="115" xfId="2" applyAlignment="1"/>
    <xf numFmtId="0" fontId="20" fillId="11" borderId="0" xfId="0" applyFont="1" applyFill="1" applyAlignment="1">
      <alignment vertical="top"/>
    </xf>
    <xf numFmtId="0" fontId="20" fillId="11" borderId="0" xfId="0" applyFont="1" applyFill="1" applyAlignment="1">
      <alignment vertical="center"/>
    </xf>
    <xf numFmtId="165" fontId="1" fillId="0" borderId="0" xfId="0" applyNumberFormat="1" applyFont="1"/>
    <xf numFmtId="2" fontId="1" fillId="0" borderId="0" xfId="0" applyNumberFormat="1" applyFont="1"/>
    <xf numFmtId="0" fontId="27" fillId="11" borderId="174" xfId="0" applyFont="1" applyFill="1" applyBorder="1"/>
    <xf numFmtId="0" fontId="28" fillId="11" borderId="175" xfId="0" applyFont="1" applyFill="1" applyBorder="1" applyAlignment="1">
      <alignment horizontal="right"/>
    </xf>
    <xf numFmtId="0" fontId="27" fillId="11" borderId="177" xfId="0" applyFont="1" applyFill="1" applyBorder="1"/>
    <xf numFmtId="0" fontId="28" fillId="11" borderId="178" xfId="0" applyFont="1" applyFill="1" applyBorder="1" applyAlignment="1">
      <alignment horizontal="right"/>
    </xf>
    <xf numFmtId="0" fontId="40" fillId="6" borderId="0" xfId="0" applyFont="1" applyFill="1" applyAlignment="1">
      <alignment horizontal="left" vertical="top"/>
    </xf>
    <xf numFmtId="0" fontId="26" fillId="11" borderId="44" xfId="0" applyFont="1" applyFill="1" applyBorder="1" applyAlignment="1">
      <alignment horizontal="left"/>
    </xf>
    <xf numFmtId="0" fontId="28" fillId="11" borderId="0" xfId="0" applyFont="1" applyFill="1"/>
    <xf numFmtId="0" fontId="28" fillId="11" borderId="21" xfId="0" applyFont="1" applyFill="1" applyBorder="1"/>
    <xf numFmtId="0" fontId="28" fillId="11" borderId="159" xfId="0" applyFont="1" applyFill="1" applyBorder="1"/>
    <xf numFmtId="0" fontId="28" fillId="11" borderId="28" xfId="0" applyFont="1" applyFill="1" applyBorder="1"/>
    <xf numFmtId="0" fontId="28" fillId="11" borderId="154" xfId="0" applyFont="1" applyFill="1" applyBorder="1"/>
    <xf numFmtId="0" fontId="28" fillId="11" borderId="129" xfId="0" applyFont="1" applyFill="1" applyBorder="1"/>
    <xf numFmtId="0" fontId="28" fillId="11" borderId="125" xfId="0" applyFont="1" applyFill="1" applyBorder="1"/>
    <xf numFmtId="0" fontId="28" fillId="11" borderId="124" xfId="0" applyFont="1" applyFill="1" applyBorder="1"/>
    <xf numFmtId="0" fontId="28" fillId="11" borderId="136" xfId="0" applyFont="1" applyFill="1" applyBorder="1"/>
    <xf numFmtId="0" fontId="28" fillId="11" borderId="174" xfId="0" applyFont="1" applyFill="1" applyBorder="1"/>
    <xf numFmtId="0" fontId="28" fillId="11" borderId="177" xfId="0" applyFont="1" applyFill="1" applyBorder="1"/>
    <xf numFmtId="165" fontId="46" fillId="0" borderId="0" xfId="0" applyNumberFormat="1" applyFont="1" applyAlignment="1">
      <alignment vertical="center"/>
    </xf>
    <xf numFmtId="167" fontId="0" fillId="0" borderId="0" xfId="0" applyNumberFormat="1"/>
    <xf numFmtId="167" fontId="0" fillId="0" borderId="0" xfId="0" applyNumberFormat="1" applyAlignment="1">
      <alignment horizontal="right"/>
    </xf>
    <xf numFmtId="167" fontId="8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164" fontId="0" fillId="0" borderId="71" xfId="0" applyNumberFormat="1" applyBorder="1"/>
    <xf numFmtId="2" fontId="0" fillId="0" borderId="71" xfId="0" applyNumberFormat="1" applyBorder="1"/>
    <xf numFmtId="2" fontId="0" fillId="0" borderId="93" xfId="0" applyNumberFormat="1" applyBorder="1" applyAlignment="1">
      <alignment horizontal="right"/>
    </xf>
    <xf numFmtId="0" fontId="5" fillId="10" borderId="0" xfId="0" applyFont="1" applyFill="1" applyAlignment="1">
      <alignment horizontal="center" vertical="center"/>
    </xf>
    <xf numFmtId="2" fontId="0" fillId="9" borderId="62" xfId="0" applyNumberFormat="1" applyFill="1" applyBorder="1"/>
    <xf numFmtId="2" fontId="0" fillId="0" borderId="54" xfId="0" applyNumberFormat="1" applyBorder="1" applyAlignment="1">
      <alignment horizontal="center"/>
    </xf>
    <xf numFmtId="2" fontId="1" fillId="0" borderId="62" xfId="0" applyNumberFormat="1" applyFont="1" applyBorder="1"/>
    <xf numFmtId="2" fontId="0" fillId="0" borderId="54" xfId="0" applyNumberFormat="1" applyBorder="1" applyAlignment="1">
      <alignment horizontal="left"/>
    </xf>
    <xf numFmtId="2" fontId="0" fillId="0" borderId="62" xfId="0" applyNumberFormat="1" applyBorder="1" applyAlignment="1">
      <alignment horizontal="right"/>
    </xf>
    <xf numFmtId="2" fontId="0" fillId="0" borderId="54" xfId="0" applyNumberFormat="1" applyBorder="1"/>
    <xf numFmtId="2" fontId="0" fillId="0" borderId="31" xfId="0" applyNumberFormat="1" applyBorder="1" applyAlignment="1">
      <alignment horizontal="right"/>
    </xf>
    <xf numFmtId="164" fontId="0" fillId="0" borderId="93" xfId="0" applyNumberFormat="1" applyBorder="1" applyAlignment="1">
      <alignment horizontal="right"/>
    </xf>
    <xf numFmtId="164" fontId="0" fillId="0" borderId="54" xfId="0" applyNumberFormat="1" applyBorder="1"/>
    <xf numFmtId="164" fontId="0" fillId="0" borderId="54" xfId="0" applyNumberFormat="1" applyBorder="1" applyAlignment="1">
      <alignment horizontal="center"/>
    </xf>
    <xf numFmtId="164" fontId="1" fillId="9" borderId="62" xfId="0" applyNumberFormat="1" applyFont="1" applyFill="1" applyBorder="1"/>
    <xf numFmtId="164" fontId="0" fillId="9" borderId="62" xfId="0" applyNumberFormat="1" applyFill="1" applyBorder="1" applyAlignment="1">
      <alignment horizontal="left"/>
    </xf>
    <xf numFmtId="164" fontId="0" fillId="0" borderId="62" xfId="0" applyNumberFormat="1" applyBorder="1" applyAlignment="1">
      <alignment horizontal="right"/>
    </xf>
    <xf numFmtId="164" fontId="0" fillId="0" borderId="31" xfId="0" applyNumberFormat="1" applyBorder="1" applyAlignment="1">
      <alignment horizontal="right"/>
    </xf>
    <xf numFmtId="164" fontId="0" fillId="0" borderId="45" xfId="0" applyNumberFormat="1" applyBorder="1"/>
    <xf numFmtId="164" fontId="0" fillId="0" borderId="51" xfId="0" applyNumberFormat="1" applyBorder="1" applyAlignment="1">
      <alignment horizontal="center"/>
    </xf>
    <xf numFmtId="164" fontId="1" fillId="0" borderId="0" xfId="0" applyNumberFormat="1" applyFont="1"/>
    <xf numFmtId="164" fontId="0" fillId="0" borderId="53" xfId="0" applyNumberFormat="1" applyBorder="1" applyAlignment="1">
      <alignment horizontal="right"/>
    </xf>
    <xf numFmtId="164" fontId="0" fillId="0" borderId="54" xfId="0" applyNumberFormat="1" applyBorder="1" applyAlignment="1">
      <alignment horizontal="right"/>
    </xf>
    <xf numFmtId="164" fontId="0" fillId="0" borderId="74" xfId="0" applyNumberFormat="1" applyBorder="1" applyAlignment="1">
      <alignment horizontal="right"/>
    </xf>
    <xf numFmtId="164" fontId="0" fillId="0" borderId="92" xfId="0" applyNumberFormat="1" applyBorder="1" applyAlignment="1">
      <alignment horizontal="right"/>
    </xf>
    <xf numFmtId="0" fontId="26" fillId="11" borderId="159" xfId="0" applyFont="1" applyFill="1" applyBorder="1" applyAlignment="1">
      <alignment horizontal="left" vertical="center"/>
    </xf>
    <xf numFmtId="164" fontId="0" fillId="0" borderId="82" xfId="0" applyNumberFormat="1" applyBorder="1"/>
    <xf numFmtId="2" fontId="0" fillId="0" borderId="53" xfId="0" applyNumberFormat="1" applyBorder="1"/>
    <xf numFmtId="164" fontId="0" fillId="6" borderId="93" xfId="0" applyNumberFormat="1" applyFill="1" applyBorder="1"/>
    <xf numFmtId="164" fontId="0" fillId="6" borderId="58" xfId="0" applyNumberFormat="1" applyFill="1" applyBorder="1"/>
    <xf numFmtId="164" fontId="0" fillId="6" borderId="59" xfId="0" applyNumberFormat="1" applyFill="1" applyBorder="1"/>
    <xf numFmtId="164" fontId="0" fillId="6" borderId="74" xfId="0" applyNumberFormat="1" applyFill="1" applyBorder="1"/>
    <xf numFmtId="164" fontId="0" fillId="6" borderId="53" xfId="0" applyNumberFormat="1" applyFill="1" applyBorder="1"/>
    <xf numFmtId="164" fontId="0" fillId="6" borderId="52" xfId="0" applyNumberFormat="1" applyFill="1" applyBorder="1"/>
    <xf numFmtId="0" fontId="28" fillId="11" borderId="63" xfId="0" applyFont="1" applyFill="1" applyBorder="1"/>
    <xf numFmtId="0" fontId="28" fillId="11" borderId="181" xfId="0" applyFont="1" applyFill="1" applyBorder="1"/>
    <xf numFmtId="0" fontId="28" fillId="11" borderId="182" xfId="0" applyFont="1" applyFill="1" applyBorder="1"/>
    <xf numFmtId="0" fontId="28" fillId="11" borderId="183" xfId="0" applyFont="1" applyFill="1" applyBorder="1"/>
    <xf numFmtId="0" fontId="28" fillId="11" borderId="184" xfId="0" applyFont="1" applyFill="1" applyBorder="1"/>
    <xf numFmtId="0" fontId="28" fillId="11" borderId="54" xfId="0" applyFont="1" applyFill="1" applyBorder="1"/>
    <xf numFmtId="0" fontId="0" fillId="11" borderId="125" xfId="0" applyFill="1" applyBorder="1"/>
    <xf numFmtId="0" fontId="18" fillId="11" borderId="125" xfId="0" applyFont="1" applyFill="1" applyBorder="1" applyAlignment="1">
      <alignment horizontal="right"/>
    </xf>
    <xf numFmtId="0" fontId="19" fillId="11" borderId="125" xfId="0" applyFont="1" applyFill="1" applyBorder="1"/>
    <xf numFmtId="0" fontId="20" fillId="11" borderId="125" xfId="0" applyFont="1" applyFill="1" applyBorder="1"/>
    <xf numFmtId="0" fontId="20" fillId="6" borderId="125" xfId="0" applyFont="1" applyFill="1" applyBorder="1"/>
    <xf numFmtId="0" fontId="23" fillId="6" borderId="125" xfId="0" applyFont="1" applyFill="1" applyBorder="1" applyAlignment="1">
      <alignment horizontal="right" vertical="center"/>
    </xf>
    <xf numFmtId="0" fontId="23" fillId="6" borderId="125" xfId="0" applyFont="1" applyFill="1" applyBorder="1" applyAlignment="1">
      <alignment vertical="center"/>
    </xf>
    <xf numFmtId="0" fontId="0" fillId="6" borderId="125" xfId="0" applyFill="1" applyBorder="1" applyAlignment="1">
      <alignment vertical="center"/>
    </xf>
    <xf numFmtId="0" fontId="0" fillId="6" borderId="150" xfId="0" applyFill="1" applyBorder="1"/>
    <xf numFmtId="0" fontId="26" fillId="9" borderId="185" xfId="0" applyFont="1" applyFill="1" applyBorder="1" applyAlignment="1">
      <alignment horizontal="center"/>
    </xf>
    <xf numFmtId="0" fontId="26" fillId="9" borderId="137" xfId="0" applyFont="1" applyFill="1" applyBorder="1" applyAlignment="1">
      <alignment horizontal="center"/>
    </xf>
    <xf numFmtId="0" fontId="26" fillId="9" borderId="142" xfId="0" applyFont="1" applyFill="1" applyBorder="1" applyAlignment="1">
      <alignment horizontal="center"/>
    </xf>
    <xf numFmtId="0" fontId="26" fillId="9" borderId="168" xfId="0" applyFont="1" applyFill="1" applyBorder="1" applyAlignment="1">
      <alignment horizontal="center"/>
    </xf>
    <xf numFmtId="0" fontId="26" fillId="9" borderId="186" xfId="0" applyFont="1" applyFill="1" applyBorder="1" applyAlignment="1">
      <alignment horizontal="center"/>
    </xf>
    <xf numFmtId="0" fontId="0" fillId="6" borderId="187" xfId="0" applyFill="1" applyBorder="1" applyAlignment="1">
      <alignment vertical="center"/>
    </xf>
    <xf numFmtId="0" fontId="28" fillId="11" borderId="188" xfId="0" applyFont="1" applyFill="1" applyBorder="1"/>
    <xf numFmtId="1" fontId="0" fillId="12" borderId="4" xfId="0" applyNumberFormat="1" applyFill="1" applyBorder="1" applyAlignment="1">
      <alignment horizontal="left"/>
    </xf>
    <xf numFmtId="0" fontId="0" fillId="12" borderId="0" xfId="0" applyFill="1"/>
    <xf numFmtId="164" fontId="0" fillId="12" borderId="0" xfId="0" applyNumberFormat="1" applyFill="1"/>
    <xf numFmtId="164" fontId="0" fillId="12" borderId="71" xfId="0" applyNumberFormat="1" applyFill="1" applyBorder="1"/>
    <xf numFmtId="1" fontId="0" fillId="12" borderId="42" xfId="0" applyNumberFormat="1" applyFill="1" applyBorder="1" applyAlignment="1">
      <alignment horizontal="left"/>
    </xf>
    <xf numFmtId="0" fontId="0" fillId="12" borderId="29" xfId="0" applyFill="1" applyBorder="1"/>
    <xf numFmtId="164" fontId="0" fillId="12" borderId="29" xfId="0" applyNumberFormat="1" applyFill="1" applyBorder="1"/>
    <xf numFmtId="164" fontId="0" fillId="12" borderId="82" xfId="0" applyNumberFormat="1" applyFill="1" applyBorder="1"/>
    <xf numFmtId="0" fontId="28" fillId="11" borderId="29" xfId="0" applyFont="1" applyFill="1" applyBorder="1"/>
    <xf numFmtId="2" fontId="0" fillId="0" borderId="29" xfId="0" applyNumberFormat="1" applyBorder="1"/>
    <xf numFmtId="168" fontId="0" fillId="0" borderId="0" xfId="0" applyNumberFormat="1"/>
    <xf numFmtId="0" fontId="34" fillId="0" borderId="0" xfId="0" applyFont="1" applyAlignment="1">
      <alignment horizontal="right"/>
    </xf>
    <xf numFmtId="0" fontId="34" fillId="0" borderId="29" xfId="0" applyFont="1" applyBorder="1" applyAlignment="1">
      <alignment horizontal="right"/>
    </xf>
    <xf numFmtId="0" fontId="34" fillId="0" borderId="29" xfId="0" applyFont="1" applyBorder="1"/>
    <xf numFmtId="0" fontId="0" fillId="0" borderId="21" xfId="0" applyBorder="1"/>
    <xf numFmtId="0" fontId="28" fillId="11" borderId="61" xfId="0" applyFont="1" applyFill="1" applyBorder="1"/>
    <xf numFmtId="0" fontId="26" fillId="11" borderId="63" xfId="0" applyFont="1" applyFill="1" applyBorder="1" applyAlignment="1">
      <alignment horizontal="left" vertical="center"/>
    </xf>
    <xf numFmtId="0" fontId="26" fillId="11" borderId="54" xfId="0" applyFont="1" applyFill="1" applyBorder="1" applyAlignment="1">
      <alignment horizontal="left" vertical="center"/>
    </xf>
    <xf numFmtId="0" fontId="26" fillId="11" borderId="61" xfId="0" applyFont="1" applyFill="1" applyBorder="1" applyAlignment="1">
      <alignment horizontal="left" vertical="center"/>
    </xf>
    <xf numFmtId="2" fontId="0" fillId="0" borderId="21" xfId="0" applyNumberFormat="1" applyBorder="1"/>
    <xf numFmtId="165" fontId="0" fillId="0" borderId="33" xfId="0" applyNumberFormat="1" applyBorder="1"/>
    <xf numFmtId="165" fontId="0" fillId="0" borderId="29" xfId="0" applyNumberFormat="1" applyBorder="1"/>
    <xf numFmtId="165" fontId="0" fillId="0" borderId="28" xfId="0" applyNumberFormat="1" applyBorder="1"/>
    <xf numFmtId="1" fontId="25" fillId="11" borderId="0" xfId="0" applyNumberFormat="1" applyFont="1" applyFill="1" applyAlignment="1">
      <alignment horizontal="left"/>
    </xf>
    <xf numFmtId="0" fontId="26" fillId="9" borderId="0" xfId="0" applyFont="1" applyFill="1" applyAlignment="1">
      <alignment horizontal="left" vertical="center"/>
    </xf>
    <xf numFmtId="0" fontId="28" fillId="9" borderId="0" xfId="0" applyFont="1" applyFill="1"/>
    <xf numFmtId="168" fontId="0" fillId="2" borderId="0" xfId="0" applyNumberFormat="1" applyFill="1" applyAlignment="1">
      <alignment horizontal="right"/>
    </xf>
    <xf numFmtId="0" fontId="0" fillId="0" borderId="28" xfId="0" applyBorder="1"/>
    <xf numFmtId="0" fontId="0" fillId="0" borderId="11" xfId="0" applyBorder="1"/>
    <xf numFmtId="1" fontId="25" fillId="12" borderId="0" xfId="0" applyNumberFormat="1" applyFont="1" applyFill="1" applyAlignment="1">
      <alignment horizontal="left"/>
    </xf>
    <xf numFmtId="0" fontId="15" fillId="6" borderId="0" xfId="0" applyFont="1" applyFill="1" applyAlignment="1">
      <alignment horizontal="left"/>
    </xf>
    <xf numFmtId="0" fontId="0" fillId="6" borderId="0" xfId="0" applyFill="1" applyAlignment="1">
      <alignment horizontal="left"/>
    </xf>
    <xf numFmtId="0" fontId="15" fillId="6" borderId="0" xfId="0" applyFont="1" applyFill="1" applyAlignment="1">
      <alignment horizontal="left" indent="1"/>
    </xf>
    <xf numFmtId="0" fontId="1" fillId="0" borderId="106" xfId="0" applyFont="1" applyBorder="1"/>
    <xf numFmtId="0" fontId="0" fillId="0" borderId="190" xfId="0" applyBorder="1"/>
    <xf numFmtId="0" fontId="0" fillId="11" borderId="71" xfId="0" applyFill="1" applyBorder="1"/>
    <xf numFmtId="0" fontId="0" fillId="11" borderId="191" xfId="0" applyFill="1" applyBorder="1"/>
    <xf numFmtId="0" fontId="25" fillId="11" borderId="71" xfId="0" applyFont="1" applyFill="1" applyBorder="1" applyAlignment="1">
      <alignment horizontal="center" vertical="center" textRotation="90"/>
    </xf>
    <xf numFmtId="0" fontId="0" fillId="0" borderId="196" xfId="0" applyBorder="1"/>
    <xf numFmtId="0" fontId="48" fillId="0" borderId="0" xfId="0" applyFont="1"/>
    <xf numFmtId="0" fontId="1" fillId="0" borderId="29" xfId="0" applyFont="1" applyBorder="1"/>
    <xf numFmtId="0" fontId="0" fillId="11" borderId="0" xfId="0" applyFill="1" applyProtection="1">
      <protection locked="0"/>
    </xf>
    <xf numFmtId="0" fontId="25" fillId="11" borderId="0" xfId="0" applyFont="1" applyFill="1" applyAlignment="1" applyProtection="1">
      <alignment horizontal="center" vertical="center" textRotation="90"/>
      <protection locked="0"/>
    </xf>
    <xf numFmtId="0" fontId="1" fillId="11" borderId="0" xfId="0" applyFont="1" applyFill="1"/>
    <xf numFmtId="0" fontId="0" fillId="0" borderId="121" xfId="0" applyBorder="1"/>
    <xf numFmtId="0" fontId="28" fillId="11" borderId="123" xfId="0" applyFont="1" applyFill="1" applyBorder="1" applyAlignment="1">
      <alignment horizontal="right"/>
    </xf>
    <xf numFmtId="0" fontId="2" fillId="0" borderId="0" xfId="0" applyFont="1"/>
    <xf numFmtId="0" fontId="45" fillId="11" borderId="197" xfId="0" applyFont="1" applyFill="1" applyBorder="1" applyAlignment="1">
      <alignment horizontal="left"/>
    </xf>
    <xf numFmtId="0" fontId="0" fillId="0" borderId="19" xfId="0" applyBorder="1"/>
    <xf numFmtId="0" fontId="0" fillId="0" borderId="38" xfId="0" applyBorder="1"/>
    <xf numFmtId="0" fontId="0" fillId="0" borderId="36" xfId="0" applyBorder="1"/>
    <xf numFmtId="0" fontId="15" fillId="10" borderId="164" xfId="0" applyFont="1" applyFill="1" applyBorder="1" applyAlignment="1">
      <alignment horizontal="right" vertical="center"/>
    </xf>
    <xf numFmtId="0" fontId="15" fillId="10" borderId="164" xfId="0" applyFont="1" applyFill="1" applyBorder="1" applyAlignment="1">
      <alignment horizontal="right" vertical="center" indent="1"/>
    </xf>
    <xf numFmtId="0" fontId="26" fillId="11" borderId="0" xfId="0" applyFont="1" applyFill="1" applyAlignment="1">
      <alignment horizontal="left" vertical="center"/>
    </xf>
    <xf numFmtId="9" fontId="0" fillId="0" borderId="0" xfId="5" applyFont="1" applyAlignment="1">
      <alignment horizontal="right"/>
    </xf>
    <xf numFmtId="166" fontId="26" fillId="9" borderId="0" xfId="0" applyNumberFormat="1" applyFont="1" applyFill="1" applyAlignment="1">
      <alignment horizontal="center"/>
    </xf>
    <xf numFmtId="0" fontId="25" fillId="11" borderId="0" xfId="0" applyFont="1" applyFill="1" applyAlignment="1">
      <alignment vertical="center"/>
    </xf>
    <xf numFmtId="165" fontId="26" fillId="9" borderId="171" xfId="0" applyNumberFormat="1" applyFont="1" applyFill="1" applyBorder="1" applyAlignment="1">
      <alignment horizontal="center"/>
    </xf>
    <xf numFmtId="2" fontId="26" fillId="9" borderId="21" xfId="0" applyNumberFormat="1" applyFont="1" applyFill="1" applyBorder="1" applyAlignment="1">
      <alignment horizontal="center"/>
    </xf>
    <xf numFmtId="166" fontId="26" fillId="9" borderId="143" xfId="0" applyNumberFormat="1" applyFont="1" applyFill="1" applyBorder="1" applyAlignment="1">
      <alignment horizontal="center"/>
    </xf>
    <xf numFmtId="166" fontId="26" fillId="9" borderId="138" xfId="0" applyNumberFormat="1" applyFont="1" applyFill="1" applyBorder="1" applyAlignment="1">
      <alignment horizontal="center"/>
    </xf>
    <xf numFmtId="166" fontId="26" fillId="9" borderId="199" xfId="0" applyNumberFormat="1" applyFont="1" applyFill="1" applyBorder="1" applyAlignment="1">
      <alignment horizontal="center"/>
    </xf>
    <xf numFmtId="0" fontId="27" fillId="11" borderId="28" xfId="0" applyFont="1" applyFill="1" applyBorder="1" applyAlignment="1">
      <alignment horizontal="left"/>
    </xf>
    <xf numFmtId="0" fontId="27" fillId="11" borderId="159" xfId="0" applyFont="1" applyFill="1" applyBorder="1" applyAlignment="1">
      <alignment horizontal="right"/>
    </xf>
    <xf numFmtId="0" fontId="0" fillId="6" borderId="170" xfId="0" applyFill="1" applyBorder="1" applyAlignment="1">
      <alignment vertical="center"/>
    </xf>
    <xf numFmtId="0" fontId="0" fillId="0" borderId="0" xfId="0" quotePrefix="1" applyAlignment="1">
      <alignment horizontal="right"/>
    </xf>
    <xf numFmtId="165" fontId="0" fillId="0" borderId="51" xfId="0" applyNumberFormat="1" applyBorder="1" applyAlignment="1">
      <alignment horizontal="center"/>
    </xf>
    <xf numFmtId="0" fontId="5" fillId="10" borderId="149" xfId="0" applyFont="1" applyFill="1" applyBorder="1" applyAlignment="1">
      <alignment horizontal="center" vertical="center"/>
    </xf>
    <xf numFmtId="168" fontId="1" fillId="0" borderId="102" xfId="0" applyNumberFormat="1" applyFont="1" applyBorder="1" applyAlignment="1">
      <alignment horizontal="right"/>
    </xf>
    <xf numFmtId="168" fontId="1" fillId="0" borderId="51" xfId="0" applyNumberFormat="1" applyFont="1" applyBorder="1" applyAlignment="1">
      <alignment horizontal="right"/>
    </xf>
    <xf numFmtId="168" fontId="1" fillId="0" borderId="84" xfId="0" applyNumberFormat="1" applyFont="1" applyBorder="1" applyAlignment="1">
      <alignment horizontal="right"/>
    </xf>
    <xf numFmtId="0" fontId="25" fillId="11" borderId="0" xfId="0" applyFont="1" applyFill="1" applyAlignment="1">
      <alignment vertical="center" textRotation="90"/>
    </xf>
    <xf numFmtId="166" fontId="26" fillId="11" borderId="0" xfId="5" applyNumberFormat="1" applyFont="1" applyFill="1" applyBorder="1" applyAlignment="1">
      <alignment horizontal="center"/>
    </xf>
    <xf numFmtId="0" fontId="26" fillId="11" borderId="21" xfId="0" applyFont="1" applyFill="1" applyBorder="1"/>
    <xf numFmtId="165" fontId="26" fillId="11" borderId="0" xfId="0" applyNumberFormat="1" applyFont="1" applyFill="1"/>
    <xf numFmtId="2" fontId="26" fillId="11" borderId="0" xfId="0" applyNumberFormat="1" applyFont="1" applyFill="1"/>
    <xf numFmtId="166" fontId="26" fillId="11" borderId="0" xfId="5" applyNumberFormat="1" applyFont="1" applyFill="1" applyBorder="1" applyAlignment="1"/>
    <xf numFmtId="0" fontId="28" fillId="11" borderId="200" xfId="0" applyFont="1" applyFill="1" applyBorder="1" applyAlignment="1">
      <alignment horizontal="right"/>
    </xf>
    <xf numFmtId="0" fontId="28" fillId="11" borderId="201" xfId="0" applyFont="1" applyFill="1" applyBorder="1" applyAlignment="1">
      <alignment horizontal="right"/>
    </xf>
    <xf numFmtId="0" fontId="28" fillId="11" borderId="202" xfId="0" applyFont="1" applyFill="1" applyBorder="1" applyAlignment="1">
      <alignment horizontal="right"/>
    </xf>
    <xf numFmtId="0" fontId="28" fillId="11" borderId="203" xfId="0" applyFont="1" applyFill="1" applyBorder="1" applyAlignment="1">
      <alignment horizontal="right"/>
    </xf>
    <xf numFmtId="0" fontId="28" fillId="11" borderId="204" xfId="0" applyFont="1" applyFill="1" applyBorder="1" applyAlignment="1">
      <alignment horizontal="right"/>
    </xf>
    <xf numFmtId="0" fontId="27" fillId="11" borderId="203" xfId="0" applyFont="1" applyFill="1" applyBorder="1" applyAlignment="1">
      <alignment horizontal="right"/>
    </xf>
    <xf numFmtId="0" fontId="25" fillId="11" borderId="0" xfId="0" applyFont="1" applyFill="1" applyAlignment="1">
      <alignment horizontal="center"/>
    </xf>
    <xf numFmtId="0" fontId="25" fillId="11" borderId="208" xfId="0" applyFont="1" applyFill="1" applyBorder="1" applyAlignment="1">
      <alignment horizontal="left"/>
    </xf>
    <xf numFmtId="0" fontId="27" fillId="11" borderId="127" xfId="0" applyFont="1" applyFill="1" applyBorder="1"/>
    <xf numFmtId="165" fontId="26" fillId="11" borderId="210" xfId="0" applyNumberFormat="1" applyFont="1" applyFill="1" applyBorder="1"/>
    <xf numFmtId="0" fontId="25" fillId="11" borderId="213" xfId="0" applyFont="1" applyFill="1" applyBorder="1" applyAlignment="1">
      <alignment horizontal="left"/>
    </xf>
    <xf numFmtId="1" fontId="25" fillId="9" borderId="205" xfId="0" applyNumberFormat="1" applyFont="1" applyFill="1" applyBorder="1" applyAlignment="1">
      <alignment horizontal="center"/>
    </xf>
    <xf numFmtId="0" fontId="20" fillId="6" borderId="0" xfId="0" applyFont="1" applyFill="1" applyAlignment="1">
      <alignment horizontal="right"/>
    </xf>
    <xf numFmtId="0" fontId="20" fillId="6" borderId="147" xfId="0" applyFont="1" applyFill="1" applyBorder="1"/>
    <xf numFmtId="0" fontId="49" fillId="6" borderId="0" xfId="0" applyFont="1" applyFill="1" applyAlignment="1">
      <alignment vertical="center"/>
    </xf>
    <xf numFmtId="0" fontId="20" fillId="6" borderId="0" xfId="0" applyFont="1" applyFill="1" applyAlignment="1">
      <alignment horizontal="left" vertical="center"/>
    </xf>
    <xf numFmtId="0" fontId="18" fillId="11" borderId="0" xfId="0" applyFont="1" applyFill="1" applyAlignment="1">
      <alignment horizontal="left" indent="1"/>
    </xf>
    <xf numFmtId="0" fontId="34" fillId="11" borderId="140" xfId="0" applyFont="1" applyFill="1" applyBorder="1" applyAlignment="1">
      <alignment horizontal="center"/>
    </xf>
    <xf numFmtId="1" fontId="4" fillId="11" borderId="0" xfId="0" applyNumberFormat="1" applyFont="1" applyFill="1" applyAlignment="1">
      <alignment horizontal="left"/>
    </xf>
    <xf numFmtId="1" fontId="53" fillId="11" borderId="0" xfId="0" applyNumberFormat="1" applyFont="1" applyFill="1" applyAlignment="1">
      <alignment horizontal="left"/>
    </xf>
    <xf numFmtId="165" fontId="53" fillId="11" borderId="0" xfId="0" applyNumberFormat="1" applyFont="1" applyFill="1" applyAlignment="1">
      <alignment horizontal="right"/>
    </xf>
    <xf numFmtId="0" fontId="52" fillId="11" borderId="0" xfId="0" applyFont="1" applyFill="1" applyAlignment="1">
      <alignment horizontal="left" vertical="center" indent="1"/>
    </xf>
    <xf numFmtId="0" fontId="5" fillId="11" borderId="0" xfId="0" applyFont="1" applyFill="1" applyAlignment="1">
      <alignment vertical="center"/>
    </xf>
    <xf numFmtId="0" fontId="18" fillId="11" borderId="0" xfId="0" applyFont="1" applyFill="1" applyAlignment="1">
      <alignment horizontal="left" vertical="center"/>
    </xf>
    <xf numFmtId="0" fontId="34" fillId="11" borderId="0" xfId="0" applyFont="1" applyFill="1" applyAlignment="1">
      <alignment horizontal="left" vertical="center" indent="1"/>
    </xf>
    <xf numFmtId="0" fontId="18" fillId="11" borderId="0" xfId="0" applyFont="1" applyFill="1" applyAlignment="1">
      <alignment horizontal="left" vertical="center" indent="1"/>
    </xf>
    <xf numFmtId="0" fontId="53" fillId="11" borderId="0" xfId="0" applyFont="1" applyFill="1"/>
    <xf numFmtId="165" fontId="57" fillId="11" borderId="0" xfId="0" applyNumberFormat="1" applyFont="1" applyFill="1" applyAlignment="1">
      <alignment horizontal="right" vertical="center"/>
    </xf>
    <xf numFmtId="165" fontId="57" fillId="11" borderId="0" xfId="0" applyNumberFormat="1" applyFont="1" applyFill="1" applyAlignment="1">
      <alignment horizontal="left" vertical="center"/>
    </xf>
    <xf numFmtId="0" fontId="0" fillId="6" borderId="214" xfId="0" applyFill="1" applyBorder="1"/>
    <xf numFmtId="0" fontId="0" fillId="6" borderId="215" xfId="0" applyFill="1" applyBorder="1"/>
    <xf numFmtId="0" fontId="52" fillId="11" borderId="215" xfId="0" applyFont="1" applyFill="1" applyBorder="1" applyAlignment="1">
      <alignment horizontal="left" vertical="center" indent="1"/>
    </xf>
    <xf numFmtId="0" fontId="0" fillId="11" borderId="215" xfId="0" applyFill="1" applyBorder="1"/>
    <xf numFmtId="0" fontId="23" fillId="11" borderId="215" xfId="0" applyFont="1" applyFill="1" applyBorder="1" applyAlignment="1">
      <alignment vertical="center"/>
    </xf>
    <xf numFmtId="1" fontId="53" fillId="11" borderId="215" xfId="0" applyNumberFormat="1" applyFont="1" applyFill="1" applyBorder="1" applyAlignment="1">
      <alignment horizontal="left"/>
    </xf>
    <xf numFmtId="0" fontId="0" fillId="11" borderId="216" xfId="0" applyFill="1" applyBorder="1"/>
    <xf numFmtId="0" fontId="58" fillId="6" borderId="0" xfId="0" applyFont="1" applyFill="1" applyAlignment="1">
      <alignment vertical="center"/>
    </xf>
    <xf numFmtId="9" fontId="0" fillId="0" borderId="0" xfId="5" applyFont="1"/>
    <xf numFmtId="165" fontId="26" fillId="11" borderId="0" xfId="0" applyNumberFormat="1" applyFont="1" applyFill="1" applyAlignment="1">
      <alignment horizontal="left"/>
    </xf>
    <xf numFmtId="0" fontId="1" fillId="11" borderId="0" xfId="0" applyFont="1" applyFill="1" applyAlignment="1">
      <alignment horizontal="right" vertical="center"/>
    </xf>
    <xf numFmtId="0" fontId="60" fillId="11" borderId="0" xfId="0" applyFont="1" applyFill="1" applyAlignment="1">
      <alignment horizontal="right" vertical="center"/>
    </xf>
    <xf numFmtId="1" fontId="61" fillId="0" borderId="0" xfId="0" applyNumberFormat="1" applyFont="1" applyAlignment="1">
      <alignment horizontal="left"/>
    </xf>
    <xf numFmtId="0" fontId="25" fillId="6" borderId="0" xfId="0" applyFont="1" applyFill="1" applyAlignment="1">
      <alignment horizontal="left" vertical="center" wrapText="1"/>
    </xf>
    <xf numFmtId="0" fontId="45" fillId="11" borderId="169" xfId="0" applyFont="1" applyFill="1" applyBorder="1" applyAlignment="1">
      <alignment horizontal="left"/>
    </xf>
    <xf numFmtId="0" fontId="25" fillId="11" borderId="125" xfId="0" applyFont="1" applyFill="1" applyBorder="1" applyAlignment="1">
      <alignment horizontal="left"/>
    </xf>
    <xf numFmtId="0" fontId="25" fillId="11" borderId="217" xfId="0" applyFont="1" applyFill="1" applyBorder="1" applyAlignment="1">
      <alignment horizontal="left"/>
    </xf>
    <xf numFmtId="0" fontId="25" fillId="6" borderId="125" xfId="0" applyFont="1" applyFill="1" applyBorder="1" applyAlignment="1">
      <alignment horizontal="left" vertical="center" wrapText="1"/>
    </xf>
    <xf numFmtId="0" fontId="25" fillId="6" borderId="0" xfId="0" applyFont="1" applyFill="1" applyAlignment="1">
      <alignment horizontal="left" vertical="center"/>
    </xf>
    <xf numFmtId="0" fontId="25" fillId="6" borderId="154" xfId="0" applyFont="1" applyFill="1" applyBorder="1" applyAlignment="1">
      <alignment vertical="center"/>
    </xf>
    <xf numFmtId="0" fontId="25" fillId="6" borderId="170" xfId="0" applyFont="1" applyFill="1" applyBorder="1" applyAlignment="1" applyProtection="1">
      <alignment vertical="center"/>
      <protection locked="0"/>
    </xf>
    <xf numFmtId="0" fontId="0" fillId="0" borderId="0" xfId="0" quotePrefix="1"/>
    <xf numFmtId="0" fontId="0" fillId="0" borderId="0" xfId="0" applyAlignment="1">
      <alignment wrapText="1"/>
    </xf>
    <xf numFmtId="0" fontId="0" fillId="11" borderId="125" xfId="0" applyFill="1" applyBorder="1" applyAlignment="1">
      <alignment vertical="top"/>
    </xf>
    <xf numFmtId="0" fontId="25" fillId="11" borderId="0" xfId="0" applyFont="1" applyFill="1" applyAlignment="1">
      <alignment wrapText="1"/>
    </xf>
    <xf numFmtId="0" fontId="44" fillId="11" borderId="125" xfId="0" applyFont="1" applyFill="1" applyBorder="1" applyAlignment="1" applyProtection="1">
      <alignment horizontal="left"/>
      <protection locked="0"/>
    </xf>
    <xf numFmtId="165" fontId="47" fillId="11" borderId="0" xfId="0" quotePrefix="1" applyNumberFormat="1" applyFont="1" applyFill="1" applyAlignment="1">
      <alignment vertical="center"/>
    </xf>
    <xf numFmtId="165" fontId="0" fillId="11" borderId="21" xfId="0" applyNumberFormat="1" applyFill="1" applyBorder="1" applyAlignment="1">
      <alignment horizontal="right" vertical="center"/>
    </xf>
    <xf numFmtId="165" fontId="47" fillId="11" borderId="0" xfId="0" quotePrefix="1" applyNumberFormat="1" applyFont="1" applyFill="1"/>
    <xf numFmtId="0" fontId="26" fillId="11" borderId="125" xfId="0" applyFont="1" applyFill="1" applyBorder="1" applyAlignment="1">
      <alignment vertical="top"/>
    </xf>
    <xf numFmtId="0" fontId="25" fillId="6" borderId="0" xfId="0" applyFont="1" applyFill="1" applyAlignment="1" applyProtection="1">
      <alignment vertical="center"/>
      <protection locked="0"/>
    </xf>
    <xf numFmtId="0" fontId="26" fillId="6" borderId="0" xfId="0" applyFont="1" applyFill="1" applyAlignment="1">
      <alignment horizontal="left" vertical="center" indent="1"/>
    </xf>
    <xf numFmtId="0" fontId="26" fillId="6" borderId="0" xfId="0" applyFont="1" applyFill="1" applyAlignment="1">
      <alignment horizontal="left" indent="1"/>
    </xf>
    <xf numFmtId="0" fontId="26" fillId="6" borderId="187" xfId="0" applyFont="1" applyFill="1" applyBorder="1" applyAlignment="1">
      <alignment horizontal="left" vertical="center" indent="1"/>
    </xf>
    <xf numFmtId="0" fontId="0" fillId="6" borderId="0" xfId="0" applyFill="1" applyAlignment="1">
      <alignment horizontal="left" vertical="center" indent="1"/>
    </xf>
    <xf numFmtId="0" fontId="0" fillId="6" borderId="0" xfId="0" applyFill="1" applyAlignment="1">
      <alignment horizontal="left" vertical="center" indent="2"/>
    </xf>
    <xf numFmtId="0" fontId="25" fillId="6" borderId="0" xfId="0" applyFont="1" applyFill="1" applyAlignment="1">
      <alignment horizontal="left" vertical="center" indent="2"/>
    </xf>
    <xf numFmtId="165" fontId="53" fillId="11" borderId="0" xfId="0" applyNumberFormat="1" applyFont="1" applyFill="1" applyAlignment="1">
      <alignment horizontal="left"/>
    </xf>
    <xf numFmtId="0" fontId="18" fillId="6" borderId="0" xfId="0" applyFont="1" applyFill="1" applyAlignment="1">
      <alignment horizontal="left" indent="1"/>
    </xf>
    <xf numFmtId="0" fontId="52" fillId="6" borderId="0" xfId="0" applyFont="1" applyFill="1" applyAlignment="1">
      <alignment horizontal="left" vertical="center" indent="1"/>
    </xf>
    <xf numFmtId="0" fontId="52" fillId="6" borderId="215" xfId="0" applyFont="1" applyFill="1" applyBorder="1" applyAlignment="1">
      <alignment horizontal="left" vertical="center" indent="1"/>
    </xf>
    <xf numFmtId="0" fontId="65" fillId="0" borderId="0" xfId="0" applyFont="1" applyAlignment="1">
      <alignment vertical="center"/>
    </xf>
    <xf numFmtId="0" fontId="66" fillId="0" borderId="0" xfId="0" applyFont="1" applyAlignment="1">
      <alignment vertical="center"/>
    </xf>
    <xf numFmtId="0" fontId="67" fillId="0" borderId="0" xfId="0" applyFont="1"/>
    <xf numFmtId="0" fontId="68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 applyAlignment="1">
      <alignment vertical="center"/>
    </xf>
    <xf numFmtId="0" fontId="70" fillId="0" borderId="0" xfId="0" applyFont="1" applyAlignment="1">
      <alignment horizontal="left"/>
    </xf>
    <xf numFmtId="0" fontId="67" fillId="0" borderId="0" xfId="0" applyFont="1" applyProtection="1">
      <protection locked="0"/>
    </xf>
    <xf numFmtId="165" fontId="67" fillId="0" borderId="0" xfId="0" applyNumberFormat="1" applyFont="1" applyAlignment="1">
      <alignment horizontal="right" vertical="center"/>
    </xf>
    <xf numFmtId="1" fontId="67" fillId="0" borderId="0" xfId="0" applyNumberFormat="1" applyFont="1" applyAlignment="1">
      <alignment horizontal="right" vertical="center"/>
    </xf>
    <xf numFmtId="0" fontId="70" fillId="0" borderId="0" xfId="0" applyFont="1" applyAlignment="1">
      <alignment vertical="center"/>
    </xf>
    <xf numFmtId="0" fontId="70" fillId="0" borderId="0" xfId="0" applyFont="1"/>
    <xf numFmtId="0" fontId="72" fillId="0" borderId="0" xfId="0" applyFont="1"/>
    <xf numFmtId="0" fontId="69" fillId="0" borderId="0" xfId="0" applyFont="1"/>
    <xf numFmtId="0" fontId="71" fillId="0" borderId="0" xfId="0" applyFont="1"/>
    <xf numFmtId="0" fontId="72" fillId="0" borderId="0" xfId="0" applyFont="1" applyAlignment="1">
      <alignment vertical="center"/>
    </xf>
    <xf numFmtId="0" fontId="70" fillId="0" borderId="0" xfId="0" applyFont="1" applyAlignment="1">
      <alignment horizontal="right" vertical="center"/>
    </xf>
    <xf numFmtId="0" fontId="69" fillId="0" borderId="0" xfId="0" applyFont="1" applyAlignment="1">
      <alignment vertical="center"/>
    </xf>
    <xf numFmtId="0" fontId="70" fillId="0" borderId="0" xfId="0" applyFont="1" applyAlignment="1">
      <alignment horizontal="left" vertical="center"/>
    </xf>
    <xf numFmtId="165" fontId="70" fillId="0" borderId="0" xfId="0" applyNumberFormat="1" applyFont="1" applyAlignment="1">
      <alignment vertical="center"/>
    </xf>
    <xf numFmtId="165" fontId="70" fillId="0" borderId="0" xfId="0" applyNumberFormat="1" applyFont="1" applyAlignment="1">
      <alignment horizontal="right" vertical="center"/>
    </xf>
    <xf numFmtId="165" fontId="70" fillId="0" borderId="0" xfId="0" applyNumberFormat="1" applyFont="1"/>
    <xf numFmtId="165" fontId="70" fillId="0" borderId="0" xfId="0" applyNumberFormat="1" applyFont="1" applyAlignment="1">
      <alignment horizontal="left" vertical="center"/>
    </xf>
    <xf numFmtId="9" fontId="70" fillId="0" borderId="0" xfId="5" applyFont="1" applyAlignment="1">
      <alignment horizontal="left" vertical="center"/>
    </xf>
    <xf numFmtId="2" fontId="70" fillId="0" borderId="0" xfId="0" applyNumberFormat="1" applyFont="1" applyAlignment="1">
      <alignment vertical="center"/>
    </xf>
    <xf numFmtId="9" fontId="70" fillId="0" borderId="0" xfId="5" applyFont="1" applyAlignment="1">
      <alignment vertical="center"/>
    </xf>
    <xf numFmtId="166" fontId="70" fillId="0" borderId="0" xfId="5" applyNumberFormat="1" applyFont="1" applyAlignment="1">
      <alignment horizontal="left" vertical="center"/>
    </xf>
    <xf numFmtId="0" fontId="71" fillId="0" borderId="0" xfId="0" applyFont="1" applyAlignment="1" applyProtection="1">
      <alignment vertical="center"/>
      <protection locked="0"/>
    </xf>
    <xf numFmtId="0" fontId="73" fillId="0" borderId="0" xfId="0" applyFont="1" applyAlignment="1">
      <alignment horizontal="right" vertical="top" indent="1"/>
    </xf>
    <xf numFmtId="2" fontId="0" fillId="0" borderId="28" xfId="0" applyNumberFormat="1" applyBorder="1"/>
    <xf numFmtId="0" fontId="0" fillId="0" borderId="0" xfId="0" applyAlignment="1">
      <alignment horizontal="left" indent="1"/>
    </xf>
    <xf numFmtId="0" fontId="19" fillId="11" borderId="0" xfId="0" applyFont="1" applyFill="1" applyAlignment="1">
      <alignment horizontal="center" vertical="center"/>
    </xf>
    <xf numFmtId="0" fontId="19" fillId="11" borderId="0" xfId="0" applyFont="1" applyFill="1" applyAlignment="1">
      <alignment horizontal="left" vertical="center"/>
    </xf>
    <xf numFmtId="0" fontId="73" fillId="0" borderId="0" xfId="0" applyFont="1" applyAlignment="1">
      <alignment horizontal="left" vertical="center"/>
    </xf>
    <xf numFmtId="165" fontId="59" fillId="11" borderId="0" xfId="0" applyNumberFormat="1" applyFont="1" applyFill="1" applyAlignment="1">
      <alignment horizontal="left"/>
    </xf>
    <xf numFmtId="0" fontId="39" fillId="11" borderId="0" xfId="0" applyFont="1" applyFill="1" applyAlignment="1">
      <alignment horizontal="left"/>
    </xf>
    <xf numFmtId="0" fontId="0" fillId="11" borderId="0" xfId="0" applyFill="1" applyAlignment="1">
      <alignment horizontal="left"/>
    </xf>
    <xf numFmtId="0" fontId="25" fillId="6" borderId="125" xfId="0" applyFont="1" applyFill="1" applyBorder="1" applyAlignment="1">
      <alignment vertical="center"/>
    </xf>
    <xf numFmtId="0" fontId="75" fillId="11" borderId="44" xfId="0" applyFont="1" applyFill="1" applyBorder="1" applyAlignment="1">
      <alignment horizontal="left"/>
    </xf>
    <xf numFmtId="0" fontId="75" fillId="11" borderId="33" xfId="0" applyFont="1" applyFill="1" applyBorder="1"/>
    <xf numFmtId="0" fontId="76" fillId="0" borderId="0" xfId="0" applyFont="1"/>
    <xf numFmtId="165" fontId="60" fillId="11" borderId="0" xfId="0" applyNumberFormat="1" applyFont="1" applyFill="1" applyAlignment="1">
      <alignment horizontal="left" vertical="center" indent="2"/>
    </xf>
    <xf numFmtId="165" fontId="47" fillId="11" borderId="21" xfId="0" quotePrefix="1" applyNumberFormat="1" applyFont="1" applyFill="1" applyBorder="1" applyAlignment="1">
      <alignment horizontal="left" indent="1"/>
    </xf>
    <xf numFmtId="165" fontId="47" fillId="11" borderId="0" xfId="0" applyNumberFormat="1" applyFont="1" applyFill="1" applyAlignment="1">
      <alignment horizontal="left" vertical="center" indent="1"/>
    </xf>
    <xf numFmtId="0" fontId="47" fillId="11" borderId="0" xfId="0" applyFont="1" applyFill="1"/>
    <xf numFmtId="165" fontId="47" fillId="11" borderId="21" xfId="0" applyNumberFormat="1" applyFont="1" applyFill="1" applyBorder="1" applyAlignment="1">
      <alignment horizontal="left" vertical="center" indent="1"/>
    </xf>
    <xf numFmtId="2" fontId="0" fillId="0" borderId="44" xfId="0" applyNumberFormat="1" applyBorder="1"/>
    <xf numFmtId="0" fontId="0" fillId="6" borderId="220" xfId="0" applyFill="1" applyBorder="1"/>
    <xf numFmtId="0" fontId="26" fillId="9" borderId="205" xfId="0" applyFont="1" applyFill="1" applyBorder="1" applyAlignment="1">
      <alignment horizontal="center"/>
    </xf>
    <xf numFmtId="0" fontId="26" fillId="9" borderId="206" xfId="0" applyFont="1" applyFill="1" applyBorder="1" applyAlignment="1">
      <alignment horizontal="center"/>
    </xf>
    <xf numFmtId="0" fontId="26" fillId="9" borderId="207" xfId="0" applyFont="1" applyFill="1" applyBorder="1" applyAlignment="1">
      <alignment horizontal="center"/>
    </xf>
    <xf numFmtId="165" fontId="26" fillId="9" borderId="206" xfId="0" applyNumberFormat="1" applyFont="1" applyFill="1" applyBorder="1" applyAlignment="1">
      <alignment horizontal="center"/>
    </xf>
    <xf numFmtId="165" fontId="26" fillId="9" borderId="209" xfId="0" applyNumberFormat="1" applyFont="1" applyFill="1" applyBorder="1" applyAlignment="1">
      <alignment horizontal="center"/>
    </xf>
    <xf numFmtId="165" fontId="26" fillId="9" borderId="212" xfId="0" applyNumberFormat="1" applyFont="1" applyFill="1" applyBorder="1" applyAlignment="1">
      <alignment horizontal="center"/>
    </xf>
    <xf numFmtId="165" fontId="26" fillId="9" borderId="211" xfId="0" applyNumberFormat="1" applyFont="1" applyFill="1" applyBorder="1" applyAlignment="1">
      <alignment horizontal="center"/>
    </xf>
    <xf numFmtId="2" fontId="26" fillId="9" borderId="206" xfId="0" applyNumberFormat="1" applyFont="1" applyFill="1" applyBorder="1" applyAlignment="1">
      <alignment horizontal="center"/>
    </xf>
    <xf numFmtId="166" fontId="26" fillId="9" borderId="206" xfId="5" applyNumberFormat="1" applyFont="1" applyFill="1" applyBorder="1" applyAlignment="1">
      <alignment horizontal="center"/>
    </xf>
    <xf numFmtId="0" fontId="77" fillId="6" borderId="0" xfId="0" applyFont="1" applyFill="1" applyAlignment="1">
      <alignment horizontal="left" vertical="center" indent="1"/>
    </xf>
    <xf numFmtId="0" fontId="77" fillId="6" borderId="0" xfId="0" applyFont="1" applyFill="1" applyAlignment="1">
      <alignment vertical="center"/>
    </xf>
    <xf numFmtId="0" fontId="34" fillId="6" borderId="0" xfId="0" applyFont="1" applyFill="1"/>
    <xf numFmtId="0" fontId="18" fillId="11" borderId="0" xfId="0" applyFont="1" applyFill="1" applyAlignment="1">
      <alignment horizontal="left"/>
    </xf>
    <xf numFmtId="0" fontId="78" fillId="11" borderId="44" xfId="0" applyFont="1" applyFill="1" applyBorder="1" applyAlignment="1">
      <alignment horizontal="left"/>
    </xf>
    <xf numFmtId="0" fontId="78" fillId="11" borderId="33" xfId="0" applyFont="1" applyFill="1" applyBorder="1"/>
    <xf numFmtId="0" fontId="20" fillId="0" borderId="0" xfId="0" applyFont="1"/>
    <xf numFmtId="0" fontId="0" fillId="0" borderId="221" xfId="0" applyBorder="1"/>
    <xf numFmtId="0" fontId="34" fillId="11" borderId="138" xfId="0" applyFont="1" applyFill="1" applyBorder="1" applyAlignment="1">
      <alignment horizontal="center"/>
    </xf>
    <xf numFmtId="0" fontId="34" fillId="11" borderId="0" xfId="0" applyFont="1" applyFill="1" applyBorder="1" applyAlignment="1">
      <alignment horizontal="center"/>
    </xf>
    <xf numFmtId="0" fontId="25" fillId="11" borderId="44" xfId="0" applyFont="1" applyFill="1" applyBorder="1" applyAlignment="1">
      <alignment horizontal="left" vertical="center"/>
    </xf>
    <xf numFmtId="165" fontId="26" fillId="9" borderId="0" xfId="0" applyNumberFormat="1" applyFont="1" applyFill="1" applyBorder="1" applyAlignment="1">
      <alignment horizontal="center"/>
    </xf>
    <xf numFmtId="0" fontId="28" fillId="11" borderId="0" xfId="0" applyFont="1" applyFill="1" applyBorder="1" applyAlignment="1">
      <alignment horizontal="right"/>
    </xf>
    <xf numFmtId="0" fontId="28" fillId="11" borderId="223" xfId="0" applyFont="1" applyFill="1" applyBorder="1" applyAlignment="1">
      <alignment horizontal="right"/>
    </xf>
    <xf numFmtId="165" fontId="26" fillId="9" borderId="177" xfId="0" applyNumberFormat="1" applyFont="1" applyFill="1" applyBorder="1" applyAlignment="1">
      <alignment horizontal="center"/>
    </xf>
    <xf numFmtId="165" fontId="26" fillId="9" borderId="224" xfId="0" applyNumberFormat="1" applyFont="1" applyFill="1" applyBorder="1" applyAlignment="1">
      <alignment horizontal="center"/>
    </xf>
    <xf numFmtId="165" fontId="26" fillId="9" borderId="225" xfId="0" applyNumberFormat="1" applyFont="1" applyFill="1" applyBorder="1" applyAlignment="1">
      <alignment horizontal="center"/>
    </xf>
    <xf numFmtId="165" fontId="26" fillId="9" borderId="223" xfId="0" applyNumberFormat="1" applyFont="1" applyFill="1" applyBorder="1" applyAlignment="1">
      <alignment horizontal="center"/>
    </xf>
    <xf numFmtId="165" fontId="26" fillId="9" borderId="226" xfId="0" applyNumberFormat="1" applyFont="1" applyFill="1" applyBorder="1" applyAlignment="1">
      <alignment horizontal="center"/>
    </xf>
    <xf numFmtId="165" fontId="26" fillId="9" borderId="227" xfId="0" applyNumberFormat="1" applyFont="1" applyFill="1" applyBorder="1" applyAlignment="1">
      <alignment horizontal="center"/>
    </xf>
    <xf numFmtId="165" fontId="26" fillId="9" borderId="228" xfId="0" applyNumberFormat="1" applyFont="1" applyFill="1" applyBorder="1" applyAlignment="1">
      <alignment horizontal="center"/>
    </xf>
    <xf numFmtId="165" fontId="26" fillId="9" borderId="174" xfId="0" applyNumberFormat="1" applyFont="1" applyFill="1" applyBorder="1" applyAlignment="1">
      <alignment horizontal="center"/>
    </xf>
    <xf numFmtId="165" fontId="26" fillId="9" borderId="229" xfId="0" applyNumberFormat="1" applyFont="1" applyFill="1" applyBorder="1" applyAlignment="1">
      <alignment horizontal="center"/>
    </xf>
    <xf numFmtId="165" fontId="26" fillId="9" borderId="230" xfId="0" applyNumberFormat="1" applyFont="1" applyFill="1" applyBorder="1" applyAlignment="1">
      <alignment horizontal="center"/>
    </xf>
    <xf numFmtId="165" fontId="26" fillId="9" borderId="175" xfId="0" applyNumberFormat="1" applyFont="1" applyFill="1" applyBorder="1" applyAlignment="1">
      <alignment horizontal="center"/>
    </xf>
    <xf numFmtId="165" fontId="26" fillId="9" borderId="231" xfId="0" applyNumberFormat="1" applyFont="1" applyFill="1" applyBorder="1" applyAlignment="1">
      <alignment horizontal="center"/>
    </xf>
    <xf numFmtId="0" fontId="0" fillId="11" borderId="0" xfId="0" applyFill="1" applyBorder="1"/>
    <xf numFmtId="2" fontId="26" fillId="9" borderId="232" xfId="0" applyNumberFormat="1" applyFont="1" applyFill="1" applyBorder="1" applyAlignment="1">
      <alignment horizontal="center"/>
    </xf>
    <xf numFmtId="2" fontId="26" fillId="9" borderId="138" xfId="0" applyNumberFormat="1" applyFont="1" applyFill="1" applyBorder="1" applyAlignment="1">
      <alignment horizontal="center"/>
    </xf>
    <xf numFmtId="2" fontId="26" fillId="9" borderId="143" xfId="0" applyNumberFormat="1" applyFont="1" applyFill="1" applyBorder="1" applyAlignment="1">
      <alignment horizontal="center"/>
    </xf>
    <xf numFmtId="2" fontId="26" fillId="9" borderId="0" xfId="0" applyNumberFormat="1" applyFont="1" applyFill="1" applyBorder="1" applyAlignment="1">
      <alignment horizontal="center"/>
    </xf>
    <xf numFmtId="2" fontId="26" fillId="9" borderId="173" xfId="0" applyNumberFormat="1" applyFont="1" applyFill="1" applyBorder="1" applyAlignment="1">
      <alignment horizontal="center"/>
    </xf>
    <xf numFmtId="0" fontId="45" fillId="6" borderId="170" xfId="0" applyFont="1" applyFill="1" applyBorder="1" applyAlignment="1">
      <alignment horizontal="center" vertical="center"/>
    </xf>
    <xf numFmtId="0" fontId="25" fillId="6" borderId="168" xfId="0" applyFont="1" applyFill="1" applyBorder="1" applyAlignment="1">
      <alignment vertical="center"/>
    </xf>
    <xf numFmtId="0" fontId="25" fillId="6" borderId="125" xfId="0" applyFont="1" applyFill="1" applyBorder="1" applyAlignment="1">
      <alignment vertical="center"/>
    </xf>
    <xf numFmtId="0" fontId="26" fillId="9" borderId="33" xfId="0" applyFont="1" applyFill="1" applyBorder="1" applyAlignment="1">
      <alignment horizontal="center"/>
    </xf>
    <xf numFmtId="0" fontId="26" fillId="9" borderId="123" xfId="0" applyFont="1" applyFill="1" applyBorder="1" applyAlignment="1">
      <alignment horizontal="center"/>
    </xf>
    <xf numFmtId="0" fontId="26" fillId="9" borderId="125" xfId="0" applyFont="1" applyFill="1" applyBorder="1" applyAlignment="1">
      <alignment horizontal="center"/>
    </xf>
    <xf numFmtId="0" fontId="26" fillId="9" borderId="126" xfId="0" applyFont="1" applyFill="1" applyBorder="1" applyAlignment="1">
      <alignment horizontal="center"/>
    </xf>
    <xf numFmtId="0" fontId="26" fillId="9" borderId="185" xfId="0" applyFont="1" applyFill="1" applyBorder="1" applyAlignment="1">
      <alignment horizontal="center"/>
    </xf>
    <xf numFmtId="0" fontId="26" fillId="9" borderId="168" xfId="0" applyFont="1" applyFill="1" applyBorder="1" applyAlignment="1">
      <alignment horizontal="center"/>
    </xf>
    <xf numFmtId="0" fontId="26" fillId="9" borderId="186" xfId="0" applyFont="1" applyFill="1" applyBorder="1" applyAlignment="1">
      <alignment horizontal="center"/>
    </xf>
    <xf numFmtId="0" fontId="26" fillId="9" borderId="124" xfId="0" applyFont="1" applyFill="1" applyBorder="1" applyAlignment="1">
      <alignment horizontal="center"/>
    </xf>
    <xf numFmtId="0" fontId="45" fillId="6" borderId="170" xfId="0" applyFont="1" applyFill="1" applyBorder="1" applyAlignment="1" applyProtection="1">
      <alignment horizontal="center" vertical="center"/>
      <protection locked="0"/>
    </xf>
    <xf numFmtId="0" fontId="25" fillId="6" borderId="0" xfId="0" applyFont="1" applyFill="1" applyAlignment="1">
      <alignment horizontal="center"/>
    </xf>
    <xf numFmtId="0" fontId="26" fillId="9" borderId="218" xfId="0" applyFont="1" applyFill="1" applyBorder="1" applyAlignment="1">
      <alignment horizontal="center"/>
    </xf>
    <xf numFmtId="0" fontId="26" fillId="9" borderId="219" xfId="0" applyFont="1" applyFill="1" applyBorder="1" applyAlignment="1">
      <alignment horizontal="center"/>
    </xf>
    <xf numFmtId="0" fontId="26" fillId="9" borderId="133" xfId="0" applyFont="1" applyFill="1" applyBorder="1" applyAlignment="1">
      <alignment horizontal="center"/>
    </xf>
    <xf numFmtId="0" fontId="26" fillId="9" borderId="11" xfId="0" applyFont="1" applyFill="1" applyBorder="1" applyAlignment="1">
      <alignment horizontal="center"/>
    </xf>
    <xf numFmtId="0" fontId="25" fillId="6" borderId="0" xfId="0" applyFont="1" applyFill="1" applyAlignment="1">
      <alignment horizontal="left" vertical="center" wrapText="1"/>
    </xf>
    <xf numFmtId="0" fontId="25" fillId="6" borderId="125" xfId="0" applyFont="1" applyFill="1" applyBorder="1" applyAlignment="1">
      <alignment horizontal="left" vertical="center" wrapText="1"/>
    </xf>
    <xf numFmtId="0" fontId="43" fillId="11" borderId="125" xfId="0" applyFont="1" applyFill="1" applyBorder="1" applyAlignment="1">
      <alignment horizontal="left"/>
    </xf>
    <xf numFmtId="0" fontId="25" fillId="11" borderId="154" xfId="0" applyFont="1" applyFill="1" applyBorder="1" applyAlignment="1">
      <alignment horizontal="left" vertical="center" wrapText="1"/>
    </xf>
    <xf numFmtId="0" fontId="25" fillId="11" borderId="125" xfId="0" applyFont="1" applyFill="1" applyBorder="1" applyAlignment="1">
      <alignment horizontal="left" vertical="center"/>
    </xf>
    <xf numFmtId="0" fontId="25" fillId="11" borderId="222" xfId="0" applyFont="1" applyFill="1" applyBorder="1" applyAlignment="1">
      <alignment horizontal="center" vertical="center" textRotation="90"/>
    </xf>
    <xf numFmtId="0" fontId="25" fillId="11" borderId="131" xfId="0" applyFont="1" applyFill="1" applyBorder="1" applyAlignment="1">
      <alignment horizontal="center" vertical="center" textRotation="90"/>
    </xf>
    <xf numFmtId="0" fontId="25" fillId="11" borderId="132" xfId="0" applyFont="1" applyFill="1" applyBorder="1" applyAlignment="1">
      <alignment horizontal="center" vertical="center" textRotation="90"/>
    </xf>
    <xf numFmtId="0" fontId="25" fillId="11" borderId="176" xfId="0" applyFont="1" applyFill="1" applyBorder="1" applyAlignment="1">
      <alignment horizontal="center" vertical="center"/>
    </xf>
    <xf numFmtId="0" fontId="25" fillId="11" borderId="179" xfId="0" applyFont="1" applyFill="1" applyBorder="1" applyAlignment="1">
      <alignment horizontal="center" vertical="center"/>
    </xf>
    <xf numFmtId="0" fontId="25" fillId="11" borderId="180" xfId="0" applyFont="1" applyFill="1" applyBorder="1" applyAlignment="1">
      <alignment horizontal="center" vertical="center"/>
    </xf>
    <xf numFmtId="0" fontId="25" fillId="11" borderId="176" xfId="0" applyFont="1" applyFill="1" applyBorder="1" applyAlignment="1">
      <alignment horizontal="center" vertical="center" wrapText="1"/>
    </xf>
    <xf numFmtId="0" fontId="25" fillId="11" borderId="179" xfId="0" applyFont="1" applyFill="1" applyBorder="1" applyAlignment="1">
      <alignment horizontal="center" vertical="center" wrapText="1"/>
    </xf>
    <xf numFmtId="0" fontId="25" fillId="11" borderId="180" xfId="0" applyFont="1" applyFill="1" applyBorder="1" applyAlignment="1">
      <alignment horizontal="center" vertical="center" wrapText="1"/>
    </xf>
    <xf numFmtId="0" fontId="44" fillId="11" borderId="125" xfId="0" applyFont="1" applyFill="1" applyBorder="1" applyAlignment="1" applyProtection="1">
      <alignment horizontal="left"/>
      <protection locked="0"/>
    </xf>
    <xf numFmtId="0" fontId="25" fillId="9" borderId="120" xfId="0" applyFont="1" applyFill="1" applyBorder="1" applyAlignment="1">
      <alignment horizontal="center"/>
    </xf>
    <xf numFmtId="0" fontId="25" fillId="9" borderId="121" xfId="0" applyFont="1" applyFill="1" applyBorder="1" applyAlignment="1">
      <alignment horizontal="center"/>
    </xf>
    <xf numFmtId="0" fontId="25" fillId="9" borderId="122" xfId="0" applyFont="1" applyFill="1" applyBorder="1" applyAlignment="1">
      <alignment horizontal="center"/>
    </xf>
    <xf numFmtId="9" fontId="7" fillId="11" borderId="162" xfId="3" applyNumberFormat="1" applyFont="1" applyFill="1" applyBorder="1" applyAlignment="1" applyProtection="1">
      <alignment horizontal="center" vertical="center"/>
      <protection locked="0"/>
    </xf>
    <xf numFmtId="9" fontId="7" fillId="11" borderId="163" xfId="3" applyNumberFormat="1" applyFont="1" applyFill="1" applyBorder="1" applyAlignment="1" applyProtection="1">
      <alignment horizontal="center" vertical="center"/>
      <protection locked="0"/>
    </xf>
    <xf numFmtId="0" fontId="77" fillId="6" borderId="0" xfId="0" applyFont="1" applyFill="1" applyAlignment="1">
      <alignment horizontal="center" vertical="center"/>
    </xf>
    <xf numFmtId="0" fontId="7" fillId="11" borderId="162" xfId="3" applyFont="1" applyFill="1" applyBorder="1" applyAlignment="1" applyProtection="1">
      <alignment horizontal="center" vertical="center"/>
      <protection locked="0"/>
    </xf>
    <xf numFmtId="0" fontId="7" fillId="11" borderId="163" xfId="3" applyFont="1" applyFill="1" applyBorder="1" applyAlignment="1" applyProtection="1">
      <alignment horizontal="center" vertical="center"/>
      <protection locked="0"/>
    </xf>
    <xf numFmtId="165" fontId="7" fillId="11" borderId="162" xfId="3" applyNumberFormat="1" applyFont="1" applyFill="1" applyBorder="1" applyAlignment="1" applyProtection="1">
      <alignment horizontal="center" vertical="center"/>
      <protection locked="0"/>
    </xf>
    <xf numFmtId="165" fontId="7" fillId="11" borderId="163" xfId="3" applyNumberFormat="1" applyFont="1" applyFill="1" applyBorder="1" applyAlignment="1" applyProtection="1">
      <alignment horizontal="center" vertical="center"/>
      <protection locked="0"/>
    </xf>
    <xf numFmtId="165" fontId="7" fillId="11" borderId="172" xfId="3" applyNumberFormat="1" applyFont="1" applyFill="1" applyBorder="1" applyAlignment="1" applyProtection="1">
      <alignment horizontal="center" vertical="center"/>
      <protection locked="0"/>
    </xf>
    <xf numFmtId="165" fontId="7" fillId="11" borderId="189" xfId="3" applyNumberFormat="1" applyFont="1" applyFill="1" applyBorder="1" applyAlignment="1" applyProtection="1">
      <alignment horizontal="center" vertical="center"/>
      <protection locked="0"/>
    </xf>
    <xf numFmtId="0" fontId="26" fillId="11" borderId="44" xfId="0" applyFont="1" applyFill="1" applyBorder="1" applyAlignment="1">
      <alignment horizontal="center" vertical="center"/>
    </xf>
    <xf numFmtId="0" fontId="26" fillId="11" borderId="176" xfId="0" applyFont="1" applyFill="1" applyBorder="1" applyAlignment="1">
      <alignment horizontal="center" vertical="center"/>
    </xf>
    <xf numFmtId="0" fontId="26" fillId="11" borderId="179" xfId="0" applyFont="1" applyFill="1" applyBorder="1" applyAlignment="1">
      <alignment horizontal="center" vertical="center"/>
    </xf>
    <xf numFmtId="0" fontId="26" fillId="11" borderId="180" xfId="0" applyFont="1" applyFill="1" applyBorder="1" applyAlignment="1">
      <alignment horizontal="center" vertical="center"/>
    </xf>
    <xf numFmtId="0" fontId="26" fillId="11" borderId="54" xfId="0" applyFont="1" applyFill="1" applyBorder="1" applyAlignment="1">
      <alignment horizontal="center" vertical="center"/>
    </xf>
    <xf numFmtId="0" fontId="26" fillId="11" borderId="188" xfId="0" applyFont="1" applyFill="1" applyBorder="1" applyAlignment="1">
      <alignment horizontal="center" vertical="center"/>
    </xf>
    <xf numFmtId="0" fontId="26" fillId="11" borderId="159" xfId="0" applyFont="1" applyFill="1" applyBorder="1" applyAlignment="1">
      <alignment horizontal="center" vertical="center"/>
    </xf>
    <xf numFmtId="0" fontId="26" fillId="11" borderId="184" xfId="0" applyFont="1" applyFill="1" applyBorder="1" applyAlignment="1">
      <alignment horizontal="center" vertical="center"/>
    </xf>
    <xf numFmtId="0" fontId="26" fillId="11" borderId="183" xfId="0" applyFont="1" applyFill="1" applyBorder="1" applyAlignment="1">
      <alignment horizontal="center" vertical="center"/>
    </xf>
    <xf numFmtId="0" fontId="26" fillId="11" borderId="63" xfId="0" applyFont="1" applyFill="1" applyBorder="1" applyAlignment="1">
      <alignment horizontal="center" vertical="center"/>
    </xf>
    <xf numFmtId="0" fontId="25" fillId="11" borderId="130" xfId="0" applyFont="1" applyFill="1" applyBorder="1" applyAlignment="1">
      <alignment horizontal="center" vertical="center"/>
    </xf>
    <xf numFmtId="0" fontId="25" fillId="11" borderId="44" xfId="0" applyFont="1" applyFill="1" applyBorder="1" applyAlignment="1">
      <alignment horizontal="center" vertical="center"/>
    </xf>
    <xf numFmtId="0" fontId="25" fillId="11" borderId="159" xfId="0" applyFont="1" applyFill="1" applyBorder="1" applyAlignment="1">
      <alignment horizontal="center" vertical="center"/>
    </xf>
    <xf numFmtId="0" fontId="25" fillId="11" borderId="0" xfId="0" applyFont="1" applyFill="1" applyAlignment="1">
      <alignment horizontal="center" vertical="center"/>
    </xf>
    <xf numFmtId="0" fontId="25" fillId="11" borderId="125" xfId="0" applyFont="1" applyFill="1" applyBorder="1" applyAlignment="1">
      <alignment horizontal="center" vertical="center"/>
    </xf>
    <xf numFmtId="0" fontId="25" fillId="11" borderId="154" xfId="0" applyFont="1" applyFill="1" applyBorder="1" applyAlignment="1">
      <alignment horizontal="center" vertical="center"/>
    </xf>
    <xf numFmtId="0" fontId="25" fillId="11" borderId="134" xfId="0" applyFont="1" applyFill="1" applyBorder="1" applyAlignment="1">
      <alignment horizontal="center" vertical="center" textRotation="90"/>
    </xf>
    <xf numFmtId="0" fontId="25" fillId="11" borderId="135" xfId="0" applyFont="1" applyFill="1" applyBorder="1" applyAlignment="1">
      <alignment horizontal="center" vertical="center" textRotation="90"/>
    </xf>
    <xf numFmtId="0" fontId="25" fillId="11" borderId="160" xfId="0" applyFont="1" applyFill="1" applyBorder="1" applyAlignment="1">
      <alignment horizontal="center" vertical="center" textRotation="90"/>
    </xf>
    <xf numFmtId="0" fontId="25" fillId="11" borderId="71" xfId="0" applyFont="1" applyFill="1" applyBorder="1" applyAlignment="1">
      <alignment horizontal="center" vertical="center"/>
    </xf>
    <xf numFmtId="0" fontId="25" fillId="11" borderId="191" xfId="0" applyFont="1" applyFill="1" applyBorder="1" applyAlignment="1">
      <alignment horizontal="center" vertical="center"/>
    </xf>
    <xf numFmtId="0" fontId="25" fillId="11" borderId="192" xfId="0" applyFont="1" applyFill="1" applyBorder="1" applyAlignment="1">
      <alignment horizontal="center" vertical="center"/>
    </xf>
    <xf numFmtId="0" fontId="25" fillId="11" borderId="193" xfId="0" applyFont="1" applyFill="1" applyBorder="1" applyAlignment="1">
      <alignment horizontal="center" vertical="center" textRotation="90"/>
    </xf>
    <xf numFmtId="0" fontId="25" fillId="11" borderId="194" xfId="0" applyFont="1" applyFill="1" applyBorder="1" applyAlignment="1">
      <alignment horizontal="center" vertical="center" textRotation="90"/>
    </xf>
    <xf numFmtId="0" fontId="25" fillId="11" borderId="71" xfId="0" applyFont="1" applyFill="1" applyBorder="1" applyAlignment="1">
      <alignment horizontal="center" vertical="center" textRotation="90"/>
    </xf>
    <xf numFmtId="0" fontId="25" fillId="11" borderId="195" xfId="0" applyFont="1" applyFill="1" applyBorder="1" applyAlignment="1">
      <alignment horizontal="center" vertical="center" textRotation="90"/>
    </xf>
    <xf numFmtId="0" fontId="70" fillId="0" borderId="0" xfId="0" applyFont="1" applyProtection="1">
      <protection locked="0"/>
    </xf>
    <xf numFmtId="0" fontId="34" fillId="11" borderId="149" xfId="0" applyFont="1" applyFill="1" applyBorder="1" applyAlignment="1">
      <alignment horizontal="center" vertical="center"/>
    </xf>
    <xf numFmtId="0" fontId="34" fillId="11" borderId="150" xfId="0" applyFont="1" applyFill="1" applyBorder="1" applyAlignment="1">
      <alignment horizontal="center" vertical="center"/>
    </xf>
    <xf numFmtId="0" fontId="17" fillId="6" borderId="118" xfId="2" applyFont="1" applyFill="1" applyBorder="1" applyAlignment="1">
      <alignment horizontal="left"/>
    </xf>
    <xf numFmtId="0" fontId="25" fillId="6" borderId="170" xfId="0" applyFont="1" applyFill="1" applyBorder="1" applyAlignment="1">
      <alignment horizontal="center" vertical="center"/>
    </xf>
    <xf numFmtId="0" fontId="25" fillId="11" borderId="198" xfId="0" applyFont="1" applyFill="1" applyBorder="1" applyAlignment="1">
      <alignment horizontal="center" vertical="center" wrapText="1"/>
    </xf>
    <xf numFmtId="0" fontId="25" fillId="6" borderId="170" xfId="0" applyFont="1" applyFill="1" applyBorder="1" applyAlignment="1" applyProtection="1">
      <alignment horizontal="center" vertical="center"/>
      <protection locked="0"/>
    </xf>
    <xf numFmtId="0" fontId="25" fillId="11" borderId="138" xfId="0" applyFont="1" applyFill="1" applyBorder="1" applyAlignment="1">
      <alignment horizontal="center" vertical="center" textRotation="90"/>
    </xf>
    <xf numFmtId="0" fontId="17" fillId="11" borderId="118" xfId="2" applyFont="1" applyFill="1" applyBorder="1" applyAlignment="1">
      <alignment horizontal="left"/>
    </xf>
    <xf numFmtId="0" fontId="70" fillId="0" borderId="0" xfId="0" applyFont="1" applyAlignment="1" applyProtection="1">
      <alignment horizontal="left"/>
      <protection locked="0"/>
    </xf>
    <xf numFmtId="0" fontId="71" fillId="0" borderId="0" xfId="0" applyFont="1" applyAlignment="1" applyProtection="1">
      <alignment horizontal="left" vertical="center"/>
      <protection locked="0"/>
    </xf>
    <xf numFmtId="0" fontId="25" fillId="11" borderId="126" xfId="0" applyFont="1" applyFill="1" applyBorder="1" applyAlignment="1">
      <alignment horizontal="center" vertical="center"/>
    </xf>
    <xf numFmtId="0" fontId="25" fillId="11" borderId="127" xfId="0" applyFont="1" applyFill="1" applyBorder="1" applyAlignment="1">
      <alignment horizontal="center" vertical="center"/>
    </xf>
    <xf numFmtId="0" fontId="25" fillId="11" borderId="182" xfId="0" applyFont="1" applyFill="1" applyBorder="1" applyAlignment="1">
      <alignment horizontal="left" vertical="center"/>
    </xf>
    <xf numFmtId="0" fontId="25" fillId="11" borderId="101" xfId="0" applyFont="1" applyFill="1" applyBorder="1" applyAlignment="1">
      <alignment horizontal="center" vertical="center"/>
    </xf>
    <xf numFmtId="0" fontId="27" fillId="11" borderId="233" xfId="0" applyFont="1" applyFill="1" applyBorder="1"/>
    <xf numFmtId="0" fontId="28" fillId="11" borderId="234" xfId="0" applyFont="1" applyFill="1" applyBorder="1" applyAlignment="1">
      <alignment horizontal="right"/>
    </xf>
    <xf numFmtId="165" fontId="26" fillId="9" borderId="235" xfId="0" applyNumberFormat="1" applyFont="1" applyFill="1" applyBorder="1" applyAlignment="1">
      <alignment horizontal="center"/>
    </xf>
    <xf numFmtId="0" fontId="25" fillId="11" borderId="56" xfId="0" applyFont="1" applyFill="1" applyBorder="1" applyAlignment="1">
      <alignment horizontal="center" vertical="center"/>
    </xf>
    <xf numFmtId="165" fontId="26" fillId="9" borderId="236" xfId="0" applyNumberFormat="1" applyFont="1" applyFill="1" applyBorder="1" applyAlignment="1">
      <alignment horizontal="center"/>
    </xf>
    <xf numFmtId="165" fontId="26" fillId="9" borderId="237" xfId="0" applyNumberFormat="1" applyFont="1" applyFill="1" applyBorder="1" applyAlignment="1">
      <alignment horizontal="center"/>
    </xf>
    <xf numFmtId="0" fontId="25" fillId="11" borderId="78" xfId="0" applyFont="1" applyFill="1" applyBorder="1" applyAlignment="1">
      <alignment horizontal="center" vertical="center"/>
    </xf>
    <xf numFmtId="0" fontId="27" fillId="11" borderId="238" xfId="0" applyFont="1" applyFill="1" applyBorder="1"/>
    <xf numFmtId="0" fontId="28" fillId="11" borderId="239" xfId="0" applyFont="1" applyFill="1" applyBorder="1" applyAlignment="1">
      <alignment horizontal="right"/>
    </xf>
    <xf numFmtId="165" fontId="26" fillId="9" borderId="240" xfId="0" applyNumberFormat="1" applyFont="1" applyFill="1" applyBorder="1" applyAlignment="1">
      <alignment horizontal="center"/>
    </xf>
    <xf numFmtId="165" fontId="26" fillId="9" borderId="241" xfId="0" applyNumberFormat="1" applyFont="1" applyFill="1" applyBorder="1" applyAlignment="1">
      <alignment horizontal="center"/>
    </xf>
    <xf numFmtId="0" fontId="15" fillId="10" borderId="157" xfId="0" applyFont="1" applyFill="1" applyBorder="1" applyAlignment="1">
      <alignment horizontal="right" vertical="center" indent="2"/>
    </xf>
    <xf numFmtId="0" fontId="15" fillId="10" borderId="158" xfId="0" applyFont="1" applyFill="1" applyBorder="1" applyAlignment="1">
      <alignment horizontal="right" vertical="center" indent="2"/>
    </xf>
    <xf numFmtId="165" fontId="26" fillId="11" borderId="0" xfId="0" applyNumberFormat="1" applyFont="1" applyFill="1" applyAlignment="1">
      <alignment horizontal="left" vertical="center" indent="1"/>
    </xf>
    <xf numFmtId="165" fontId="26" fillId="11" borderId="0" xfId="0" applyNumberFormat="1" applyFont="1" applyFill="1" applyAlignment="1">
      <alignment horizontal="left" vertical="center"/>
    </xf>
    <xf numFmtId="0" fontId="26" fillId="11" borderId="0" xfId="0" applyFont="1" applyFill="1" applyAlignment="1">
      <alignment vertical="center"/>
    </xf>
    <xf numFmtId="165" fontId="26" fillId="11" borderId="0" xfId="0" applyNumberFormat="1" applyFont="1" applyFill="1" applyAlignment="1">
      <alignment horizontal="center" vertical="center"/>
    </xf>
    <xf numFmtId="0" fontId="26" fillId="11" borderId="0" xfId="0" applyFont="1" applyFill="1" applyAlignment="1">
      <alignment horizontal="center" vertical="center"/>
    </xf>
    <xf numFmtId="165" fontId="59" fillId="11" borderId="0" xfId="0" applyNumberFormat="1" applyFont="1" applyFill="1" applyAlignment="1">
      <alignment horizontal="left" vertical="center"/>
    </xf>
    <xf numFmtId="0" fontId="79" fillId="10" borderId="165" xfId="4" applyFont="1" applyFill="1" applyBorder="1" applyAlignment="1">
      <alignment horizontal="center" vertical="center"/>
    </xf>
    <xf numFmtId="0" fontId="79" fillId="10" borderId="157" xfId="4" applyFont="1" applyFill="1" applyBorder="1" applyAlignment="1">
      <alignment horizontal="center" vertical="center"/>
    </xf>
  </cellXfs>
  <cellStyles count="6">
    <cellStyle name="Heading 1" xfId="2" builtinId="16"/>
    <cellStyle name="Hyperlink" xfId="4" builtinId="8"/>
    <cellStyle name="Linked Cell" xfId="3" builtinId="24"/>
    <cellStyle name="Normal" xfId="0" builtinId="0"/>
    <cellStyle name="Percent" xfId="5" builtinId="5"/>
    <cellStyle name="Title" xfId="1" builtinId="15"/>
  </cellStyles>
  <dxfs count="1222"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FF0000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FF0000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0000"/>
      </font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C00000"/>
      </font>
    </dxf>
    <dxf>
      <border>
        <top style="thin">
          <color theme="1" tint="0.24994659260841701"/>
        </top>
        <vertical/>
        <horizontal/>
      </border>
    </dxf>
    <dxf>
      <border>
        <bottom style="thin">
          <color theme="1" tint="0.24994659260841701"/>
        </bottom>
        <vertical/>
        <horizontal/>
      </border>
    </dxf>
    <dxf>
      <border>
        <top style="thin">
          <color theme="1" tint="0.24994659260841701"/>
        </top>
        <vertical/>
        <horizontal/>
      </border>
    </dxf>
    <dxf>
      <border>
        <right style="thin">
          <color theme="1" tint="0.24994659260841701"/>
        </right>
        <vertical/>
        <horizontal/>
      </border>
    </dxf>
    <dxf>
      <border>
        <left style="thin">
          <color theme="1" tint="0.24994659260841701"/>
        </left>
        <vertical/>
        <horizontal/>
      </border>
    </dxf>
    <dxf>
      <border>
        <bottom style="thin">
          <color theme="1" tint="0.24994659260841701"/>
        </bottom>
        <vertical/>
        <horizontal/>
      </border>
    </dxf>
    <dxf>
      <border>
        <right style="thin">
          <color theme="1" tint="0.24994659260841701"/>
        </right>
        <vertical/>
        <horizontal/>
      </border>
    </dxf>
    <dxf>
      <border>
        <left style="thin">
          <color theme="1" tint="0.24994659260841701"/>
        </left>
        <vertical/>
        <horizontal/>
      </border>
    </dxf>
    <dxf>
      <border>
        <right style="thin">
          <color theme="1" tint="0.24994659260841701"/>
        </right>
        <vertical/>
        <horizontal/>
      </border>
    </dxf>
    <dxf>
      <border>
        <left style="thin">
          <color theme="1" tint="0.24994659260841701"/>
        </left>
        <vertical/>
        <horizontal/>
      </border>
    </dxf>
    <dxf>
      <font>
        <color theme="0" tint="-0.34998626667073579"/>
      </font>
    </dxf>
    <dxf>
      <font>
        <color rgb="FFC00000"/>
      </font>
    </dxf>
    <dxf>
      <fill>
        <patternFill>
          <bgColor theme="0" tint="-0.14996795556505021"/>
        </patternFill>
      </fill>
    </dxf>
    <dxf>
      <font>
        <color rgb="FFC00000"/>
      </font>
    </dxf>
    <dxf>
      <font>
        <color rgb="FFC00000"/>
      </font>
    </dxf>
    <dxf>
      <font>
        <color rgb="FFC00000"/>
      </font>
    </dxf>
    <dxf>
      <fill>
        <patternFill>
          <bgColor theme="0" tint="-0.14996795556505021"/>
        </patternFill>
      </fill>
    </dxf>
    <dxf>
      <font>
        <color theme="1" tint="0.499984740745262"/>
      </font>
    </dxf>
    <dxf>
      <font>
        <color theme="0" tint="-0.14996795556505021"/>
      </font>
    </dxf>
    <dxf>
      <font>
        <color theme="1" tint="0.34998626667073579"/>
      </font>
      <fill>
        <patternFill>
          <bgColor theme="0" tint="-0.49998474074526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 tint="0.34998626667073579"/>
      </font>
      <fill>
        <patternFill>
          <bgColor theme="0" tint="-0.49998474074526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 tint="0.499984740745262"/>
      </font>
    </dxf>
    <dxf>
      <font>
        <color theme="1" tint="0.499984740745262"/>
      </font>
    </dxf>
    <dxf>
      <font>
        <color rgb="FFC00000"/>
      </font>
    </dxf>
    <dxf>
      <border>
        <top style="thin">
          <color theme="1" tint="0.24994659260841701"/>
        </top>
        <vertical/>
        <horizontal/>
      </border>
    </dxf>
    <dxf>
      <border>
        <bottom style="thin">
          <color theme="1" tint="0.24994659260841701"/>
        </bottom>
        <vertical/>
        <horizontal/>
      </border>
    </dxf>
    <dxf>
      <border>
        <bottom style="thin">
          <color theme="1" tint="0.24994659260841701"/>
        </bottom>
        <vertical/>
        <horizontal/>
      </border>
    </dxf>
    <dxf>
      <border>
        <left style="thin">
          <color theme="0" tint="-0.24994659260841701"/>
        </left>
        <vertical/>
        <horizontal/>
      </border>
    </dxf>
    <dxf>
      <border>
        <right style="thin">
          <color auto="1"/>
        </right>
        <vertical/>
        <horizontal/>
      </border>
    </dxf>
    <dxf>
      <border>
        <left style="thin">
          <color theme="0" tint="-0.24994659260841701"/>
        </left>
        <vertical/>
        <horizontal/>
      </border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font>
        <color theme="1" tint="0.34998626667073579"/>
      </font>
      <fill>
        <patternFill>
          <bgColor theme="0" tint="-0.49998474074526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 tint="0.34998626667073579"/>
      </font>
      <fill>
        <patternFill>
          <bgColor theme="0" tint="-0.49998474074526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 tint="0.499984740745262"/>
      </font>
    </dxf>
    <dxf>
      <font>
        <color theme="1" tint="0.499984740745262"/>
      </font>
    </dxf>
    <dxf>
      <font>
        <color theme="1" tint="0.499984740745262"/>
      </font>
    </dxf>
    <dxf>
      <font>
        <color theme="0" tint="-0.34998626667073579"/>
      </font>
    </dxf>
    <dxf>
      <font>
        <color theme="0" tint="-0.34998626667073579"/>
      </font>
    </dxf>
    <dxf>
      <font>
        <color rgb="FFC00000"/>
      </font>
    </dxf>
    <dxf>
      <fill>
        <patternFill>
          <bgColor theme="0" tint="-0.14996795556505021"/>
        </patternFill>
      </fill>
    </dxf>
    <dxf>
      <font>
        <color rgb="FFC00000"/>
      </font>
    </dxf>
    <dxf>
      <font>
        <color rgb="FFC00000"/>
      </font>
    </dxf>
    <dxf>
      <font>
        <color rgb="FFC0000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border>
        <top style="thin">
          <color auto="1"/>
        </top>
        <vertical/>
        <horizontal/>
      </border>
    </dxf>
    <dxf>
      <border>
        <left style="thin">
          <color theme="0" tint="-0.24994659260841701"/>
        </left>
        <vertical/>
        <horizontal/>
      </border>
    </dxf>
  </dxfs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Radio" firstButton="1" fmlaLink="'BMW-Std-selection'!$B$16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Radio" firstButton="1" fmlaLink="'BMW-Std-selection'!$B$40" lockText="1" noThreeD="1"/>
</file>

<file path=xl/ctrlProps/ctrlProp15.xml><?xml version="1.0" encoding="utf-8"?>
<formControlPr xmlns="http://schemas.microsoft.com/office/spreadsheetml/2009/9/main" objectType="Radio" checked="Checked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Radio" firstButton="1" fmlaLink="'BMW-Std-selection'!$B$49" lockText="1" noThreeD="1"/>
</file>

<file path=xl/ctrlProps/ctrlProp19.xml><?xml version="1.0" encoding="utf-8"?>
<formControlPr xmlns="http://schemas.microsoft.com/office/spreadsheetml/2009/9/main" objectType="Radio" checked="Checked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Radio" checked="Checked" firstButton="1" fmlaLink="'BMW-Std-selection'!$B$66" lockText="1" noThreeD="1"/>
</file>

<file path=xl/ctrlProps/ctrlProp23.xml><?xml version="1.0" encoding="utf-8"?>
<formControlPr xmlns="http://schemas.microsoft.com/office/spreadsheetml/2009/9/main" objectType="Radio" lockText="1" noThreeD="1"/>
</file>

<file path=xl/ctrlProps/ctrlProp24.xml><?xml version="1.0" encoding="utf-8"?>
<formControlPr xmlns="http://schemas.microsoft.com/office/spreadsheetml/2009/9/main" objectType="Radio" lockText="1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Radio" checked="Checked" firstButton="1" fmlaLink="BMW_Std_Eqn!$B$25" lockText="1" noThreeD="1"/>
</file>

<file path=xl/ctrlProps/ctrlProp28.xml><?xml version="1.0" encoding="utf-8"?>
<formControlPr xmlns="http://schemas.microsoft.com/office/spreadsheetml/2009/9/main" objectType="Radio" lockText="1" noThreeD="1"/>
</file>

<file path=xl/ctrlProps/ctrlProp29.xml><?xml version="1.0" encoding="utf-8"?>
<formControlPr xmlns="http://schemas.microsoft.com/office/spreadsheetml/2009/9/main" objectType="Radio" lockText="1" noThreeD="1"/>
</file>

<file path=xl/ctrlProps/ctrlProp30.xml><?xml version="1.0" encoding="utf-8"?>
<formControlPr xmlns="http://schemas.microsoft.com/office/spreadsheetml/2009/9/main" objectType="GBox" noThreeD="1"/>
</file>

<file path=xl/ctrlProps/ctrlProp31.xml><?xml version="1.0" encoding="utf-8"?>
<formControlPr xmlns="http://schemas.microsoft.com/office/spreadsheetml/2009/9/main" objectType="Radio" checked="Checked" firstButton="1" fmlaLink="BMW_Std_Eqn!$B$5" lockText="1" noThreeD="1"/>
</file>

<file path=xl/ctrlProps/ctrlProp32.xml><?xml version="1.0" encoding="utf-8"?>
<formControlPr xmlns="http://schemas.microsoft.com/office/spreadsheetml/2009/9/main" objectType="Radio" lockText="1" noThreeD="1"/>
</file>

<file path=xl/ctrlProps/ctrlProp33.xml><?xml version="1.0" encoding="utf-8"?>
<formControlPr xmlns="http://schemas.microsoft.com/office/spreadsheetml/2009/9/main" objectType="GBox" noThreeD="1"/>
</file>

<file path=xl/ctrlProps/ctrlProp34.xml><?xml version="1.0" encoding="utf-8"?>
<formControlPr xmlns="http://schemas.microsoft.com/office/spreadsheetml/2009/9/main" objectType="Radio" checked="Checked" firstButton="1" fmlaLink="'BMW-Std-selection'!$B$75" lockText="1" noThreeD="1"/>
</file>

<file path=xl/ctrlProps/ctrlProp35.xml><?xml version="1.0" encoding="utf-8"?>
<formControlPr xmlns="http://schemas.microsoft.com/office/spreadsheetml/2009/9/main" objectType="CheckBox" fmlaLink="'BMW-Std-selection'!$A$84" lockText="1" noThreeD="1"/>
</file>

<file path=xl/ctrlProps/ctrlProp36.xml><?xml version="1.0" encoding="utf-8"?>
<formControlPr xmlns="http://schemas.microsoft.com/office/spreadsheetml/2009/9/main" objectType="Radio" lockText="1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Radio" checked="Checked" firstButton="1" fmlaLink="'BMW-Std-selection'!$B$10" lockText="1" noThreeD="1"/>
</file>

<file path=xl/ctrlProps/ctrlProp39.xml><?xml version="1.0" encoding="utf-8"?>
<formControlPr xmlns="http://schemas.microsoft.com/office/spreadsheetml/2009/9/main" objectType="Radio" lockText="1" noThreeD="1"/>
</file>

<file path=xl/ctrlProps/ctrlProp40.xml><?xml version="1.0" encoding="utf-8"?>
<formControlPr xmlns="http://schemas.microsoft.com/office/spreadsheetml/2009/9/main" objectType="GBox" noThreeD="1"/>
</file>

<file path=xl/ctrlProps/ctrlProp41.xml><?xml version="1.0" encoding="utf-8"?>
<formControlPr xmlns="http://schemas.microsoft.com/office/spreadsheetml/2009/9/main" objectType="Radio" checked="Checked" firstButton="1" fmlaLink="'BMW-Std-selection'!$B$58" lockText="1" noThreeD="1"/>
</file>

<file path=xl/ctrlProps/ctrlProp42.xml><?xml version="1.0" encoding="utf-8"?>
<formControlPr xmlns="http://schemas.microsoft.com/office/spreadsheetml/2009/9/main" objectType="Radio" lockText="1" noThreeD="1"/>
</file>

<file path=xl/ctrlProps/ctrlProp43.xml><?xml version="1.0" encoding="utf-8"?>
<formControlPr xmlns="http://schemas.microsoft.com/office/spreadsheetml/2009/9/main" objectType="Radio" firstButton="1" fmlaLink="'BMW-Be-Selection'!$B$46" lockText="1" noThreeD="1"/>
</file>

<file path=xl/ctrlProps/ctrlProp44.xml><?xml version="1.0" encoding="utf-8"?>
<formControlPr xmlns="http://schemas.microsoft.com/office/spreadsheetml/2009/9/main" objectType="Radio" checked="Checked" lockText="1" noThreeD="1"/>
</file>

<file path=xl/ctrlProps/ctrlProp45.xml><?xml version="1.0" encoding="utf-8"?>
<formControlPr xmlns="http://schemas.microsoft.com/office/spreadsheetml/2009/9/main" objectType="Radio" lockText="1" noThreeD="1"/>
</file>

<file path=xl/ctrlProps/ctrlProp46.xml><?xml version="1.0" encoding="utf-8"?>
<formControlPr xmlns="http://schemas.microsoft.com/office/spreadsheetml/2009/9/main" objectType="GBox" noThreeD="1"/>
</file>

<file path=xl/ctrlProps/ctrlProp47.xml><?xml version="1.0" encoding="utf-8"?>
<formControlPr xmlns="http://schemas.microsoft.com/office/spreadsheetml/2009/9/main" objectType="Radio" firstButton="1" fmlaLink="'BMW-Be-Selection'!$B$55" lockText="1" noThreeD="1"/>
</file>

<file path=xl/ctrlProps/ctrlProp48.xml><?xml version="1.0" encoding="utf-8"?>
<formControlPr xmlns="http://schemas.microsoft.com/office/spreadsheetml/2009/9/main" objectType="Radio" checked="Checked" lockText="1" noThreeD="1"/>
</file>

<file path=xl/ctrlProps/ctrlProp49.xml><?xml version="1.0" encoding="utf-8"?>
<formControlPr xmlns="http://schemas.microsoft.com/office/spreadsheetml/2009/9/main" objectType="Radio" lockText="1" noThreeD="1"/>
</file>

<file path=xl/ctrlProps/ctrlProp50.xml><?xml version="1.0" encoding="utf-8"?>
<formControlPr xmlns="http://schemas.microsoft.com/office/spreadsheetml/2009/9/main" objectType="GBox" noThreeD="1"/>
</file>

<file path=xl/ctrlProps/ctrlProp51.xml><?xml version="1.0" encoding="utf-8"?>
<formControlPr xmlns="http://schemas.microsoft.com/office/spreadsheetml/2009/9/main" objectType="Radio" checked="Checked" firstButton="1" fmlaLink="'BMW-Be-Selection'!$B$72" lockText="1" noThreeD="1"/>
</file>

<file path=xl/ctrlProps/ctrlProp52.xml><?xml version="1.0" encoding="utf-8"?>
<formControlPr xmlns="http://schemas.microsoft.com/office/spreadsheetml/2009/9/main" objectType="Radio" lockText="1" noThreeD="1"/>
</file>

<file path=xl/ctrlProps/ctrlProp53.xml><?xml version="1.0" encoding="utf-8"?>
<formControlPr xmlns="http://schemas.microsoft.com/office/spreadsheetml/2009/9/main" objectType="GBox" noThreeD="1"/>
</file>

<file path=xl/ctrlProps/ctrlProp54.xml><?xml version="1.0" encoding="utf-8"?>
<formControlPr xmlns="http://schemas.microsoft.com/office/spreadsheetml/2009/9/main" objectType="GBox" noThreeD="1"/>
</file>

<file path=xl/ctrlProps/ctrlProp55.xml><?xml version="1.0" encoding="utf-8"?>
<formControlPr xmlns="http://schemas.microsoft.com/office/spreadsheetml/2009/9/main" objectType="Radio" checked="Checked" firstButton="1" fmlaLink="BMW_Be_Eqn!$B$35" lockText="1" noThreeD="1"/>
</file>

<file path=xl/ctrlProps/ctrlProp56.xml><?xml version="1.0" encoding="utf-8"?>
<formControlPr xmlns="http://schemas.microsoft.com/office/spreadsheetml/2009/9/main" objectType="Radio" lockText="1" noThreeD="1"/>
</file>

<file path=xl/ctrlProps/ctrlProp57.xml><?xml version="1.0" encoding="utf-8"?>
<formControlPr xmlns="http://schemas.microsoft.com/office/spreadsheetml/2009/9/main" objectType="Radio" lockText="1" noThreeD="1"/>
</file>

<file path=xl/ctrlProps/ctrlProp58.xml><?xml version="1.0" encoding="utf-8"?>
<formControlPr xmlns="http://schemas.microsoft.com/office/spreadsheetml/2009/9/main" objectType="GBox" noThreeD="1"/>
</file>

<file path=xl/ctrlProps/ctrlProp59.xml><?xml version="1.0" encoding="utf-8"?>
<formControlPr xmlns="http://schemas.microsoft.com/office/spreadsheetml/2009/9/main" objectType="Radio" checked="Checked" firstButton="1" fmlaLink="BMW_Be_Eqn!$B$5" lockText="1" noThreeD="1"/>
</file>

<file path=xl/ctrlProps/ctrlProp60.xml><?xml version="1.0" encoding="utf-8"?>
<formControlPr xmlns="http://schemas.microsoft.com/office/spreadsheetml/2009/9/main" objectType="Radio" lockText="1" noThreeD="1"/>
</file>

<file path=xl/ctrlProps/ctrlProp61.xml><?xml version="1.0" encoding="utf-8"?>
<formControlPr xmlns="http://schemas.microsoft.com/office/spreadsheetml/2009/9/main" objectType="Radio" lockText="1" noThreeD="1"/>
</file>

<file path=xl/ctrlProps/ctrlProp62.xml><?xml version="1.0" encoding="utf-8"?>
<formControlPr xmlns="http://schemas.microsoft.com/office/spreadsheetml/2009/9/main" objectType="GBox" noThreeD="1"/>
</file>

<file path=xl/ctrlProps/ctrlProp63.xml><?xml version="1.0" encoding="utf-8"?>
<formControlPr xmlns="http://schemas.microsoft.com/office/spreadsheetml/2009/9/main" objectType="Radio" checked="Checked" firstButton="1" fmlaLink="'BMW-Be-Selection'!$B$81" lockText="1" noThreeD="1"/>
</file>

<file path=xl/ctrlProps/ctrlProp64.xml><?xml version="1.0" encoding="utf-8"?>
<formControlPr xmlns="http://schemas.microsoft.com/office/spreadsheetml/2009/9/main" objectType="GBox" noThreeD="1"/>
</file>

<file path=xl/ctrlProps/ctrlProp65.xml><?xml version="1.0" encoding="utf-8"?>
<formControlPr xmlns="http://schemas.microsoft.com/office/spreadsheetml/2009/9/main" objectType="Radio" checked="Checked" firstButton="1" fmlaLink="'BMW-Be-Selection'!$B$31" lockText="1" noThreeD="1"/>
</file>

<file path=xl/ctrlProps/ctrlProp66.xml><?xml version="1.0" encoding="utf-8"?>
<formControlPr xmlns="http://schemas.microsoft.com/office/spreadsheetml/2009/9/main" objectType="Radio" lockText="1" noThreeD="1"/>
</file>

<file path=xl/ctrlProps/ctrlProp67.xml><?xml version="1.0" encoding="utf-8"?>
<formControlPr xmlns="http://schemas.microsoft.com/office/spreadsheetml/2009/9/main" objectType="Radio" lockText="1" noThreeD="1"/>
</file>

<file path=xl/ctrlProps/ctrlProp68.xml><?xml version="1.0" encoding="utf-8"?>
<formControlPr xmlns="http://schemas.microsoft.com/office/spreadsheetml/2009/9/main" objectType="CheckBox" checked="Checked" fmlaLink="'BMW-Be-Selection'!$A$90" lockText="1" noThreeD="1"/>
</file>

<file path=xl/ctrlProps/ctrlProp69.xml><?xml version="1.0" encoding="utf-8"?>
<formControlPr xmlns="http://schemas.microsoft.com/office/spreadsheetml/2009/9/main" objectType="GBox" noThreeD="1"/>
</file>

<file path=xl/ctrlProps/ctrlProp70.xml><?xml version="1.0" encoding="utf-8"?>
<formControlPr xmlns="http://schemas.microsoft.com/office/spreadsheetml/2009/9/main" objectType="Radio" checked="Checked" firstButton="1" fmlaLink="'BMW-Be-Selection'!$B$64" lockText="1" noThreeD="1"/>
</file>

<file path=xl/ctrlProps/ctrlProp71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276388</xdr:colOff>
      <xdr:row>1</xdr:row>
      <xdr:rowOff>76920</xdr:rowOff>
    </xdr:from>
    <xdr:to>
      <xdr:col>26</xdr:col>
      <xdr:colOff>829796</xdr:colOff>
      <xdr:row>3</xdr:row>
      <xdr:rowOff>29296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41463" y="262618"/>
          <a:ext cx="2475457" cy="4774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324898</xdr:colOff>
          <xdr:row>57</xdr:row>
          <xdr:rowOff>139630</xdr:rowOff>
        </xdr:from>
        <xdr:to>
          <xdr:col>18</xdr:col>
          <xdr:colOff>68035</xdr:colOff>
          <xdr:row>59</xdr:row>
          <xdr:rowOff>31191</xdr:rowOff>
        </xdr:to>
        <xdr:grpSp>
          <xdr:nvGrpSpPr>
            <xdr:cNvPr id="10" name="size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GrpSpPr/>
          </xdr:nvGrpSpPr>
          <xdr:grpSpPr>
            <a:xfrm>
              <a:off x="3925348" y="12836455"/>
              <a:ext cx="8115612" cy="348761"/>
              <a:chOff x="4411223" y="12472341"/>
              <a:chExt cx="8161770" cy="343737"/>
            </a:xfrm>
          </xdr:grpSpPr>
          <xdr:sp macro="" textlink="">
            <xdr:nvSpPr>
              <xdr:cNvPr id="14339" name="Option Button 3" hidden="1">
                <a:extLst>
                  <a:ext uri="{63B3BB69-23CF-44E3-9099-C40C66FF867C}">
                    <a14:compatExt spid="_x0000_s14339"/>
                  </a:ext>
                  <a:ext uri="{FF2B5EF4-FFF2-40B4-BE49-F238E27FC236}">
                    <a16:creationId xmlns:a16="http://schemas.microsoft.com/office/drawing/2014/main" id="{00000000-0008-0000-0000-000003380000}"/>
                  </a:ext>
                </a:extLst>
              </xdr:cNvPr>
              <xdr:cNvSpPr/>
            </xdr:nvSpPr>
            <xdr:spPr bwMode="auto">
              <a:xfrm>
                <a:off x="4809434" y="12552903"/>
                <a:ext cx="223157" cy="221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53" name="Option Button 17" hidden="1">
                <a:extLst>
                  <a:ext uri="{63B3BB69-23CF-44E3-9099-C40C66FF867C}">
                    <a14:compatExt spid="_x0000_s14353"/>
                  </a:ext>
                  <a:ext uri="{FF2B5EF4-FFF2-40B4-BE49-F238E27FC236}">
                    <a16:creationId xmlns:a16="http://schemas.microsoft.com/office/drawing/2014/main" id="{00000000-0008-0000-0000-000011380000}"/>
                  </a:ext>
                </a:extLst>
              </xdr:cNvPr>
              <xdr:cNvSpPr/>
            </xdr:nvSpPr>
            <xdr:spPr bwMode="auto">
              <a:xfrm>
                <a:off x="5475859" y="12560035"/>
                <a:ext cx="223157" cy="221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54" name="Option Button 18" hidden="1">
                <a:extLst>
                  <a:ext uri="{63B3BB69-23CF-44E3-9099-C40C66FF867C}">
                    <a14:compatExt spid="_x0000_s14354"/>
                  </a:ext>
                  <a:ext uri="{FF2B5EF4-FFF2-40B4-BE49-F238E27FC236}">
                    <a16:creationId xmlns:a16="http://schemas.microsoft.com/office/drawing/2014/main" id="{00000000-0008-0000-0000-000012380000}"/>
                  </a:ext>
                </a:extLst>
              </xdr:cNvPr>
              <xdr:cNvSpPr/>
            </xdr:nvSpPr>
            <xdr:spPr bwMode="auto">
              <a:xfrm>
                <a:off x="6140294" y="12545772"/>
                <a:ext cx="223157" cy="221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55" name="Option Button 19" hidden="1">
                <a:extLst>
                  <a:ext uri="{63B3BB69-23CF-44E3-9099-C40C66FF867C}">
                    <a14:compatExt spid="_x0000_s14355"/>
                  </a:ext>
                  <a:ext uri="{FF2B5EF4-FFF2-40B4-BE49-F238E27FC236}">
                    <a16:creationId xmlns:a16="http://schemas.microsoft.com/office/drawing/2014/main" id="{00000000-0008-0000-0000-000013380000}"/>
                  </a:ext>
                </a:extLst>
              </xdr:cNvPr>
              <xdr:cNvSpPr/>
            </xdr:nvSpPr>
            <xdr:spPr bwMode="auto">
              <a:xfrm>
                <a:off x="6814372" y="12545772"/>
                <a:ext cx="223157" cy="221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56" name="Option Button 20" hidden="1">
                <a:extLst>
                  <a:ext uri="{63B3BB69-23CF-44E3-9099-C40C66FF867C}">
                    <a14:compatExt spid="_x0000_s14356"/>
                  </a:ext>
                  <a:ext uri="{FF2B5EF4-FFF2-40B4-BE49-F238E27FC236}">
                    <a16:creationId xmlns:a16="http://schemas.microsoft.com/office/drawing/2014/main" id="{00000000-0008-0000-0000-000014380000}"/>
                  </a:ext>
                </a:extLst>
              </xdr:cNvPr>
              <xdr:cNvSpPr/>
            </xdr:nvSpPr>
            <xdr:spPr bwMode="auto">
              <a:xfrm>
                <a:off x="7473147" y="12560035"/>
                <a:ext cx="223157" cy="221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57" name="Option Button 21" hidden="1">
                <a:extLst>
                  <a:ext uri="{63B3BB69-23CF-44E3-9099-C40C66FF867C}">
                    <a14:compatExt spid="_x0000_s14357"/>
                  </a:ext>
                  <a:ext uri="{FF2B5EF4-FFF2-40B4-BE49-F238E27FC236}">
                    <a16:creationId xmlns:a16="http://schemas.microsoft.com/office/drawing/2014/main" id="{00000000-0008-0000-0000-000015380000}"/>
                  </a:ext>
                </a:extLst>
              </xdr:cNvPr>
              <xdr:cNvSpPr/>
            </xdr:nvSpPr>
            <xdr:spPr bwMode="auto">
              <a:xfrm>
                <a:off x="8141570" y="12552903"/>
                <a:ext cx="223157" cy="221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58" name="Option Button 22" hidden="1">
                <a:extLst>
                  <a:ext uri="{63B3BB69-23CF-44E3-9099-C40C66FF867C}">
                    <a14:compatExt spid="_x0000_s14358"/>
                  </a:ext>
                  <a:ext uri="{FF2B5EF4-FFF2-40B4-BE49-F238E27FC236}">
                    <a16:creationId xmlns:a16="http://schemas.microsoft.com/office/drawing/2014/main" id="{00000000-0008-0000-0000-000016380000}"/>
                  </a:ext>
                </a:extLst>
              </xdr:cNvPr>
              <xdr:cNvSpPr/>
            </xdr:nvSpPr>
            <xdr:spPr bwMode="auto">
              <a:xfrm>
                <a:off x="8812814" y="12555159"/>
                <a:ext cx="217715" cy="221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59" name="Option Button 23" hidden="1">
                <a:extLst>
                  <a:ext uri="{63B3BB69-23CF-44E3-9099-C40C66FF867C}">
                    <a14:compatExt spid="_x0000_s14359"/>
                  </a:ext>
                  <a:ext uri="{FF2B5EF4-FFF2-40B4-BE49-F238E27FC236}">
                    <a16:creationId xmlns:a16="http://schemas.microsoft.com/office/drawing/2014/main" id="{00000000-0008-0000-0000-000017380000}"/>
                  </a:ext>
                </a:extLst>
              </xdr:cNvPr>
              <xdr:cNvSpPr/>
            </xdr:nvSpPr>
            <xdr:spPr bwMode="auto">
              <a:xfrm>
                <a:off x="9463943" y="12550646"/>
                <a:ext cx="217715" cy="221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60" name="Option Button 24" hidden="1">
                <a:extLst>
                  <a:ext uri="{63B3BB69-23CF-44E3-9099-C40C66FF867C}">
                    <a14:compatExt spid="_x0000_s14360"/>
                  </a:ext>
                  <a:ext uri="{FF2B5EF4-FFF2-40B4-BE49-F238E27FC236}">
                    <a16:creationId xmlns:a16="http://schemas.microsoft.com/office/drawing/2014/main" id="{00000000-0008-0000-0000-000018380000}"/>
                  </a:ext>
                </a:extLst>
              </xdr:cNvPr>
              <xdr:cNvSpPr/>
            </xdr:nvSpPr>
            <xdr:spPr bwMode="auto">
              <a:xfrm>
                <a:off x="10113624" y="12552903"/>
                <a:ext cx="217715" cy="221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61" name="Option Button 25" hidden="1">
                <a:extLst>
                  <a:ext uri="{63B3BB69-23CF-44E3-9099-C40C66FF867C}">
                    <a14:compatExt spid="_x0000_s14361"/>
                  </a:ext>
                  <a:ext uri="{FF2B5EF4-FFF2-40B4-BE49-F238E27FC236}">
                    <a16:creationId xmlns:a16="http://schemas.microsoft.com/office/drawing/2014/main" id="{00000000-0008-0000-0000-000019380000}"/>
                  </a:ext>
                </a:extLst>
              </xdr:cNvPr>
              <xdr:cNvSpPr/>
            </xdr:nvSpPr>
            <xdr:spPr bwMode="auto">
              <a:xfrm>
                <a:off x="10776815" y="12552903"/>
                <a:ext cx="212270" cy="221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62" name="Option Button 26" hidden="1">
                <a:extLst>
                  <a:ext uri="{63B3BB69-23CF-44E3-9099-C40C66FF867C}">
                    <a14:compatExt spid="_x0000_s14362"/>
                  </a:ext>
                  <a:ext uri="{FF2B5EF4-FFF2-40B4-BE49-F238E27FC236}">
                    <a16:creationId xmlns:a16="http://schemas.microsoft.com/office/drawing/2014/main" id="{00000000-0008-0000-0000-00001A380000}"/>
                  </a:ext>
                </a:extLst>
              </xdr:cNvPr>
              <xdr:cNvSpPr/>
            </xdr:nvSpPr>
            <xdr:spPr bwMode="auto">
              <a:xfrm>
                <a:off x="11429539" y="12552903"/>
                <a:ext cx="212270" cy="221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63" name="Option Button 27" hidden="1">
                <a:extLst>
                  <a:ext uri="{63B3BB69-23CF-44E3-9099-C40C66FF867C}">
                    <a14:compatExt spid="_x0000_s14363"/>
                  </a:ext>
                  <a:ext uri="{FF2B5EF4-FFF2-40B4-BE49-F238E27FC236}">
                    <a16:creationId xmlns:a16="http://schemas.microsoft.com/office/drawing/2014/main" id="{00000000-0008-0000-0000-00001B380000}"/>
                  </a:ext>
                </a:extLst>
              </xdr:cNvPr>
              <xdr:cNvSpPr/>
            </xdr:nvSpPr>
            <xdr:spPr bwMode="auto">
              <a:xfrm>
                <a:off x="12079216" y="12552903"/>
                <a:ext cx="212270" cy="221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64" name="Group Box 28" hidden="1">
                <a:extLst>
                  <a:ext uri="{63B3BB69-23CF-44E3-9099-C40C66FF867C}">
                    <a14:compatExt spid="_x0000_s14364"/>
                  </a:ext>
                  <a:ext uri="{FF2B5EF4-FFF2-40B4-BE49-F238E27FC236}">
                    <a16:creationId xmlns:a16="http://schemas.microsoft.com/office/drawing/2014/main" id="{00000000-0008-0000-0000-00001C380000}"/>
                  </a:ext>
                </a:extLst>
              </xdr:cNvPr>
              <xdr:cNvSpPr/>
            </xdr:nvSpPr>
            <xdr:spPr bwMode="auto">
              <a:xfrm>
                <a:off x="4411223" y="12472341"/>
                <a:ext cx="8161770" cy="343737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28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185723</xdr:colOff>
          <xdr:row>61</xdr:row>
          <xdr:rowOff>26899</xdr:rowOff>
        </xdr:from>
        <xdr:to>
          <xdr:col>13</xdr:col>
          <xdr:colOff>23000</xdr:colOff>
          <xdr:row>61</xdr:row>
          <xdr:rowOff>293599</xdr:rowOff>
        </xdr:to>
        <xdr:grpSp>
          <xdr:nvGrpSpPr>
            <xdr:cNvPr id="6" name="Throw Setting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pSpPr/>
          </xdr:nvGrpSpPr>
          <xdr:grpSpPr>
            <a:xfrm>
              <a:off x="3786173" y="13723849"/>
              <a:ext cx="4923627" cy="266700"/>
              <a:chOff x="4478768" y="12904777"/>
              <a:chExt cx="4534373" cy="266700"/>
            </a:xfrm>
          </xdr:grpSpPr>
          <xdr:sp macro="" textlink="">
            <xdr:nvSpPr>
              <xdr:cNvPr id="14365" name="Option Button 29" hidden="1">
                <a:extLst>
                  <a:ext uri="{63B3BB69-23CF-44E3-9099-C40C66FF867C}">
                    <a14:compatExt spid="_x0000_s14365"/>
                  </a:ext>
                  <a:ext uri="{FF2B5EF4-FFF2-40B4-BE49-F238E27FC236}">
                    <a16:creationId xmlns:a16="http://schemas.microsoft.com/office/drawing/2014/main" id="{00000000-0008-0000-0000-00001D380000}"/>
                  </a:ext>
                </a:extLst>
              </xdr:cNvPr>
              <xdr:cNvSpPr/>
            </xdr:nvSpPr>
            <xdr:spPr bwMode="auto">
              <a:xfrm>
                <a:off x="5168573" y="12930631"/>
                <a:ext cx="584278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66" name="Option Button 30" hidden="1">
                <a:extLst>
                  <a:ext uri="{63B3BB69-23CF-44E3-9099-C40C66FF867C}">
                    <a14:compatExt spid="_x0000_s14366"/>
                  </a:ext>
                  <a:ext uri="{FF2B5EF4-FFF2-40B4-BE49-F238E27FC236}">
                    <a16:creationId xmlns:a16="http://schemas.microsoft.com/office/drawing/2014/main" id="{00000000-0008-0000-0000-00001E380000}"/>
                  </a:ext>
                </a:extLst>
              </xdr:cNvPr>
              <xdr:cNvSpPr/>
            </xdr:nvSpPr>
            <xdr:spPr bwMode="auto">
              <a:xfrm>
                <a:off x="6366563" y="12930631"/>
                <a:ext cx="742121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67" name="Option Button 31" hidden="1">
                <a:extLst>
                  <a:ext uri="{63B3BB69-23CF-44E3-9099-C40C66FF867C}">
                    <a14:compatExt spid="_x0000_s14367"/>
                  </a:ext>
                  <a:ext uri="{FF2B5EF4-FFF2-40B4-BE49-F238E27FC236}">
                    <a16:creationId xmlns:a16="http://schemas.microsoft.com/office/drawing/2014/main" id="{00000000-0008-0000-0000-00001F380000}"/>
                  </a:ext>
                </a:extLst>
              </xdr:cNvPr>
              <xdr:cNvSpPr/>
            </xdr:nvSpPr>
            <xdr:spPr bwMode="auto">
              <a:xfrm>
                <a:off x="7581526" y="12927059"/>
                <a:ext cx="524409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68" name="Group Box 32" hidden="1">
                <a:extLst>
                  <a:ext uri="{63B3BB69-23CF-44E3-9099-C40C66FF867C}">
                    <a14:compatExt spid="_x0000_s14368"/>
                  </a:ext>
                  <a:ext uri="{FF2B5EF4-FFF2-40B4-BE49-F238E27FC236}">
                    <a16:creationId xmlns:a16="http://schemas.microsoft.com/office/drawing/2014/main" id="{00000000-0008-0000-0000-000020380000}"/>
                  </a:ext>
                </a:extLst>
              </xdr:cNvPr>
              <xdr:cNvSpPr/>
            </xdr:nvSpPr>
            <xdr:spPr bwMode="auto">
              <a:xfrm>
                <a:off x="4478768" y="12904777"/>
                <a:ext cx="4534373" cy="2667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32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124571</xdr:colOff>
          <xdr:row>62</xdr:row>
          <xdr:rowOff>23727</xdr:rowOff>
        </xdr:from>
        <xdr:to>
          <xdr:col>12</xdr:col>
          <xdr:colOff>598832</xdr:colOff>
          <xdr:row>63</xdr:row>
          <xdr:rowOff>10025</xdr:rowOff>
        </xdr:to>
        <xdr:grpSp>
          <xdr:nvGrpSpPr>
            <xdr:cNvPr id="7" name="Discharge Direction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GrpSpPr/>
          </xdr:nvGrpSpPr>
          <xdr:grpSpPr>
            <a:xfrm>
              <a:off x="3725021" y="14025477"/>
              <a:ext cx="4903386" cy="291098"/>
              <a:chOff x="4478765" y="13196402"/>
              <a:chExt cx="4534375" cy="283027"/>
            </a:xfrm>
          </xdr:grpSpPr>
          <xdr:sp macro="" textlink="">
            <xdr:nvSpPr>
              <xdr:cNvPr id="14369" name="Option Button 33" hidden="1">
                <a:extLst>
                  <a:ext uri="{63B3BB69-23CF-44E3-9099-C40C66FF867C}">
                    <a14:compatExt spid="_x0000_s14369"/>
                  </a:ext>
                  <a:ext uri="{FF2B5EF4-FFF2-40B4-BE49-F238E27FC236}">
                    <a16:creationId xmlns:a16="http://schemas.microsoft.com/office/drawing/2014/main" id="{00000000-0008-0000-0000-000021380000}"/>
                  </a:ext>
                </a:extLst>
              </xdr:cNvPr>
              <xdr:cNvSpPr/>
            </xdr:nvSpPr>
            <xdr:spPr bwMode="auto">
              <a:xfrm>
                <a:off x="5222683" y="13224013"/>
                <a:ext cx="431878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70" name="Option Button 34" hidden="1">
                <a:extLst>
                  <a:ext uri="{63B3BB69-23CF-44E3-9099-C40C66FF867C}">
                    <a14:compatExt spid="_x0000_s14370"/>
                  </a:ext>
                  <a:ext uri="{FF2B5EF4-FFF2-40B4-BE49-F238E27FC236}">
                    <a16:creationId xmlns:a16="http://schemas.microsoft.com/office/drawing/2014/main" id="{00000000-0008-0000-0000-000022380000}"/>
                  </a:ext>
                </a:extLst>
              </xdr:cNvPr>
              <xdr:cNvSpPr/>
            </xdr:nvSpPr>
            <xdr:spPr bwMode="auto">
              <a:xfrm>
                <a:off x="6422985" y="13224013"/>
                <a:ext cx="633265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71" name="Option Button 35" hidden="1">
                <a:extLst>
                  <a:ext uri="{63B3BB69-23CF-44E3-9099-C40C66FF867C}">
                    <a14:compatExt spid="_x0000_s14371"/>
                  </a:ext>
                  <a:ext uri="{FF2B5EF4-FFF2-40B4-BE49-F238E27FC236}">
                    <a16:creationId xmlns:a16="http://schemas.microsoft.com/office/drawing/2014/main" id="{00000000-0008-0000-0000-000023380000}"/>
                  </a:ext>
                </a:extLst>
              </xdr:cNvPr>
              <xdr:cNvSpPr/>
            </xdr:nvSpPr>
            <xdr:spPr bwMode="auto">
              <a:xfrm>
                <a:off x="7632305" y="13224013"/>
                <a:ext cx="513522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72" name="Group Box 36" hidden="1">
                <a:extLst>
                  <a:ext uri="{63B3BB69-23CF-44E3-9099-C40C66FF867C}">
                    <a14:compatExt spid="_x0000_s14372"/>
                  </a:ext>
                  <a:ext uri="{FF2B5EF4-FFF2-40B4-BE49-F238E27FC236}">
                    <a16:creationId xmlns:a16="http://schemas.microsoft.com/office/drawing/2014/main" id="{00000000-0008-0000-0000-000024380000}"/>
                  </a:ext>
                </a:extLst>
              </xdr:cNvPr>
              <xdr:cNvSpPr/>
            </xdr:nvSpPr>
            <xdr:spPr bwMode="auto">
              <a:xfrm>
                <a:off x="4478765" y="13196402"/>
                <a:ext cx="4534375" cy="283027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36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8052</xdr:colOff>
          <xdr:row>64</xdr:row>
          <xdr:rowOff>5013</xdr:rowOff>
        </xdr:from>
        <xdr:to>
          <xdr:col>15</xdr:col>
          <xdr:colOff>117643</xdr:colOff>
          <xdr:row>64</xdr:row>
          <xdr:rowOff>300790</xdr:rowOff>
        </xdr:to>
        <xdr:grpSp>
          <xdr:nvGrpSpPr>
            <xdr:cNvPr id="8" name="Colour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GrpSpPr/>
          </xdr:nvGrpSpPr>
          <xdr:grpSpPr>
            <a:xfrm>
              <a:off x="3608502" y="14616363"/>
              <a:ext cx="6510391" cy="295777"/>
              <a:chOff x="4527750" y="13499924"/>
              <a:chExt cx="6181193" cy="283028"/>
            </a:xfrm>
          </xdr:grpSpPr>
          <xdr:sp macro="" textlink="">
            <xdr:nvSpPr>
              <xdr:cNvPr id="14376" name="Option Button 40" hidden="1">
                <a:extLst>
                  <a:ext uri="{63B3BB69-23CF-44E3-9099-C40C66FF867C}">
                    <a14:compatExt spid="_x0000_s14376"/>
                  </a:ext>
                  <a:ext uri="{FF2B5EF4-FFF2-40B4-BE49-F238E27FC236}">
                    <a16:creationId xmlns:a16="http://schemas.microsoft.com/office/drawing/2014/main" id="{00000000-0008-0000-0000-000028380000}"/>
                  </a:ext>
                </a:extLst>
              </xdr:cNvPr>
              <xdr:cNvSpPr/>
            </xdr:nvSpPr>
            <xdr:spPr bwMode="auto">
              <a:xfrm>
                <a:off x="5400087" y="13523361"/>
                <a:ext cx="777363" cy="2231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77" name="Option Button 41" hidden="1">
                <a:extLst>
                  <a:ext uri="{63B3BB69-23CF-44E3-9099-C40C66FF867C}">
                    <a14:compatExt spid="_x0000_s14377"/>
                  </a:ext>
                  <a:ext uri="{FF2B5EF4-FFF2-40B4-BE49-F238E27FC236}">
                    <a16:creationId xmlns:a16="http://schemas.microsoft.com/office/drawing/2014/main" id="{00000000-0008-0000-0000-000029380000}"/>
                  </a:ext>
                </a:extLst>
              </xdr:cNvPr>
              <xdr:cNvSpPr/>
            </xdr:nvSpPr>
            <xdr:spPr bwMode="auto">
              <a:xfrm>
                <a:off x="7896744" y="13522328"/>
                <a:ext cx="901858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78" name="Option Button 42" hidden="1">
                <a:extLst>
                  <a:ext uri="{63B3BB69-23CF-44E3-9099-C40C66FF867C}">
                    <a14:compatExt spid="_x0000_s14378"/>
                  </a:ext>
                  <a:ext uri="{FF2B5EF4-FFF2-40B4-BE49-F238E27FC236}">
                    <a16:creationId xmlns:a16="http://schemas.microsoft.com/office/drawing/2014/main" id="{00000000-0008-0000-0000-00002A380000}"/>
                  </a:ext>
                </a:extLst>
              </xdr:cNvPr>
              <xdr:cNvSpPr/>
            </xdr:nvSpPr>
            <xdr:spPr bwMode="auto">
              <a:xfrm>
                <a:off x="9662728" y="13537806"/>
                <a:ext cx="910140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79" name="Group Box 43" hidden="1">
                <a:extLst>
                  <a:ext uri="{63B3BB69-23CF-44E3-9099-C40C66FF867C}">
                    <a14:compatExt spid="_x0000_s14379"/>
                  </a:ext>
                  <a:ext uri="{FF2B5EF4-FFF2-40B4-BE49-F238E27FC236}">
                    <a16:creationId xmlns:a16="http://schemas.microsoft.com/office/drawing/2014/main" id="{00000000-0008-0000-0000-00002B380000}"/>
                  </a:ext>
                </a:extLst>
              </xdr:cNvPr>
              <xdr:cNvSpPr/>
            </xdr:nvSpPr>
            <xdr:spPr bwMode="auto">
              <a:xfrm>
                <a:off x="4527750" y="13499924"/>
                <a:ext cx="6181193" cy="283028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43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328332</xdr:colOff>
          <xdr:row>10</xdr:row>
          <xdr:rowOff>85725</xdr:rowOff>
        </xdr:from>
        <xdr:to>
          <xdr:col>16</xdr:col>
          <xdr:colOff>312564</xdr:colOff>
          <xdr:row>18</xdr:row>
          <xdr:rowOff>114300</xdr:rowOff>
        </xdr:to>
        <xdr:grpSp>
          <xdr:nvGrpSpPr>
            <xdr:cNvPr id="4" name="draught and heating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GrpSpPr/>
          </xdr:nvGrpSpPr>
          <xdr:grpSpPr>
            <a:xfrm>
              <a:off x="6386232" y="2505075"/>
              <a:ext cx="4584807" cy="1638300"/>
              <a:chOff x="6524645" y="2333614"/>
              <a:chExt cx="3781428" cy="1628776"/>
            </a:xfrm>
          </xdr:grpSpPr>
          <xdr:sp macro="" textlink="">
            <xdr:nvSpPr>
              <xdr:cNvPr id="14383" name="Group Box 47" hidden="1">
                <a:extLst>
                  <a:ext uri="{63B3BB69-23CF-44E3-9099-C40C66FF867C}">
                    <a14:compatExt spid="_x0000_s14383"/>
                  </a:ext>
                  <a:ext uri="{FF2B5EF4-FFF2-40B4-BE49-F238E27FC236}">
                    <a16:creationId xmlns:a16="http://schemas.microsoft.com/office/drawing/2014/main" id="{00000000-0008-0000-0000-00002F380000}"/>
                  </a:ext>
                </a:extLst>
              </xdr:cNvPr>
              <xdr:cNvSpPr/>
            </xdr:nvSpPr>
            <xdr:spPr bwMode="auto">
              <a:xfrm>
                <a:off x="6524645" y="2333614"/>
                <a:ext cx="3781428" cy="1628776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47</a:t>
                </a:r>
              </a:p>
            </xdr:txBody>
          </xdr:sp>
          <xdr:sp macro="" textlink="">
            <xdr:nvSpPr>
              <xdr:cNvPr id="14384" name="Option Button 48" hidden="1">
                <a:extLst>
                  <a:ext uri="{63B3BB69-23CF-44E3-9099-C40C66FF867C}">
                    <a14:compatExt spid="_x0000_s14384"/>
                  </a:ext>
                  <a:ext uri="{FF2B5EF4-FFF2-40B4-BE49-F238E27FC236}">
                    <a16:creationId xmlns:a16="http://schemas.microsoft.com/office/drawing/2014/main" id="{00000000-0008-0000-0000-000030380000}"/>
                  </a:ext>
                </a:extLst>
              </xdr:cNvPr>
              <xdr:cNvSpPr/>
            </xdr:nvSpPr>
            <xdr:spPr bwMode="auto">
              <a:xfrm>
                <a:off x="6915150" y="2438556"/>
                <a:ext cx="615925" cy="21907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85" name="Option Button 49" hidden="1">
                <a:extLst>
                  <a:ext uri="{63B3BB69-23CF-44E3-9099-C40C66FF867C}">
                    <a14:compatExt spid="_x0000_s14385"/>
                  </a:ext>
                  <a:ext uri="{FF2B5EF4-FFF2-40B4-BE49-F238E27FC236}">
                    <a16:creationId xmlns:a16="http://schemas.microsoft.com/office/drawing/2014/main" id="{00000000-0008-0000-0000-000031380000}"/>
                  </a:ext>
                </a:extLst>
              </xdr:cNvPr>
              <xdr:cNvSpPr/>
            </xdr:nvSpPr>
            <xdr:spPr bwMode="auto">
              <a:xfrm>
                <a:off x="6915149" y="2939824"/>
                <a:ext cx="651555" cy="21907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87" name="Option Button 51" hidden="1">
                <a:extLst>
                  <a:ext uri="{63B3BB69-23CF-44E3-9099-C40C66FF867C}">
                    <a14:compatExt spid="_x0000_s14387"/>
                  </a:ext>
                  <a:ext uri="{FF2B5EF4-FFF2-40B4-BE49-F238E27FC236}">
                    <a16:creationId xmlns:a16="http://schemas.microsoft.com/office/drawing/2014/main" id="{00000000-0008-0000-0000-000033380000}"/>
                  </a:ext>
                </a:extLst>
              </xdr:cNvPr>
              <xdr:cNvSpPr/>
            </xdr:nvSpPr>
            <xdr:spPr bwMode="auto">
              <a:xfrm>
                <a:off x="6924674" y="3446433"/>
                <a:ext cx="685579" cy="21907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809625</xdr:colOff>
          <xdr:row>6</xdr:row>
          <xdr:rowOff>95250</xdr:rowOff>
        </xdr:from>
        <xdr:to>
          <xdr:col>7</xdr:col>
          <xdr:colOff>609600</xdr:colOff>
          <xdr:row>8</xdr:row>
          <xdr:rowOff>24305</xdr:rowOff>
        </xdr:to>
        <xdr:grpSp>
          <xdr:nvGrpSpPr>
            <xdr:cNvPr id="5" name="units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3600450" y="1714500"/>
              <a:ext cx="1752600" cy="329105"/>
              <a:chOff x="4210049" y="1543068"/>
              <a:chExt cx="1762121" cy="357680"/>
            </a:xfrm>
          </xdr:grpSpPr>
          <xdr:sp macro="" textlink="">
            <xdr:nvSpPr>
              <xdr:cNvPr id="14389" name="Group Box 53" hidden="1">
                <a:extLst>
                  <a:ext uri="{63B3BB69-23CF-44E3-9099-C40C66FF867C}">
                    <a14:compatExt spid="_x0000_s14389"/>
                  </a:ext>
                  <a:ext uri="{FF2B5EF4-FFF2-40B4-BE49-F238E27FC236}">
                    <a16:creationId xmlns:a16="http://schemas.microsoft.com/office/drawing/2014/main" id="{00000000-0008-0000-0000-000035380000}"/>
                  </a:ext>
                </a:extLst>
              </xdr:cNvPr>
              <xdr:cNvSpPr/>
            </xdr:nvSpPr>
            <xdr:spPr bwMode="auto">
              <a:xfrm>
                <a:off x="4210049" y="1543068"/>
                <a:ext cx="1762121" cy="35768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53</a:t>
                </a:r>
              </a:p>
            </xdr:txBody>
          </xdr:sp>
          <xdr:sp macro="" textlink="">
            <xdr:nvSpPr>
              <xdr:cNvPr id="14392" name="Option Button 56" hidden="1">
                <a:extLst>
                  <a:ext uri="{63B3BB69-23CF-44E3-9099-C40C66FF867C}">
                    <a14:compatExt spid="_x0000_s14392"/>
                  </a:ext>
                  <a:ext uri="{FF2B5EF4-FFF2-40B4-BE49-F238E27FC236}">
                    <a16:creationId xmlns:a16="http://schemas.microsoft.com/office/drawing/2014/main" id="{00000000-0008-0000-0000-000038380000}"/>
                  </a:ext>
                </a:extLst>
              </xdr:cNvPr>
              <xdr:cNvSpPr/>
            </xdr:nvSpPr>
            <xdr:spPr bwMode="auto">
              <a:xfrm>
                <a:off x="4311254" y="1654964"/>
                <a:ext cx="304800" cy="21374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93" name="Option Button 57" hidden="1">
                <a:extLst>
                  <a:ext uri="{63B3BB69-23CF-44E3-9099-C40C66FF867C}">
                    <a14:compatExt spid="_x0000_s14393"/>
                  </a:ext>
                  <a:ext uri="{FF2B5EF4-FFF2-40B4-BE49-F238E27FC236}">
                    <a16:creationId xmlns:a16="http://schemas.microsoft.com/office/drawing/2014/main" id="{00000000-0008-0000-0000-000039380000}"/>
                  </a:ext>
                </a:extLst>
              </xdr:cNvPr>
              <xdr:cNvSpPr/>
            </xdr:nvSpPr>
            <xdr:spPr bwMode="auto">
              <a:xfrm>
                <a:off x="4825605" y="1649590"/>
                <a:ext cx="447632" cy="21316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279260</xdr:colOff>
          <xdr:row>65</xdr:row>
          <xdr:rowOff>23823</xdr:rowOff>
        </xdr:from>
        <xdr:to>
          <xdr:col>16</xdr:col>
          <xdr:colOff>41868</xdr:colOff>
          <xdr:row>65</xdr:row>
          <xdr:rowOff>300726</xdr:rowOff>
        </xdr:to>
        <xdr:grpSp>
          <xdr:nvGrpSpPr>
            <xdr:cNvPr id="9" name="accessories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GrpSpPr/>
          </xdr:nvGrpSpPr>
          <xdr:grpSpPr>
            <a:xfrm>
              <a:off x="3879710" y="14939973"/>
              <a:ext cx="6820633" cy="276903"/>
              <a:chOff x="4532619" y="13961867"/>
              <a:chExt cx="6430923" cy="278719"/>
            </a:xfrm>
          </xdr:grpSpPr>
          <xdr:sp macro="" textlink="">
            <xdr:nvSpPr>
              <xdr:cNvPr id="14400" name="Group Box 64" hidden="1">
                <a:extLst>
                  <a:ext uri="{63B3BB69-23CF-44E3-9099-C40C66FF867C}">
                    <a14:compatExt spid="_x0000_s14400"/>
                  </a:ext>
                  <a:ext uri="{FF2B5EF4-FFF2-40B4-BE49-F238E27FC236}">
                    <a16:creationId xmlns:a16="http://schemas.microsoft.com/office/drawing/2014/main" id="{00000000-0008-0000-0000-000040380000}"/>
                  </a:ext>
                </a:extLst>
              </xdr:cNvPr>
              <xdr:cNvSpPr/>
            </xdr:nvSpPr>
            <xdr:spPr bwMode="auto">
              <a:xfrm>
                <a:off x="4532619" y="13961867"/>
                <a:ext cx="6430923" cy="278719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64</a:t>
                </a:r>
              </a:p>
            </xdr:txBody>
          </xdr:sp>
          <xdr:sp macro="" textlink="">
            <xdr:nvSpPr>
              <xdr:cNvPr id="14401" name="Option Button 65" hidden="1">
                <a:extLst>
                  <a:ext uri="{63B3BB69-23CF-44E3-9099-C40C66FF867C}">
                    <a14:compatExt spid="_x0000_s14401"/>
                  </a:ext>
                  <a:ext uri="{FF2B5EF4-FFF2-40B4-BE49-F238E27FC236}">
                    <a16:creationId xmlns:a16="http://schemas.microsoft.com/office/drawing/2014/main" id="{00000000-0008-0000-0000-000041380000}"/>
                  </a:ext>
                </a:extLst>
              </xdr:cNvPr>
              <xdr:cNvSpPr/>
            </xdr:nvSpPr>
            <xdr:spPr bwMode="auto">
              <a:xfrm>
                <a:off x="5149077" y="13985891"/>
                <a:ext cx="445477" cy="2231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32</xdr:row>
          <xdr:rowOff>85725</xdr:rowOff>
        </xdr:from>
        <xdr:to>
          <xdr:col>26</xdr:col>
          <xdr:colOff>133350</xdr:colOff>
          <xdr:row>54</xdr:row>
          <xdr:rowOff>200025</xdr:rowOff>
        </xdr:to>
        <xdr:sp macro="" textlink="">
          <xdr:nvSpPr>
            <xdr:cNvPr id="14406" name="Object 70" hidden="1">
              <a:extLst>
                <a:ext uri="{63B3BB69-23CF-44E3-9099-C40C66FF867C}">
                  <a14:compatExt spid="_x0000_s14406"/>
                </a:ext>
                <a:ext uri="{FF2B5EF4-FFF2-40B4-BE49-F238E27FC236}">
                  <a16:creationId xmlns:a16="http://schemas.microsoft.com/office/drawing/2014/main" id="{00000000-0008-0000-0000-00004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409575</xdr:colOff>
          <xdr:row>66</xdr:row>
          <xdr:rowOff>47625</xdr:rowOff>
        </xdr:from>
        <xdr:to>
          <xdr:col>7</xdr:col>
          <xdr:colOff>333375</xdr:colOff>
          <xdr:row>66</xdr:row>
          <xdr:rowOff>266700</xdr:rowOff>
        </xdr:to>
        <xdr:sp macro="" textlink="">
          <xdr:nvSpPr>
            <xdr:cNvPr id="14407" name="Check Box 71" hidden="1">
              <a:extLst>
                <a:ext uri="{63B3BB69-23CF-44E3-9099-C40C66FF867C}">
                  <a14:compatExt spid="_x0000_s14407"/>
                </a:ext>
                <a:ext uri="{FF2B5EF4-FFF2-40B4-BE49-F238E27FC236}">
                  <a16:creationId xmlns:a16="http://schemas.microsoft.com/office/drawing/2014/main" id="{00000000-0008-0000-0000-00004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438150</xdr:colOff>
          <xdr:row>65</xdr:row>
          <xdr:rowOff>47625</xdr:rowOff>
        </xdr:from>
        <xdr:to>
          <xdr:col>9</xdr:col>
          <xdr:colOff>371475</xdr:colOff>
          <xdr:row>65</xdr:row>
          <xdr:rowOff>266700</xdr:rowOff>
        </xdr:to>
        <xdr:sp macro="" textlink="">
          <xdr:nvSpPr>
            <xdr:cNvPr id="14408" name="Option Button 72" hidden="1">
              <a:extLst>
                <a:ext uri="{63B3BB69-23CF-44E3-9099-C40C66FF867C}">
                  <a14:compatExt spid="_x0000_s14408"/>
                </a:ext>
                <a:ext uri="{FF2B5EF4-FFF2-40B4-BE49-F238E27FC236}">
                  <a16:creationId xmlns:a16="http://schemas.microsoft.com/office/drawing/2014/main" id="{00000000-0008-0000-0000-00004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59</xdr:row>
          <xdr:rowOff>232171</xdr:rowOff>
        </xdr:from>
        <xdr:to>
          <xdr:col>13</xdr:col>
          <xdr:colOff>304800</xdr:colOff>
          <xdr:row>60</xdr:row>
          <xdr:rowOff>295275</xdr:rowOff>
        </xdr:to>
        <xdr:grpSp>
          <xdr:nvGrpSpPr>
            <xdr:cNvPr id="11" name="Group 10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GrpSpPr/>
          </xdr:nvGrpSpPr>
          <xdr:grpSpPr>
            <a:xfrm>
              <a:off x="3667125" y="13386196"/>
              <a:ext cx="5324475" cy="301229"/>
              <a:chOff x="3662343" y="13263834"/>
              <a:chExt cx="5185172" cy="342899"/>
            </a:xfrm>
          </xdr:grpSpPr>
          <xdr:sp macro="" textlink="">
            <xdr:nvSpPr>
              <xdr:cNvPr id="14409" name="Group Box 73" hidden="1">
                <a:extLst>
                  <a:ext uri="{63B3BB69-23CF-44E3-9099-C40C66FF867C}">
                    <a14:compatExt spid="_x0000_s14409"/>
                  </a:ext>
                  <a:ext uri="{FF2B5EF4-FFF2-40B4-BE49-F238E27FC236}">
                    <a16:creationId xmlns:a16="http://schemas.microsoft.com/office/drawing/2014/main" id="{00000000-0008-0000-0000-000049380000}"/>
                  </a:ext>
                </a:extLst>
              </xdr:cNvPr>
              <xdr:cNvSpPr/>
            </xdr:nvSpPr>
            <xdr:spPr bwMode="auto">
              <a:xfrm>
                <a:off x="3662343" y="13263834"/>
                <a:ext cx="5185172" cy="342899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73</a:t>
                </a:r>
              </a:p>
            </xdr:txBody>
          </xdr:sp>
          <xdr:sp macro="" textlink="">
            <xdr:nvSpPr>
              <xdr:cNvPr id="14410" name="Option Button 74" hidden="1">
                <a:extLst>
                  <a:ext uri="{63B3BB69-23CF-44E3-9099-C40C66FF867C}">
                    <a14:compatExt spid="_x0000_s14410"/>
                  </a:ext>
                  <a:ext uri="{FF2B5EF4-FFF2-40B4-BE49-F238E27FC236}">
                    <a16:creationId xmlns:a16="http://schemas.microsoft.com/office/drawing/2014/main" id="{00000000-0008-0000-0000-00004A380000}"/>
                  </a:ext>
                </a:extLst>
              </xdr:cNvPr>
              <xdr:cNvSpPr/>
            </xdr:nvSpPr>
            <xdr:spPr bwMode="auto">
              <a:xfrm>
                <a:off x="4513659" y="13345719"/>
                <a:ext cx="582215" cy="21907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411" name="Option Button 75" hidden="1">
                <a:extLst>
                  <a:ext uri="{63B3BB69-23CF-44E3-9099-C40C66FF867C}">
                    <a14:compatExt spid="_x0000_s14411"/>
                  </a:ext>
                  <a:ext uri="{FF2B5EF4-FFF2-40B4-BE49-F238E27FC236}">
                    <a16:creationId xmlns:a16="http://schemas.microsoft.com/office/drawing/2014/main" id="{00000000-0008-0000-0000-00004B380000}"/>
                  </a:ext>
                </a:extLst>
              </xdr:cNvPr>
              <xdr:cNvSpPr/>
            </xdr:nvSpPr>
            <xdr:spPr bwMode="auto">
              <a:xfrm>
                <a:off x="7056833" y="13349287"/>
                <a:ext cx="652462" cy="21907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 editAs="oneCell">
    <xdr:from>
      <xdr:col>19</xdr:col>
      <xdr:colOff>304799</xdr:colOff>
      <xdr:row>14</xdr:row>
      <xdr:rowOff>0</xdr:rowOff>
    </xdr:from>
    <xdr:to>
      <xdr:col>26</xdr:col>
      <xdr:colOff>114299</xdr:colOff>
      <xdr:row>26</xdr:row>
      <xdr:rowOff>28409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4449" b="18943"/>
        <a:stretch/>
      </xdr:blipFill>
      <xdr:spPr>
        <a:xfrm rot="10800000" flipV="1">
          <a:off x="12887324" y="3276600"/>
          <a:ext cx="4105275" cy="232393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196297</xdr:colOff>
          <xdr:row>21</xdr:row>
          <xdr:rowOff>124653</xdr:rowOff>
        </xdr:from>
        <xdr:to>
          <xdr:col>15</xdr:col>
          <xdr:colOff>631548</xdr:colOff>
          <xdr:row>23</xdr:row>
          <xdr:rowOff>57978</xdr:rowOff>
        </xdr:to>
        <xdr:grpSp>
          <xdr:nvGrpSpPr>
            <xdr:cNvPr id="3" name="face options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pSpPr/>
          </xdr:nvGrpSpPr>
          <xdr:grpSpPr>
            <a:xfrm>
              <a:off x="5596972" y="4801428"/>
              <a:ext cx="5035826" cy="323850"/>
              <a:chOff x="3609969" y="14268438"/>
              <a:chExt cx="5038727" cy="314325"/>
            </a:xfrm>
          </xdr:grpSpPr>
          <xdr:sp macro="" textlink="">
            <xdr:nvSpPr>
              <xdr:cNvPr id="14412" name="Group Box 76" hidden="1">
                <a:extLst>
                  <a:ext uri="{63B3BB69-23CF-44E3-9099-C40C66FF867C}">
                    <a14:compatExt spid="_x0000_s14412"/>
                  </a:ext>
                  <a:ext uri="{FF2B5EF4-FFF2-40B4-BE49-F238E27FC236}">
                    <a16:creationId xmlns:a16="http://schemas.microsoft.com/office/drawing/2014/main" id="{00000000-0008-0000-0000-00004C380000}"/>
                  </a:ext>
                </a:extLst>
              </xdr:cNvPr>
              <xdr:cNvSpPr/>
            </xdr:nvSpPr>
            <xdr:spPr bwMode="auto">
              <a:xfrm>
                <a:off x="3609969" y="14268438"/>
                <a:ext cx="5038727" cy="314325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76</a:t>
                </a:r>
              </a:p>
            </xdr:txBody>
          </xdr:sp>
          <xdr:sp macro="" textlink="">
            <xdr:nvSpPr>
              <xdr:cNvPr id="14413" name="Option Button 77" hidden="1">
                <a:extLst>
                  <a:ext uri="{63B3BB69-23CF-44E3-9099-C40C66FF867C}">
                    <a14:compatExt spid="_x0000_s14413"/>
                  </a:ext>
                  <a:ext uri="{FF2B5EF4-FFF2-40B4-BE49-F238E27FC236}">
                    <a16:creationId xmlns:a16="http://schemas.microsoft.com/office/drawing/2014/main" id="{00000000-0008-0000-0000-00004D380000}"/>
                  </a:ext>
                </a:extLst>
              </xdr:cNvPr>
              <xdr:cNvSpPr/>
            </xdr:nvSpPr>
            <xdr:spPr bwMode="auto">
              <a:xfrm>
                <a:off x="4592445" y="14317579"/>
                <a:ext cx="688809" cy="22007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414" name="Option Button 78" hidden="1">
                <a:extLst>
                  <a:ext uri="{63B3BB69-23CF-44E3-9099-C40C66FF867C}">
                    <a14:compatExt spid="_x0000_s14414"/>
                  </a:ext>
                  <a:ext uri="{FF2B5EF4-FFF2-40B4-BE49-F238E27FC236}">
                    <a16:creationId xmlns:a16="http://schemas.microsoft.com/office/drawing/2014/main" id="{00000000-0008-0000-0000-00004E380000}"/>
                  </a:ext>
                </a:extLst>
              </xdr:cNvPr>
              <xdr:cNvSpPr/>
            </xdr:nvSpPr>
            <xdr:spPr bwMode="auto">
              <a:xfrm>
                <a:off x="6786178" y="14318210"/>
                <a:ext cx="823662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23</xdr:col>
      <xdr:colOff>411613</xdr:colOff>
      <xdr:row>47</xdr:row>
      <xdr:rowOff>130628</xdr:rowOff>
    </xdr:from>
    <xdr:to>
      <xdr:col>27</xdr:col>
      <xdr:colOff>355600</xdr:colOff>
      <xdr:row>48</xdr:row>
      <xdr:rowOff>145424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833042" y="10305142"/>
          <a:ext cx="1424444" cy="247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 b="1">
              <a:solidFill>
                <a:schemeClr val="tx1">
                  <a:lumMod val="85000"/>
                  <a:lumOff val="15000"/>
                </a:schemeClr>
              </a:solidFill>
            </a:rPr>
            <a:t>Throw</a:t>
          </a:r>
          <a:r>
            <a:rPr lang="en-AU" sz="1100" b="1" baseline="0">
              <a:solidFill>
                <a:schemeClr val="tx1">
                  <a:lumMod val="85000"/>
                  <a:lumOff val="15000"/>
                </a:schemeClr>
              </a:solidFill>
            </a:rPr>
            <a:t> Setting Guide</a:t>
          </a:r>
          <a:endParaRPr lang="en-AU" sz="1100" b="1">
            <a:solidFill>
              <a:schemeClr val="tx1">
                <a:lumMod val="85000"/>
                <a:lumOff val="15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68153</xdr:colOff>
      <xdr:row>0</xdr:row>
      <xdr:rowOff>94008</xdr:rowOff>
    </xdr:from>
    <xdr:to>
      <xdr:col>1</xdr:col>
      <xdr:colOff>1979</xdr:colOff>
      <xdr:row>0</xdr:row>
      <xdr:rowOff>410937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53" y="94008"/>
          <a:ext cx="1544369" cy="31420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25</xdr:row>
          <xdr:rowOff>171450</xdr:rowOff>
        </xdr:from>
        <xdr:to>
          <xdr:col>4</xdr:col>
          <xdr:colOff>1009650</xdr:colOff>
          <xdr:row>34</xdr:row>
          <xdr:rowOff>28575</xdr:rowOff>
        </xdr:to>
        <xdr:sp macro="" textlink="">
          <xdr:nvSpPr>
            <xdr:cNvPr id="16388" name="Object 4" hidden="1">
              <a:extLst>
                <a:ext uri="{63B3BB69-23CF-44E3-9099-C40C66FF867C}">
                  <a14:compatExt spid="_x0000_s16388"/>
                </a:ext>
                <a:ext uri="{FF2B5EF4-FFF2-40B4-BE49-F238E27FC236}">
                  <a16:creationId xmlns:a16="http://schemas.microsoft.com/office/drawing/2014/main" id="{00000000-0008-0000-0300-000004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1213801</xdr:colOff>
      <xdr:row>28</xdr:row>
      <xdr:rowOff>169051</xdr:rowOff>
    </xdr:from>
    <xdr:to>
      <xdr:col>4</xdr:col>
      <xdr:colOff>786157</xdr:colOff>
      <xdr:row>31</xdr:row>
      <xdr:rowOff>155</xdr:rowOff>
    </xdr:to>
    <xdr:sp macro="" textlink="'BMW-Std-selection'!C189">
      <xdr:nvSpPr>
        <xdr:cNvPr id="5" name="Text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4480876" y="5769751"/>
          <a:ext cx="1172556" cy="402604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CD2C3BA1-22C4-4D66-9D3F-16A0C0E18E3E}" type="TxLink">
            <a:rPr lang="en-US" sz="1000" b="0" i="0" u="none" strike="noStrike">
              <a:solidFill>
                <a:srgbClr val="000000"/>
              </a:solidFill>
              <a:latin typeface="Aptos Narrow" panose="020B0004020202020204" pitchFamily="34" charset="0"/>
              <a:cs typeface="Calibri"/>
            </a:rPr>
            <a:pPr algn="ctr"/>
            <a:t>4.3 m Nominal
[m] m - [m] m</a:t>
          </a:fld>
          <a:endParaRPr lang="en-AU" sz="1000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3</xdr:col>
      <xdr:colOff>428666</xdr:colOff>
      <xdr:row>26</xdr:row>
      <xdr:rowOff>175996</xdr:rowOff>
    </xdr:from>
    <xdr:to>
      <xdr:col>3</xdr:col>
      <xdr:colOff>1535029</xdr:colOff>
      <xdr:row>29</xdr:row>
      <xdr:rowOff>21750</xdr:rowOff>
    </xdr:to>
    <xdr:sp macro="" textlink="'BMW-Std-selection'!C190">
      <xdr:nvSpPr>
        <xdr:cNvPr id="12" name="Text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3695741" y="5395696"/>
          <a:ext cx="1106363" cy="417254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4E3077C2-1824-4EEA-B9C2-745F391371D7}" type="TxLink">
            <a:rPr lang="en-US" sz="1000" b="0" i="0" u="none" strike="noStrike">
              <a:solidFill>
                <a:srgbClr val="000000"/>
              </a:solidFill>
              <a:latin typeface="Aptos Narrow" panose="020B0004020202020204" pitchFamily="34" charset="0"/>
              <a:cs typeface="Calibri"/>
            </a:rPr>
            <a:pPr algn="ctr"/>
            <a:t>4.3 m Nominal
[m] m - [m] m</a:t>
          </a:fld>
          <a:endParaRPr lang="en-AU" sz="1000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3</xdr:col>
      <xdr:colOff>752205</xdr:colOff>
      <xdr:row>32</xdr:row>
      <xdr:rowOff>173301</xdr:rowOff>
    </xdr:from>
    <xdr:to>
      <xdr:col>4</xdr:col>
      <xdr:colOff>971241</xdr:colOff>
      <xdr:row>34</xdr:row>
      <xdr:rowOff>12108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4019280" y="6536001"/>
          <a:ext cx="1819236" cy="2198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AU" sz="1000">
              <a:latin typeface="Aptos Narrow" panose="020B0004020202020204" pitchFamily="34" charset="0"/>
            </a:rPr>
            <a:t>recommended min - max</a:t>
          </a:r>
        </a:p>
      </xdr:txBody>
    </xdr:sp>
    <xdr:clientData/>
  </xdr:twoCellAnchor>
  <xdr:twoCellAnchor>
    <xdr:from>
      <xdr:col>3</xdr:col>
      <xdr:colOff>40388</xdr:colOff>
      <xdr:row>32</xdr:row>
      <xdr:rowOff>165496</xdr:rowOff>
    </xdr:from>
    <xdr:to>
      <xdr:col>3</xdr:col>
      <xdr:colOff>664040</xdr:colOff>
      <xdr:row>34</xdr:row>
      <xdr:rowOff>10717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3307463" y="6528196"/>
          <a:ext cx="623652" cy="2262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lang="en-AU" sz="900">
              <a:latin typeface="Aptos Narrow" panose="020B0004020202020204" pitchFamily="34" charset="0"/>
            </a:rPr>
            <a:t>Figure 1</a:t>
          </a:r>
        </a:p>
      </xdr:txBody>
    </xdr:sp>
    <xdr:clientData/>
  </xdr:twoCellAnchor>
  <xdr:twoCellAnchor editAs="oneCell">
    <xdr:from>
      <xdr:col>3</xdr:col>
      <xdr:colOff>316706</xdr:colOff>
      <xdr:row>7</xdr:row>
      <xdr:rowOff>131077</xdr:rowOff>
    </xdr:from>
    <xdr:to>
      <xdr:col>4</xdr:col>
      <xdr:colOff>1191072</xdr:colOff>
      <xdr:row>13</xdr:row>
      <xdr:rowOff>17477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86" t="25239" r="5713" b="25714"/>
        <a:stretch/>
      </xdr:blipFill>
      <xdr:spPr>
        <a:xfrm>
          <a:off x="3584917" y="1738967"/>
          <a:ext cx="2473517" cy="1039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599649</xdr:colOff>
      <xdr:row>1</xdr:row>
      <xdr:rowOff>63554</xdr:rowOff>
    </xdr:from>
    <xdr:to>
      <xdr:col>21</xdr:col>
      <xdr:colOff>809866</xdr:colOff>
      <xdr:row>3</xdr:row>
      <xdr:rowOff>8670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39884" y="249252"/>
          <a:ext cx="2492214" cy="4774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704306</xdr:colOff>
          <xdr:row>67</xdr:row>
          <xdr:rowOff>21771</xdr:rowOff>
        </xdr:from>
        <xdr:to>
          <xdr:col>12</xdr:col>
          <xdr:colOff>54429</xdr:colOff>
          <xdr:row>67</xdr:row>
          <xdr:rowOff>288471</xdr:rowOff>
        </xdr:to>
        <xdr:grpSp>
          <xdr:nvGrpSpPr>
            <xdr:cNvPr id="9" name="Group 8">
              <a:extLst>
                <a:ext uri="{FF2B5EF4-FFF2-40B4-BE49-F238E27FC236}">
                  <a16:creationId xmlns:a16="http://schemas.microsoft.com/office/drawing/2014/main" id="{00000000-0008-0000-0400-000009000000}"/>
                </a:ext>
              </a:extLst>
            </xdr:cNvPr>
            <xdr:cNvGrpSpPr/>
          </xdr:nvGrpSpPr>
          <xdr:grpSpPr>
            <a:xfrm>
              <a:off x="4495256" y="14585496"/>
              <a:ext cx="4103098" cy="266700"/>
              <a:chOff x="5155576" y="14031212"/>
              <a:chExt cx="4536033" cy="266700"/>
            </a:xfrm>
          </xdr:grpSpPr>
          <xdr:sp macro="" textlink="">
            <xdr:nvSpPr>
              <xdr:cNvPr id="15370" name="Option Button 10" hidden="1">
                <a:extLst>
                  <a:ext uri="{63B3BB69-23CF-44E3-9099-C40C66FF867C}">
                    <a14:compatExt spid="_x0000_s15370"/>
                  </a:ext>
                  <a:ext uri="{FF2B5EF4-FFF2-40B4-BE49-F238E27FC236}">
                    <a16:creationId xmlns:a16="http://schemas.microsoft.com/office/drawing/2014/main" id="{00000000-0008-0000-0400-00000A3C0000}"/>
                  </a:ext>
                </a:extLst>
              </xdr:cNvPr>
              <xdr:cNvSpPr/>
            </xdr:nvSpPr>
            <xdr:spPr bwMode="auto">
              <a:xfrm>
                <a:off x="5601883" y="14047541"/>
                <a:ext cx="581441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371" name="Option Button 11" hidden="1">
                <a:extLst>
                  <a:ext uri="{63B3BB69-23CF-44E3-9099-C40C66FF867C}">
                    <a14:compatExt spid="_x0000_s15371"/>
                  </a:ext>
                  <a:ext uri="{FF2B5EF4-FFF2-40B4-BE49-F238E27FC236}">
                    <a16:creationId xmlns:a16="http://schemas.microsoft.com/office/drawing/2014/main" id="{00000000-0008-0000-0400-00000B3C0000}"/>
                  </a:ext>
                </a:extLst>
              </xdr:cNvPr>
              <xdr:cNvSpPr/>
            </xdr:nvSpPr>
            <xdr:spPr bwMode="auto">
              <a:xfrm>
                <a:off x="7271164" y="14047541"/>
                <a:ext cx="742120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372" name="Option Button 12" hidden="1">
                <a:extLst>
                  <a:ext uri="{63B3BB69-23CF-44E3-9099-C40C66FF867C}">
                    <a14:compatExt spid="_x0000_s15372"/>
                  </a:ext>
                  <a:ext uri="{FF2B5EF4-FFF2-40B4-BE49-F238E27FC236}">
                    <a16:creationId xmlns:a16="http://schemas.microsoft.com/office/drawing/2014/main" id="{00000000-0008-0000-0400-00000C3C0000}"/>
                  </a:ext>
                </a:extLst>
              </xdr:cNvPr>
              <xdr:cNvSpPr/>
            </xdr:nvSpPr>
            <xdr:spPr bwMode="auto">
              <a:xfrm>
                <a:off x="8710857" y="14047541"/>
                <a:ext cx="524408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373" name="Group Box 13" hidden="1">
                <a:extLst>
                  <a:ext uri="{63B3BB69-23CF-44E3-9099-C40C66FF867C}">
                    <a14:compatExt spid="_x0000_s15373"/>
                  </a:ext>
                  <a:ext uri="{FF2B5EF4-FFF2-40B4-BE49-F238E27FC236}">
                    <a16:creationId xmlns:a16="http://schemas.microsoft.com/office/drawing/2014/main" id="{00000000-0008-0000-0400-00000D3C0000}"/>
                  </a:ext>
                </a:extLst>
              </xdr:cNvPr>
              <xdr:cNvSpPr/>
            </xdr:nvSpPr>
            <xdr:spPr bwMode="auto">
              <a:xfrm>
                <a:off x="5155576" y="14031212"/>
                <a:ext cx="4536033" cy="2667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32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704306</xdr:colOff>
          <xdr:row>68</xdr:row>
          <xdr:rowOff>6153</xdr:rowOff>
        </xdr:from>
        <xdr:to>
          <xdr:col>12</xdr:col>
          <xdr:colOff>48986</xdr:colOff>
          <xdr:row>68</xdr:row>
          <xdr:rowOff>289181</xdr:rowOff>
        </xdr:to>
        <xdr:grpSp>
          <xdr:nvGrpSpPr>
            <xdr:cNvPr id="11" name="Group 10">
              <a:extLst>
                <a:ext uri="{FF2B5EF4-FFF2-40B4-BE49-F238E27FC236}">
                  <a16:creationId xmlns:a16="http://schemas.microsoft.com/office/drawing/2014/main" id="{00000000-0008-0000-0400-00000B000000}"/>
                </a:ext>
              </a:extLst>
            </xdr:cNvPr>
            <xdr:cNvGrpSpPr/>
          </xdr:nvGrpSpPr>
          <xdr:grpSpPr>
            <a:xfrm>
              <a:off x="4495256" y="14874678"/>
              <a:ext cx="4097655" cy="283028"/>
              <a:chOff x="5155563" y="14318491"/>
              <a:chExt cx="4530583" cy="283028"/>
            </a:xfrm>
          </xdr:grpSpPr>
          <xdr:sp macro="" textlink="">
            <xdr:nvSpPr>
              <xdr:cNvPr id="15374" name="Option Button 14" hidden="1">
                <a:extLst>
                  <a:ext uri="{63B3BB69-23CF-44E3-9099-C40C66FF867C}">
                    <a14:compatExt spid="_x0000_s15374"/>
                  </a:ext>
                  <a:ext uri="{FF2B5EF4-FFF2-40B4-BE49-F238E27FC236}">
                    <a16:creationId xmlns:a16="http://schemas.microsoft.com/office/drawing/2014/main" id="{00000000-0008-0000-0400-00000E3C0000}"/>
                  </a:ext>
                </a:extLst>
              </xdr:cNvPr>
              <xdr:cNvSpPr/>
            </xdr:nvSpPr>
            <xdr:spPr bwMode="auto">
              <a:xfrm>
                <a:off x="5601883" y="14350448"/>
                <a:ext cx="429985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375" name="Option Button 15" hidden="1">
                <a:extLst>
                  <a:ext uri="{63B3BB69-23CF-44E3-9099-C40C66FF867C}">
                    <a14:compatExt spid="_x0000_s15375"/>
                  </a:ext>
                  <a:ext uri="{FF2B5EF4-FFF2-40B4-BE49-F238E27FC236}">
                    <a16:creationId xmlns:a16="http://schemas.microsoft.com/office/drawing/2014/main" id="{00000000-0008-0000-0400-00000F3C0000}"/>
                  </a:ext>
                </a:extLst>
              </xdr:cNvPr>
              <xdr:cNvSpPr/>
            </xdr:nvSpPr>
            <xdr:spPr bwMode="auto">
              <a:xfrm>
                <a:off x="7264588" y="14356401"/>
                <a:ext cx="638703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376" name="Option Button 16" hidden="1">
                <a:extLst>
                  <a:ext uri="{63B3BB69-23CF-44E3-9099-C40C66FF867C}">
                    <a14:compatExt spid="_x0000_s15376"/>
                  </a:ext>
                  <a:ext uri="{FF2B5EF4-FFF2-40B4-BE49-F238E27FC236}">
                    <a16:creationId xmlns:a16="http://schemas.microsoft.com/office/drawing/2014/main" id="{00000000-0008-0000-0400-0000103C0000}"/>
                  </a:ext>
                </a:extLst>
              </xdr:cNvPr>
              <xdr:cNvSpPr/>
            </xdr:nvSpPr>
            <xdr:spPr bwMode="auto">
              <a:xfrm>
                <a:off x="8701710" y="14350448"/>
                <a:ext cx="513524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377" name="Group Box 17" hidden="1">
                <a:extLst>
                  <a:ext uri="{63B3BB69-23CF-44E3-9099-C40C66FF867C}">
                    <a14:compatExt spid="_x0000_s15377"/>
                  </a:ext>
                  <a:ext uri="{FF2B5EF4-FFF2-40B4-BE49-F238E27FC236}">
                    <a16:creationId xmlns:a16="http://schemas.microsoft.com/office/drawing/2014/main" id="{00000000-0008-0000-0400-0000113C0000}"/>
                  </a:ext>
                </a:extLst>
              </xdr:cNvPr>
              <xdr:cNvSpPr/>
            </xdr:nvSpPr>
            <xdr:spPr bwMode="auto">
              <a:xfrm>
                <a:off x="5155563" y="14318491"/>
                <a:ext cx="4530583" cy="283028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36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360589</xdr:colOff>
          <xdr:row>22</xdr:row>
          <xdr:rowOff>3281</xdr:rowOff>
        </xdr:from>
        <xdr:to>
          <xdr:col>4</xdr:col>
          <xdr:colOff>285270</xdr:colOff>
          <xdr:row>29</xdr:row>
          <xdr:rowOff>105735</xdr:rowOff>
        </xdr:to>
        <xdr:grpSp>
          <xdr:nvGrpSpPr>
            <xdr:cNvPr id="6" name="Distance selection">
              <a:extLst>
                <a:ext uri="{FF2B5EF4-FFF2-40B4-BE49-F238E27FC236}">
                  <a16:creationId xmlns:a16="http://schemas.microsoft.com/office/drawing/2014/main" id="{00000000-0008-0000-0400-000006000000}"/>
                </a:ext>
              </a:extLst>
            </xdr:cNvPr>
            <xdr:cNvGrpSpPr/>
          </xdr:nvGrpSpPr>
          <xdr:grpSpPr>
            <a:xfrm>
              <a:off x="779689" y="4765781"/>
              <a:ext cx="2315456" cy="1550254"/>
              <a:chOff x="1301240" y="4574913"/>
              <a:chExt cx="2622211" cy="1455473"/>
            </a:xfrm>
          </xdr:grpSpPr>
          <xdr:sp macro="" textlink="">
            <xdr:nvSpPr>
              <xdr:cNvPr id="15386" name="Group Box 26" hidden="1">
                <a:extLst>
                  <a:ext uri="{63B3BB69-23CF-44E3-9099-C40C66FF867C}">
                    <a14:compatExt spid="_x0000_s15386"/>
                  </a:ext>
                  <a:ext uri="{FF2B5EF4-FFF2-40B4-BE49-F238E27FC236}">
                    <a16:creationId xmlns:a16="http://schemas.microsoft.com/office/drawing/2014/main" id="{00000000-0008-0000-0400-00001A3C0000}"/>
                  </a:ext>
                </a:extLst>
              </xdr:cNvPr>
              <xdr:cNvSpPr/>
            </xdr:nvSpPr>
            <xdr:spPr bwMode="auto">
              <a:xfrm>
                <a:off x="1301240" y="4574913"/>
                <a:ext cx="2622211" cy="1455473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26</a:t>
                </a:r>
              </a:p>
            </xdr:txBody>
          </xdr:sp>
          <xdr:sp macro="" textlink="">
            <xdr:nvSpPr>
              <xdr:cNvPr id="15387" name="Option Button 27" hidden="1">
                <a:extLst>
                  <a:ext uri="{63B3BB69-23CF-44E3-9099-C40C66FF867C}">
                    <a14:compatExt spid="_x0000_s15387"/>
                  </a:ext>
                  <a:ext uri="{FF2B5EF4-FFF2-40B4-BE49-F238E27FC236}">
                    <a16:creationId xmlns:a16="http://schemas.microsoft.com/office/drawing/2014/main" id="{00000000-0008-0000-0400-00001B3C0000}"/>
                  </a:ext>
                </a:extLst>
              </xdr:cNvPr>
              <xdr:cNvSpPr/>
            </xdr:nvSpPr>
            <xdr:spPr bwMode="auto">
              <a:xfrm>
                <a:off x="1699594" y="4731302"/>
                <a:ext cx="81255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388" name="Option Button 28" hidden="1">
                <a:extLst>
                  <a:ext uri="{63B3BB69-23CF-44E3-9099-C40C66FF867C}">
                    <a14:compatExt spid="_x0000_s15388"/>
                  </a:ext>
                  <a:ext uri="{FF2B5EF4-FFF2-40B4-BE49-F238E27FC236}">
                    <a16:creationId xmlns:a16="http://schemas.microsoft.com/office/drawing/2014/main" id="{00000000-0008-0000-0400-00001C3C0000}"/>
                  </a:ext>
                </a:extLst>
              </xdr:cNvPr>
              <xdr:cNvSpPr/>
            </xdr:nvSpPr>
            <xdr:spPr bwMode="auto">
              <a:xfrm>
                <a:off x="1706694" y="5207770"/>
                <a:ext cx="782739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389" name="Option Button 29" hidden="1">
                <a:extLst>
                  <a:ext uri="{63B3BB69-23CF-44E3-9099-C40C66FF867C}">
                    <a14:compatExt spid="_x0000_s15389"/>
                  </a:ext>
                  <a:ext uri="{FF2B5EF4-FFF2-40B4-BE49-F238E27FC236}">
                    <a16:creationId xmlns:a16="http://schemas.microsoft.com/office/drawing/2014/main" id="{00000000-0008-0000-0400-00001D3C0000}"/>
                  </a:ext>
                </a:extLst>
              </xdr:cNvPr>
              <xdr:cNvSpPr/>
            </xdr:nvSpPr>
            <xdr:spPr bwMode="auto">
              <a:xfrm>
                <a:off x="1713285" y="5718056"/>
                <a:ext cx="966645" cy="22127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835479</xdr:colOff>
          <xdr:row>7</xdr:row>
          <xdr:rowOff>93889</xdr:rowOff>
        </xdr:from>
        <xdr:to>
          <xdr:col>7</xdr:col>
          <xdr:colOff>1360</xdr:colOff>
          <xdr:row>9</xdr:row>
          <xdr:rowOff>55789</xdr:rowOff>
        </xdr:to>
        <xdr:grpSp>
          <xdr:nvGrpSpPr>
            <xdr:cNvPr id="7" name="units">
              <a:extLst>
                <a:ext uri="{FF2B5EF4-FFF2-40B4-BE49-F238E27FC236}">
                  <a16:creationId xmlns:a16="http://schemas.microsoft.com/office/drawing/2014/main" id="{00000000-0008-0000-0400-000007000000}"/>
                </a:ext>
              </a:extLst>
            </xdr:cNvPr>
            <xdr:cNvGrpSpPr/>
          </xdr:nvGrpSpPr>
          <xdr:grpSpPr>
            <a:xfrm>
              <a:off x="3645354" y="1789339"/>
              <a:ext cx="1499506" cy="352425"/>
              <a:chOff x="4371285" y="1572646"/>
              <a:chExt cx="1292770" cy="388882"/>
            </a:xfrm>
          </xdr:grpSpPr>
          <xdr:sp macro="" textlink="">
            <xdr:nvSpPr>
              <xdr:cNvPr id="15390" name="Group Box 30" hidden="1">
                <a:extLst>
                  <a:ext uri="{63B3BB69-23CF-44E3-9099-C40C66FF867C}">
                    <a14:compatExt spid="_x0000_s15390"/>
                  </a:ext>
                  <a:ext uri="{FF2B5EF4-FFF2-40B4-BE49-F238E27FC236}">
                    <a16:creationId xmlns:a16="http://schemas.microsoft.com/office/drawing/2014/main" id="{00000000-0008-0000-0400-00001E3C0000}"/>
                  </a:ext>
                </a:extLst>
              </xdr:cNvPr>
              <xdr:cNvSpPr/>
            </xdr:nvSpPr>
            <xdr:spPr bwMode="auto">
              <a:xfrm>
                <a:off x="4371285" y="1572646"/>
                <a:ext cx="1292770" cy="38888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30</a:t>
                </a:r>
              </a:p>
            </xdr:txBody>
          </xdr:sp>
          <xdr:sp macro="" textlink="">
            <xdr:nvSpPr>
              <xdr:cNvPr id="15391" name="Option Button 31" hidden="1">
                <a:extLst>
                  <a:ext uri="{63B3BB69-23CF-44E3-9099-C40C66FF867C}">
                    <a14:compatExt spid="_x0000_s15391"/>
                  </a:ext>
                  <a:ext uri="{FF2B5EF4-FFF2-40B4-BE49-F238E27FC236}">
                    <a16:creationId xmlns:a16="http://schemas.microsoft.com/office/drawing/2014/main" id="{00000000-0008-0000-0400-00001F3C0000}"/>
                  </a:ext>
                </a:extLst>
              </xdr:cNvPr>
              <xdr:cNvSpPr/>
            </xdr:nvSpPr>
            <xdr:spPr bwMode="auto">
              <a:xfrm>
                <a:off x="4586778" y="1686164"/>
                <a:ext cx="358008" cy="22038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392" name="Option Button 32" hidden="1">
                <a:extLst>
                  <a:ext uri="{63B3BB69-23CF-44E3-9099-C40C66FF867C}">
                    <a14:compatExt spid="_x0000_s15392"/>
                  </a:ext>
                  <a:ext uri="{FF2B5EF4-FFF2-40B4-BE49-F238E27FC236}">
                    <a16:creationId xmlns:a16="http://schemas.microsoft.com/office/drawing/2014/main" id="{00000000-0008-0000-0400-0000203C0000}"/>
                  </a:ext>
                </a:extLst>
              </xdr:cNvPr>
              <xdr:cNvSpPr/>
            </xdr:nvSpPr>
            <xdr:spPr bwMode="auto">
              <a:xfrm>
                <a:off x="5024759" y="1686422"/>
                <a:ext cx="380148" cy="22038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 editAs="absolute">
    <xdr:from>
      <xdr:col>10</xdr:col>
      <xdr:colOff>177095</xdr:colOff>
      <xdr:row>15</xdr:row>
      <xdr:rowOff>188413</xdr:rowOff>
    </xdr:from>
    <xdr:to>
      <xdr:col>20</xdr:col>
      <xdr:colOff>483592</xdr:colOff>
      <xdr:row>26</xdr:row>
      <xdr:rowOff>3939</xdr:rowOff>
    </xdr:to>
    <xdr:grpSp>
      <xdr:nvGrpSpPr>
        <xdr:cNvPr id="3" name="eg diagram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pSpPr/>
      </xdr:nvGrpSpPr>
      <xdr:grpSpPr>
        <a:xfrm>
          <a:off x="7444670" y="3417388"/>
          <a:ext cx="6602522" cy="2187251"/>
          <a:chOff x="7577497" y="7560936"/>
          <a:chExt cx="6953558" cy="2119826"/>
        </a:xfrm>
      </xdr:grpSpPr>
      <xdr:pic>
        <xdr:nvPicPr>
          <xdr:cNvPr id="8" name="Picture 7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7577497" y="7903749"/>
            <a:ext cx="6326680" cy="1777013"/>
          </a:xfrm>
          <a:prstGeom prst="rect">
            <a:avLst/>
          </a:prstGeom>
        </xdr:spPr>
      </xdr:pic>
      <xdr:grpSp>
        <xdr:nvGrpSpPr>
          <xdr:cNvPr id="12" name="Group 11">
            <a:extLst>
              <a:ext uri="{FF2B5EF4-FFF2-40B4-BE49-F238E27FC236}">
                <a16:creationId xmlns:a16="http://schemas.microsoft.com/office/drawing/2014/main" id="{00000000-0008-0000-0400-00000C000000}"/>
              </a:ext>
            </a:extLst>
          </xdr:cNvPr>
          <xdr:cNvGrpSpPr/>
        </xdr:nvGrpSpPr>
        <xdr:grpSpPr>
          <a:xfrm>
            <a:off x="8094461" y="7626168"/>
            <a:ext cx="5768270" cy="444722"/>
            <a:chOff x="7670239" y="7388357"/>
            <a:chExt cx="5432444" cy="289720"/>
          </a:xfrm>
        </xdr:grpSpPr>
        <xdr:cxnSp macro="">
          <xdr:nvCxnSpPr>
            <xdr:cNvPr id="10" name="Straight Connector 9">
              <a:extLst>
                <a:ext uri="{FF2B5EF4-FFF2-40B4-BE49-F238E27FC236}">
                  <a16:creationId xmlns:a16="http://schemas.microsoft.com/office/drawing/2014/main" id="{00000000-0008-0000-0400-00000A000000}"/>
                </a:ext>
              </a:extLst>
            </xdr:cNvPr>
            <xdr:cNvCxnSpPr/>
          </xdr:nvCxnSpPr>
          <xdr:spPr>
            <a:xfrm>
              <a:off x="7670239" y="7388988"/>
              <a:ext cx="0" cy="289089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8" name="Straight Connector 27">
              <a:extLst>
                <a:ext uri="{FF2B5EF4-FFF2-40B4-BE49-F238E27FC236}">
                  <a16:creationId xmlns:a16="http://schemas.microsoft.com/office/drawing/2014/main" id="{00000000-0008-0000-0400-00001C000000}"/>
                </a:ext>
              </a:extLst>
            </xdr:cNvPr>
            <xdr:cNvCxnSpPr/>
          </xdr:nvCxnSpPr>
          <xdr:spPr>
            <a:xfrm>
              <a:off x="13102295" y="7388357"/>
              <a:ext cx="0" cy="289089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9" name="Straight Connector 28">
              <a:extLst>
                <a:ext uri="{FF2B5EF4-FFF2-40B4-BE49-F238E27FC236}">
                  <a16:creationId xmlns:a16="http://schemas.microsoft.com/office/drawing/2014/main" id="{00000000-0008-0000-0400-00001D000000}"/>
                </a:ext>
              </a:extLst>
            </xdr:cNvPr>
            <xdr:cNvCxnSpPr/>
          </xdr:nvCxnSpPr>
          <xdr:spPr>
            <a:xfrm flipV="1">
              <a:off x="7671110" y="7448084"/>
              <a:ext cx="5431573" cy="1"/>
            </a:xfrm>
            <a:prstGeom prst="line">
              <a:avLst/>
            </a:prstGeom>
            <a:ln w="6350">
              <a:solidFill>
                <a:schemeClr val="tx1"/>
              </a:solidFill>
              <a:headEnd type="stealth" w="sm" len="lg"/>
              <a:tailEnd type="stealth" w="sm" len="lg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31" name="Group 30">
            <a:extLst>
              <a:ext uri="{FF2B5EF4-FFF2-40B4-BE49-F238E27FC236}">
                <a16:creationId xmlns:a16="http://schemas.microsoft.com/office/drawing/2014/main" id="{00000000-0008-0000-0400-00001F000000}"/>
              </a:ext>
            </a:extLst>
          </xdr:cNvPr>
          <xdr:cNvGrpSpPr/>
        </xdr:nvGrpSpPr>
        <xdr:grpSpPr>
          <a:xfrm>
            <a:off x="8245497" y="7844508"/>
            <a:ext cx="5505722" cy="342647"/>
            <a:chOff x="7670239" y="7388357"/>
            <a:chExt cx="5432444" cy="289720"/>
          </a:xfrm>
        </xdr:grpSpPr>
        <xdr:cxnSp macro="">
          <xdr:nvCxnSpPr>
            <xdr:cNvPr id="32" name="Straight Connector 31">
              <a:extLst>
                <a:ext uri="{FF2B5EF4-FFF2-40B4-BE49-F238E27FC236}">
                  <a16:creationId xmlns:a16="http://schemas.microsoft.com/office/drawing/2014/main" id="{00000000-0008-0000-0400-000020000000}"/>
                </a:ext>
              </a:extLst>
            </xdr:cNvPr>
            <xdr:cNvCxnSpPr/>
          </xdr:nvCxnSpPr>
          <xdr:spPr>
            <a:xfrm>
              <a:off x="7670239" y="7388988"/>
              <a:ext cx="0" cy="289089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3" name="Straight Connector 32">
              <a:extLst>
                <a:ext uri="{FF2B5EF4-FFF2-40B4-BE49-F238E27FC236}">
                  <a16:creationId xmlns:a16="http://schemas.microsoft.com/office/drawing/2014/main" id="{00000000-0008-0000-0400-000021000000}"/>
                </a:ext>
              </a:extLst>
            </xdr:cNvPr>
            <xdr:cNvCxnSpPr/>
          </xdr:nvCxnSpPr>
          <xdr:spPr>
            <a:xfrm>
              <a:off x="13102295" y="7388357"/>
              <a:ext cx="0" cy="289089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4" name="Straight Connector 33">
              <a:extLst>
                <a:ext uri="{FF2B5EF4-FFF2-40B4-BE49-F238E27FC236}">
                  <a16:creationId xmlns:a16="http://schemas.microsoft.com/office/drawing/2014/main" id="{00000000-0008-0000-0400-000022000000}"/>
                </a:ext>
              </a:extLst>
            </xdr:cNvPr>
            <xdr:cNvCxnSpPr/>
          </xdr:nvCxnSpPr>
          <xdr:spPr>
            <a:xfrm flipV="1">
              <a:off x="7671110" y="7448084"/>
              <a:ext cx="5431573" cy="1"/>
            </a:xfrm>
            <a:prstGeom prst="line">
              <a:avLst/>
            </a:prstGeom>
            <a:ln w="6350">
              <a:solidFill>
                <a:schemeClr val="tx1"/>
              </a:solidFill>
              <a:headEnd type="stealth" w="sm" len="lg"/>
              <a:tailEnd type="stealth" w="sm" len="lg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35" name="Group 34">
            <a:extLst>
              <a:ext uri="{FF2B5EF4-FFF2-40B4-BE49-F238E27FC236}">
                <a16:creationId xmlns:a16="http://schemas.microsoft.com/office/drawing/2014/main" id="{00000000-0008-0000-0400-000023000000}"/>
              </a:ext>
            </a:extLst>
          </xdr:cNvPr>
          <xdr:cNvGrpSpPr/>
        </xdr:nvGrpSpPr>
        <xdr:grpSpPr>
          <a:xfrm rot="5400000">
            <a:off x="13575497" y="8402502"/>
            <a:ext cx="752201" cy="365181"/>
            <a:chOff x="7670239" y="7388357"/>
            <a:chExt cx="5432444" cy="289720"/>
          </a:xfrm>
        </xdr:grpSpPr>
        <xdr:cxnSp macro="">
          <xdr:nvCxnSpPr>
            <xdr:cNvPr id="36" name="Straight Connector 35">
              <a:extLst>
                <a:ext uri="{FF2B5EF4-FFF2-40B4-BE49-F238E27FC236}">
                  <a16:creationId xmlns:a16="http://schemas.microsoft.com/office/drawing/2014/main" id="{00000000-0008-0000-0400-000024000000}"/>
                </a:ext>
              </a:extLst>
            </xdr:cNvPr>
            <xdr:cNvCxnSpPr/>
          </xdr:nvCxnSpPr>
          <xdr:spPr>
            <a:xfrm>
              <a:off x="7670239" y="7388988"/>
              <a:ext cx="0" cy="289089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7" name="Straight Connector 36">
              <a:extLst>
                <a:ext uri="{FF2B5EF4-FFF2-40B4-BE49-F238E27FC236}">
                  <a16:creationId xmlns:a16="http://schemas.microsoft.com/office/drawing/2014/main" id="{00000000-0008-0000-0400-000025000000}"/>
                </a:ext>
              </a:extLst>
            </xdr:cNvPr>
            <xdr:cNvCxnSpPr/>
          </xdr:nvCxnSpPr>
          <xdr:spPr>
            <a:xfrm>
              <a:off x="13102295" y="7388357"/>
              <a:ext cx="0" cy="289089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8" name="Straight Connector 37">
              <a:extLst>
                <a:ext uri="{FF2B5EF4-FFF2-40B4-BE49-F238E27FC236}">
                  <a16:creationId xmlns:a16="http://schemas.microsoft.com/office/drawing/2014/main" id="{00000000-0008-0000-0400-000026000000}"/>
                </a:ext>
              </a:extLst>
            </xdr:cNvPr>
            <xdr:cNvCxnSpPr/>
          </xdr:nvCxnSpPr>
          <xdr:spPr>
            <a:xfrm flipV="1">
              <a:off x="7671110" y="7448084"/>
              <a:ext cx="5431573" cy="1"/>
            </a:xfrm>
            <a:prstGeom prst="line">
              <a:avLst/>
            </a:prstGeom>
            <a:ln w="6350">
              <a:solidFill>
                <a:schemeClr val="tx1"/>
              </a:solidFill>
              <a:headEnd type="stealth" w="sm" len="lg"/>
              <a:tailEnd type="stealth" w="sm" len="lg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39" name="Group 38">
            <a:extLst>
              <a:ext uri="{FF2B5EF4-FFF2-40B4-BE49-F238E27FC236}">
                <a16:creationId xmlns:a16="http://schemas.microsoft.com/office/drawing/2014/main" id="{00000000-0008-0000-0400-000027000000}"/>
              </a:ext>
            </a:extLst>
          </xdr:cNvPr>
          <xdr:cNvGrpSpPr/>
        </xdr:nvGrpSpPr>
        <xdr:grpSpPr>
          <a:xfrm rot="5400000">
            <a:off x="7458473" y="8510188"/>
            <a:ext cx="774835" cy="164344"/>
            <a:chOff x="7670239" y="7388357"/>
            <a:chExt cx="5432444" cy="289720"/>
          </a:xfrm>
        </xdr:grpSpPr>
        <xdr:cxnSp macro="">
          <xdr:nvCxnSpPr>
            <xdr:cNvPr id="40" name="Straight Connector 39">
              <a:extLst>
                <a:ext uri="{FF2B5EF4-FFF2-40B4-BE49-F238E27FC236}">
                  <a16:creationId xmlns:a16="http://schemas.microsoft.com/office/drawing/2014/main" id="{00000000-0008-0000-0400-000028000000}"/>
                </a:ext>
              </a:extLst>
            </xdr:cNvPr>
            <xdr:cNvCxnSpPr/>
          </xdr:nvCxnSpPr>
          <xdr:spPr>
            <a:xfrm>
              <a:off x="7670239" y="7388988"/>
              <a:ext cx="0" cy="289089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1" name="Straight Connector 40">
              <a:extLst>
                <a:ext uri="{FF2B5EF4-FFF2-40B4-BE49-F238E27FC236}">
                  <a16:creationId xmlns:a16="http://schemas.microsoft.com/office/drawing/2014/main" id="{00000000-0008-0000-0400-000029000000}"/>
                </a:ext>
              </a:extLst>
            </xdr:cNvPr>
            <xdr:cNvCxnSpPr/>
          </xdr:nvCxnSpPr>
          <xdr:spPr>
            <a:xfrm>
              <a:off x="13102295" y="7388357"/>
              <a:ext cx="0" cy="289089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2" name="Straight Connector 41">
              <a:extLst>
                <a:ext uri="{FF2B5EF4-FFF2-40B4-BE49-F238E27FC236}">
                  <a16:creationId xmlns:a16="http://schemas.microsoft.com/office/drawing/2014/main" id="{00000000-0008-0000-0400-00002A000000}"/>
                </a:ext>
              </a:extLst>
            </xdr:cNvPr>
            <xdr:cNvCxnSpPr/>
          </xdr:nvCxnSpPr>
          <xdr:spPr>
            <a:xfrm flipV="1">
              <a:off x="7671110" y="7448084"/>
              <a:ext cx="5431573" cy="1"/>
            </a:xfrm>
            <a:prstGeom prst="line">
              <a:avLst/>
            </a:prstGeom>
            <a:ln w="6350">
              <a:solidFill>
                <a:schemeClr val="tx1"/>
              </a:solidFill>
              <a:headEnd type="stealth" w="sm" len="lg"/>
              <a:tailEnd type="stealth" w="sm" len="lg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43" name="Group 42">
            <a:extLst>
              <a:ext uri="{FF2B5EF4-FFF2-40B4-BE49-F238E27FC236}">
                <a16:creationId xmlns:a16="http://schemas.microsoft.com/office/drawing/2014/main" id="{00000000-0008-0000-0400-00002B000000}"/>
              </a:ext>
            </a:extLst>
          </xdr:cNvPr>
          <xdr:cNvGrpSpPr/>
        </xdr:nvGrpSpPr>
        <xdr:grpSpPr>
          <a:xfrm rot="5400000">
            <a:off x="13676630" y="8319391"/>
            <a:ext cx="978582" cy="537345"/>
            <a:chOff x="7670239" y="7388357"/>
            <a:chExt cx="5432444" cy="289720"/>
          </a:xfrm>
        </xdr:grpSpPr>
        <xdr:cxnSp macro="">
          <xdr:nvCxnSpPr>
            <xdr:cNvPr id="44" name="Straight Connector 43">
              <a:extLst>
                <a:ext uri="{FF2B5EF4-FFF2-40B4-BE49-F238E27FC236}">
                  <a16:creationId xmlns:a16="http://schemas.microsoft.com/office/drawing/2014/main" id="{00000000-0008-0000-0400-00002C000000}"/>
                </a:ext>
              </a:extLst>
            </xdr:cNvPr>
            <xdr:cNvCxnSpPr/>
          </xdr:nvCxnSpPr>
          <xdr:spPr>
            <a:xfrm>
              <a:off x="7670239" y="7388988"/>
              <a:ext cx="0" cy="289089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5" name="Straight Connector 44">
              <a:extLst>
                <a:ext uri="{FF2B5EF4-FFF2-40B4-BE49-F238E27FC236}">
                  <a16:creationId xmlns:a16="http://schemas.microsoft.com/office/drawing/2014/main" id="{00000000-0008-0000-0400-00002D000000}"/>
                </a:ext>
              </a:extLst>
            </xdr:cNvPr>
            <xdr:cNvCxnSpPr/>
          </xdr:nvCxnSpPr>
          <xdr:spPr>
            <a:xfrm>
              <a:off x="13102295" y="7388357"/>
              <a:ext cx="0" cy="289089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6" name="Straight Connector 45">
              <a:extLst>
                <a:ext uri="{FF2B5EF4-FFF2-40B4-BE49-F238E27FC236}">
                  <a16:creationId xmlns:a16="http://schemas.microsoft.com/office/drawing/2014/main" id="{00000000-0008-0000-0400-00002E000000}"/>
                </a:ext>
              </a:extLst>
            </xdr:cNvPr>
            <xdr:cNvCxnSpPr/>
          </xdr:nvCxnSpPr>
          <xdr:spPr>
            <a:xfrm flipV="1">
              <a:off x="7671110" y="7448084"/>
              <a:ext cx="5431573" cy="1"/>
            </a:xfrm>
            <a:prstGeom prst="line">
              <a:avLst/>
            </a:prstGeom>
            <a:ln w="6350">
              <a:solidFill>
                <a:schemeClr val="tx1"/>
              </a:solidFill>
              <a:headEnd type="stealth" w="sm" len="lg"/>
              <a:tailEnd type="stealth" w="sm" len="lg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47" name="Group 46">
            <a:extLst>
              <a:ext uri="{FF2B5EF4-FFF2-40B4-BE49-F238E27FC236}">
                <a16:creationId xmlns:a16="http://schemas.microsoft.com/office/drawing/2014/main" id="{00000000-0008-0000-0400-00002F000000}"/>
              </a:ext>
            </a:extLst>
          </xdr:cNvPr>
          <xdr:cNvGrpSpPr/>
        </xdr:nvGrpSpPr>
        <xdr:grpSpPr>
          <a:xfrm>
            <a:off x="8246424" y="9274962"/>
            <a:ext cx="5509441" cy="211010"/>
            <a:chOff x="7670239" y="7388357"/>
            <a:chExt cx="5209419" cy="289720"/>
          </a:xfrm>
        </xdr:grpSpPr>
        <xdr:cxnSp macro="">
          <xdr:nvCxnSpPr>
            <xdr:cNvPr id="48" name="Straight Connector 47">
              <a:extLst>
                <a:ext uri="{FF2B5EF4-FFF2-40B4-BE49-F238E27FC236}">
                  <a16:creationId xmlns:a16="http://schemas.microsoft.com/office/drawing/2014/main" id="{00000000-0008-0000-0400-000030000000}"/>
                </a:ext>
              </a:extLst>
            </xdr:cNvPr>
            <xdr:cNvCxnSpPr/>
          </xdr:nvCxnSpPr>
          <xdr:spPr>
            <a:xfrm>
              <a:off x="7670239" y="7388988"/>
              <a:ext cx="0" cy="289089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9" name="Straight Connector 48">
              <a:extLst>
                <a:ext uri="{FF2B5EF4-FFF2-40B4-BE49-F238E27FC236}">
                  <a16:creationId xmlns:a16="http://schemas.microsoft.com/office/drawing/2014/main" id="{00000000-0008-0000-0400-000031000000}"/>
                </a:ext>
              </a:extLst>
            </xdr:cNvPr>
            <xdr:cNvCxnSpPr/>
          </xdr:nvCxnSpPr>
          <xdr:spPr>
            <a:xfrm>
              <a:off x="12879272" y="7388357"/>
              <a:ext cx="0" cy="289089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0" name="Straight Connector 49">
              <a:extLst>
                <a:ext uri="{FF2B5EF4-FFF2-40B4-BE49-F238E27FC236}">
                  <a16:creationId xmlns:a16="http://schemas.microsoft.com/office/drawing/2014/main" id="{00000000-0008-0000-0400-000032000000}"/>
                </a:ext>
              </a:extLst>
            </xdr:cNvPr>
            <xdr:cNvCxnSpPr/>
          </xdr:nvCxnSpPr>
          <xdr:spPr>
            <a:xfrm flipV="1">
              <a:off x="7671110" y="7448085"/>
              <a:ext cx="5208548" cy="1"/>
            </a:xfrm>
            <a:prstGeom prst="line">
              <a:avLst/>
            </a:prstGeom>
            <a:ln w="6350">
              <a:solidFill>
                <a:schemeClr val="tx1"/>
              </a:solidFill>
              <a:headEnd type="stealth" w="sm" len="lg"/>
              <a:tailEnd type="stealth" w="sm" len="lg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sp macro="" textlink="">
        <xdr:nvSpPr>
          <xdr:cNvPr id="56" name="TextBox 55">
            <a:extLst>
              <a:ext uri="{FF2B5EF4-FFF2-40B4-BE49-F238E27FC236}">
                <a16:creationId xmlns:a16="http://schemas.microsoft.com/office/drawing/2014/main" id="{00000000-0008-0000-0400-000038000000}"/>
              </a:ext>
            </a:extLst>
          </xdr:cNvPr>
          <xdr:cNvSpPr txBox="1"/>
        </xdr:nvSpPr>
        <xdr:spPr>
          <a:xfrm>
            <a:off x="10874187" y="9209019"/>
            <a:ext cx="430565" cy="242463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AU" sz="1050"/>
              <a:t>Wn</a:t>
            </a:r>
          </a:p>
        </xdr:txBody>
      </xdr:sp>
      <xdr:sp macro="" textlink="">
        <xdr:nvSpPr>
          <xdr:cNvPr id="57" name="TextBox 56">
            <a:extLst>
              <a:ext uri="{FF2B5EF4-FFF2-40B4-BE49-F238E27FC236}">
                <a16:creationId xmlns:a16="http://schemas.microsoft.com/office/drawing/2014/main" id="{00000000-0008-0000-0400-000039000000}"/>
              </a:ext>
            </a:extLst>
          </xdr:cNvPr>
          <xdr:cNvSpPr txBox="1"/>
        </xdr:nvSpPr>
        <xdr:spPr>
          <a:xfrm>
            <a:off x="7757132" y="8476145"/>
            <a:ext cx="354744" cy="242464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AU" sz="1050"/>
              <a:t>Hn</a:t>
            </a:r>
          </a:p>
        </xdr:txBody>
      </xdr:sp>
      <xdr:sp macro="" textlink="">
        <xdr:nvSpPr>
          <xdr:cNvPr id="58" name="TextBox 57">
            <a:extLst>
              <a:ext uri="{FF2B5EF4-FFF2-40B4-BE49-F238E27FC236}">
                <a16:creationId xmlns:a16="http://schemas.microsoft.com/office/drawing/2014/main" id="{00000000-0008-0000-0400-00003A000000}"/>
              </a:ext>
            </a:extLst>
          </xdr:cNvPr>
          <xdr:cNvSpPr txBox="1"/>
        </xdr:nvSpPr>
        <xdr:spPr>
          <a:xfrm>
            <a:off x="10859836" y="7789978"/>
            <a:ext cx="430565" cy="242465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AU" sz="1050"/>
              <a:t>Cw</a:t>
            </a:r>
          </a:p>
        </xdr:txBody>
      </xdr:sp>
      <xdr:sp macro="" textlink="">
        <xdr:nvSpPr>
          <xdr:cNvPr id="59" name="TextBox 58">
            <a:extLst>
              <a:ext uri="{FF2B5EF4-FFF2-40B4-BE49-F238E27FC236}">
                <a16:creationId xmlns:a16="http://schemas.microsoft.com/office/drawing/2014/main" id="{00000000-0008-0000-0400-00003B000000}"/>
              </a:ext>
            </a:extLst>
          </xdr:cNvPr>
          <xdr:cNvSpPr txBox="1"/>
        </xdr:nvSpPr>
        <xdr:spPr>
          <a:xfrm>
            <a:off x="10854581" y="7560936"/>
            <a:ext cx="430565" cy="280885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AU" sz="1050"/>
              <a:t>Wf</a:t>
            </a:r>
          </a:p>
        </xdr:txBody>
      </xdr:sp>
      <xdr:sp macro="" textlink="">
        <xdr:nvSpPr>
          <xdr:cNvPr id="60" name="TextBox 59">
            <a:extLst>
              <a:ext uri="{FF2B5EF4-FFF2-40B4-BE49-F238E27FC236}">
                <a16:creationId xmlns:a16="http://schemas.microsoft.com/office/drawing/2014/main" id="{00000000-0008-0000-0400-00003C000000}"/>
              </a:ext>
            </a:extLst>
          </xdr:cNvPr>
          <xdr:cNvSpPr txBox="1"/>
        </xdr:nvSpPr>
        <xdr:spPr>
          <a:xfrm>
            <a:off x="13881740" y="8460379"/>
            <a:ext cx="371700" cy="242464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AU" sz="1050"/>
              <a:t>Rh</a:t>
            </a:r>
          </a:p>
        </xdr:txBody>
      </xdr:sp>
      <xdr:sp macro="" textlink="">
        <xdr:nvSpPr>
          <xdr:cNvPr id="61" name="TextBox 60">
            <a:extLst>
              <a:ext uri="{FF2B5EF4-FFF2-40B4-BE49-F238E27FC236}">
                <a16:creationId xmlns:a16="http://schemas.microsoft.com/office/drawing/2014/main" id="{00000000-0008-0000-0400-00003D000000}"/>
              </a:ext>
            </a:extLst>
          </xdr:cNvPr>
          <xdr:cNvSpPr txBox="1"/>
        </xdr:nvSpPr>
        <xdr:spPr>
          <a:xfrm>
            <a:off x="14187750" y="8461692"/>
            <a:ext cx="343305" cy="242464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AU" sz="1050"/>
              <a:t>Hf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40</xdr:row>
          <xdr:rowOff>9525</xdr:rowOff>
        </xdr:from>
        <xdr:to>
          <xdr:col>15</xdr:col>
          <xdr:colOff>419100</xdr:colOff>
          <xdr:row>63</xdr:row>
          <xdr:rowOff>38100</xdr:rowOff>
        </xdr:to>
        <xdr:sp macro="" textlink="">
          <xdr:nvSpPr>
            <xdr:cNvPr id="15399" name="Object 39" hidden="1">
              <a:extLst>
                <a:ext uri="{63B3BB69-23CF-44E3-9099-C40C66FF867C}">
                  <a14:compatExt spid="_x0000_s15399"/>
                </a:ext>
                <a:ext uri="{FF2B5EF4-FFF2-40B4-BE49-F238E27FC236}">
                  <a16:creationId xmlns:a16="http://schemas.microsoft.com/office/drawing/2014/main" id="{00000000-0008-0000-0400-000027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685425</xdr:colOff>
          <xdr:row>70</xdr:row>
          <xdr:rowOff>9525</xdr:rowOff>
        </xdr:from>
        <xdr:to>
          <xdr:col>15</xdr:col>
          <xdr:colOff>14614</xdr:colOff>
          <xdr:row>71</xdr:row>
          <xdr:rowOff>6153</xdr:rowOff>
        </xdr:to>
        <xdr:grpSp>
          <xdr:nvGrpSpPr>
            <xdr:cNvPr id="5" name="colour">
              <a:extLst>
                <a:ext uri="{FF2B5EF4-FFF2-40B4-BE49-F238E27FC236}">
                  <a16:creationId xmlns:a16="http://schemas.microsoft.com/office/drawing/2014/main" id="{00000000-0008-0000-0400-000005000000}"/>
                </a:ext>
              </a:extLst>
            </xdr:cNvPr>
            <xdr:cNvGrpSpPr/>
          </xdr:nvGrpSpPr>
          <xdr:grpSpPr>
            <a:xfrm>
              <a:off x="4476375" y="15487650"/>
              <a:ext cx="6225289" cy="301428"/>
              <a:chOff x="5166451" y="14610387"/>
              <a:chExt cx="6550248" cy="313794"/>
            </a:xfrm>
          </xdr:grpSpPr>
          <xdr:sp macro="" textlink="">
            <xdr:nvSpPr>
              <xdr:cNvPr id="15381" name="Option Button 21" hidden="1">
                <a:extLst>
                  <a:ext uri="{63B3BB69-23CF-44E3-9099-C40C66FF867C}">
                    <a14:compatExt spid="_x0000_s15381"/>
                  </a:ext>
                  <a:ext uri="{FF2B5EF4-FFF2-40B4-BE49-F238E27FC236}">
                    <a16:creationId xmlns:a16="http://schemas.microsoft.com/office/drawing/2014/main" id="{00000000-0008-0000-0400-0000153C0000}"/>
                  </a:ext>
                </a:extLst>
              </xdr:cNvPr>
              <xdr:cNvSpPr/>
            </xdr:nvSpPr>
            <xdr:spPr bwMode="auto">
              <a:xfrm>
                <a:off x="5601883" y="14642469"/>
                <a:ext cx="703277" cy="2231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382" name="Option Button 22" hidden="1">
                <a:extLst>
                  <a:ext uri="{63B3BB69-23CF-44E3-9099-C40C66FF867C}">
                    <a14:compatExt spid="_x0000_s15382"/>
                  </a:ext>
                  <a:ext uri="{FF2B5EF4-FFF2-40B4-BE49-F238E27FC236}">
                    <a16:creationId xmlns:a16="http://schemas.microsoft.com/office/drawing/2014/main" id="{00000000-0008-0000-0400-0000163C0000}"/>
                  </a:ext>
                </a:extLst>
              </xdr:cNvPr>
              <xdr:cNvSpPr/>
            </xdr:nvSpPr>
            <xdr:spPr bwMode="auto">
              <a:xfrm>
                <a:off x="7885269" y="14664241"/>
                <a:ext cx="726213" cy="2177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385" name="Group Box 25" hidden="1">
                <a:extLst>
                  <a:ext uri="{63B3BB69-23CF-44E3-9099-C40C66FF867C}">
                    <a14:compatExt spid="_x0000_s15385"/>
                  </a:ext>
                  <a:ext uri="{FF2B5EF4-FFF2-40B4-BE49-F238E27FC236}">
                    <a16:creationId xmlns:a16="http://schemas.microsoft.com/office/drawing/2014/main" id="{00000000-0008-0000-0400-0000193C0000}"/>
                  </a:ext>
                </a:extLst>
              </xdr:cNvPr>
              <xdr:cNvSpPr/>
            </xdr:nvSpPr>
            <xdr:spPr bwMode="auto">
              <a:xfrm>
                <a:off x="5166451" y="14610387"/>
                <a:ext cx="6550248" cy="31379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25</a:t>
                </a:r>
              </a:p>
            </xdr:txBody>
          </xdr:sp>
          <xdr:sp macro="" textlink="">
            <xdr:nvSpPr>
              <xdr:cNvPr id="15400" name="Option Button 40" hidden="1">
                <a:extLst>
                  <a:ext uri="{63B3BB69-23CF-44E3-9099-C40C66FF867C}">
                    <a14:compatExt spid="_x0000_s15400"/>
                  </a:ext>
                  <a:ext uri="{FF2B5EF4-FFF2-40B4-BE49-F238E27FC236}">
                    <a16:creationId xmlns:a16="http://schemas.microsoft.com/office/drawing/2014/main" id="{00000000-0008-0000-0400-0000283C0000}"/>
                  </a:ext>
                </a:extLst>
              </xdr:cNvPr>
              <xdr:cNvSpPr/>
            </xdr:nvSpPr>
            <xdr:spPr bwMode="auto">
              <a:xfrm>
                <a:off x="9915018" y="14657124"/>
                <a:ext cx="633264" cy="2231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779145</xdr:colOff>
          <xdr:row>71</xdr:row>
          <xdr:rowOff>10376</xdr:rowOff>
        </xdr:from>
        <xdr:to>
          <xdr:col>12</xdr:col>
          <xdr:colOff>45550</xdr:colOff>
          <xdr:row>72</xdr:row>
          <xdr:rowOff>926</xdr:rowOff>
        </xdr:to>
        <xdr:grpSp>
          <xdr:nvGrpSpPr>
            <xdr:cNvPr id="4" name="Accessories">
              <a:extLst>
                <a:ext uri="{FF2B5EF4-FFF2-40B4-BE49-F238E27FC236}">
                  <a16:creationId xmlns:a16="http://schemas.microsoft.com/office/drawing/2014/main" id="{00000000-0008-0000-0400-000004000000}"/>
                </a:ext>
              </a:extLst>
            </xdr:cNvPr>
            <xdr:cNvGrpSpPr/>
          </xdr:nvGrpSpPr>
          <xdr:grpSpPr>
            <a:xfrm>
              <a:off x="4570095" y="15793301"/>
              <a:ext cx="4019380" cy="295350"/>
              <a:chOff x="5182752" y="14934420"/>
              <a:chExt cx="4443476" cy="292018"/>
            </a:xfrm>
          </xdr:grpSpPr>
          <xdr:sp macro="" textlink="">
            <xdr:nvSpPr>
              <xdr:cNvPr id="15401" name="Group Box 41" hidden="1">
                <a:extLst>
                  <a:ext uri="{63B3BB69-23CF-44E3-9099-C40C66FF867C}">
                    <a14:compatExt spid="_x0000_s15401"/>
                  </a:ext>
                  <a:ext uri="{FF2B5EF4-FFF2-40B4-BE49-F238E27FC236}">
                    <a16:creationId xmlns:a16="http://schemas.microsoft.com/office/drawing/2014/main" id="{00000000-0008-0000-0400-0000293C0000}"/>
                  </a:ext>
                </a:extLst>
              </xdr:cNvPr>
              <xdr:cNvSpPr/>
            </xdr:nvSpPr>
            <xdr:spPr bwMode="auto">
              <a:xfrm>
                <a:off x="5182752" y="14934420"/>
                <a:ext cx="4443476" cy="292018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41</a:t>
                </a:r>
              </a:p>
            </xdr:txBody>
          </xdr:sp>
          <xdr:sp macro="" textlink="">
            <xdr:nvSpPr>
              <xdr:cNvPr id="15403" name="Option Button 43" hidden="1">
                <a:extLst>
                  <a:ext uri="{63B3BB69-23CF-44E3-9099-C40C66FF867C}">
                    <a14:compatExt spid="_x0000_s15403"/>
                  </a:ext>
                  <a:ext uri="{FF2B5EF4-FFF2-40B4-BE49-F238E27FC236}">
                    <a16:creationId xmlns:a16="http://schemas.microsoft.com/office/drawing/2014/main" id="{00000000-0008-0000-0400-00002B3C0000}"/>
                  </a:ext>
                </a:extLst>
              </xdr:cNvPr>
              <xdr:cNvSpPr/>
            </xdr:nvSpPr>
            <xdr:spPr bwMode="auto">
              <a:xfrm>
                <a:off x="5540056" y="14966438"/>
                <a:ext cx="859388" cy="2231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161925</xdr:colOff>
          <xdr:row>66</xdr:row>
          <xdr:rowOff>4761</xdr:rowOff>
        </xdr:from>
        <xdr:to>
          <xdr:col>13</xdr:col>
          <xdr:colOff>400050</xdr:colOff>
          <xdr:row>66</xdr:row>
          <xdr:rowOff>285750</xdr:rowOff>
        </xdr:to>
        <xdr:grpSp>
          <xdr:nvGrpSpPr>
            <xdr:cNvPr id="13" name="Group 12">
              <a:extLst>
                <a:ext uri="{FF2B5EF4-FFF2-40B4-BE49-F238E27FC236}">
                  <a16:creationId xmlns:a16="http://schemas.microsoft.com/office/drawing/2014/main" id="{00000000-0008-0000-0400-00000D000000}"/>
                </a:ext>
              </a:extLst>
            </xdr:cNvPr>
            <xdr:cNvGrpSpPr/>
          </xdr:nvGrpSpPr>
          <xdr:grpSpPr>
            <a:xfrm>
              <a:off x="3952875" y="14263686"/>
              <a:ext cx="5676900" cy="280989"/>
              <a:chOff x="3662362" y="13263541"/>
              <a:chExt cx="5185171" cy="342901"/>
            </a:xfrm>
          </xdr:grpSpPr>
          <xdr:sp macro="" textlink="">
            <xdr:nvSpPr>
              <xdr:cNvPr id="15404" name="Group Box 44" hidden="1">
                <a:extLst>
                  <a:ext uri="{63B3BB69-23CF-44E3-9099-C40C66FF867C}">
                    <a14:compatExt spid="_x0000_s15404"/>
                  </a:ext>
                  <a:ext uri="{FF2B5EF4-FFF2-40B4-BE49-F238E27FC236}">
                    <a16:creationId xmlns:a16="http://schemas.microsoft.com/office/drawing/2014/main" id="{00000000-0008-0000-0400-00002C3C0000}"/>
                  </a:ext>
                </a:extLst>
              </xdr:cNvPr>
              <xdr:cNvSpPr/>
            </xdr:nvSpPr>
            <xdr:spPr bwMode="auto">
              <a:xfrm>
                <a:off x="3662362" y="13263541"/>
                <a:ext cx="5185171" cy="342901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73</a:t>
                </a:r>
              </a:p>
            </xdr:txBody>
          </xdr:sp>
          <xdr:sp macro="" textlink="">
            <xdr:nvSpPr>
              <xdr:cNvPr id="15405" name="Option Button 45" hidden="1">
                <a:extLst>
                  <a:ext uri="{63B3BB69-23CF-44E3-9099-C40C66FF867C}">
                    <a14:compatExt spid="_x0000_s15405"/>
                  </a:ext>
                  <a:ext uri="{FF2B5EF4-FFF2-40B4-BE49-F238E27FC236}">
                    <a16:creationId xmlns:a16="http://schemas.microsoft.com/office/drawing/2014/main" id="{00000000-0008-0000-0400-00002D3C0000}"/>
                  </a:ext>
                </a:extLst>
              </xdr:cNvPr>
              <xdr:cNvSpPr/>
            </xdr:nvSpPr>
            <xdr:spPr bwMode="auto">
              <a:xfrm>
                <a:off x="4529980" y="13345715"/>
                <a:ext cx="1459996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406" name="Option Button 46" hidden="1">
                <a:extLst>
                  <a:ext uri="{63B3BB69-23CF-44E3-9099-C40C66FF867C}">
                    <a14:compatExt spid="_x0000_s15406"/>
                  </a:ext>
                  <a:ext uri="{FF2B5EF4-FFF2-40B4-BE49-F238E27FC236}">
                    <a16:creationId xmlns:a16="http://schemas.microsoft.com/office/drawing/2014/main" id="{00000000-0008-0000-0400-00002E3C0000}"/>
                  </a:ext>
                </a:extLst>
              </xdr:cNvPr>
              <xdr:cNvSpPr/>
            </xdr:nvSpPr>
            <xdr:spPr bwMode="auto">
              <a:xfrm>
                <a:off x="6961882" y="13326041"/>
                <a:ext cx="652462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71</xdr:row>
          <xdr:rowOff>38100</xdr:rowOff>
        </xdr:from>
        <xdr:to>
          <xdr:col>9</xdr:col>
          <xdr:colOff>581025</xdr:colOff>
          <xdr:row>71</xdr:row>
          <xdr:rowOff>257175</xdr:rowOff>
        </xdr:to>
        <xdr:sp macro="" textlink="">
          <xdr:nvSpPr>
            <xdr:cNvPr id="15407" name="Option Button 47" hidden="1">
              <a:extLst>
                <a:ext uri="{63B3BB69-23CF-44E3-9099-C40C66FF867C}">
                  <a14:compatExt spid="_x0000_s15407"/>
                </a:ext>
                <a:ext uri="{FF2B5EF4-FFF2-40B4-BE49-F238E27FC236}">
                  <a16:creationId xmlns:a16="http://schemas.microsoft.com/office/drawing/2014/main" id="{00000000-0008-0000-0400-00002F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72</xdr:row>
          <xdr:rowOff>47625</xdr:rowOff>
        </xdr:from>
        <xdr:to>
          <xdr:col>7</xdr:col>
          <xdr:colOff>733425</xdr:colOff>
          <xdr:row>72</xdr:row>
          <xdr:rowOff>266700</xdr:rowOff>
        </xdr:to>
        <xdr:sp macro="" textlink="">
          <xdr:nvSpPr>
            <xdr:cNvPr id="15408" name="Check Box 48" hidden="1">
              <a:extLst>
                <a:ext uri="{63B3BB69-23CF-44E3-9099-C40C66FF867C}">
                  <a14:compatExt spid="_x0000_s15408"/>
                </a:ext>
                <a:ext uri="{FF2B5EF4-FFF2-40B4-BE49-F238E27FC236}">
                  <a16:creationId xmlns:a16="http://schemas.microsoft.com/office/drawing/2014/main" id="{00000000-0008-0000-0400-000030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271298</xdr:colOff>
          <xdr:row>11</xdr:row>
          <xdr:rowOff>102147</xdr:rowOff>
        </xdr:from>
        <xdr:to>
          <xdr:col>15</xdr:col>
          <xdr:colOff>113644</xdr:colOff>
          <xdr:row>13</xdr:row>
          <xdr:rowOff>43027</xdr:rowOff>
        </xdr:to>
        <xdr:grpSp>
          <xdr:nvGrpSpPr>
            <xdr:cNvPr id="14" name="flange">
              <a:extLst>
                <a:ext uri="{FF2B5EF4-FFF2-40B4-BE49-F238E27FC236}">
                  <a16:creationId xmlns:a16="http://schemas.microsoft.com/office/drawing/2014/main" id="{00000000-0008-0000-0400-00000E000000}"/>
                </a:ext>
              </a:extLst>
            </xdr:cNvPr>
            <xdr:cNvGrpSpPr/>
          </xdr:nvGrpSpPr>
          <xdr:grpSpPr>
            <a:xfrm>
              <a:off x="7538873" y="2569122"/>
              <a:ext cx="3261821" cy="321880"/>
              <a:chOff x="7790800" y="2588172"/>
              <a:chExt cx="3258208" cy="321880"/>
            </a:xfrm>
          </xdr:grpSpPr>
          <xdr:sp macro="" textlink="">
            <xdr:nvSpPr>
              <xdr:cNvPr id="15411" name="Group Box 51" hidden="1">
                <a:extLst>
                  <a:ext uri="{63B3BB69-23CF-44E3-9099-C40C66FF867C}">
                    <a14:compatExt spid="_x0000_s15411"/>
                  </a:ext>
                  <a:ext uri="{FF2B5EF4-FFF2-40B4-BE49-F238E27FC236}">
                    <a16:creationId xmlns:a16="http://schemas.microsoft.com/office/drawing/2014/main" id="{00000000-0008-0000-0400-0000333C0000}"/>
                  </a:ext>
                </a:extLst>
              </xdr:cNvPr>
              <xdr:cNvSpPr/>
            </xdr:nvSpPr>
            <xdr:spPr bwMode="auto">
              <a:xfrm>
                <a:off x="7790800" y="2588172"/>
                <a:ext cx="3258208" cy="32188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FLANGE</a:t>
                </a:r>
              </a:p>
            </xdr:txBody>
          </xdr:sp>
          <xdr:sp macro="" textlink="">
            <xdr:nvSpPr>
              <xdr:cNvPr id="15412" name="Option Button 52" hidden="1">
                <a:extLst>
                  <a:ext uri="{63B3BB69-23CF-44E3-9099-C40C66FF867C}">
                    <a14:compatExt spid="_x0000_s15412"/>
                  </a:ext>
                  <a:ext uri="{FF2B5EF4-FFF2-40B4-BE49-F238E27FC236}">
                    <a16:creationId xmlns:a16="http://schemas.microsoft.com/office/drawing/2014/main" id="{00000000-0008-0000-0400-0000343C0000}"/>
                  </a:ext>
                </a:extLst>
              </xdr:cNvPr>
              <xdr:cNvSpPr/>
            </xdr:nvSpPr>
            <xdr:spPr bwMode="auto">
              <a:xfrm>
                <a:off x="7953010" y="2660431"/>
                <a:ext cx="744300" cy="19863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413" name="Option Button 53" hidden="1">
                <a:extLst>
                  <a:ext uri="{63B3BB69-23CF-44E3-9099-C40C66FF867C}">
                    <a14:compatExt spid="_x0000_s15413"/>
                  </a:ext>
                  <a:ext uri="{FF2B5EF4-FFF2-40B4-BE49-F238E27FC236}">
                    <a16:creationId xmlns:a16="http://schemas.microsoft.com/office/drawing/2014/main" id="{00000000-0008-0000-0400-0000353C0000}"/>
                  </a:ext>
                </a:extLst>
              </xdr:cNvPr>
              <xdr:cNvSpPr/>
            </xdr:nvSpPr>
            <xdr:spPr bwMode="auto">
              <a:xfrm>
                <a:off x="10172610" y="2666343"/>
                <a:ext cx="807033" cy="19060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45718</xdr:colOff>
      <xdr:row>0</xdr:row>
      <xdr:rowOff>77287</xdr:rowOff>
    </xdr:from>
    <xdr:to>
      <xdr:col>1</xdr:col>
      <xdr:colOff>66119</xdr:colOff>
      <xdr:row>0</xdr:row>
      <xdr:rowOff>389397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8" y="77287"/>
          <a:ext cx="1544400" cy="312111"/>
        </a:xfrm>
        <a:prstGeom prst="rect">
          <a:avLst/>
        </a:prstGeom>
      </xdr:spPr>
    </xdr:pic>
    <xdr:clientData/>
  </xdr:twoCellAnchor>
  <xdr:twoCellAnchor>
    <xdr:from>
      <xdr:col>3</xdr:col>
      <xdr:colOff>255520</xdr:colOff>
      <xdr:row>29</xdr:row>
      <xdr:rowOff>2070</xdr:rowOff>
    </xdr:from>
    <xdr:to>
      <xdr:col>4</xdr:col>
      <xdr:colOff>1100759</xdr:colOff>
      <xdr:row>36</xdr:row>
      <xdr:rowOff>144945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pSpPr/>
      </xdr:nvGrpSpPr>
      <xdr:grpSpPr>
        <a:xfrm>
          <a:off x="3379720" y="5793270"/>
          <a:ext cx="2445439" cy="1476375"/>
          <a:chOff x="3378102" y="5601113"/>
          <a:chExt cx="2443783" cy="147637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9459" name="Object 3" hidden="1">
                <a:extLst>
                  <a:ext uri="{63B3BB69-23CF-44E3-9099-C40C66FF867C}">
                    <a14:compatExt spid="_x0000_s19459"/>
                  </a:ext>
                  <a:ext uri="{FF2B5EF4-FFF2-40B4-BE49-F238E27FC236}">
                    <a16:creationId xmlns:a16="http://schemas.microsoft.com/office/drawing/2014/main" id="{00000000-0008-0000-0700-0000034C0000}"/>
                  </a:ext>
                </a:extLst>
              </xdr:cNvPr>
              <xdr:cNvSpPr/>
            </xdr:nvSpPr>
            <xdr:spPr bwMode="auto">
              <a:xfrm>
                <a:off x="3378102" y="5601113"/>
                <a:ext cx="2443783" cy="14763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'BMW-Be-Selection'!C183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0700-00000B000000}"/>
              </a:ext>
            </a:extLst>
          </xdr:cNvPr>
          <xdr:cNvSpPr txBox="1"/>
        </xdr:nvSpPr>
        <xdr:spPr>
          <a:xfrm>
            <a:off x="4643745" y="6106521"/>
            <a:ext cx="980146" cy="453305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AE3A8733-805A-45EA-A5DF-2E2D416E9F67}" type="TxLink">
              <a:rPr lang="en-US" sz="1000" b="0" i="0" u="none" strike="noStrike">
                <a:solidFill>
                  <a:srgbClr val="000000"/>
                </a:solidFill>
                <a:latin typeface="Aptos Narrow" panose="020B0004020202020204" pitchFamily="34" charset="0"/>
                <a:cs typeface="Calibri"/>
              </a:rPr>
              <a:pPr algn="ctr"/>
              <a:t>5.2 m Nominal
3.0 m - 7.4 m</a:t>
            </a:fld>
            <a:endParaRPr lang="en-AU" sz="800">
              <a:solidFill>
                <a:schemeClr val="tx1"/>
              </a:solidFill>
              <a:latin typeface="Aptos Narrow" panose="020B0004020202020204" pitchFamily="34" charset="0"/>
            </a:endParaRPr>
          </a:p>
        </xdr:txBody>
      </xdr:sp>
      <xdr:sp macro="" textlink="'BMW-Be-Selection'!C184">
        <xdr:nvSpPr>
          <xdr:cNvPr id="12" name="TextBox 11">
            <a:extLst>
              <a:ext uri="{FF2B5EF4-FFF2-40B4-BE49-F238E27FC236}">
                <a16:creationId xmlns:a16="http://schemas.microsoft.com/office/drawing/2014/main" id="{00000000-0008-0000-0700-00000C000000}"/>
              </a:ext>
            </a:extLst>
          </xdr:cNvPr>
          <xdr:cNvSpPr txBox="1"/>
        </xdr:nvSpPr>
        <xdr:spPr>
          <a:xfrm>
            <a:off x="3756857" y="5801821"/>
            <a:ext cx="982182" cy="451548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2096472F-679E-4395-9A31-6001C54ED805}" type="TxLink">
              <a:rPr lang="en-US" sz="1000" b="0" i="0" u="none" strike="noStrike">
                <a:solidFill>
                  <a:srgbClr val="000000"/>
                </a:solidFill>
                <a:latin typeface="Aptos Narrow" panose="020B0004020202020204" pitchFamily="34" charset="0"/>
                <a:cs typeface="Calibri"/>
              </a:rPr>
              <a:pPr algn="ctr"/>
              <a:t>5.2 m Nominal
3.0 m - 7.4 m</a:t>
            </a:fld>
            <a:endParaRPr lang="en-AU" sz="800">
              <a:solidFill>
                <a:schemeClr val="tx1"/>
              </a:solidFill>
              <a:latin typeface="Aptos Narrow" panose="020B0004020202020204" pitchFamily="34" charset="0"/>
            </a:endParaRPr>
          </a:p>
        </xdr:txBody>
      </xdr:sp>
      <xdr:sp macro="" textlink="">
        <xdr:nvSpPr>
          <xdr:cNvPr id="2" name="TextBox 1">
            <a:extLst>
              <a:ext uri="{FF2B5EF4-FFF2-40B4-BE49-F238E27FC236}">
                <a16:creationId xmlns:a16="http://schemas.microsoft.com/office/drawing/2014/main" id="{00000000-0008-0000-0700-000002000000}"/>
              </a:ext>
            </a:extLst>
          </xdr:cNvPr>
          <xdr:cNvSpPr txBox="1"/>
        </xdr:nvSpPr>
        <xdr:spPr>
          <a:xfrm>
            <a:off x="4315241" y="6801800"/>
            <a:ext cx="1461103" cy="24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en-AU" sz="1000">
                <a:latin typeface="Aptos Narrow" panose="020B0004020202020204" pitchFamily="34" charset="0"/>
              </a:rPr>
              <a:t>recommended</a:t>
            </a:r>
            <a:r>
              <a:rPr lang="en-AU" sz="1000" baseline="0">
                <a:latin typeface="Aptos Narrow" panose="020B0004020202020204" pitchFamily="34" charset="0"/>
              </a:rPr>
              <a:t> min - max</a:t>
            </a:r>
            <a:endParaRPr lang="en-AU" sz="1000">
              <a:latin typeface="Aptos Narrow" panose="020B0004020202020204" pitchFamily="34" charset="0"/>
            </a:endParaRP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 txBox="1"/>
        </xdr:nvSpPr>
        <xdr:spPr>
          <a:xfrm>
            <a:off x="3392427" y="6852281"/>
            <a:ext cx="712656" cy="2016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/>
          <a:lstStyle/>
          <a:p>
            <a:pPr algn="l"/>
            <a:r>
              <a:rPr lang="en-AU" sz="900">
                <a:latin typeface="Aptos Narrow" panose="020B0004020202020204" pitchFamily="34" charset="0"/>
              </a:rPr>
              <a:t>Figure 1</a:t>
            </a:r>
          </a:p>
        </xdr:txBody>
      </xdr:sp>
    </xdr:grpSp>
    <xdr:clientData/>
  </xdr:twoCellAnchor>
  <xdr:twoCellAnchor editAs="oneCell">
    <xdr:from>
      <xdr:col>3</xdr:col>
      <xdr:colOff>666750</xdr:colOff>
      <xdr:row>3</xdr:row>
      <xdr:rowOff>152401</xdr:rowOff>
    </xdr:from>
    <xdr:to>
      <xdr:col>4</xdr:col>
      <xdr:colOff>1290773</xdr:colOff>
      <xdr:row>8</xdr:row>
      <xdr:rowOff>134982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86" t="25239" r="5713" b="25714"/>
        <a:stretch/>
      </xdr:blipFill>
      <xdr:spPr>
        <a:xfrm>
          <a:off x="3790950" y="990601"/>
          <a:ext cx="2224223" cy="9350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21</xdr:row>
          <xdr:rowOff>19050</xdr:rowOff>
        </xdr:from>
        <xdr:to>
          <xdr:col>5</xdr:col>
          <xdr:colOff>171450</xdr:colOff>
          <xdr:row>22</xdr:row>
          <xdr:rowOff>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8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21</xdr:row>
          <xdr:rowOff>19050</xdr:rowOff>
        </xdr:from>
        <xdr:to>
          <xdr:col>5</xdr:col>
          <xdr:colOff>171450</xdr:colOff>
          <xdr:row>22</xdr:row>
          <xdr:rowOff>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8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39</xdr:row>
          <xdr:rowOff>19050</xdr:rowOff>
        </xdr:from>
        <xdr:to>
          <xdr:col>5</xdr:col>
          <xdr:colOff>171450</xdr:colOff>
          <xdr:row>40</xdr:row>
          <xdr:rowOff>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8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39</xdr:row>
          <xdr:rowOff>19050</xdr:rowOff>
        </xdr:from>
        <xdr:to>
          <xdr:col>5</xdr:col>
          <xdr:colOff>171450</xdr:colOff>
          <xdr:row>40</xdr:row>
          <xdr:rowOff>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8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</xdr:row>
          <xdr:rowOff>19050</xdr:rowOff>
        </xdr:from>
        <xdr:to>
          <xdr:col>5</xdr:col>
          <xdr:colOff>171450</xdr:colOff>
          <xdr:row>3</xdr:row>
          <xdr:rowOff>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8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20</xdr:row>
          <xdr:rowOff>19050</xdr:rowOff>
        </xdr:from>
        <xdr:to>
          <xdr:col>4</xdr:col>
          <xdr:colOff>152400</xdr:colOff>
          <xdr:row>21</xdr:row>
          <xdr:rowOff>0</xdr:rowOff>
        </xdr:to>
        <xdr:sp macro="" textlink="">
          <xdr:nvSpPr>
            <xdr:cNvPr id="11265" name="Object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9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20</xdr:row>
          <xdr:rowOff>19050</xdr:rowOff>
        </xdr:from>
        <xdr:to>
          <xdr:col>4</xdr:col>
          <xdr:colOff>152400</xdr:colOff>
          <xdr:row>21</xdr:row>
          <xdr:rowOff>0</xdr:rowOff>
        </xdr:to>
        <xdr:sp macro="" textlink="">
          <xdr:nvSpPr>
            <xdr:cNvPr id="11266" name="Object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9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20</xdr:row>
          <xdr:rowOff>19050</xdr:rowOff>
        </xdr:from>
        <xdr:to>
          <xdr:col>4</xdr:col>
          <xdr:colOff>152400</xdr:colOff>
          <xdr:row>21</xdr:row>
          <xdr:rowOff>0</xdr:rowOff>
        </xdr:to>
        <xdr:sp macro="" textlink="">
          <xdr:nvSpPr>
            <xdr:cNvPr id="11267" name="Object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9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85</xdr:row>
          <xdr:rowOff>19050</xdr:rowOff>
        </xdr:from>
        <xdr:to>
          <xdr:col>4</xdr:col>
          <xdr:colOff>152400</xdr:colOff>
          <xdr:row>86</xdr:row>
          <xdr:rowOff>0</xdr:rowOff>
        </xdr:to>
        <xdr:sp macro="" textlink="">
          <xdr:nvSpPr>
            <xdr:cNvPr id="11268" name="Object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9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85</xdr:row>
          <xdr:rowOff>19050</xdr:rowOff>
        </xdr:from>
        <xdr:to>
          <xdr:col>4</xdr:col>
          <xdr:colOff>152400</xdr:colOff>
          <xdr:row>86</xdr:row>
          <xdr:rowOff>0</xdr:rowOff>
        </xdr:to>
        <xdr:sp macro="" textlink="">
          <xdr:nvSpPr>
            <xdr:cNvPr id="11269" name="Object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9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85</xdr:row>
          <xdr:rowOff>19050</xdr:rowOff>
        </xdr:from>
        <xdr:to>
          <xdr:col>4</xdr:col>
          <xdr:colOff>152400</xdr:colOff>
          <xdr:row>86</xdr:row>
          <xdr:rowOff>0</xdr:rowOff>
        </xdr:to>
        <xdr:sp macro="" textlink="">
          <xdr:nvSpPr>
            <xdr:cNvPr id="11270" name="Object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9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21</xdr:row>
          <xdr:rowOff>0</xdr:rowOff>
        </xdr:from>
        <xdr:to>
          <xdr:col>7</xdr:col>
          <xdr:colOff>152400</xdr:colOff>
          <xdr:row>21</xdr:row>
          <xdr:rowOff>171450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A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76</xdr:row>
          <xdr:rowOff>0</xdr:rowOff>
        </xdr:from>
        <xdr:to>
          <xdr:col>7</xdr:col>
          <xdr:colOff>152400</xdr:colOff>
          <xdr:row>76</xdr:row>
          <xdr:rowOff>171450</xdr:rowOff>
        </xdr:to>
        <xdr:sp macro="" textlink="">
          <xdr:nvSpPr>
            <xdr:cNvPr id="10242" name="Object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A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15</xdr:row>
          <xdr:rowOff>19050</xdr:rowOff>
        </xdr:from>
        <xdr:to>
          <xdr:col>3</xdr:col>
          <xdr:colOff>152400</xdr:colOff>
          <xdr:row>15</xdr:row>
          <xdr:rowOff>180975</xdr:rowOff>
        </xdr:to>
        <xdr:sp macro="" textlink="">
          <xdr:nvSpPr>
            <xdr:cNvPr id="2063" name="Object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B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15</xdr:row>
          <xdr:rowOff>19050</xdr:rowOff>
        </xdr:from>
        <xdr:to>
          <xdr:col>3</xdr:col>
          <xdr:colOff>152400</xdr:colOff>
          <xdr:row>15</xdr:row>
          <xdr:rowOff>180975</xdr:rowOff>
        </xdr:to>
        <xdr:sp macro="" textlink="">
          <xdr:nvSpPr>
            <xdr:cNvPr id="2064" name="Object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B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15</xdr:row>
          <xdr:rowOff>19050</xdr:rowOff>
        </xdr:from>
        <xdr:to>
          <xdr:col>3</xdr:col>
          <xdr:colOff>152400</xdr:colOff>
          <xdr:row>15</xdr:row>
          <xdr:rowOff>180975</xdr:rowOff>
        </xdr:to>
        <xdr:sp macro="" textlink="">
          <xdr:nvSpPr>
            <xdr:cNvPr id="2065" name="Object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B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15</xdr:row>
          <xdr:rowOff>19050</xdr:rowOff>
        </xdr:from>
        <xdr:to>
          <xdr:col>3</xdr:col>
          <xdr:colOff>152400</xdr:colOff>
          <xdr:row>15</xdr:row>
          <xdr:rowOff>180975</xdr:rowOff>
        </xdr:to>
        <xdr:sp macro="" textlink="">
          <xdr:nvSpPr>
            <xdr:cNvPr id="7171" name="Object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C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15</xdr:row>
          <xdr:rowOff>19050</xdr:rowOff>
        </xdr:from>
        <xdr:to>
          <xdr:col>3</xdr:col>
          <xdr:colOff>152400</xdr:colOff>
          <xdr:row>15</xdr:row>
          <xdr:rowOff>180975</xdr:rowOff>
        </xdr:to>
        <xdr:sp macro="" textlink="">
          <xdr:nvSpPr>
            <xdr:cNvPr id="7172" name="Object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C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15</xdr:row>
          <xdr:rowOff>19050</xdr:rowOff>
        </xdr:from>
        <xdr:to>
          <xdr:col>3</xdr:col>
          <xdr:colOff>152400</xdr:colOff>
          <xdr:row>15</xdr:row>
          <xdr:rowOff>180975</xdr:rowOff>
        </xdr:to>
        <xdr:sp macro="" textlink="">
          <xdr:nvSpPr>
            <xdr:cNvPr id="7173" name="Object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C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155</xdr:row>
          <xdr:rowOff>19050</xdr:rowOff>
        </xdr:from>
        <xdr:to>
          <xdr:col>8</xdr:col>
          <xdr:colOff>142875</xdr:colOff>
          <xdr:row>156</xdr:row>
          <xdr:rowOff>19050</xdr:rowOff>
        </xdr:to>
        <xdr:sp macro="" textlink="">
          <xdr:nvSpPr>
            <xdr:cNvPr id="8194" name="Object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D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15</xdr:row>
          <xdr:rowOff>19050</xdr:rowOff>
        </xdr:from>
        <xdr:to>
          <xdr:col>3</xdr:col>
          <xdr:colOff>152400</xdr:colOff>
          <xdr:row>15</xdr:row>
          <xdr:rowOff>180975</xdr:rowOff>
        </xdr:to>
        <xdr:sp macro="" textlink="">
          <xdr:nvSpPr>
            <xdr:cNvPr id="8201" name="Object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0D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15</xdr:row>
          <xdr:rowOff>19050</xdr:rowOff>
        </xdr:from>
        <xdr:to>
          <xdr:col>3</xdr:col>
          <xdr:colOff>152400</xdr:colOff>
          <xdr:row>15</xdr:row>
          <xdr:rowOff>180975</xdr:rowOff>
        </xdr:to>
        <xdr:sp macro="" textlink="">
          <xdr:nvSpPr>
            <xdr:cNvPr id="8202" name="Object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D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15</xdr:row>
          <xdr:rowOff>19050</xdr:rowOff>
        </xdr:from>
        <xdr:to>
          <xdr:col>3</xdr:col>
          <xdr:colOff>152400</xdr:colOff>
          <xdr:row>15</xdr:row>
          <xdr:rowOff>180975</xdr:rowOff>
        </xdr:to>
        <xdr:sp macro="" textlink="">
          <xdr:nvSpPr>
            <xdr:cNvPr id="8203" name="Object 11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0D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7.xml"/><Relationship Id="rId18" Type="http://schemas.openxmlformats.org/officeDocument/2006/relationships/ctrlProp" Target="../ctrlProps/ctrlProp12.xml"/><Relationship Id="rId26" Type="http://schemas.openxmlformats.org/officeDocument/2006/relationships/ctrlProp" Target="../ctrlProps/ctrlProp20.xml"/><Relationship Id="rId39" Type="http://schemas.openxmlformats.org/officeDocument/2006/relationships/ctrlProp" Target="../ctrlProps/ctrlProp33.xml"/><Relationship Id="rId21" Type="http://schemas.openxmlformats.org/officeDocument/2006/relationships/ctrlProp" Target="../ctrlProps/ctrlProp15.xml"/><Relationship Id="rId34" Type="http://schemas.openxmlformats.org/officeDocument/2006/relationships/ctrlProp" Target="../ctrlProps/ctrlProp28.xml"/><Relationship Id="rId42" Type="http://schemas.openxmlformats.org/officeDocument/2006/relationships/ctrlProp" Target="../ctrlProps/ctrlProp36.xml"/><Relationship Id="rId47" Type="http://schemas.openxmlformats.org/officeDocument/2006/relationships/ctrlProp" Target="../ctrlProps/ctrlProp41.xml"/><Relationship Id="rId7" Type="http://schemas.openxmlformats.org/officeDocument/2006/relationships/ctrlProp" Target="../ctrlProps/ctrlProp1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0.xml"/><Relationship Id="rId29" Type="http://schemas.openxmlformats.org/officeDocument/2006/relationships/ctrlProp" Target="../ctrlProps/ctrlProp23.xml"/><Relationship Id="rId1" Type="http://schemas.openxmlformats.org/officeDocument/2006/relationships/hyperlink" Target="https://smartemp.com/products/smartemp-bmw-ad" TargetMode="External"/><Relationship Id="rId6" Type="http://schemas.openxmlformats.org/officeDocument/2006/relationships/image" Target="../media/image1.emf"/><Relationship Id="rId11" Type="http://schemas.openxmlformats.org/officeDocument/2006/relationships/ctrlProp" Target="../ctrlProps/ctrlProp5.xml"/><Relationship Id="rId24" Type="http://schemas.openxmlformats.org/officeDocument/2006/relationships/ctrlProp" Target="../ctrlProps/ctrlProp18.xml"/><Relationship Id="rId32" Type="http://schemas.openxmlformats.org/officeDocument/2006/relationships/ctrlProp" Target="../ctrlProps/ctrlProp26.xml"/><Relationship Id="rId37" Type="http://schemas.openxmlformats.org/officeDocument/2006/relationships/ctrlProp" Target="../ctrlProps/ctrlProp31.xml"/><Relationship Id="rId40" Type="http://schemas.openxmlformats.org/officeDocument/2006/relationships/ctrlProp" Target="../ctrlProps/ctrlProp34.xml"/><Relationship Id="rId45" Type="http://schemas.openxmlformats.org/officeDocument/2006/relationships/ctrlProp" Target="../ctrlProps/ctrlProp39.xml"/><Relationship Id="rId5" Type="http://schemas.openxmlformats.org/officeDocument/2006/relationships/package" Target="../embeddings/Microsoft_Visio_Drawing.vsdx"/><Relationship Id="rId15" Type="http://schemas.openxmlformats.org/officeDocument/2006/relationships/ctrlProp" Target="../ctrlProps/ctrlProp9.xml"/><Relationship Id="rId23" Type="http://schemas.openxmlformats.org/officeDocument/2006/relationships/ctrlProp" Target="../ctrlProps/ctrlProp17.xml"/><Relationship Id="rId28" Type="http://schemas.openxmlformats.org/officeDocument/2006/relationships/ctrlProp" Target="../ctrlProps/ctrlProp22.xml"/><Relationship Id="rId36" Type="http://schemas.openxmlformats.org/officeDocument/2006/relationships/ctrlProp" Target="../ctrlProps/ctrlProp30.xml"/><Relationship Id="rId10" Type="http://schemas.openxmlformats.org/officeDocument/2006/relationships/ctrlProp" Target="../ctrlProps/ctrlProp4.xml"/><Relationship Id="rId19" Type="http://schemas.openxmlformats.org/officeDocument/2006/relationships/ctrlProp" Target="../ctrlProps/ctrlProp13.xml"/><Relationship Id="rId31" Type="http://schemas.openxmlformats.org/officeDocument/2006/relationships/ctrlProp" Target="../ctrlProps/ctrlProp25.xml"/><Relationship Id="rId44" Type="http://schemas.openxmlformats.org/officeDocument/2006/relationships/ctrlProp" Target="../ctrlProps/ctrlProp38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3.xml"/><Relationship Id="rId14" Type="http://schemas.openxmlformats.org/officeDocument/2006/relationships/ctrlProp" Target="../ctrlProps/ctrlProp8.xml"/><Relationship Id="rId22" Type="http://schemas.openxmlformats.org/officeDocument/2006/relationships/ctrlProp" Target="../ctrlProps/ctrlProp16.xml"/><Relationship Id="rId27" Type="http://schemas.openxmlformats.org/officeDocument/2006/relationships/ctrlProp" Target="../ctrlProps/ctrlProp21.xml"/><Relationship Id="rId30" Type="http://schemas.openxmlformats.org/officeDocument/2006/relationships/ctrlProp" Target="../ctrlProps/ctrlProp24.xml"/><Relationship Id="rId35" Type="http://schemas.openxmlformats.org/officeDocument/2006/relationships/ctrlProp" Target="../ctrlProps/ctrlProp29.xml"/><Relationship Id="rId43" Type="http://schemas.openxmlformats.org/officeDocument/2006/relationships/ctrlProp" Target="../ctrlProps/ctrlProp37.xml"/><Relationship Id="rId48" Type="http://schemas.openxmlformats.org/officeDocument/2006/relationships/ctrlProp" Target="../ctrlProps/ctrlProp42.xml"/><Relationship Id="rId8" Type="http://schemas.openxmlformats.org/officeDocument/2006/relationships/ctrlProp" Target="../ctrlProps/ctrlProp2.xml"/><Relationship Id="rId3" Type="http://schemas.openxmlformats.org/officeDocument/2006/relationships/drawing" Target="../drawings/drawing1.xml"/><Relationship Id="rId12" Type="http://schemas.openxmlformats.org/officeDocument/2006/relationships/ctrlProp" Target="../ctrlProps/ctrlProp6.xml"/><Relationship Id="rId17" Type="http://schemas.openxmlformats.org/officeDocument/2006/relationships/ctrlProp" Target="../ctrlProps/ctrlProp11.xml"/><Relationship Id="rId25" Type="http://schemas.openxmlformats.org/officeDocument/2006/relationships/ctrlProp" Target="../ctrlProps/ctrlProp19.xml"/><Relationship Id="rId33" Type="http://schemas.openxmlformats.org/officeDocument/2006/relationships/ctrlProp" Target="../ctrlProps/ctrlProp27.xml"/><Relationship Id="rId38" Type="http://schemas.openxmlformats.org/officeDocument/2006/relationships/ctrlProp" Target="../ctrlProps/ctrlProp32.xml"/><Relationship Id="rId46" Type="http://schemas.openxmlformats.org/officeDocument/2006/relationships/ctrlProp" Target="../ctrlProps/ctrlProp40.xml"/><Relationship Id="rId20" Type="http://schemas.openxmlformats.org/officeDocument/2006/relationships/ctrlProp" Target="../ctrlProps/ctrlProp14.xml"/><Relationship Id="rId41" Type="http://schemas.openxmlformats.org/officeDocument/2006/relationships/ctrlProp" Target="../ctrlProps/ctrlProp3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4.emf"/><Relationship Id="rId4" Type="http://schemas.openxmlformats.org/officeDocument/2006/relationships/package" Target="../embeddings/Microsoft_Visio_Drawing1.vsdx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9.xml"/><Relationship Id="rId18" Type="http://schemas.openxmlformats.org/officeDocument/2006/relationships/ctrlProp" Target="../ctrlProps/ctrlProp54.xml"/><Relationship Id="rId26" Type="http://schemas.openxmlformats.org/officeDocument/2006/relationships/ctrlProp" Target="../ctrlProps/ctrlProp62.xml"/><Relationship Id="rId3" Type="http://schemas.openxmlformats.org/officeDocument/2006/relationships/drawing" Target="../drawings/drawing3.xml"/><Relationship Id="rId21" Type="http://schemas.openxmlformats.org/officeDocument/2006/relationships/ctrlProp" Target="../ctrlProps/ctrlProp57.xml"/><Relationship Id="rId34" Type="http://schemas.openxmlformats.org/officeDocument/2006/relationships/ctrlProp" Target="../ctrlProps/ctrlProp70.xml"/><Relationship Id="rId7" Type="http://schemas.openxmlformats.org/officeDocument/2006/relationships/ctrlProp" Target="../ctrlProps/ctrlProp43.xml"/><Relationship Id="rId12" Type="http://schemas.openxmlformats.org/officeDocument/2006/relationships/ctrlProp" Target="../ctrlProps/ctrlProp48.xml"/><Relationship Id="rId17" Type="http://schemas.openxmlformats.org/officeDocument/2006/relationships/ctrlProp" Target="../ctrlProps/ctrlProp53.xml"/><Relationship Id="rId25" Type="http://schemas.openxmlformats.org/officeDocument/2006/relationships/ctrlProp" Target="../ctrlProps/ctrlProp61.xml"/><Relationship Id="rId33" Type="http://schemas.openxmlformats.org/officeDocument/2006/relationships/ctrlProp" Target="../ctrlProps/ctrlProp69.xml"/><Relationship Id="rId2" Type="http://schemas.openxmlformats.org/officeDocument/2006/relationships/printerSettings" Target="../printerSettings/printerSettings3.bin"/><Relationship Id="rId16" Type="http://schemas.openxmlformats.org/officeDocument/2006/relationships/ctrlProp" Target="../ctrlProps/ctrlProp52.xml"/><Relationship Id="rId20" Type="http://schemas.openxmlformats.org/officeDocument/2006/relationships/ctrlProp" Target="../ctrlProps/ctrlProp56.xml"/><Relationship Id="rId29" Type="http://schemas.openxmlformats.org/officeDocument/2006/relationships/ctrlProp" Target="../ctrlProps/ctrlProp65.xml"/><Relationship Id="rId1" Type="http://schemas.openxmlformats.org/officeDocument/2006/relationships/hyperlink" Target="https://smartemp.com/products/smartemp-bmw-ad" TargetMode="External"/><Relationship Id="rId6" Type="http://schemas.openxmlformats.org/officeDocument/2006/relationships/image" Target="../media/image6.emf"/><Relationship Id="rId11" Type="http://schemas.openxmlformats.org/officeDocument/2006/relationships/ctrlProp" Target="../ctrlProps/ctrlProp47.xml"/><Relationship Id="rId24" Type="http://schemas.openxmlformats.org/officeDocument/2006/relationships/ctrlProp" Target="../ctrlProps/ctrlProp60.xml"/><Relationship Id="rId32" Type="http://schemas.openxmlformats.org/officeDocument/2006/relationships/ctrlProp" Target="../ctrlProps/ctrlProp68.xml"/><Relationship Id="rId5" Type="http://schemas.openxmlformats.org/officeDocument/2006/relationships/package" Target="../embeddings/Microsoft_Visio_Drawing2.vsdx"/><Relationship Id="rId15" Type="http://schemas.openxmlformats.org/officeDocument/2006/relationships/ctrlProp" Target="../ctrlProps/ctrlProp51.xml"/><Relationship Id="rId23" Type="http://schemas.openxmlformats.org/officeDocument/2006/relationships/ctrlProp" Target="../ctrlProps/ctrlProp59.xml"/><Relationship Id="rId28" Type="http://schemas.openxmlformats.org/officeDocument/2006/relationships/ctrlProp" Target="../ctrlProps/ctrlProp64.xml"/><Relationship Id="rId10" Type="http://schemas.openxmlformats.org/officeDocument/2006/relationships/ctrlProp" Target="../ctrlProps/ctrlProp46.xml"/><Relationship Id="rId19" Type="http://schemas.openxmlformats.org/officeDocument/2006/relationships/ctrlProp" Target="../ctrlProps/ctrlProp55.xml"/><Relationship Id="rId31" Type="http://schemas.openxmlformats.org/officeDocument/2006/relationships/ctrlProp" Target="../ctrlProps/ctrlProp67.xml"/><Relationship Id="rId4" Type="http://schemas.openxmlformats.org/officeDocument/2006/relationships/vmlDrawing" Target="../drawings/vmlDrawing3.vml"/><Relationship Id="rId9" Type="http://schemas.openxmlformats.org/officeDocument/2006/relationships/ctrlProp" Target="../ctrlProps/ctrlProp45.xml"/><Relationship Id="rId14" Type="http://schemas.openxmlformats.org/officeDocument/2006/relationships/ctrlProp" Target="../ctrlProps/ctrlProp50.xml"/><Relationship Id="rId22" Type="http://schemas.openxmlformats.org/officeDocument/2006/relationships/ctrlProp" Target="../ctrlProps/ctrlProp58.xml"/><Relationship Id="rId27" Type="http://schemas.openxmlformats.org/officeDocument/2006/relationships/ctrlProp" Target="../ctrlProps/ctrlProp63.xml"/><Relationship Id="rId30" Type="http://schemas.openxmlformats.org/officeDocument/2006/relationships/ctrlProp" Target="../ctrlProps/ctrlProp66.xml"/><Relationship Id="rId35" Type="http://schemas.openxmlformats.org/officeDocument/2006/relationships/ctrlProp" Target="../ctrlProps/ctrlProp71.xml"/><Relationship Id="rId8" Type="http://schemas.openxmlformats.org/officeDocument/2006/relationships/ctrlProp" Target="../ctrlProps/ctrlProp44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8.emf"/><Relationship Id="rId4" Type="http://schemas.openxmlformats.org/officeDocument/2006/relationships/package" Target="../embeddings/Microsoft_Visio_Drawing3.vsdx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.bin"/><Relationship Id="rId3" Type="http://schemas.openxmlformats.org/officeDocument/2006/relationships/vmlDrawing" Target="../drawings/vmlDrawing5.vml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0.emf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5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9.bin"/><Relationship Id="rId3" Type="http://schemas.openxmlformats.org/officeDocument/2006/relationships/vmlDrawing" Target="../drawings/vmlDrawing6.vml"/><Relationship Id="rId7" Type="http://schemas.openxmlformats.org/officeDocument/2006/relationships/oleObject" Target="../embeddings/oleObject8.bin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6" Type="http://schemas.openxmlformats.org/officeDocument/2006/relationships/oleObject" Target="../embeddings/oleObject7.bin"/><Relationship Id="rId5" Type="http://schemas.openxmlformats.org/officeDocument/2006/relationships/image" Target="../media/image10.emf"/><Relationship Id="rId10" Type="http://schemas.openxmlformats.org/officeDocument/2006/relationships/oleObject" Target="../embeddings/oleObject11.bin"/><Relationship Id="rId4" Type="http://schemas.openxmlformats.org/officeDocument/2006/relationships/oleObject" Target="../embeddings/oleObject6.bin"/><Relationship Id="rId9" Type="http://schemas.openxmlformats.org/officeDocument/2006/relationships/oleObject" Target="../embeddings/oleObject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oleObject13.bin"/><Relationship Id="rId5" Type="http://schemas.openxmlformats.org/officeDocument/2006/relationships/image" Target="../media/image10.emf"/><Relationship Id="rId4" Type="http://schemas.openxmlformats.org/officeDocument/2006/relationships/oleObject" Target="../embeddings/oleObject12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7" Type="http://schemas.openxmlformats.org/officeDocument/2006/relationships/oleObject" Target="../embeddings/oleObject16.bin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oleObject15.bin"/><Relationship Id="rId5" Type="http://schemas.openxmlformats.org/officeDocument/2006/relationships/image" Target="../media/image10.emf"/><Relationship Id="rId4" Type="http://schemas.openxmlformats.org/officeDocument/2006/relationships/oleObject" Target="../embeddings/oleObject14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7" Type="http://schemas.openxmlformats.org/officeDocument/2006/relationships/oleObject" Target="../embeddings/oleObject19.bin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6" Type="http://schemas.openxmlformats.org/officeDocument/2006/relationships/oleObject" Target="../embeddings/oleObject18.bin"/><Relationship Id="rId5" Type="http://schemas.openxmlformats.org/officeDocument/2006/relationships/image" Target="../media/image10.emf"/><Relationship Id="rId4" Type="http://schemas.openxmlformats.org/officeDocument/2006/relationships/oleObject" Target="../embeddings/oleObject17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3.bin"/><Relationship Id="rId3" Type="http://schemas.openxmlformats.org/officeDocument/2006/relationships/vmlDrawing" Target="../drawings/vmlDrawing10.vml"/><Relationship Id="rId7" Type="http://schemas.openxmlformats.org/officeDocument/2006/relationships/oleObject" Target="../embeddings/oleObject22.bin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6" Type="http://schemas.openxmlformats.org/officeDocument/2006/relationships/oleObject" Target="../embeddings/oleObject21.bin"/><Relationship Id="rId5" Type="http://schemas.openxmlformats.org/officeDocument/2006/relationships/image" Target="../media/image10.emf"/><Relationship Id="rId4" Type="http://schemas.openxmlformats.org/officeDocument/2006/relationships/oleObject" Target="../embeddings/oleObject2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9" tint="0.79998168889431442"/>
    <pageSetUpPr fitToPage="1"/>
  </sheetPr>
  <dimension ref="B1:AB70"/>
  <sheetViews>
    <sheetView tabSelected="1" zoomScaleNormal="100" workbookViewId="0">
      <selection activeCell="E8" sqref="E8"/>
    </sheetView>
  </sheetViews>
  <sheetFormatPr defaultRowHeight="15" x14ac:dyDescent="0.25"/>
  <cols>
    <col min="1" max="2" width="4.28515625" customWidth="1"/>
    <col min="3" max="3" width="20.28515625" customWidth="1"/>
    <col min="4" max="4" width="14.140625" customWidth="1"/>
    <col min="5" max="5" width="11" customWidth="1"/>
    <col min="6" max="6" width="7.28515625" customWidth="1"/>
    <col min="7" max="18" width="9.85546875" customWidth="1"/>
    <col min="20" max="20" width="8" customWidth="1"/>
    <col min="21" max="21" width="10.7109375" customWidth="1"/>
    <col min="27" max="27" width="12.7109375" customWidth="1"/>
    <col min="28" max="28" width="22.5703125" customWidth="1"/>
  </cols>
  <sheetData>
    <row r="1" spans="2:28" x14ac:dyDescent="0.25">
      <c r="B1" s="587"/>
      <c r="C1" s="586"/>
      <c r="D1" s="587"/>
      <c r="E1" s="587"/>
      <c r="F1" s="587"/>
      <c r="G1" s="587"/>
      <c r="H1" s="587"/>
      <c r="I1" s="587"/>
      <c r="J1" s="587"/>
      <c r="K1" s="587"/>
      <c r="L1" s="587"/>
      <c r="M1" s="587"/>
      <c r="N1" s="587"/>
      <c r="O1" s="587"/>
      <c r="P1" s="587"/>
      <c r="Q1" s="587"/>
      <c r="R1" s="587"/>
      <c r="S1" s="587"/>
      <c r="T1" s="506"/>
      <c r="U1" s="506"/>
      <c r="V1" s="506"/>
      <c r="W1" s="506"/>
      <c r="X1" s="506"/>
      <c r="Y1" s="506"/>
      <c r="Z1" s="506"/>
      <c r="AA1" s="506"/>
      <c r="AB1" s="591"/>
    </row>
    <row r="2" spans="2:28" ht="21" x14ac:dyDescent="0.35">
      <c r="B2" s="506"/>
      <c r="C2" s="508" t="s">
        <v>119</v>
      </c>
      <c r="D2" s="509"/>
      <c r="E2" s="506"/>
      <c r="F2" s="506"/>
      <c r="G2" s="506"/>
      <c r="H2" s="506"/>
      <c r="I2" s="509"/>
      <c r="J2" s="509"/>
      <c r="K2" s="509"/>
      <c r="L2" s="509"/>
      <c r="M2" s="506"/>
      <c r="N2" s="509"/>
      <c r="O2" s="509"/>
      <c r="P2" s="509"/>
      <c r="Q2" s="509"/>
      <c r="R2" s="509"/>
      <c r="S2" s="509"/>
      <c r="T2" s="509"/>
      <c r="U2" s="509"/>
      <c r="V2" s="509"/>
      <c r="W2" s="509"/>
      <c r="X2" s="509"/>
      <c r="Y2" s="509"/>
      <c r="Z2" s="509"/>
      <c r="AA2" s="509"/>
      <c r="AB2" s="590"/>
    </row>
    <row r="3" spans="2:28" ht="21" x14ac:dyDescent="0.35">
      <c r="B3" s="506"/>
      <c r="C3" s="510" t="s">
        <v>471</v>
      </c>
      <c r="D3" s="509"/>
      <c r="E3" s="506"/>
      <c r="F3" s="506"/>
      <c r="G3" s="506"/>
      <c r="H3" s="506"/>
      <c r="I3" s="509"/>
      <c r="J3" s="509"/>
      <c r="K3" s="509"/>
      <c r="L3" s="509"/>
      <c r="M3" s="506"/>
      <c r="N3" s="509"/>
      <c r="O3" s="509"/>
      <c r="P3" s="509"/>
      <c r="Q3" s="509"/>
      <c r="R3" s="509"/>
      <c r="S3" s="509"/>
      <c r="T3" s="509"/>
      <c r="U3" s="509"/>
      <c r="V3" s="509"/>
      <c r="W3" s="509"/>
      <c r="X3" s="509"/>
      <c r="Y3" s="509"/>
      <c r="Z3" s="509"/>
      <c r="AA3" s="509"/>
      <c r="AB3" s="590"/>
    </row>
    <row r="4" spans="2:28" ht="22.5" x14ac:dyDescent="0.3">
      <c r="B4" s="506"/>
      <c r="C4" s="507"/>
      <c r="D4" s="511"/>
      <c r="E4" s="506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06"/>
      <c r="W4" s="506"/>
      <c r="X4" s="506"/>
      <c r="Y4" s="506"/>
      <c r="Z4" s="506"/>
      <c r="AA4" s="506"/>
      <c r="AB4" s="591"/>
    </row>
    <row r="5" spans="2:28" ht="26.25" customHeight="1" x14ac:dyDescent="0.3">
      <c r="B5" s="1030" t="s">
        <v>203</v>
      </c>
      <c r="C5" s="1030"/>
      <c r="D5" s="1042" t="s">
        <v>204</v>
      </c>
      <c r="E5" s="1042"/>
      <c r="F5" s="1042"/>
      <c r="G5" s="1042"/>
      <c r="H5" s="1042"/>
      <c r="I5" s="1042"/>
      <c r="J5" s="626"/>
      <c r="K5" s="626"/>
      <c r="L5" s="626"/>
      <c r="M5" s="626"/>
      <c r="N5" s="626"/>
      <c r="O5" s="626"/>
      <c r="P5" s="626"/>
      <c r="Q5" s="626"/>
      <c r="R5" s="626"/>
      <c r="S5" s="626"/>
      <c r="T5" s="626"/>
      <c r="U5" s="626"/>
      <c r="V5" s="626"/>
      <c r="W5" s="626"/>
      <c r="X5" s="626"/>
      <c r="Y5" s="626"/>
      <c r="Z5" s="626"/>
      <c r="AA5" s="626"/>
      <c r="AB5" s="632"/>
    </row>
    <row r="6" spans="2:28" ht="22.35" customHeight="1" thickBot="1" x14ac:dyDescent="0.35">
      <c r="B6" s="519"/>
      <c r="C6" s="573" t="s">
        <v>120</v>
      </c>
      <c r="D6" s="573"/>
      <c r="E6" s="573"/>
      <c r="F6" s="573"/>
      <c r="G6" s="519"/>
      <c r="H6" s="519"/>
      <c r="I6" s="519"/>
      <c r="J6" s="626"/>
      <c r="K6" s="634" t="s">
        <v>433</v>
      </c>
      <c r="L6" s="634"/>
      <c r="M6" s="635"/>
      <c r="N6" s="635"/>
      <c r="O6" s="635"/>
      <c r="P6" s="635"/>
      <c r="Q6" s="626"/>
      <c r="R6" s="626"/>
      <c r="S6" s="626"/>
      <c r="T6" s="626"/>
      <c r="U6" s="626"/>
      <c r="V6" s="626"/>
      <c r="W6" s="626"/>
      <c r="X6" s="626"/>
      <c r="Y6" s="626"/>
      <c r="Z6" s="626"/>
      <c r="AA6" s="626"/>
      <c r="AB6" s="722" t="s">
        <v>529</v>
      </c>
    </row>
    <row r="7" spans="2:28" ht="15.75" thickTop="1" x14ac:dyDescent="0.25">
      <c r="B7" s="519"/>
      <c r="C7" s="519"/>
      <c r="D7" s="594"/>
      <c r="E7" s="519"/>
      <c r="F7" s="519"/>
      <c r="G7" s="519"/>
      <c r="H7" s="519"/>
      <c r="I7" s="519"/>
      <c r="J7" s="626"/>
      <c r="K7" s="626"/>
      <c r="L7" s="626"/>
      <c r="M7" s="626"/>
      <c r="N7" s="626"/>
      <c r="O7" s="626"/>
      <c r="P7" s="626"/>
      <c r="Q7" s="626"/>
      <c r="R7" s="626"/>
      <c r="S7" s="626"/>
      <c r="T7" s="626"/>
      <c r="U7" s="626"/>
      <c r="V7" s="626"/>
      <c r="W7" s="626"/>
      <c r="X7" s="626"/>
      <c r="Y7" s="626"/>
      <c r="Z7" s="626"/>
      <c r="AA7" s="626"/>
      <c r="AB7" s="632"/>
    </row>
    <row r="8" spans="2:28" ht="15.75" customHeight="1" thickBot="1" x14ac:dyDescent="0.35">
      <c r="B8" s="519"/>
      <c r="C8" s="519"/>
      <c r="D8" s="515" t="s">
        <v>122</v>
      </c>
      <c r="E8" s="608">
        <v>100</v>
      </c>
      <c r="F8" s="673" t="s">
        <v>15</v>
      </c>
      <c r="G8" s="672" t="s">
        <v>187</v>
      </c>
      <c r="H8" s="519"/>
      <c r="I8" s="519"/>
      <c r="J8" s="626"/>
      <c r="K8" s="654" t="s">
        <v>489</v>
      </c>
      <c r="L8" s="652"/>
      <c r="M8" s="653"/>
      <c r="N8" s="653"/>
      <c r="O8" s="626"/>
      <c r="P8" s="626"/>
      <c r="Q8" s="626"/>
      <c r="R8" s="626"/>
      <c r="S8" s="626"/>
      <c r="T8" s="626"/>
      <c r="U8" s="626"/>
      <c r="V8" s="626"/>
      <c r="W8" s="626"/>
      <c r="X8" s="626"/>
      <c r="Y8" s="626"/>
      <c r="Z8" s="626"/>
      <c r="AA8" s="626"/>
      <c r="AB8" s="632"/>
    </row>
    <row r="9" spans="2:28" ht="15.75" thickTop="1" x14ac:dyDescent="0.25">
      <c r="B9" s="519"/>
      <c r="C9" s="519"/>
      <c r="D9" s="515"/>
      <c r="E9" s="607"/>
      <c r="F9" s="595"/>
      <c r="G9" s="595"/>
      <c r="H9" s="519"/>
      <c r="I9" s="519"/>
      <c r="J9" s="626"/>
      <c r="K9" s="626"/>
      <c r="L9" s="626"/>
      <c r="M9" s="626"/>
      <c r="N9" s="626"/>
      <c r="O9" s="626"/>
      <c r="P9" s="626"/>
      <c r="Q9" s="626"/>
      <c r="R9" s="626"/>
      <c r="S9" s="626"/>
      <c r="T9" s="655"/>
      <c r="U9" s="626"/>
      <c r="V9" s="655"/>
      <c r="W9" s="626"/>
      <c r="X9" s="626"/>
      <c r="Y9" s="626"/>
      <c r="Z9" s="626"/>
      <c r="AA9" s="626"/>
      <c r="AB9" s="632"/>
    </row>
    <row r="10" spans="2:28" ht="15.75" customHeight="1" thickBot="1" x14ac:dyDescent="0.3">
      <c r="B10" s="519"/>
      <c r="C10" s="519"/>
      <c r="D10" s="515" t="s">
        <v>232</v>
      </c>
      <c r="E10" s="608">
        <v>100</v>
      </c>
      <c r="F10" s="595" t="s">
        <v>89</v>
      </c>
      <c r="G10" s="693" t="s">
        <v>233</v>
      </c>
      <c r="H10" s="519"/>
      <c r="I10" s="519"/>
      <c r="J10" s="626"/>
      <c r="K10" s="626"/>
      <c r="L10" s="626"/>
      <c r="M10" s="636" t="s">
        <v>125</v>
      </c>
      <c r="N10" s="1046">
        <v>0.9</v>
      </c>
      <c r="O10" s="1047"/>
      <c r="P10" s="637"/>
      <c r="Q10" s="638" t="s">
        <v>126</v>
      </c>
      <c r="R10" s="626"/>
      <c r="S10" s="626"/>
      <c r="T10" s="655" t="s">
        <v>127</v>
      </c>
      <c r="U10" s="626"/>
      <c r="V10" s="640"/>
      <c r="W10" s="641"/>
      <c r="X10" s="642"/>
      <c r="Y10" s="642"/>
      <c r="Z10" s="642"/>
      <c r="AA10" s="626"/>
      <c r="AB10" s="632"/>
    </row>
    <row r="11" spans="2:28" ht="15.75" thickTop="1" x14ac:dyDescent="0.25">
      <c r="B11" s="519"/>
      <c r="C11" s="519"/>
      <c r="D11" s="519"/>
      <c r="E11" s="519"/>
      <c r="F11" s="519"/>
      <c r="G11" s="693"/>
      <c r="H11" s="519"/>
      <c r="I11" s="519"/>
      <c r="J11" s="626"/>
      <c r="K11" s="626"/>
      <c r="L11" s="626"/>
      <c r="M11" s="626"/>
      <c r="N11" s="626"/>
      <c r="O11" s="626"/>
      <c r="P11" s="626"/>
      <c r="Q11" s="626"/>
      <c r="R11" s="626"/>
      <c r="S11" s="626"/>
      <c r="T11" s="642" t="s">
        <v>493</v>
      </c>
      <c r="U11" s="626"/>
      <c r="V11" s="641"/>
      <c r="W11" s="641"/>
      <c r="X11" s="642"/>
      <c r="Y11" s="642"/>
      <c r="Z11" s="642"/>
      <c r="AA11" s="626"/>
      <c r="AB11" s="632"/>
    </row>
    <row r="12" spans="2:28" ht="15.75" thickBot="1" x14ac:dyDescent="0.3">
      <c r="B12" s="519"/>
      <c r="C12" s="519"/>
      <c r="D12" s="515" t="s">
        <v>147</v>
      </c>
      <c r="E12" s="608">
        <v>30</v>
      </c>
      <c r="F12" s="595" t="s">
        <v>6</v>
      </c>
      <c r="G12" s="596" t="s">
        <v>183</v>
      </c>
      <c r="H12" s="519"/>
      <c r="I12" s="519"/>
      <c r="J12" s="626"/>
      <c r="K12" s="660"/>
      <c r="L12" s="805" t="str">
        <f ca="1">'BMW-Std-selection'!B147</f>
        <v>Nominal Selection: Throw Length/Breadth = 4.3 m/4.3 m (5.3 L/s/m²)</v>
      </c>
      <c r="M12" s="626"/>
      <c r="N12" s="626"/>
      <c r="O12" s="658"/>
      <c r="P12" s="626"/>
      <c r="Q12" s="626"/>
      <c r="R12" s="626"/>
      <c r="S12" s="626"/>
      <c r="T12" s="642" t="s">
        <v>494</v>
      </c>
      <c r="U12" s="626"/>
      <c r="V12" s="641"/>
      <c r="W12" s="641"/>
      <c r="X12" s="642"/>
      <c r="Y12" s="642"/>
      <c r="Z12" s="642"/>
      <c r="AA12" s="626"/>
      <c r="AB12" s="632"/>
    </row>
    <row r="13" spans="2:28" ht="15.75" thickTop="1" x14ac:dyDescent="0.25">
      <c r="B13" s="519"/>
      <c r="C13" s="519"/>
      <c r="D13" s="515"/>
      <c r="E13" s="597"/>
      <c r="F13" s="595"/>
      <c r="G13" s="595"/>
      <c r="H13" s="519"/>
      <c r="I13" s="519"/>
      <c r="J13" s="626"/>
      <c r="K13" s="626"/>
      <c r="L13" s="655"/>
      <c r="M13" s="701"/>
      <c r="N13" s="626"/>
      <c r="O13" s="626"/>
      <c r="P13" s="626"/>
      <c r="Q13" s="626"/>
      <c r="R13" s="626"/>
      <c r="S13" s="626"/>
      <c r="T13" s="642" t="s">
        <v>495</v>
      </c>
      <c r="U13" s="626"/>
      <c r="V13" s="641"/>
      <c r="W13" s="641"/>
      <c r="X13" s="642"/>
      <c r="Y13" s="642"/>
      <c r="Z13" s="642"/>
      <c r="AA13" s="626"/>
      <c r="AB13" s="632"/>
    </row>
    <row r="14" spans="2:28" ht="15.75" thickBot="1" x14ac:dyDescent="0.3">
      <c r="B14" s="519"/>
      <c r="C14" s="519"/>
      <c r="D14" s="515" t="s">
        <v>121</v>
      </c>
      <c r="E14" s="528">
        <v>2.5</v>
      </c>
      <c r="F14" s="595" t="s">
        <v>32</v>
      </c>
      <c r="G14" s="596" t="s">
        <v>395</v>
      </c>
      <c r="H14" s="519"/>
      <c r="I14" s="519"/>
      <c r="J14" s="626"/>
      <c r="K14" s="805"/>
      <c r="L14" s="805"/>
      <c r="M14" s="659" t="s">
        <v>303</v>
      </c>
      <c r="N14" s="1051">
        <v>5</v>
      </c>
      <c r="O14" s="1052"/>
      <c r="P14" s="638" t="s">
        <v>32</v>
      </c>
      <c r="Q14" s="638"/>
      <c r="R14" s="626"/>
      <c r="S14" s="626"/>
      <c r="T14" s="642" t="s">
        <v>496</v>
      </c>
      <c r="U14" s="626"/>
      <c r="V14" s="626"/>
      <c r="W14" s="626"/>
      <c r="X14" s="626"/>
      <c r="Y14" s="626"/>
      <c r="Z14" s="626"/>
      <c r="AA14" s="626"/>
      <c r="AB14" s="632"/>
    </row>
    <row r="15" spans="2:28" ht="15.75" customHeight="1" thickTop="1" thickBot="1" x14ac:dyDescent="0.3">
      <c r="B15" s="519"/>
      <c r="C15" s="519"/>
      <c r="D15" s="515"/>
      <c r="E15" s="597"/>
      <c r="F15" s="595"/>
      <c r="G15" s="595"/>
      <c r="H15" s="519"/>
      <c r="I15" s="519"/>
      <c r="J15" s="626"/>
      <c r="K15" s="805"/>
      <c r="L15" s="805"/>
      <c r="M15" s="659" t="s">
        <v>304</v>
      </c>
      <c r="N15" s="1053">
        <v>4</v>
      </c>
      <c r="O15" s="1054"/>
      <c r="P15" s="638" t="s">
        <v>32</v>
      </c>
      <c r="Q15" s="867" t="str">
        <f>"= specific airflow: "&amp; BMW_Std_Eqn!D28 &amp; " " &amp;BMW_Std_Eqn!C5</f>
        <v>= specific airflow: 5 L/s/m²</v>
      </c>
      <c r="R15" s="626"/>
      <c r="S15" s="664"/>
      <c r="T15" s="626"/>
      <c r="U15" s="626"/>
      <c r="V15" s="626"/>
      <c r="W15" s="626"/>
      <c r="X15" s="626"/>
      <c r="Y15" s="626"/>
      <c r="Z15" s="626"/>
      <c r="AA15" s="626"/>
      <c r="AB15" s="632"/>
    </row>
    <row r="16" spans="2:28" ht="15.75" customHeight="1" thickTop="1" thickBot="1" x14ac:dyDescent="0.3">
      <c r="B16" s="519"/>
      <c r="C16" s="519"/>
      <c r="D16" s="599" t="s">
        <v>123</v>
      </c>
      <c r="E16" s="513">
        <v>-12</v>
      </c>
      <c r="F16" s="595" t="s">
        <v>34</v>
      </c>
      <c r="G16" s="598" t="s">
        <v>398</v>
      </c>
      <c r="H16" s="519"/>
      <c r="I16" s="519"/>
      <c r="J16" s="626"/>
      <c r="K16" s="806"/>
      <c r="L16" s="806"/>
      <c r="M16" s="651"/>
      <c r="N16" s="663"/>
      <c r="O16" s="626"/>
      <c r="P16" s="626"/>
      <c r="Q16" s="626"/>
      <c r="R16" s="626"/>
      <c r="S16" s="626"/>
      <c r="T16" s="626"/>
      <c r="U16" s="626"/>
      <c r="V16" s="626"/>
      <c r="W16" s="626"/>
      <c r="X16" s="626"/>
      <c r="Y16" s="626"/>
      <c r="Z16" s="626"/>
      <c r="AA16" s="626"/>
      <c r="AB16" s="632"/>
    </row>
    <row r="17" spans="2:28" ht="16.5" thickTop="1" thickBot="1" x14ac:dyDescent="0.3">
      <c r="B17" s="519"/>
      <c r="C17" s="519"/>
      <c r="D17" s="599"/>
      <c r="E17" s="519"/>
      <c r="F17" s="595"/>
      <c r="G17" s="598"/>
      <c r="H17" s="519"/>
      <c r="I17" s="519"/>
      <c r="J17" s="626"/>
      <c r="K17" s="807"/>
      <c r="L17" s="807"/>
      <c r="M17" s="659" t="s">
        <v>302</v>
      </c>
      <c r="N17" s="1051">
        <v>9.8000000000000007</v>
      </c>
      <c r="O17" s="1052"/>
      <c r="P17" s="638" t="str">
        <f>BMW_Std_Eqn!C5</f>
        <v>L/s/m²</v>
      </c>
      <c r="Q17" s="867" t="str">
        <f>"= floor area: "&amp; BMW_Std_Eqn!D30 &amp; " m²"</f>
        <v>= floor area: 10.2 m²</v>
      </c>
      <c r="R17" s="626"/>
      <c r="S17" s="666"/>
      <c r="T17" s="626"/>
      <c r="U17" s="626"/>
      <c r="V17" s="626"/>
      <c r="W17" s="626"/>
      <c r="X17" s="626"/>
      <c r="Y17" s="626"/>
      <c r="Z17" s="626"/>
      <c r="AA17" s="626"/>
      <c r="AB17" s="632"/>
    </row>
    <row r="18" spans="2:28" ht="15.75" thickTop="1" x14ac:dyDescent="0.25">
      <c r="B18" s="519"/>
      <c r="C18" s="957" t="s">
        <v>466</v>
      </c>
      <c r="D18" s="599"/>
      <c r="E18" s="519"/>
      <c r="F18" s="595"/>
      <c r="G18" s="598"/>
      <c r="H18" s="519"/>
      <c r="I18" s="519"/>
      <c r="J18" s="626"/>
      <c r="K18" s="626"/>
      <c r="L18" s="626"/>
      <c r="M18" s="626"/>
      <c r="N18" s="626"/>
      <c r="O18" s="626"/>
      <c r="P18" s="626"/>
      <c r="Q18" s="626"/>
      <c r="R18" s="626"/>
      <c r="S18" s="626"/>
      <c r="T18" s="626"/>
      <c r="U18" s="626"/>
      <c r="V18" s="626"/>
      <c r="W18" s="626"/>
      <c r="X18" s="626"/>
      <c r="Y18" s="626"/>
      <c r="Z18" s="626"/>
      <c r="AA18" s="626"/>
      <c r="AB18" s="632"/>
    </row>
    <row r="19" spans="2:28" ht="15.75" thickBot="1" x14ac:dyDescent="0.3">
      <c r="B19" s="519"/>
      <c r="C19" s="954" t="s">
        <v>467</v>
      </c>
      <c r="D19" s="599"/>
      <c r="E19" s="519"/>
      <c r="F19" s="595"/>
      <c r="G19" s="693"/>
      <c r="H19" s="519"/>
      <c r="I19" s="519"/>
      <c r="J19" s="626"/>
      <c r="K19" s="626"/>
      <c r="L19" s="626"/>
      <c r="M19" s="636" t="s">
        <v>184</v>
      </c>
      <c r="N19" s="1049">
        <v>23</v>
      </c>
      <c r="O19" s="1050"/>
      <c r="P19" s="639" t="s">
        <v>155</v>
      </c>
      <c r="Q19" s="638" t="s">
        <v>171</v>
      </c>
      <c r="R19" s="626"/>
      <c r="S19" s="626"/>
      <c r="T19" s="626"/>
      <c r="U19" s="626"/>
      <c r="V19" s="626"/>
      <c r="W19" s="626"/>
      <c r="X19" s="626"/>
      <c r="Y19" s="626"/>
      <c r="Z19" s="626"/>
      <c r="AA19" s="626"/>
      <c r="AB19" s="632"/>
    </row>
    <row r="20" spans="2:28" ht="15.75" thickTop="1" x14ac:dyDescent="0.25">
      <c r="B20" s="519"/>
      <c r="C20" s="954" t="s">
        <v>533</v>
      </c>
      <c r="D20" s="599"/>
      <c r="E20" s="519"/>
      <c r="F20" s="595"/>
      <c r="G20" s="598"/>
      <c r="H20" s="519"/>
      <c r="I20" s="519"/>
      <c r="J20" s="626"/>
      <c r="K20" s="626"/>
      <c r="L20" s="626"/>
      <c r="M20" s="626"/>
      <c r="N20" s="626"/>
      <c r="O20" s="626"/>
      <c r="P20" s="626"/>
      <c r="Q20" s="626"/>
      <c r="R20" s="626"/>
      <c r="S20" s="626"/>
      <c r="T20" s="626"/>
      <c r="U20" s="626"/>
      <c r="V20" s="626"/>
      <c r="W20" s="626"/>
      <c r="X20" s="626"/>
      <c r="Y20" s="626"/>
      <c r="Z20" s="626"/>
      <c r="AA20" s="626"/>
      <c r="AB20" s="632"/>
    </row>
    <row r="21" spans="2:28" ht="19.5" x14ac:dyDescent="0.3">
      <c r="B21" s="519"/>
      <c r="C21" s="954"/>
      <c r="D21" s="958"/>
      <c r="E21" s="519"/>
      <c r="F21" s="595"/>
      <c r="G21" s="598"/>
      <c r="H21" s="519"/>
      <c r="I21" s="519"/>
      <c r="J21" s="626"/>
      <c r="K21" s="654" t="s">
        <v>498</v>
      </c>
      <c r="L21" s="652"/>
      <c r="M21" s="653"/>
      <c r="N21" s="653"/>
      <c r="O21" s="626"/>
      <c r="P21" s="626"/>
      <c r="Q21" s="626"/>
      <c r="R21" s="626"/>
      <c r="S21" s="626"/>
      <c r="T21" s="626"/>
      <c r="U21" s="626"/>
      <c r="V21" s="626"/>
      <c r="W21" s="626"/>
      <c r="X21" s="626"/>
      <c r="Y21" s="626"/>
      <c r="Z21" s="626"/>
      <c r="AA21" s="626"/>
      <c r="AB21" s="632"/>
    </row>
    <row r="22" spans="2:28" x14ac:dyDescent="0.25">
      <c r="B22" s="519"/>
      <c r="C22" s="957" t="s">
        <v>500</v>
      </c>
      <c r="D22" s="954"/>
      <c r="E22" s="519"/>
      <c r="F22" s="519"/>
      <c r="G22" s="519"/>
      <c r="H22" s="519"/>
      <c r="I22" s="519"/>
      <c r="J22" s="626"/>
      <c r="K22" s="640"/>
      <c r="L22" s="641"/>
      <c r="M22" s="642"/>
      <c r="N22" s="626"/>
      <c r="O22" s="642"/>
      <c r="P22" s="626"/>
      <c r="Q22" s="626"/>
      <c r="R22" s="626"/>
      <c r="S22" s="626"/>
      <c r="T22" s="626"/>
      <c r="U22" s="626"/>
      <c r="V22" s="626"/>
      <c r="W22" s="626"/>
      <c r="X22" s="626"/>
      <c r="Y22" s="626"/>
      <c r="Z22" s="626"/>
      <c r="AA22" s="626"/>
      <c r="AB22" s="632"/>
    </row>
    <row r="23" spans="2:28" ht="15.75" x14ac:dyDescent="0.25">
      <c r="B23" s="519"/>
      <c r="C23" s="954" t="s">
        <v>501</v>
      </c>
      <c r="D23" s="519"/>
      <c r="E23" s="519"/>
      <c r="F23" s="519"/>
      <c r="G23" s="519"/>
      <c r="H23" s="519"/>
      <c r="I23" s="519"/>
      <c r="J23" s="626"/>
      <c r="K23" s="979" t="s">
        <v>497</v>
      </c>
      <c r="L23" s="980"/>
      <c r="M23" s="980"/>
      <c r="N23" s="1048" t="s">
        <v>482</v>
      </c>
      <c r="O23" s="1048"/>
      <c r="P23" s="629"/>
      <c r="Q23" s="626"/>
      <c r="R23" s="626"/>
      <c r="S23" s="626"/>
      <c r="T23" s="626"/>
      <c r="U23" s="626"/>
      <c r="V23" s="626"/>
      <c r="W23" s="626"/>
      <c r="X23" s="626"/>
      <c r="Y23" s="626"/>
      <c r="Z23" s="626"/>
      <c r="AA23" s="626"/>
      <c r="AB23" s="632"/>
    </row>
    <row r="24" spans="2:28" x14ac:dyDescent="0.25">
      <c r="B24" s="519"/>
      <c r="C24" s="954"/>
      <c r="D24" s="519"/>
      <c r="E24" s="519"/>
      <c r="F24" s="519"/>
      <c r="G24" s="519"/>
      <c r="H24" s="519"/>
      <c r="I24" s="519"/>
      <c r="J24" s="626"/>
      <c r="K24" s="641"/>
      <c r="L24" s="641"/>
      <c r="M24" s="642"/>
      <c r="N24" s="981"/>
      <c r="O24" s="642"/>
      <c r="P24" s="629"/>
      <c r="Q24" s="626"/>
      <c r="R24" s="626"/>
      <c r="S24" s="626"/>
      <c r="T24" s="626"/>
      <c r="U24" s="626"/>
      <c r="V24" s="626"/>
      <c r="W24" s="626"/>
      <c r="X24" s="626"/>
      <c r="Y24" s="626"/>
      <c r="Z24" s="626"/>
      <c r="AA24" s="626"/>
      <c r="AB24" s="632"/>
    </row>
    <row r="25" spans="2:28" x14ac:dyDescent="0.25">
      <c r="B25" s="519"/>
      <c r="C25" s="519"/>
      <c r="D25" s="519"/>
      <c r="E25" s="519"/>
      <c r="F25" s="519"/>
      <c r="G25" s="519"/>
      <c r="H25" s="519"/>
      <c r="I25" s="596"/>
      <c r="J25" s="638"/>
      <c r="K25" s="641"/>
      <c r="L25" s="641"/>
      <c r="M25" s="642"/>
      <c r="N25" s="626"/>
      <c r="O25" s="642"/>
      <c r="P25" s="629"/>
      <c r="Q25" s="626"/>
      <c r="R25" s="626"/>
      <c r="S25" s="626"/>
      <c r="T25" s="626"/>
      <c r="U25" s="626"/>
      <c r="V25" s="626"/>
      <c r="W25" s="626"/>
      <c r="X25" s="626"/>
      <c r="Y25" s="626"/>
      <c r="Z25" s="626"/>
      <c r="AA25" s="626"/>
      <c r="AB25" s="632"/>
    </row>
    <row r="26" spans="2:28" ht="5.25" customHeight="1" x14ac:dyDescent="0.25">
      <c r="B26" s="759"/>
      <c r="C26" s="759"/>
      <c r="D26" s="760"/>
      <c r="E26" s="759"/>
      <c r="F26" s="761"/>
      <c r="G26" s="762"/>
      <c r="H26" s="759"/>
      <c r="I26" s="762"/>
      <c r="J26" s="763"/>
      <c r="K26" s="764"/>
      <c r="L26" s="764"/>
      <c r="M26" s="765"/>
      <c r="N26" s="653"/>
      <c r="O26" s="765"/>
      <c r="P26" s="766"/>
      <c r="Q26" s="653"/>
      <c r="R26" s="653"/>
      <c r="S26" s="653"/>
      <c r="T26" s="653"/>
      <c r="U26" s="653"/>
      <c r="V26" s="653"/>
      <c r="W26" s="653"/>
      <c r="X26" s="653"/>
      <c r="Y26" s="653"/>
      <c r="Z26" s="653"/>
      <c r="AA26" s="653"/>
      <c r="AB26" s="767"/>
    </row>
    <row r="27" spans="2:28" ht="19.5" x14ac:dyDescent="0.3">
      <c r="B27" s="519"/>
      <c r="C27" s="519"/>
      <c r="D27" s="546"/>
      <c r="E27" s="521"/>
      <c r="F27" s="521"/>
      <c r="G27" s="521"/>
      <c r="H27" s="519"/>
      <c r="I27" s="521"/>
      <c r="J27" s="521"/>
      <c r="K27" s="521"/>
      <c r="L27" s="521"/>
      <c r="M27" s="521"/>
      <c r="N27" s="521"/>
      <c r="O27" s="521"/>
      <c r="P27" s="521"/>
      <c r="Q27" s="521"/>
      <c r="R27" s="521"/>
      <c r="S27" s="529"/>
      <c r="T27" s="519"/>
      <c r="U27" s="519"/>
      <c r="V27" s="519"/>
      <c r="W27" s="519"/>
      <c r="X27" s="519"/>
      <c r="Y27" s="519"/>
      <c r="Z27" s="519"/>
      <c r="AA27" s="519"/>
      <c r="AB27" s="593"/>
    </row>
    <row r="28" spans="2:28" ht="18" customHeight="1" thickBot="1" x14ac:dyDescent="0.35">
      <c r="B28" s="816"/>
      <c r="C28" s="895" t="s">
        <v>461</v>
      </c>
      <c r="D28" s="822"/>
      <c r="E28" s="533"/>
      <c r="F28" s="534"/>
      <c r="G28" s="1043" t="s">
        <v>513</v>
      </c>
      <c r="H28" s="1044"/>
      <c r="I28" s="1044"/>
      <c r="J28" s="1045"/>
      <c r="K28" s="1043" t="s">
        <v>514</v>
      </c>
      <c r="L28" s="1044"/>
      <c r="M28" s="1044"/>
      <c r="N28" s="1045"/>
      <c r="O28" s="1043" t="s">
        <v>110</v>
      </c>
      <c r="P28" s="1044"/>
      <c r="Q28" s="1044"/>
      <c r="R28" s="1045"/>
      <c r="S28" s="892" t="s">
        <v>149</v>
      </c>
      <c r="T28" s="577" t="s">
        <v>150</v>
      </c>
      <c r="U28" s="578" t="s">
        <v>151</v>
      </c>
      <c r="V28" s="668" t="s">
        <v>152</v>
      </c>
      <c r="W28" s="519"/>
      <c r="X28" s="519"/>
      <c r="Y28" s="519"/>
      <c r="Z28" s="519"/>
      <c r="AA28" s="519"/>
      <c r="AB28" s="593"/>
    </row>
    <row r="29" spans="2:28" ht="18" customHeight="1" x14ac:dyDescent="0.25">
      <c r="B29" s="816"/>
      <c r="C29" s="896" t="s">
        <v>418</v>
      </c>
      <c r="D29" s="897"/>
      <c r="E29" s="524" t="s">
        <v>214</v>
      </c>
      <c r="F29" s="540"/>
      <c r="G29" s="547">
        <v>1</v>
      </c>
      <c r="H29" s="561">
        <v>2</v>
      </c>
      <c r="I29" s="567">
        <v>3</v>
      </c>
      <c r="J29" s="548">
        <v>4</v>
      </c>
      <c r="K29" s="547">
        <v>1</v>
      </c>
      <c r="L29" s="561">
        <v>2</v>
      </c>
      <c r="M29" s="567">
        <v>3</v>
      </c>
      <c r="N29" s="548">
        <v>4</v>
      </c>
      <c r="O29" s="547">
        <v>1</v>
      </c>
      <c r="P29" s="561">
        <v>2</v>
      </c>
      <c r="Q29" s="567">
        <v>3</v>
      </c>
      <c r="R29" s="549">
        <v>4</v>
      </c>
      <c r="S29" s="908"/>
      <c r="T29" s="622"/>
      <c r="U29" s="519"/>
      <c r="V29" s="519"/>
      <c r="W29" s="519"/>
      <c r="X29" s="519"/>
      <c r="Y29" s="519"/>
      <c r="Z29" s="519"/>
      <c r="AA29" s="519"/>
      <c r="AB29" s="593"/>
    </row>
    <row r="30" spans="2:28" ht="18" customHeight="1" x14ac:dyDescent="0.25">
      <c r="B30" s="816"/>
      <c r="C30" s="905" t="s">
        <v>250</v>
      </c>
      <c r="D30" s="676" t="s">
        <v>419</v>
      </c>
      <c r="E30" s="522" t="s">
        <v>226</v>
      </c>
      <c r="F30" s="538" t="s">
        <v>26</v>
      </c>
      <c r="G30" s="1024">
        <f>BMW_Std_Eqn!E269</f>
        <v>1000</v>
      </c>
      <c r="H30" s="1025"/>
      <c r="I30" s="1025"/>
      <c r="J30" s="1026"/>
      <c r="K30" s="1027">
        <f>BMW_Std_Eqn!I269</f>
        <v>1200</v>
      </c>
      <c r="L30" s="1014"/>
      <c r="M30" s="1014"/>
      <c r="N30" s="1015"/>
      <c r="O30" s="1014">
        <f>BMW_Std_Eqn!M269</f>
        <v>1500</v>
      </c>
      <c r="P30" s="1014"/>
      <c r="Q30" s="1014"/>
      <c r="R30" s="1015"/>
      <c r="S30" s="964" t="s">
        <v>422</v>
      </c>
      <c r="T30" s="909" t="str">
        <f>'BMW-Std-selection'!$B$150</f>
        <v>+ 8 mm to neck dimensions with optional opposed blade damper (OBD)</v>
      </c>
      <c r="U30" s="907"/>
      <c r="V30" s="907"/>
      <c r="W30" s="907"/>
      <c r="X30" s="907"/>
      <c r="Y30" s="907"/>
      <c r="Z30" s="907"/>
      <c r="AA30" s="907"/>
      <c r="AB30" s="593"/>
    </row>
    <row r="31" spans="2:28" ht="18" customHeight="1" x14ac:dyDescent="0.25">
      <c r="B31" s="816"/>
      <c r="C31" s="904" t="str">
        <f>'BMW-Std-selection'!E106</f>
        <v>(no OBD)</v>
      </c>
      <c r="D31" s="682" t="s">
        <v>420</v>
      </c>
      <c r="E31" s="527" t="s">
        <v>215</v>
      </c>
      <c r="F31" s="545" t="s">
        <v>26</v>
      </c>
      <c r="G31" s="768">
        <f>BMW_Std_Eqn!E332</f>
        <v>101</v>
      </c>
      <c r="H31" s="769">
        <f>BMW_Std_Eqn!F332</f>
        <v>140</v>
      </c>
      <c r="I31" s="770">
        <f>BMW_Std_Eqn!G332</f>
        <v>179</v>
      </c>
      <c r="J31" s="771">
        <f>BMW_Std_Eqn!H332</f>
        <v>218</v>
      </c>
      <c r="K31" s="768">
        <f>BMW_Std_Eqn!I332</f>
        <v>101</v>
      </c>
      <c r="L31" s="769">
        <f>BMW_Std_Eqn!J332</f>
        <v>140</v>
      </c>
      <c r="M31" s="770">
        <f>BMW_Std_Eqn!K332</f>
        <v>179</v>
      </c>
      <c r="N31" s="771">
        <f>BMW_Std_Eqn!L332</f>
        <v>218</v>
      </c>
      <c r="O31" s="768">
        <f>BMW_Std_Eqn!M332</f>
        <v>101</v>
      </c>
      <c r="P31" s="769">
        <f>BMW_Std_Eqn!N332</f>
        <v>140</v>
      </c>
      <c r="Q31" s="770">
        <f>BMW_Std_Eqn!O332</f>
        <v>179</v>
      </c>
      <c r="R31" s="772">
        <f>BMW_Std_Eqn!P332</f>
        <v>218</v>
      </c>
      <c r="S31" s="965" t="s">
        <v>485</v>
      </c>
      <c r="T31" s="907"/>
      <c r="U31" s="907"/>
      <c r="V31" s="907"/>
      <c r="W31" s="907"/>
      <c r="X31" s="907"/>
      <c r="Y31" s="907"/>
      <c r="Z31" s="907"/>
      <c r="AA31" s="907"/>
      <c r="AB31" s="593"/>
    </row>
    <row r="32" spans="2:28" ht="18" customHeight="1" x14ac:dyDescent="0.25">
      <c r="B32" s="816"/>
      <c r="C32" s="1031" t="s">
        <v>8</v>
      </c>
      <c r="D32" s="676" t="s">
        <v>25</v>
      </c>
      <c r="E32" s="523" t="s">
        <v>213</v>
      </c>
      <c r="F32" s="539" t="s">
        <v>26</v>
      </c>
      <c r="G32" s="1018">
        <f>BMW_Std_Eqn!E333</f>
        <v>1052</v>
      </c>
      <c r="H32" s="1019"/>
      <c r="I32" s="1019"/>
      <c r="J32" s="1020"/>
      <c r="K32" s="1021">
        <f>BMW_Std_Eqn!I333</f>
        <v>1252</v>
      </c>
      <c r="L32" s="1016"/>
      <c r="M32" s="1016"/>
      <c r="N32" s="1017"/>
      <c r="O32" s="1016">
        <f>BMW_Std_Eqn!M333</f>
        <v>1552</v>
      </c>
      <c r="P32" s="1016"/>
      <c r="Q32" s="1016"/>
      <c r="R32" s="1017"/>
      <c r="S32" s="967" t="s">
        <v>484</v>
      </c>
      <c r="T32" s="966"/>
      <c r="U32" s="519"/>
      <c r="V32" s="519"/>
      <c r="W32" s="519"/>
      <c r="X32" s="519"/>
      <c r="Y32" s="519"/>
      <c r="Z32" s="519"/>
      <c r="AA32" s="519"/>
      <c r="AB32" s="593"/>
    </row>
    <row r="33" spans="2:28" ht="18" customHeight="1" x14ac:dyDescent="0.25">
      <c r="B33" s="816"/>
      <c r="C33" s="1032"/>
      <c r="D33" s="679" t="s">
        <v>9</v>
      </c>
      <c r="E33" s="532" t="s">
        <v>216</v>
      </c>
      <c r="F33" s="541" t="s">
        <v>26</v>
      </c>
      <c r="G33" s="550">
        <f>BMW_Std_Eqn!E334</f>
        <v>134</v>
      </c>
      <c r="H33" s="562">
        <f>BMW_Std_Eqn!F334</f>
        <v>173</v>
      </c>
      <c r="I33" s="568">
        <f>BMW_Std_Eqn!G334</f>
        <v>212</v>
      </c>
      <c r="J33" s="551">
        <f>BMW_Std_Eqn!H334</f>
        <v>251</v>
      </c>
      <c r="K33" s="552">
        <f>BMW_Std_Eqn!I334</f>
        <v>134</v>
      </c>
      <c r="L33" s="562">
        <f>BMW_Std_Eqn!J334</f>
        <v>173</v>
      </c>
      <c r="M33" s="568">
        <f>BMW_Std_Eqn!K334</f>
        <v>212</v>
      </c>
      <c r="N33" s="551">
        <f>BMW_Std_Eqn!L334</f>
        <v>251</v>
      </c>
      <c r="O33" s="552">
        <f>BMW_Std_Eqn!M334</f>
        <v>134</v>
      </c>
      <c r="P33" s="562">
        <f>BMW_Std_Eqn!N334</f>
        <v>173</v>
      </c>
      <c r="Q33" s="568">
        <f>BMW_Std_Eqn!O334</f>
        <v>212</v>
      </c>
      <c r="R33" s="551">
        <f>BMW_Std_Eqn!P334</f>
        <v>251</v>
      </c>
      <c r="S33" s="613"/>
      <c r="T33" s="519"/>
      <c r="U33" s="519"/>
      <c r="V33" s="519"/>
      <c r="W33" s="519"/>
      <c r="X33" s="963"/>
      <c r="Y33" s="963"/>
      <c r="Z33" s="963"/>
      <c r="AA33" s="519"/>
      <c r="AB33" s="593"/>
    </row>
    <row r="34" spans="2:28" ht="18" customHeight="1" x14ac:dyDescent="0.25">
      <c r="B34" s="816"/>
      <c r="C34" s="522" t="s">
        <v>210</v>
      </c>
      <c r="D34" s="522"/>
      <c r="E34" s="526" t="s">
        <v>22</v>
      </c>
      <c r="F34" s="820" t="s">
        <v>10</v>
      </c>
      <c r="G34" s="558">
        <f>BMW_Std_Eqn!E335</f>
        <v>13.3</v>
      </c>
      <c r="H34" s="566">
        <f>BMW_Std_Eqn!F335</f>
        <v>6.9</v>
      </c>
      <c r="I34" s="572">
        <f>BMW_Std_Eqn!G335</f>
        <v>4.2</v>
      </c>
      <c r="J34" s="559" t="str">
        <f>BMW_Std_Eqn!H335</f>
        <v>&lt; 3</v>
      </c>
      <c r="K34" s="558">
        <f>BMW_Std_Eqn!I335</f>
        <v>9.1</v>
      </c>
      <c r="L34" s="566">
        <f>BMW_Std_Eqn!J335</f>
        <v>4.7</v>
      </c>
      <c r="M34" s="572" t="str">
        <f>BMW_Std_Eqn!K335</f>
        <v>&lt; 3</v>
      </c>
      <c r="N34" s="559" t="str">
        <f>BMW_Std_Eqn!L335</f>
        <v>&lt; 3</v>
      </c>
      <c r="O34" s="558">
        <f>BMW_Std_Eqn!M335</f>
        <v>5.7</v>
      </c>
      <c r="P34" s="566" t="str">
        <f>BMW_Std_Eqn!N335</f>
        <v>&lt; 3</v>
      </c>
      <c r="Q34" s="572" t="str">
        <f>BMW_Std_Eqn!O335</f>
        <v>&lt; 3</v>
      </c>
      <c r="R34" s="560" t="str">
        <f>BMW_Std_Eqn!P335</f>
        <v>&lt; 3</v>
      </c>
      <c r="S34" s="613"/>
      <c r="T34" s="519"/>
      <c r="U34" s="519"/>
      <c r="V34" s="519"/>
      <c r="W34" s="519"/>
      <c r="X34" s="963"/>
      <c r="Y34" s="963"/>
      <c r="Z34" s="963"/>
      <c r="AA34" s="519"/>
      <c r="AB34" s="593"/>
    </row>
    <row r="35" spans="2:28" ht="18" customHeight="1" x14ac:dyDescent="0.25">
      <c r="B35" s="816"/>
      <c r="C35" s="523" t="s">
        <v>293</v>
      </c>
      <c r="D35" s="523"/>
      <c r="E35" s="524" t="s">
        <v>301</v>
      </c>
      <c r="F35" s="539" t="str">
        <f>BMW_Std_Eqn!D4</f>
        <v>[L/s]</v>
      </c>
      <c r="G35" s="574">
        <f>BMW_Std_Eqn!E336</f>
        <v>49.6</v>
      </c>
      <c r="H35" s="564">
        <f>BMW_Std_Eqn!F336</f>
        <v>68.8</v>
      </c>
      <c r="I35" s="570">
        <f>BMW_Std_Eqn!G336</f>
        <v>88</v>
      </c>
      <c r="J35" s="554">
        <f>BMW_Std_Eqn!H336</f>
        <v>107.1</v>
      </c>
      <c r="K35" s="574">
        <f>BMW_Std_Eqn!I336</f>
        <v>60</v>
      </c>
      <c r="L35" s="564">
        <f>BMW_Std_Eqn!J336</f>
        <v>83.1</v>
      </c>
      <c r="M35" s="570">
        <f>BMW_Std_Eqn!K336</f>
        <v>106.3</v>
      </c>
      <c r="N35" s="554">
        <f>BMW_Std_Eqn!L336</f>
        <v>129.5</v>
      </c>
      <c r="O35" s="574">
        <f>BMW_Std_Eqn!M336</f>
        <v>75.5</v>
      </c>
      <c r="P35" s="564">
        <f>BMW_Std_Eqn!N336</f>
        <v>104.6</v>
      </c>
      <c r="Q35" s="570">
        <f>BMW_Std_Eqn!O336</f>
        <v>133.80000000000001</v>
      </c>
      <c r="R35" s="555">
        <f>BMW_Std_Eqn!P336</f>
        <v>162.9</v>
      </c>
      <c r="S35" s="613"/>
      <c r="T35" s="519"/>
      <c r="U35" s="519"/>
      <c r="V35" s="519"/>
      <c r="W35" s="519"/>
      <c r="X35" s="963"/>
      <c r="Y35" s="963"/>
      <c r="Z35" s="963"/>
      <c r="AA35" s="519"/>
      <c r="AB35" s="593"/>
    </row>
    <row r="36" spans="2:28" ht="18" customHeight="1" x14ac:dyDescent="0.25">
      <c r="B36" s="816"/>
      <c r="C36" s="680" t="s">
        <v>142</v>
      </c>
      <c r="D36" s="680"/>
      <c r="E36" s="535" t="s">
        <v>46</v>
      </c>
      <c r="F36" s="543" t="s">
        <v>136</v>
      </c>
      <c r="G36" s="575">
        <f>BMW_Std_Eqn!E337</f>
        <v>32.200000000000003</v>
      </c>
      <c r="H36" s="563">
        <f>BMW_Std_Eqn!F337</f>
        <v>23.2</v>
      </c>
      <c r="I36" s="569">
        <f>BMW_Std_Eqn!G337</f>
        <v>16.399999999999999</v>
      </c>
      <c r="J36" s="553" t="str">
        <f>BMW_Std_Eqn!H337</f>
        <v>&lt; 15</v>
      </c>
      <c r="K36" s="575">
        <f>BMW_Std_Eqn!I337</f>
        <v>27</v>
      </c>
      <c r="L36" s="563">
        <f>BMW_Std_Eqn!J337</f>
        <v>18</v>
      </c>
      <c r="M36" s="569" t="str">
        <f>BMW_Std_Eqn!K337</f>
        <v>&lt; 15</v>
      </c>
      <c r="N36" s="553" t="str">
        <f>BMW_Std_Eqn!L337</f>
        <v>&lt; 15</v>
      </c>
      <c r="O36" s="575">
        <f>BMW_Std_Eqn!M337</f>
        <v>20.6</v>
      </c>
      <c r="P36" s="563" t="str">
        <f>BMW_Std_Eqn!N337</f>
        <v>&lt; 15</v>
      </c>
      <c r="Q36" s="569" t="str">
        <f>BMW_Std_Eqn!O337</f>
        <v>&lt; 15</v>
      </c>
      <c r="R36" s="553" t="str">
        <f>BMW_Std_Eqn!P337</f>
        <v>&lt; 15</v>
      </c>
      <c r="S36" s="613"/>
      <c r="T36" s="519"/>
      <c r="U36" s="519"/>
      <c r="V36" s="519"/>
      <c r="W36" s="519"/>
      <c r="X36" s="622"/>
      <c r="Y36" s="622"/>
      <c r="Z36" s="622"/>
      <c r="AA36" s="622"/>
      <c r="AB36" s="593"/>
    </row>
    <row r="37" spans="2:28" ht="18" customHeight="1" x14ac:dyDescent="0.25">
      <c r="B37" s="816"/>
      <c r="C37" s="681" t="s">
        <v>421</v>
      </c>
      <c r="D37" s="681"/>
      <c r="E37" s="527" t="s">
        <v>287</v>
      </c>
      <c r="F37" s="544" t="s">
        <v>11</v>
      </c>
      <c r="G37" s="574">
        <f>BMW_Std_Eqn!E338</f>
        <v>17.2</v>
      </c>
      <c r="H37" s="564">
        <f>BMW_Std_Eqn!F338</f>
        <v>8.1999999999999993</v>
      </c>
      <c r="I37" s="570" t="str">
        <f>BMW_Std_Eqn!G338</f>
        <v>&lt; 5</v>
      </c>
      <c r="J37" s="554" t="str">
        <f>BMW_Std_Eqn!H338</f>
        <v>&lt; 5</v>
      </c>
      <c r="K37" s="574">
        <f>BMW_Std_Eqn!I338</f>
        <v>12</v>
      </c>
      <c r="L37" s="564" t="str">
        <f>BMW_Std_Eqn!J338</f>
        <v>&lt; 5</v>
      </c>
      <c r="M37" s="570" t="str">
        <f>BMW_Std_Eqn!K338</f>
        <v>&lt; 5</v>
      </c>
      <c r="N37" s="554" t="str">
        <f>BMW_Std_Eqn!L338</f>
        <v>&lt; 5</v>
      </c>
      <c r="O37" s="574">
        <f>BMW_Std_Eqn!M338</f>
        <v>5.6</v>
      </c>
      <c r="P37" s="564" t="str">
        <f>BMW_Std_Eqn!N338</f>
        <v>&lt; 5</v>
      </c>
      <c r="Q37" s="570" t="str">
        <f>BMW_Std_Eqn!O338</f>
        <v>&lt; 5</v>
      </c>
      <c r="R37" s="555" t="str">
        <f>BMW_Std_Eqn!P338</f>
        <v>&lt; 5</v>
      </c>
      <c r="S37" s="613"/>
      <c r="T37" s="519"/>
      <c r="U37" s="519"/>
      <c r="V37" s="519"/>
      <c r="W37" s="519"/>
      <c r="X37" s="519"/>
      <c r="Y37" s="519"/>
      <c r="Z37" s="519"/>
      <c r="AA37" s="519"/>
      <c r="AB37" s="593"/>
    </row>
    <row r="38" spans="2:28" ht="18" customHeight="1" thickBot="1" x14ac:dyDescent="0.3">
      <c r="B38" s="816"/>
      <c r="C38" s="677" t="s">
        <v>285</v>
      </c>
      <c r="D38" s="989"/>
      <c r="E38" s="535" t="s">
        <v>93</v>
      </c>
      <c r="F38" s="540" t="s">
        <v>137</v>
      </c>
      <c r="G38" s="575">
        <f ca="1">BMW_Std_Eqn!E339</f>
        <v>2.2000000000000002</v>
      </c>
      <c r="H38" s="563">
        <f ca="1">BMW_Std_Eqn!F339</f>
        <v>2.2000000000000002</v>
      </c>
      <c r="I38" s="569">
        <f ca="1">BMW_Std_Eqn!G339</f>
        <v>2.2000000000000002</v>
      </c>
      <c r="J38" s="990">
        <f ca="1">BMW_Std_Eqn!H339</f>
        <v>2.2000000000000002</v>
      </c>
      <c r="K38" s="575">
        <f ca="1">BMW_Std_Eqn!I339</f>
        <v>2.2000000000000002</v>
      </c>
      <c r="L38" s="563">
        <f ca="1">BMW_Std_Eqn!J339</f>
        <v>2.2000000000000002</v>
      </c>
      <c r="M38" s="569">
        <f ca="1">BMW_Std_Eqn!K339</f>
        <v>2.2000000000000002</v>
      </c>
      <c r="N38" s="990">
        <f ca="1">BMW_Std_Eqn!L339</f>
        <v>2.2000000000000002</v>
      </c>
      <c r="O38" s="575">
        <f ca="1">BMW_Std_Eqn!M339</f>
        <v>2.1</v>
      </c>
      <c r="P38" s="563">
        <f ca="1">BMW_Std_Eqn!N339</f>
        <v>2.1</v>
      </c>
      <c r="Q38" s="569">
        <f ca="1">BMW_Std_Eqn!O339</f>
        <v>2.1</v>
      </c>
      <c r="R38" s="990">
        <f ca="1">BMW_Std_Eqn!P339</f>
        <v>2.1</v>
      </c>
      <c r="S38" s="613"/>
      <c r="T38" s="519"/>
      <c r="U38" s="519"/>
      <c r="V38" s="519"/>
      <c r="W38" s="519"/>
      <c r="X38" s="519"/>
      <c r="Y38" s="519"/>
      <c r="Z38" s="519"/>
      <c r="AA38" s="519"/>
      <c r="AB38" s="593"/>
    </row>
    <row r="39" spans="2:28" ht="18" customHeight="1" x14ac:dyDescent="0.25">
      <c r="B39" s="817"/>
      <c r="C39" s="1033" t="s">
        <v>129</v>
      </c>
      <c r="D39" s="1036" t="s">
        <v>130</v>
      </c>
      <c r="E39" s="699" t="s">
        <v>139</v>
      </c>
      <c r="F39" s="992" t="s">
        <v>137</v>
      </c>
      <c r="G39" s="993">
        <f ca="1">BMW_Std_Eqn!E340</f>
        <v>2.2999999999999998</v>
      </c>
      <c r="H39" s="994">
        <f ca="1">BMW_Std_Eqn!F340</f>
        <v>2.2000000000000002</v>
      </c>
      <c r="I39" s="995">
        <f ca="1">BMW_Std_Eqn!G340</f>
        <v>2.2000000000000002</v>
      </c>
      <c r="J39" s="996">
        <f ca="1">BMW_Std_Eqn!H340</f>
        <v>2.2000000000000002</v>
      </c>
      <c r="K39" s="993">
        <f ca="1">BMW_Std_Eqn!I340</f>
        <v>2.2000000000000002</v>
      </c>
      <c r="L39" s="994">
        <f ca="1">BMW_Std_Eqn!J340</f>
        <v>2.2000000000000002</v>
      </c>
      <c r="M39" s="995">
        <f ca="1">BMW_Std_Eqn!K340</f>
        <v>2.2000000000000002</v>
      </c>
      <c r="N39" s="996">
        <f ca="1">BMW_Std_Eqn!L340</f>
        <v>2.2000000000000002</v>
      </c>
      <c r="O39" s="993">
        <f ca="1">BMW_Std_Eqn!M340</f>
        <v>2.2000000000000002</v>
      </c>
      <c r="P39" s="994">
        <f ca="1">BMW_Std_Eqn!N340</f>
        <v>2.2000000000000002</v>
      </c>
      <c r="Q39" s="995">
        <f ca="1">BMW_Std_Eqn!O340</f>
        <v>2.2000000000000002</v>
      </c>
      <c r="R39" s="997">
        <f ca="1">BMW_Std_Eqn!P340</f>
        <v>2.2000000000000002</v>
      </c>
      <c r="S39" s="519"/>
      <c r="T39" s="519"/>
      <c r="U39" s="519"/>
      <c r="V39" s="519"/>
      <c r="W39" s="519"/>
      <c r="X39" s="519"/>
      <c r="Y39" s="519"/>
      <c r="Z39" s="519"/>
      <c r="AA39" s="519"/>
      <c r="AB39" s="593"/>
    </row>
    <row r="40" spans="2:28" ht="18" customHeight="1" x14ac:dyDescent="0.25">
      <c r="B40" s="817"/>
      <c r="C40" s="1034"/>
      <c r="D40" s="1037"/>
      <c r="E40" s="527" t="s">
        <v>57</v>
      </c>
      <c r="F40" s="545" t="s">
        <v>137</v>
      </c>
      <c r="G40" s="574">
        <f ca="1">BMW_Std_Eqn!E341</f>
        <v>5.0999999999999996</v>
      </c>
      <c r="H40" s="564">
        <f ca="1">BMW_Std_Eqn!F341</f>
        <v>4.4000000000000004</v>
      </c>
      <c r="I40" s="570">
        <f ca="1">BMW_Std_Eqn!G341</f>
        <v>3.9</v>
      </c>
      <c r="J40" s="554">
        <f ca="1">BMW_Std_Eqn!H341</f>
        <v>3.5</v>
      </c>
      <c r="K40" s="574">
        <f ca="1">BMW_Std_Eqn!I341</f>
        <v>4.7</v>
      </c>
      <c r="L40" s="564">
        <f ca="1">BMW_Std_Eqn!J341</f>
        <v>4</v>
      </c>
      <c r="M40" s="570">
        <f ca="1">BMW_Std_Eqn!K341</f>
        <v>3.5</v>
      </c>
      <c r="N40" s="554">
        <f ca="1">BMW_Std_Eqn!L341</f>
        <v>3.2</v>
      </c>
      <c r="O40" s="574">
        <f ca="1">BMW_Std_Eqn!M341</f>
        <v>4.2</v>
      </c>
      <c r="P40" s="564">
        <f ca="1">BMW_Std_Eqn!N341</f>
        <v>3.5</v>
      </c>
      <c r="Q40" s="570">
        <f ca="1">BMW_Std_Eqn!O341</f>
        <v>3.1</v>
      </c>
      <c r="R40" s="998">
        <f ca="1">BMW_Std_Eqn!P341</f>
        <v>2.8</v>
      </c>
      <c r="S40" s="519"/>
      <c r="T40" s="519"/>
      <c r="U40" s="519"/>
      <c r="V40" s="519"/>
      <c r="W40" s="519"/>
      <c r="X40" s="519"/>
      <c r="Y40" s="519"/>
      <c r="Z40" s="519"/>
      <c r="AA40" s="519"/>
      <c r="AB40" s="593"/>
    </row>
    <row r="41" spans="2:28" ht="18" customHeight="1" x14ac:dyDescent="0.25">
      <c r="B41" s="817"/>
      <c r="C41" s="1034"/>
      <c r="D41" s="1037"/>
      <c r="E41" s="535" t="s">
        <v>145</v>
      </c>
      <c r="F41" s="991" t="s">
        <v>137</v>
      </c>
      <c r="G41" s="575">
        <f ca="1">BMW_Std_Eqn!E342</f>
        <v>3.9</v>
      </c>
      <c r="H41" s="563">
        <f ca="1">BMW_Std_Eqn!F342</f>
        <v>3.9</v>
      </c>
      <c r="I41" s="569">
        <f ca="1">BMW_Std_Eqn!G342</f>
        <v>3.9</v>
      </c>
      <c r="J41" s="990">
        <f ca="1">BMW_Std_Eqn!H342</f>
        <v>3.9</v>
      </c>
      <c r="K41" s="575">
        <f ca="1">BMW_Std_Eqn!I342</f>
        <v>3.9</v>
      </c>
      <c r="L41" s="563">
        <f ca="1">BMW_Std_Eqn!J342</f>
        <v>3.9</v>
      </c>
      <c r="M41" s="569">
        <f ca="1">BMW_Std_Eqn!K342</f>
        <v>3.9</v>
      </c>
      <c r="N41" s="990">
        <f ca="1">BMW_Std_Eqn!L342</f>
        <v>3.9</v>
      </c>
      <c r="O41" s="575">
        <f ca="1">BMW_Std_Eqn!M342</f>
        <v>3.9</v>
      </c>
      <c r="P41" s="563">
        <f ca="1">BMW_Std_Eqn!N342</f>
        <v>3.9</v>
      </c>
      <c r="Q41" s="569">
        <f ca="1">BMW_Std_Eqn!O342</f>
        <v>3.9</v>
      </c>
      <c r="R41" s="999">
        <f ca="1">BMW_Std_Eqn!P342</f>
        <v>3.9</v>
      </c>
      <c r="S41" s="519"/>
      <c r="T41" s="519"/>
      <c r="U41" s="519"/>
      <c r="V41" s="519"/>
      <c r="W41" s="519"/>
      <c r="X41" s="519"/>
      <c r="Y41" s="519"/>
      <c r="Z41" s="519"/>
      <c r="AA41" s="519"/>
      <c r="AB41" s="593"/>
    </row>
    <row r="42" spans="2:28" ht="18" customHeight="1" thickBot="1" x14ac:dyDescent="0.3">
      <c r="B42" s="817"/>
      <c r="C42" s="1034"/>
      <c r="D42" s="1038"/>
      <c r="E42" s="697" t="s">
        <v>148</v>
      </c>
      <c r="F42" s="698" t="s">
        <v>137</v>
      </c>
      <c r="G42" s="1000">
        <f ca="1">BMW_Std_Eqn!E343</f>
        <v>8.9</v>
      </c>
      <c r="H42" s="1001">
        <f ca="1">BMW_Std_Eqn!F343</f>
        <v>7.6</v>
      </c>
      <c r="I42" s="1002">
        <f ca="1">BMW_Std_Eqn!G343</f>
        <v>6.7</v>
      </c>
      <c r="J42" s="1003">
        <f ca="1">BMW_Std_Eqn!H343</f>
        <v>6.1</v>
      </c>
      <c r="K42" s="1000">
        <f ca="1">BMW_Std_Eqn!I343</f>
        <v>8.1</v>
      </c>
      <c r="L42" s="1001">
        <f ca="1">BMW_Std_Eqn!J343</f>
        <v>6.9</v>
      </c>
      <c r="M42" s="1002">
        <f ca="1">BMW_Std_Eqn!K343</f>
        <v>6.1</v>
      </c>
      <c r="N42" s="1003">
        <f ca="1">BMW_Std_Eqn!L343</f>
        <v>5.5</v>
      </c>
      <c r="O42" s="1000">
        <f ca="1">BMW_Std_Eqn!M343</f>
        <v>7.2</v>
      </c>
      <c r="P42" s="1001">
        <f ca="1">BMW_Std_Eqn!N343</f>
        <v>6.1</v>
      </c>
      <c r="Q42" s="1002">
        <f ca="1">BMW_Std_Eqn!O343</f>
        <v>5.4</v>
      </c>
      <c r="R42" s="1004">
        <f ca="1">BMW_Std_Eqn!P343</f>
        <v>4.9000000000000004</v>
      </c>
      <c r="S42" s="519"/>
      <c r="T42" s="519"/>
      <c r="U42" s="519"/>
      <c r="V42" s="519"/>
      <c r="W42" s="519"/>
      <c r="X42" s="519"/>
      <c r="Y42" s="519"/>
      <c r="Z42" s="519"/>
      <c r="AA42" s="519"/>
      <c r="AB42" s="593"/>
    </row>
    <row r="43" spans="2:28" ht="18" customHeight="1" x14ac:dyDescent="0.25">
      <c r="B43" s="817"/>
      <c r="C43" s="1034"/>
      <c r="D43" s="1039" t="s">
        <v>247</v>
      </c>
      <c r="E43" s="699" t="s">
        <v>56</v>
      </c>
      <c r="F43" s="700" t="s">
        <v>137</v>
      </c>
      <c r="G43" s="993">
        <f ca="1">BMW_Std_Eqn!E344</f>
        <v>3</v>
      </c>
      <c r="H43" s="994">
        <f ca="1">BMW_Std_Eqn!F344</f>
        <v>2.9</v>
      </c>
      <c r="I43" s="995">
        <f ca="1">BMW_Std_Eqn!G344</f>
        <v>2.9</v>
      </c>
      <c r="J43" s="996">
        <f ca="1">BMW_Std_Eqn!H344</f>
        <v>2.9</v>
      </c>
      <c r="K43" s="993">
        <f ca="1">BMW_Std_Eqn!I344</f>
        <v>2.9</v>
      </c>
      <c r="L43" s="994">
        <f ca="1">BMW_Std_Eqn!J344</f>
        <v>2.9</v>
      </c>
      <c r="M43" s="995">
        <f ca="1">BMW_Std_Eqn!K344</f>
        <v>2.9</v>
      </c>
      <c r="N43" s="996">
        <f ca="1">BMW_Std_Eqn!L344</f>
        <v>2.9</v>
      </c>
      <c r="O43" s="993">
        <f ca="1">BMW_Std_Eqn!M344</f>
        <v>2.9</v>
      </c>
      <c r="P43" s="994">
        <f ca="1">BMW_Std_Eqn!N344</f>
        <v>2.9</v>
      </c>
      <c r="Q43" s="995">
        <f ca="1">BMW_Std_Eqn!O344</f>
        <v>2.9</v>
      </c>
      <c r="R43" s="997">
        <f ca="1">BMW_Std_Eqn!P344</f>
        <v>2.9</v>
      </c>
      <c r="S43" s="519"/>
      <c r="T43" s="519"/>
      <c r="U43" s="519"/>
      <c r="V43" s="519"/>
      <c r="W43" s="519"/>
      <c r="X43" s="519"/>
      <c r="Y43" s="519"/>
      <c r="Z43" s="519"/>
      <c r="AA43" s="519"/>
      <c r="AB43" s="593"/>
    </row>
    <row r="44" spans="2:28" ht="18" customHeight="1" x14ac:dyDescent="0.25">
      <c r="B44" s="817"/>
      <c r="C44" s="1034"/>
      <c r="D44" s="1040"/>
      <c r="E44" s="527" t="s">
        <v>140</v>
      </c>
      <c r="F44" s="545" t="s">
        <v>137</v>
      </c>
      <c r="G44" s="574">
        <f ca="1">BMW_Std_Eqn!E345</f>
        <v>6.8</v>
      </c>
      <c r="H44" s="564">
        <f ca="1">BMW_Std_Eqn!F345</f>
        <v>5.7</v>
      </c>
      <c r="I44" s="570">
        <f ca="1">BMW_Std_Eqn!G345</f>
        <v>5.0999999999999996</v>
      </c>
      <c r="J44" s="554">
        <f ca="1">BMW_Std_Eqn!H345</f>
        <v>4.5999999999999996</v>
      </c>
      <c r="K44" s="574">
        <f ca="1">BMW_Std_Eqn!I345</f>
        <v>6.2</v>
      </c>
      <c r="L44" s="564">
        <f ca="1">BMW_Std_Eqn!J345</f>
        <v>5.2</v>
      </c>
      <c r="M44" s="570">
        <f ca="1">BMW_Std_Eqn!K345</f>
        <v>4.5999999999999996</v>
      </c>
      <c r="N44" s="554">
        <f ca="1">BMW_Std_Eqn!L345</f>
        <v>4.2</v>
      </c>
      <c r="O44" s="574">
        <f ca="1">BMW_Std_Eqn!M345</f>
        <v>5.5</v>
      </c>
      <c r="P44" s="564">
        <f ca="1">BMW_Std_Eqn!N345</f>
        <v>4.7</v>
      </c>
      <c r="Q44" s="570">
        <f ca="1">BMW_Std_Eqn!O345</f>
        <v>4.0999999999999996</v>
      </c>
      <c r="R44" s="998">
        <f ca="1">BMW_Std_Eqn!P345</f>
        <v>3.7</v>
      </c>
      <c r="S44" s="519"/>
      <c r="T44" s="519"/>
      <c r="U44" s="519"/>
      <c r="V44" s="519"/>
      <c r="W44" s="519"/>
      <c r="X44" s="519"/>
      <c r="Y44" s="519"/>
      <c r="Z44" s="519"/>
      <c r="AA44" s="519"/>
      <c r="AB44" s="593"/>
    </row>
    <row r="45" spans="2:28" ht="18" customHeight="1" x14ac:dyDescent="0.25">
      <c r="B45" s="817"/>
      <c r="C45" s="1034"/>
      <c r="D45" s="1040"/>
      <c r="E45" s="535" t="s">
        <v>145</v>
      </c>
      <c r="F45" s="991" t="s">
        <v>137</v>
      </c>
      <c r="G45" s="575">
        <f ca="1">BMW_Std_Eqn!E346</f>
        <v>3</v>
      </c>
      <c r="H45" s="563">
        <f ca="1">BMW_Std_Eqn!F346</f>
        <v>2.9</v>
      </c>
      <c r="I45" s="569">
        <f ca="1">BMW_Std_Eqn!G346</f>
        <v>2.9</v>
      </c>
      <c r="J45" s="990">
        <f ca="1">BMW_Std_Eqn!H346</f>
        <v>2.9</v>
      </c>
      <c r="K45" s="575">
        <f ca="1">BMW_Std_Eqn!I346</f>
        <v>2.9</v>
      </c>
      <c r="L45" s="563">
        <f ca="1">BMW_Std_Eqn!J346</f>
        <v>2.9</v>
      </c>
      <c r="M45" s="569">
        <f ca="1">BMW_Std_Eqn!K346</f>
        <v>2.9</v>
      </c>
      <c r="N45" s="990">
        <f ca="1">BMW_Std_Eqn!L346</f>
        <v>2.9</v>
      </c>
      <c r="O45" s="575">
        <f ca="1">BMW_Std_Eqn!M346</f>
        <v>2.9</v>
      </c>
      <c r="P45" s="563">
        <f ca="1">BMW_Std_Eqn!N346</f>
        <v>2.9</v>
      </c>
      <c r="Q45" s="569">
        <f ca="1">BMW_Std_Eqn!O346</f>
        <v>2.9</v>
      </c>
      <c r="R45" s="999">
        <f ca="1">BMW_Std_Eqn!P346</f>
        <v>2.9</v>
      </c>
      <c r="S45" s="519"/>
      <c r="T45" s="519"/>
      <c r="U45" s="519"/>
      <c r="V45" s="519"/>
      <c r="W45" s="519"/>
      <c r="X45" s="519"/>
      <c r="Y45" s="519"/>
      <c r="Z45" s="519"/>
      <c r="AA45" s="519"/>
      <c r="AB45" s="593"/>
    </row>
    <row r="46" spans="2:28" ht="18" customHeight="1" thickBot="1" x14ac:dyDescent="0.3">
      <c r="B46" s="817"/>
      <c r="C46" s="1034"/>
      <c r="D46" s="1041"/>
      <c r="E46" s="697" t="s">
        <v>148</v>
      </c>
      <c r="F46" s="698" t="s">
        <v>137</v>
      </c>
      <c r="G46" s="1000">
        <f ca="1">BMW_Std_Eqn!E347</f>
        <v>6.8</v>
      </c>
      <c r="H46" s="1001">
        <f ca="1">BMW_Std_Eqn!F347</f>
        <v>5.7</v>
      </c>
      <c r="I46" s="1002">
        <f ca="1">BMW_Std_Eqn!G347</f>
        <v>5.0999999999999996</v>
      </c>
      <c r="J46" s="1003">
        <f ca="1">BMW_Std_Eqn!H347</f>
        <v>4.5999999999999996</v>
      </c>
      <c r="K46" s="1000">
        <f ca="1">BMW_Std_Eqn!I347</f>
        <v>6.2</v>
      </c>
      <c r="L46" s="1001">
        <f ca="1">BMW_Std_Eqn!J347</f>
        <v>5.2</v>
      </c>
      <c r="M46" s="1002">
        <f ca="1">BMW_Std_Eqn!K347</f>
        <v>4.5999999999999996</v>
      </c>
      <c r="N46" s="1003">
        <f ca="1">BMW_Std_Eqn!L347</f>
        <v>4.2</v>
      </c>
      <c r="O46" s="1000">
        <f ca="1">BMW_Std_Eqn!M347</f>
        <v>5.5</v>
      </c>
      <c r="P46" s="1001">
        <f ca="1">BMW_Std_Eqn!N347</f>
        <v>4.7</v>
      </c>
      <c r="Q46" s="1002">
        <f ca="1">BMW_Std_Eqn!O347</f>
        <v>4.0999999999999996</v>
      </c>
      <c r="R46" s="1004">
        <f ca="1">BMW_Std_Eqn!P347</f>
        <v>3.7</v>
      </c>
      <c r="S46" s="519"/>
      <c r="T46" s="519"/>
      <c r="U46" s="519"/>
      <c r="V46" s="519"/>
      <c r="W46" s="519"/>
      <c r="X46" s="519"/>
      <c r="Y46" s="519"/>
      <c r="Z46" s="519"/>
      <c r="AA46" s="519"/>
      <c r="AB46" s="593"/>
    </row>
    <row r="47" spans="2:28" ht="18" customHeight="1" x14ac:dyDescent="0.25">
      <c r="B47" s="817"/>
      <c r="C47" s="1034"/>
      <c r="D47" s="1036" t="s">
        <v>132</v>
      </c>
      <c r="E47" s="699" t="s">
        <v>139</v>
      </c>
      <c r="F47" s="992" t="s">
        <v>137</v>
      </c>
      <c r="G47" s="993">
        <f ca="1">BMW_Std_Eqn!E348</f>
        <v>3.9</v>
      </c>
      <c r="H47" s="994">
        <f ca="1">BMW_Std_Eqn!F348</f>
        <v>3.8</v>
      </c>
      <c r="I47" s="995">
        <f ca="1">BMW_Std_Eqn!G348</f>
        <v>3.8</v>
      </c>
      <c r="J47" s="996">
        <f ca="1">BMW_Std_Eqn!H348</f>
        <v>3.8</v>
      </c>
      <c r="K47" s="993">
        <f ca="1">BMW_Std_Eqn!I348</f>
        <v>3.9</v>
      </c>
      <c r="L47" s="994">
        <f ca="1">BMW_Std_Eqn!J348</f>
        <v>3.8</v>
      </c>
      <c r="M47" s="995">
        <f ca="1">BMW_Std_Eqn!K348</f>
        <v>3.8</v>
      </c>
      <c r="N47" s="996">
        <f ca="1">BMW_Std_Eqn!L348</f>
        <v>3.8</v>
      </c>
      <c r="O47" s="993">
        <f ca="1">BMW_Std_Eqn!M348</f>
        <v>3.8</v>
      </c>
      <c r="P47" s="994">
        <f ca="1">BMW_Std_Eqn!N348</f>
        <v>3.8</v>
      </c>
      <c r="Q47" s="995">
        <f ca="1">BMW_Std_Eqn!O348</f>
        <v>3.8</v>
      </c>
      <c r="R47" s="997">
        <f ca="1">BMW_Std_Eqn!P348</f>
        <v>3.8</v>
      </c>
      <c r="S47" s="1005"/>
      <c r="T47" s="519"/>
      <c r="U47" s="519"/>
      <c r="V47" s="519"/>
      <c r="W47" s="519"/>
      <c r="X47" s="519"/>
      <c r="Y47" s="519"/>
      <c r="Z47" s="519"/>
      <c r="AA47" s="519"/>
      <c r="AB47" s="593"/>
    </row>
    <row r="48" spans="2:28" ht="18" customHeight="1" x14ac:dyDescent="0.25">
      <c r="B48" s="817"/>
      <c r="C48" s="1034"/>
      <c r="D48" s="1037"/>
      <c r="E48" s="527" t="s">
        <v>140</v>
      </c>
      <c r="F48" s="545" t="s">
        <v>137</v>
      </c>
      <c r="G48" s="574">
        <f ca="1">BMW_Std_Eqn!E349</f>
        <v>8.8000000000000007</v>
      </c>
      <c r="H48" s="564">
        <f ca="1">BMW_Std_Eqn!F349</f>
        <v>7.5</v>
      </c>
      <c r="I48" s="570">
        <f ca="1">BMW_Std_Eqn!G349</f>
        <v>6.6</v>
      </c>
      <c r="J48" s="554">
        <f ca="1">BMW_Std_Eqn!H349</f>
        <v>6</v>
      </c>
      <c r="K48" s="574">
        <f ca="1">BMW_Std_Eqn!I349</f>
        <v>8</v>
      </c>
      <c r="L48" s="564">
        <f ca="1">BMW_Std_Eqn!J349</f>
        <v>6.8</v>
      </c>
      <c r="M48" s="570">
        <f ca="1">BMW_Std_Eqn!K349</f>
        <v>6</v>
      </c>
      <c r="N48" s="554">
        <f ca="1">BMW_Std_Eqn!L349</f>
        <v>5.5</v>
      </c>
      <c r="O48" s="574">
        <f ca="1">BMW_Std_Eqn!M349</f>
        <v>7.2</v>
      </c>
      <c r="P48" s="564">
        <f ca="1">BMW_Std_Eqn!N349</f>
        <v>6.1</v>
      </c>
      <c r="Q48" s="570">
        <f ca="1">BMW_Std_Eqn!O349</f>
        <v>5.4</v>
      </c>
      <c r="R48" s="998">
        <f ca="1">BMW_Std_Eqn!P349</f>
        <v>4.9000000000000004</v>
      </c>
      <c r="S48" s="1005"/>
      <c r="T48" s="519"/>
      <c r="U48" s="519"/>
      <c r="V48" s="519"/>
      <c r="W48" s="519"/>
      <c r="X48" s="519"/>
      <c r="Y48" s="519"/>
      <c r="Z48" s="519"/>
      <c r="AA48" s="519"/>
      <c r="AB48" s="593"/>
    </row>
    <row r="49" spans="2:28" ht="18" customHeight="1" x14ac:dyDescent="0.25">
      <c r="B49" s="817"/>
      <c r="C49" s="1034"/>
      <c r="D49" s="1037"/>
      <c r="E49" s="535" t="s">
        <v>145</v>
      </c>
      <c r="F49" s="991" t="s">
        <v>137</v>
      </c>
      <c r="G49" s="575">
        <f ca="1">BMW_Std_Eqn!E350</f>
        <v>2.2000000000000002</v>
      </c>
      <c r="H49" s="563">
        <f ca="1">BMW_Std_Eqn!F350</f>
        <v>2.2000000000000002</v>
      </c>
      <c r="I49" s="569">
        <f ca="1">BMW_Std_Eqn!G350</f>
        <v>2.2000000000000002</v>
      </c>
      <c r="J49" s="990">
        <f ca="1">BMW_Std_Eqn!H350</f>
        <v>2.2000000000000002</v>
      </c>
      <c r="K49" s="575">
        <f ca="1">BMW_Std_Eqn!I350</f>
        <v>2.2000000000000002</v>
      </c>
      <c r="L49" s="563">
        <f ca="1">BMW_Std_Eqn!J350</f>
        <v>2.2000000000000002</v>
      </c>
      <c r="M49" s="569">
        <f ca="1">BMW_Std_Eqn!K350</f>
        <v>2.2000000000000002</v>
      </c>
      <c r="N49" s="990">
        <f ca="1">BMW_Std_Eqn!L350</f>
        <v>2.2000000000000002</v>
      </c>
      <c r="O49" s="575">
        <f ca="1">BMW_Std_Eqn!M350</f>
        <v>2.2000000000000002</v>
      </c>
      <c r="P49" s="563">
        <f ca="1">BMW_Std_Eqn!N350</f>
        <v>2.2000000000000002</v>
      </c>
      <c r="Q49" s="569">
        <f ca="1">BMW_Std_Eqn!O350</f>
        <v>2.2000000000000002</v>
      </c>
      <c r="R49" s="999">
        <f ca="1">BMW_Std_Eqn!P350</f>
        <v>2.2000000000000002</v>
      </c>
      <c r="S49" s="519"/>
      <c r="T49" s="519"/>
      <c r="U49" s="519"/>
      <c r="V49" s="519"/>
      <c r="W49" s="519"/>
      <c r="X49" s="519"/>
      <c r="Y49" s="519"/>
      <c r="Z49" s="519"/>
      <c r="AA49" s="519"/>
      <c r="AB49" s="593"/>
    </row>
    <row r="50" spans="2:28" ht="18" customHeight="1" thickBot="1" x14ac:dyDescent="0.3">
      <c r="B50" s="817"/>
      <c r="C50" s="1035"/>
      <c r="D50" s="1038"/>
      <c r="E50" s="697" t="s">
        <v>146</v>
      </c>
      <c r="F50" s="698" t="s">
        <v>137</v>
      </c>
      <c r="G50" s="1000">
        <f ca="1">BMW_Std_Eqn!E351</f>
        <v>5.0999999999999996</v>
      </c>
      <c r="H50" s="1001">
        <f ca="1">BMW_Std_Eqn!F351</f>
        <v>4.3</v>
      </c>
      <c r="I50" s="1002">
        <f ca="1">BMW_Std_Eqn!G351</f>
        <v>3.8</v>
      </c>
      <c r="J50" s="1003">
        <f ca="1">BMW_Std_Eqn!H351</f>
        <v>3.5</v>
      </c>
      <c r="K50" s="1000">
        <f ca="1">BMW_Std_Eqn!I351</f>
        <v>4.7</v>
      </c>
      <c r="L50" s="1001">
        <f ca="1">BMW_Std_Eqn!J351</f>
        <v>4</v>
      </c>
      <c r="M50" s="1002">
        <f ca="1">BMW_Std_Eqn!K351</f>
        <v>3.5</v>
      </c>
      <c r="N50" s="1003">
        <f ca="1">BMW_Std_Eqn!L351</f>
        <v>3.2</v>
      </c>
      <c r="O50" s="1000">
        <f ca="1">BMW_Std_Eqn!M351</f>
        <v>4.2</v>
      </c>
      <c r="P50" s="1001">
        <f ca="1">BMW_Std_Eqn!N351</f>
        <v>3.5</v>
      </c>
      <c r="Q50" s="1002">
        <f ca="1">BMW_Std_Eqn!O351</f>
        <v>3.1</v>
      </c>
      <c r="R50" s="1004">
        <f ca="1">BMW_Std_Eqn!P351</f>
        <v>2.8</v>
      </c>
      <c r="S50" s="519"/>
      <c r="T50" s="519"/>
      <c r="U50" s="519"/>
      <c r="V50" s="519"/>
      <c r="W50" s="519"/>
      <c r="X50" s="519"/>
      <c r="Y50" s="519"/>
      <c r="Z50" s="519"/>
      <c r="AA50" s="519"/>
      <c r="AB50" s="593"/>
    </row>
    <row r="51" spans="2:28" ht="18" customHeight="1" x14ac:dyDescent="0.25">
      <c r="B51" s="817"/>
      <c r="C51" s="678" t="s">
        <v>172</v>
      </c>
      <c r="D51" s="678"/>
      <c r="E51" s="524" t="s">
        <v>217</v>
      </c>
      <c r="F51" s="991" t="s">
        <v>173</v>
      </c>
      <c r="G51" s="1006">
        <f ca="1">BMW_Std_Eqn!E352</f>
        <v>0.18</v>
      </c>
      <c r="H51" s="1007">
        <f ca="1">BMW_Std_Eqn!F352</f>
        <v>0.18</v>
      </c>
      <c r="I51" s="1008">
        <f ca="1">BMW_Std_Eqn!G352</f>
        <v>0.17</v>
      </c>
      <c r="J51" s="1009">
        <f ca="1">BMW_Std_Eqn!H352</f>
        <v>0.17</v>
      </c>
      <c r="K51" s="833">
        <f ca="1">BMW_Std_Eqn!I352</f>
        <v>0.18</v>
      </c>
      <c r="L51" s="1007">
        <f ca="1">BMW_Std_Eqn!J352</f>
        <v>0.17</v>
      </c>
      <c r="M51" s="1007">
        <f ca="1">BMW_Std_Eqn!K352</f>
        <v>0.17</v>
      </c>
      <c r="N51" s="1009">
        <f ca="1">BMW_Std_Eqn!L352</f>
        <v>0.17</v>
      </c>
      <c r="O51" s="833">
        <f ca="1">BMW_Std_Eqn!M352</f>
        <v>0.17</v>
      </c>
      <c r="P51" s="1007">
        <f ca="1">BMW_Std_Eqn!N352</f>
        <v>0.17</v>
      </c>
      <c r="Q51" s="1007">
        <f ca="1">BMW_Std_Eqn!O352</f>
        <v>0.17</v>
      </c>
      <c r="R51" s="1010">
        <f ca="1">BMW_Std_Eqn!P352</f>
        <v>0.17</v>
      </c>
      <c r="S51" s="519"/>
      <c r="T51" s="519"/>
      <c r="U51" s="519"/>
      <c r="V51" s="519"/>
      <c r="W51" s="519"/>
      <c r="X51" s="519"/>
      <c r="Y51" s="519"/>
      <c r="Z51" s="519"/>
      <c r="AA51" s="519"/>
      <c r="AB51" s="593"/>
    </row>
    <row r="52" spans="2:28" ht="18" customHeight="1" x14ac:dyDescent="0.25">
      <c r="B52" s="817"/>
      <c r="C52" s="678" t="s">
        <v>219</v>
      </c>
      <c r="D52" s="678"/>
      <c r="E52" s="524" t="s">
        <v>156</v>
      </c>
      <c r="F52" s="540" t="s">
        <v>218</v>
      </c>
      <c r="G52" s="646">
        <f ca="1">BMW_Std_Eqn!E353</f>
        <v>0.17499999999999999</v>
      </c>
      <c r="H52" s="647">
        <f ca="1">BMW_Std_Eqn!F353</f>
        <v>0.17399999999999999</v>
      </c>
      <c r="I52" s="648">
        <f ca="1">BMW_Std_Eqn!G353</f>
        <v>0.17299999999999999</v>
      </c>
      <c r="J52" s="649">
        <f ca="1">BMW_Std_Eqn!H353</f>
        <v>0.17299999999999999</v>
      </c>
      <c r="K52" s="650">
        <f ca="1">BMW_Std_Eqn!I353</f>
        <v>0.17399999999999999</v>
      </c>
      <c r="L52" s="647">
        <f ca="1">BMW_Std_Eqn!J353</f>
        <v>0.17299999999999999</v>
      </c>
      <c r="M52" s="647">
        <f ca="1">BMW_Std_Eqn!K353</f>
        <v>0.17299999999999999</v>
      </c>
      <c r="N52" s="649">
        <f ca="1">BMW_Std_Eqn!L353</f>
        <v>0.17299999999999999</v>
      </c>
      <c r="O52" s="650">
        <f ca="1">BMW_Std_Eqn!M353</f>
        <v>0.17399999999999999</v>
      </c>
      <c r="P52" s="647">
        <f ca="1">BMW_Std_Eqn!N353</f>
        <v>0.17299999999999999</v>
      </c>
      <c r="Q52" s="647">
        <f ca="1">BMW_Std_Eqn!O353</f>
        <v>0.17299999999999999</v>
      </c>
      <c r="R52" s="670">
        <f ca="1">BMW_Std_Eqn!P353</f>
        <v>0.17299999999999999</v>
      </c>
      <c r="S52" s="621"/>
      <c r="T52" s="519"/>
      <c r="U52" s="519"/>
      <c r="V52" s="519"/>
      <c r="W52" s="519"/>
      <c r="X52" s="519"/>
      <c r="Y52" s="519"/>
      <c r="Z52" s="519"/>
      <c r="AA52" s="519"/>
      <c r="AB52" s="593"/>
    </row>
    <row r="53" spans="2:28" ht="18" customHeight="1" x14ac:dyDescent="0.25">
      <c r="B53" s="817"/>
      <c r="C53" s="678" t="s">
        <v>174</v>
      </c>
      <c r="D53" s="678"/>
      <c r="E53" s="524" t="s">
        <v>181</v>
      </c>
      <c r="F53" s="540" t="s">
        <v>218</v>
      </c>
      <c r="G53" s="646">
        <f ca="1">BMW_Std_Eqn!E354</f>
        <v>8.8999999999999996E-2</v>
      </c>
      <c r="H53" s="647">
        <f ca="1">BMW_Std_Eqn!F354</f>
        <v>8.8999999999999996E-2</v>
      </c>
      <c r="I53" s="648">
        <f ca="1">BMW_Std_Eqn!G354</f>
        <v>8.7999999999999995E-2</v>
      </c>
      <c r="J53" s="649">
        <f ca="1">BMW_Std_Eqn!H354</f>
        <v>8.7999999999999995E-2</v>
      </c>
      <c r="K53" s="650">
        <f ca="1">BMW_Std_Eqn!I354</f>
        <v>8.8999999999999996E-2</v>
      </c>
      <c r="L53" s="647">
        <f ca="1">BMW_Std_Eqn!J354</f>
        <v>8.7999999999999995E-2</v>
      </c>
      <c r="M53" s="647">
        <f ca="1">BMW_Std_Eqn!K354</f>
        <v>8.7999999999999995E-2</v>
      </c>
      <c r="N53" s="649">
        <f ca="1">BMW_Std_Eqn!L354</f>
        <v>8.7999999999999995E-2</v>
      </c>
      <c r="O53" s="650">
        <f ca="1">BMW_Std_Eqn!M354</f>
        <v>8.7999999999999995E-2</v>
      </c>
      <c r="P53" s="647">
        <f ca="1">BMW_Std_Eqn!N354</f>
        <v>8.7999999999999995E-2</v>
      </c>
      <c r="Q53" s="647">
        <f ca="1">BMW_Std_Eqn!O354</f>
        <v>8.7999999999999995E-2</v>
      </c>
      <c r="R53" s="670">
        <f ca="1">BMW_Std_Eqn!P354</f>
        <v>8.7999999999999995E-2</v>
      </c>
      <c r="S53" s="613"/>
      <c r="T53" s="519"/>
      <c r="U53" s="519"/>
      <c r="V53" s="519"/>
      <c r="W53" s="519"/>
      <c r="X53" s="519"/>
      <c r="Y53" s="519"/>
      <c r="Z53" s="519"/>
      <c r="AA53" s="519"/>
      <c r="AB53" s="593"/>
    </row>
    <row r="54" spans="2:28" ht="18" customHeight="1" x14ac:dyDescent="0.25">
      <c r="B54" s="817"/>
      <c r="C54" s="678" t="s">
        <v>361</v>
      </c>
      <c r="D54" s="678"/>
      <c r="E54" s="524"/>
      <c r="F54" s="540"/>
      <c r="G54" s="833" t="str">
        <f ca="1">BMW_Std_Eqn!E355</f>
        <v>B</v>
      </c>
      <c r="H54" s="834" t="str">
        <f ca="1">BMW_Std_Eqn!F355</f>
        <v>B</v>
      </c>
      <c r="I54" s="834" t="str">
        <f ca="1">BMW_Std_Eqn!G355</f>
        <v>B</v>
      </c>
      <c r="J54" s="830" t="str">
        <f ca="1">BMW_Std_Eqn!H355</f>
        <v>B</v>
      </c>
      <c r="K54" s="646" t="str">
        <f ca="1">BMW_Std_Eqn!I355</f>
        <v>B</v>
      </c>
      <c r="L54" s="835" t="str">
        <f ca="1">BMW_Std_Eqn!J355</f>
        <v>B</v>
      </c>
      <c r="M54" s="835" t="str">
        <f ca="1">BMW_Std_Eqn!K355</f>
        <v>B</v>
      </c>
      <c r="N54" s="836" t="str">
        <f ca="1">BMW_Std_Eqn!L355</f>
        <v>B</v>
      </c>
      <c r="O54" s="646" t="str">
        <f ca="1">BMW_Std_Eqn!M355</f>
        <v>B</v>
      </c>
      <c r="P54" s="835" t="str">
        <f ca="1">BMW_Std_Eqn!N355</f>
        <v>B</v>
      </c>
      <c r="Q54" s="835" t="str">
        <f ca="1">BMW_Std_Eqn!O355</f>
        <v>B</v>
      </c>
      <c r="R54" s="836" t="str">
        <f ca="1">BMW_Std_Eqn!P355</f>
        <v>B</v>
      </c>
      <c r="S54" s="519"/>
      <c r="T54" s="519"/>
      <c r="U54" s="519"/>
      <c r="V54" s="519"/>
      <c r="W54" s="519"/>
      <c r="X54" s="519"/>
      <c r="Y54" s="519"/>
      <c r="Z54" s="519"/>
      <c r="AA54" s="519"/>
      <c r="AB54" s="593"/>
    </row>
    <row r="55" spans="2:28" ht="18" customHeight="1" x14ac:dyDescent="0.25">
      <c r="B55" s="817"/>
      <c r="C55" s="678" t="s">
        <v>362</v>
      </c>
      <c r="D55" s="678"/>
      <c r="E55" s="837"/>
      <c r="F55" s="838"/>
      <c r="G55" s="556" t="str">
        <f ca="1">BMW_Std_Eqn!E356</f>
        <v>≤ 0.5</v>
      </c>
      <c r="H55" s="571" t="str">
        <f ca="1">BMW_Std_Eqn!F356</f>
        <v>≤ 0.4</v>
      </c>
      <c r="I55" s="571" t="str">
        <f ca="1">BMW_Std_Eqn!G356</f>
        <v>≤ 0.4</v>
      </c>
      <c r="J55" s="557" t="str">
        <f ca="1">BMW_Std_Eqn!H356</f>
        <v>≤ 0.4</v>
      </c>
      <c r="K55" s="556" t="str">
        <f ca="1">BMW_Std_Eqn!I356</f>
        <v>≤ 0.4</v>
      </c>
      <c r="L55" s="565" t="str">
        <f ca="1">BMW_Std_Eqn!J356</f>
        <v>≤ 0.4</v>
      </c>
      <c r="M55" s="565" t="str">
        <f ca="1">BMW_Std_Eqn!K356</f>
        <v>≤ 0.4</v>
      </c>
      <c r="N55" s="832" t="str">
        <f ca="1">BMW_Std_Eqn!L356</f>
        <v>≤ 0.4</v>
      </c>
      <c r="O55" s="556" t="str">
        <f ca="1">BMW_Std_Eqn!M356</f>
        <v>≤ 0.4</v>
      </c>
      <c r="P55" s="565" t="str">
        <f ca="1">BMW_Std_Eqn!N356</f>
        <v>≤ 0.4</v>
      </c>
      <c r="Q55" s="565" t="str">
        <f ca="1">BMW_Std_Eqn!O356</f>
        <v>≤ 0.4</v>
      </c>
      <c r="R55" s="832" t="str">
        <f ca="1">BMW_Std_Eqn!P356</f>
        <v>≤ 0.4</v>
      </c>
      <c r="S55" s="519"/>
      <c r="T55" s="519"/>
      <c r="U55" s="519"/>
      <c r="V55" s="519"/>
      <c r="W55" s="519"/>
      <c r="X55" s="519"/>
      <c r="Y55" s="519"/>
      <c r="Z55" s="519"/>
      <c r="AA55" s="519"/>
      <c r="AB55" s="593"/>
    </row>
    <row r="56" spans="2:28" ht="18" customHeight="1" x14ac:dyDescent="0.25">
      <c r="B56" s="817"/>
      <c r="C56" s="606"/>
      <c r="D56" s="619"/>
      <c r="E56" s="523"/>
      <c r="F56" s="540"/>
      <c r="G56" s="625"/>
      <c r="H56" s="625"/>
      <c r="I56" s="625"/>
      <c r="J56" s="625"/>
      <c r="K56" s="625"/>
      <c r="L56" s="625"/>
      <c r="M56" s="625"/>
      <c r="N56" s="625"/>
      <c r="O56" s="625"/>
      <c r="P56" s="625"/>
      <c r="Q56" s="625"/>
      <c r="R56" s="625"/>
      <c r="S56" s="519"/>
      <c r="T56" s="519"/>
      <c r="U56" s="519"/>
      <c r="V56" s="519"/>
      <c r="W56" s="519"/>
      <c r="X56" s="519"/>
      <c r="Y56" s="519"/>
      <c r="Z56" s="519"/>
      <c r="AA56" s="519"/>
      <c r="AB56" s="593"/>
    </row>
    <row r="57" spans="2:28" ht="24" customHeight="1" x14ac:dyDescent="0.3">
      <c r="B57" s="626"/>
      <c r="C57" s="627" t="s">
        <v>201</v>
      </c>
      <c r="D57" s="627"/>
      <c r="E57" s="626"/>
      <c r="F57" s="626"/>
      <c r="G57" s="626"/>
      <c r="H57" s="626"/>
      <c r="I57" s="626"/>
      <c r="J57" s="626"/>
      <c r="K57" s="626"/>
      <c r="L57" s="626"/>
      <c r="M57" s="626"/>
      <c r="N57" s="626"/>
      <c r="O57" s="626"/>
      <c r="P57" s="628"/>
      <c r="Q57" s="626"/>
      <c r="R57" s="626"/>
      <c r="S57" s="626"/>
      <c r="T57" s="626"/>
      <c r="U57" s="626"/>
      <c r="V57" s="626"/>
      <c r="W57" s="626"/>
      <c r="X57" s="626"/>
      <c r="Y57" s="626"/>
      <c r="Z57" s="626"/>
      <c r="AA57" s="626"/>
      <c r="AB57" s="632"/>
    </row>
    <row r="58" spans="2:28" ht="16.5" customHeight="1" x14ac:dyDescent="0.3">
      <c r="B58" s="626"/>
      <c r="C58" s="627"/>
      <c r="D58" s="627"/>
      <c r="E58" s="627"/>
      <c r="F58" s="626"/>
      <c r="G58" s="1023" t="s">
        <v>513</v>
      </c>
      <c r="H58" s="1023"/>
      <c r="I58" s="1023"/>
      <c r="J58" s="1023"/>
      <c r="K58" s="1023" t="s">
        <v>514</v>
      </c>
      <c r="L58" s="1023"/>
      <c r="M58" s="1023"/>
      <c r="N58" s="1023"/>
      <c r="O58" s="1023" t="s">
        <v>110</v>
      </c>
      <c r="P58" s="1023"/>
      <c r="Q58" s="1023"/>
      <c r="R58" s="1023"/>
      <c r="S58" s="912"/>
      <c r="T58" s="626"/>
      <c r="U58" s="626"/>
      <c r="V58" s="626"/>
      <c r="W58" s="626"/>
      <c r="X58" s="626"/>
      <c r="Y58" s="626"/>
      <c r="Z58" s="626"/>
      <c r="AA58" s="626"/>
      <c r="AB58" s="632"/>
    </row>
    <row r="59" spans="2:28" ht="19.5" customHeight="1" x14ac:dyDescent="0.25">
      <c r="B59" s="626"/>
      <c r="C59" s="1028" t="s">
        <v>157</v>
      </c>
      <c r="D59" s="1028"/>
      <c r="E59" s="1028"/>
      <c r="F59" s="894"/>
      <c r="G59" s="773"/>
      <c r="H59" s="629"/>
      <c r="I59" s="629"/>
      <c r="J59" s="629"/>
      <c r="K59" s="773"/>
      <c r="L59" s="629"/>
      <c r="M59" s="629"/>
      <c r="N59" s="629"/>
      <c r="O59" s="773"/>
      <c r="P59" s="629"/>
      <c r="Q59" s="629"/>
      <c r="R59" s="629"/>
      <c r="S59" s="914" t="s">
        <v>376</v>
      </c>
      <c r="T59" s="626"/>
      <c r="U59" s="626"/>
      <c r="V59" s="626"/>
      <c r="W59" s="626"/>
      <c r="X59" s="626"/>
      <c r="Y59" s="626"/>
      <c r="Z59" s="626"/>
      <c r="AA59" s="626"/>
      <c r="AB59" s="632"/>
    </row>
    <row r="60" spans="2:28" ht="18.75" customHeight="1" x14ac:dyDescent="0.25">
      <c r="B60" s="626"/>
      <c r="C60" s="1029"/>
      <c r="D60" s="1029"/>
      <c r="E60" s="1029"/>
      <c r="F60" s="894"/>
      <c r="G60" s="674">
        <v>1</v>
      </c>
      <c r="H60" s="674">
        <v>2</v>
      </c>
      <c r="I60" s="674">
        <v>3</v>
      </c>
      <c r="J60" s="674">
        <v>4</v>
      </c>
      <c r="K60" s="674">
        <v>1</v>
      </c>
      <c r="L60" s="674">
        <v>2</v>
      </c>
      <c r="M60" s="674">
        <v>3</v>
      </c>
      <c r="N60" s="674">
        <v>4</v>
      </c>
      <c r="O60" s="674">
        <v>1</v>
      </c>
      <c r="P60" s="674">
        <v>2</v>
      </c>
      <c r="Q60" s="674">
        <v>3</v>
      </c>
      <c r="R60" s="674">
        <v>4</v>
      </c>
      <c r="S60" s="912"/>
      <c r="T60" s="626"/>
      <c r="U60" s="626"/>
      <c r="V60" s="626"/>
      <c r="W60" s="626"/>
      <c r="X60" s="626"/>
      <c r="Y60" s="626"/>
      <c r="Z60" s="626"/>
      <c r="AA60" s="626"/>
      <c r="AB60" s="632"/>
    </row>
    <row r="61" spans="2:28" ht="24" customHeight="1" x14ac:dyDescent="0.25">
      <c r="B61" s="626"/>
      <c r="C61" s="898" t="s">
        <v>403</v>
      </c>
      <c r="D61" s="898"/>
      <c r="E61" s="898"/>
      <c r="F61" s="894"/>
      <c r="G61" s="674"/>
      <c r="H61" s="899" t="s">
        <v>427</v>
      </c>
      <c r="I61" s="674"/>
      <c r="J61" s="626"/>
      <c r="K61" s="674"/>
      <c r="L61" s="899" t="s">
        <v>404</v>
      </c>
      <c r="M61" s="674"/>
      <c r="N61" s="674"/>
      <c r="O61" s="674"/>
      <c r="P61" s="674"/>
      <c r="Q61" s="674"/>
      <c r="R61" s="674"/>
      <c r="S61" s="912" t="s">
        <v>315</v>
      </c>
      <c r="T61" s="626"/>
      <c r="U61" s="626"/>
      <c r="V61" s="626"/>
      <c r="W61" s="626"/>
      <c r="X61" s="626"/>
      <c r="Y61" s="626"/>
      <c r="Z61" s="626"/>
      <c r="AA61" s="626"/>
      <c r="AB61" s="632"/>
    </row>
    <row r="62" spans="2:28" ht="24" customHeight="1" x14ac:dyDescent="0.25">
      <c r="B62" s="626"/>
      <c r="C62" s="1012" t="s">
        <v>129</v>
      </c>
      <c r="D62" s="1012"/>
      <c r="E62" s="1012"/>
      <c r="F62" s="630"/>
      <c r="G62" s="629"/>
      <c r="H62" s="630" t="s">
        <v>162</v>
      </c>
      <c r="I62" s="630"/>
      <c r="J62" s="630" t="s">
        <v>428</v>
      </c>
      <c r="K62" s="630"/>
      <c r="L62" s="630" t="s">
        <v>163</v>
      </c>
      <c r="M62" s="630"/>
      <c r="N62" s="630"/>
      <c r="O62" s="630"/>
      <c r="P62" s="630"/>
      <c r="Q62" s="630"/>
      <c r="R62" s="630"/>
      <c r="S62" s="912" t="s">
        <v>170</v>
      </c>
      <c r="T62" s="626"/>
      <c r="U62" s="626"/>
      <c r="V62" s="626"/>
      <c r="W62" s="626"/>
      <c r="X62" s="626"/>
      <c r="Y62" s="626"/>
      <c r="Z62" s="626"/>
      <c r="AA62" s="626"/>
      <c r="AB62" s="632"/>
    </row>
    <row r="63" spans="2:28" ht="24" customHeight="1" x14ac:dyDescent="0.25">
      <c r="B63" s="626"/>
      <c r="C63" s="1013" t="s">
        <v>169</v>
      </c>
      <c r="D63" s="1013"/>
      <c r="E63" s="1013"/>
      <c r="F63" s="630"/>
      <c r="G63" s="630"/>
      <c r="H63" s="630" t="s">
        <v>164</v>
      </c>
      <c r="I63" s="630"/>
      <c r="J63" s="630" t="s">
        <v>429</v>
      </c>
      <c r="K63" s="630"/>
      <c r="L63" s="630" t="s">
        <v>165</v>
      </c>
      <c r="M63" s="630"/>
      <c r="N63" s="630"/>
      <c r="O63" s="630"/>
      <c r="P63" s="630"/>
      <c r="Q63" s="630"/>
      <c r="R63" s="630"/>
      <c r="S63" s="913"/>
      <c r="T63" s="626"/>
      <c r="U63" s="626"/>
      <c r="V63" s="626"/>
      <c r="W63" s="626"/>
      <c r="X63" s="626"/>
      <c r="Y63" s="626"/>
      <c r="Z63" s="626"/>
      <c r="AA63" s="626"/>
      <c r="AB63" s="632"/>
    </row>
    <row r="64" spans="2:28" ht="24" customHeight="1" x14ac:dyDescent="0.25">
      <c r="B64" s="626"/>
      <c r="C64" s="959" t="s">
        <v>477</v>
      </c>
      <c r="D64" s="959"/>
      <c r="E64" s="959"/>
      <c r="F64" s="630"/>
      <c r="G64" s="630"/>
      <c r="H64" s="630" t="str">
        <f ca="1">'BMW-Std-selection'!B143</f>
        <v>With side flanges (selected in cell K23)</v>
      </c>
      <c r="I64" s="630"/>
      <c r="J64" s="630"/>
      <c r="K64" s="630"/>
      <c r="L64" s="630"/>
      <c r="M64" s="630"/>
      <c r="N64" s="630"/>
      <c r="O64" s="630"/>
      <c r="P64" s="630"/>
      <c r="Q64" s="630"/>
      <c r="R64" s="630"/>
      <c r="S64" s="913"/>
      <c r="T64" s="626"/>
      <c r="U64" s="626"/>
      <c r="V64" s="626"/>
      <c r="W64" s="626"/>
      <c r="X64" s="626"/>
      <c r="Y64" s="626"/>
      <c r="Z64" s="626"/>
      <c r="AA64" s="626"/>
      <c r="AB64" s="632"/>
    </row>
    <row r="65" spans="2:28" ht="24" customHeight="1" x14ac:dyDescent="0.25">
      <c r="B65" s="626"/>
      <c r="C65" s="1012" t="s">
        <v>161</v>
      </c>
      <c r="D65" s="1012"/>
      <c r="E65" s="1012"/>
      <c r="F65" s="630"/>
      <c r="G65" s="630"/>
      <c r="H65" s="630" t="s">
        <v>430</v>
      </c>
      <c r="I65" s="630"/>
      <c r="J65" s="630"/>
      <c r="K65" s="630"/>
      <c r="L65" s="630" t="s">
        <v>167</v>
      </c>
      <c r="M65" s="630"/>
      <c r="N65" s="630"/>
      <c r="O65" s="630" t="s">
        <v>166</v>
      </c>
      <c r="P65" s="630"/>
      <c r="Q65" s="629"/>
      <c r="R65" s="630"/>
      <c r="S65" s="915" t="s">
        <v>431</v>
      </c>
      <c r="T65" s="626"/>
      <c r="U65" s="626"/>
      <c r="V65" s="626"/>
      <c r="W65" s="626"/>
      <c r="X65" s="626"/>
      <c r="Y65" s="626"/>
      <c r="Z65" s="626"/>
      <c r="AA65" s="626"/>
      <c r="AB65" s="632"/>
    </row>
    <row r="66" spans="2:28" ht="24" customHeight="1" x14ac:dyDescent="0.25">
      <c r="B66" s="626"/>
      <c r="C66" s="630" t="s">
        <v>313</v>
      </c>
      <c r="D66" s="630"/>
      <c r="E66" s="630"/>
      <c r="F66" s="630"/>
      <c r="G66" s="630"/>
      <c r="H66" s="630" t="s">
        <v>373</v>
      </c>
      <c r="I66" s="630"/>
      <c r="J66" s="888" t="s">
        <v>426</v>
      </c>
      <c r="K66" s="630"/>
      <c r="L66" s="630"/>
      <c r="M66" s="630"/>
      <c r="N66" s="630"/>
      <c r="O66" s="630"/>
      <c r="P66" s="630"/>
      <c r="Q66" s="629"/>
      <c r="R66" s="630"/>
      <c r="S66" s="913"/>
      <c r="T66" s="626"/>
      <c r="U66" s="626"/>
      <c r="V66" s="626"/>
      <c r="W66" s="626"/>
      <c r="X66" s="626"/>
      <c r="Y66" s="626"/>
      <c r="Z66" s="626"/>
      <c r="AA66" s="626"/>
      <c r="AB66" s="632"/>
    </row>
    <row r="67" spans="2:28" ht="24" customHeight="1" thickBot="1" x14ac:dyDescent="0.3">
      <c r="B67" s="626"/>
      <c r="C67" s="630"/>
      <c r="D67" s="630"/>
      <c r="E67" s="630"/>
      <c r="F67" s="630"/>
      <c r="G67" s="630"/>
      <c r="H67" s="630" t="s">
        <v>407</v>
      </c>
      <c r="I67" s="630"/>
      <c r="J67" s="888"/>
      <c r="K67" s="630"/>
      <c r="L67" s="630"/>
      <c r="M67" s="630"/>
      <c r="N67" s="630"/>
      <c r="O67" s="630"/>
      <c r="P67" s="630"/>
      <c r="Q67" s="629"/>
      <c r="R67" s="630"/>
      <c r="S67" s="912" t="s">
        <v>401</v>
      </c>
      <c r="T67" s="626"/>
      <c r="U67" s="626"/>
      <c r="V67" s="626"/>
      <c r="W67" s="626"/>
      <c r="X67" s="626"/>
      <c r="Y67" s="626"/>
      <c r="Z67" s="626"/>
      <c r="AA67" s="626"/>
      <c r="AB67" s="632"/>
    </row>
    <row r="68" spans="2:28" ht="24" customHeight="1" x14ac:dyDescent="0.25">
      <c r="B68" s="626"/>
      <c r="C68" s="1011" t="s">
        <v>200</v>
      </c>
      <c r="D68" s="1011"/>
      <c r="E68" s="1011"/>
      <c r="F68" s="1022" t="str">
        <f>'BMW-Std-selection'!B99</f>
        <v>Please select a valid size (Row 59)</v>
      </c>
      <c r="G68" s="1022"/>
      <c r="H68" s="1022"/>
      <c r="I68" s="1022"/>
      <c r="J68" s="1022"/>
      <c r="K68" s="1022"/>
      <c r="L68" s="1022"/>
      <c r="M68" s="1022"/>
      <c r="N68" s="1022"/>
      <c r="O68" s="1022"/>
      <c r="P68" s="839"/>
      <c r="Q68" s="839"/>
      <c r="R68" s="626"/>
      <c r="S68" s="626"/>
      <c r="T68" s="626"/>
      <c r="U68" s="626"/>
      <c r="V68" s="626"/>
      <c r="W68" s="626"/>
      <c r="X68" s="626"/>
      <c r="Y68" s="626"/>
      <c r="Z68" s="626"/>
      <c r="AA68" s="626"/>
      <c r="AB68" s="632"/>
    </row>
    <row r="69" spans="2:28" ht="24" customHeight="1" x14ac:dyDescent="0.25">
      <c r="B69" s="626"/>
      <c r="C69" s="629"/>
      <c r="D69" s="629"/>
      <c r="E69" s="629"/>
      <c r="F69" s="629"/>
      <c r="G69" s="629"/>
      <c r="H69" s="629"/>
      <c r="I69" s="629"/>
      <c r="J69" s="629"/>
      <c r="K69" s="629"/>
      <c r="L69" s="629"/>
      <c r="M69" s="629"/>
      <c r="N69" s="629"/>
      <c r="O69" s="629"/>
      <c r="P69" s="629"/>
      <c r="Q69" s="629"/>
      <c r="R69" s="626"/>
      <c r="S69" s="626"/>
      <c r="T69" s="626"/>
      <c r="U69" s="626"/>
      <c r="V69" s="626"/>
      <c r="W69" s="626"/>
      <c r="X69" s="626"/>
      <c r="Y69" s="626"/>
      <c r="Z69" s="626"/>
      <c r="AA69" s="626"/>
      <c r="AB69" s="632"/>
    </row>
    <row r="70" spans="2:28" ht="15.75" x14ac:dyDescent="0.25">
      <c r="B70" s="611"/>
      <c r="C70" s="611"/>
      <c r="D70" s="611"/>
      <c r="E70" s="611"/>
      <c r="F70" s="612"/>
      <c r="G70" s="616"/>
      <c r="H70" s="617"/>
      <c r="I70" s="617"/>
      <c r="J70" s="617"/>
      <c r="K70" s="617"/>
      <c r="L70" s="1115" t="s">
        <v>135</v>
      </c>
      <c r="M70" s="617"/>
      <c r="N70" s="617"/>
      <c r="O70" s="617"/>
      <c r="P70" s="618"/>
      <c r="Q70" s="610"/>
      <c r="R70" s="614"/>
      <c r="S70" s="615"/>
      <c r="T70" s="610"/>
      <c r="U70" s="614"/>
      <c r="V70" s="615"/>
      <c r="W70" s="615"/>
      <c r="X70" s="615"/>
      <c r="Y70" s="615"/>
      <c r="Z70" s="615"/>
      <c r="AA70" s="826"/>
      <c r="AB70" s="827" t="s">
        <v>530</v>
      </c>
    </row>
  </sheetData>
  <sheetProtection algorithmName="SHA-512" hashValue="zspFfpTsE9Y7Pjem9xdYDaooNpZxpFUZmCdNsCGHwcUw9bBTmFlHf1Z68hyz9O0RUGgDkmqDn2fZnZuXplEwrQ==" saltValue="EEZPu2UsN3tzNufPuzvSIg==" spinCount="100000" sheet="1" selectLockedCells="1"/>
  <mergeCells count="31">
    <mergeCell ref="N10:O10"/>
    <mergeCell ref="O28:R28"/>
    <mergeCell ref="K28:N28"/>
    <mergeCell ref="N23:O23"/>
    <mergeCell ref="N19:O19"/>
    <mergeCell ref="N17:O17"/>
    <mergeCell ref="N14:O14"/>
    <mergeCell ref="N15:O15"/>
    <mergeCell ref="B5:C5"/>
    <mergeCell ref="C32:C33"/>
    <mergeCell ref="C39:C50"/>
    <mergeCell ref="D39:D42"/>
    <mergeCell ref="D43:D46"/>
    <mergeCell ref="D47:D50"/>
    <mergeCell ref="D5:I5"/>
    <mergeCell ref="G28:J28"/>
    <mergeCell ref="C68:E68"/>
    <mergeCell ref="C62:E62"/>
    <mergeCell ref="C63:E63"/>
    <mergeCell ref="C65:E65"/>
    <mergeCell ref="O30:R30"/>
    <mergeCell ref="O32:R32"/>
    <mergeCell ref="G32:J32"/>
    <mergeCell ref="K32:N32"/>
    <mergeCell ref="F68:O68"/>
    <mergeCell ref="G58:J58"/>
    <mergeCell ref="K58:N58"/>
    <mergeCell ref="O58:R58"/>
    <mergeCell ref="G30:J30"/>
    <mergeCell ref="K30:N30"/>
    <mergeCell ref="C59:E60"/>
  </mergeCells>
  <dataValidations disablePrompts="1" count="4">
    <dataValidation type="decimal" allowBlank="1" showErrorMessage="1" sqref="E16" xr:uid="{00000000-0002-0000-0100-000000000000}">
      <formula1>-15</formula1>
      <formula2>0</formula2>
    </dataValidation>
    <dataValidation type="list" allowBlank="1" showInputMessage="1" showErrorMessage="1" sqref="N10" xr:uid="{00000000-0002-0000-0100-000001000000}">
      <formula1>adpi.</formula1>
    </dataValidation>
    <dataValidation type="decimal" allowBlank="1" showInputMessage="1" showErrorMessage="1" errorTitle="Room temperature (for DR)" error="Must be between 20 and 26 degrees Celsius" sqref="N19" xr:uid="{00000000-0002-0000-0100-000002000000}">
      <formula1>20</formula1>
      <formula2>26</formula2>
    </dataValidation>
    <dataValidation type="decimal" allowBlank="1" showInputMessage="1" showErrorMessage="1" sqref="E10" xr:uid="{7F28456C-0FD8-4013-8C0F-00FD7774B4AF}">
      <formula1>10</formula1>
      <formula2>100</formula2>
    </dataValidation>
  </dataValidations>
  <hyperlinks>
    <hyperlink ref="L70" r:id="rId1" xr:uid="{360BCE95-044B-4740-80FC-CE425BDC9279}"/>
  </hyperlinks>
  <printOptions headings="1"/>
  <pageMargins left="0.25" right="0.25" top="0.75" bottom="0.75" header="0.3" footer="0.3"/>
  <pageSetup paperSize="9" scale="34" orientation="landscape" r:id="rId2"/>
  <drawing r:id="rId3"/>
  <legacyDrawing r:id="rId4"/>
  <oleObjects>
    <mc:AlternateContent xmlns:mc="http://schemas.openxmlformats.org/markup-compatibility/2006">
      <mc:Choice Requires="x14">
        <oleObject progId="Visio.Drawing.15" shapeId="14406" r:id="rId5">
          <objectPr defaultSize="0" autoPict="0" r:id="rId6">
            <anchor moveWithCells="1">
              <from>
                <xdr:col>18</xdr:col>
                <xdr:colOff>114300</xdr:colOff>
                <xdr:row>32</xdr:row>
                <xdr:rowOff>85725</xdr:rowOff>
              </from>
              <to>
                <xdr:col>26</xdr:col>
                <xdr:colOff>133350</xdr:colOff>
                <xdr:row>54</xdr:row>
                <xdr:rowOff>200025</xdr:rowOff>
              </to>
            </anchor>
          </objectPr>
        </oleObject>
      </mc:Choice>
      <mc:Fallback>
        <oleObject progId="Visio.Drawing.15" shapeId="14406" r:id="rId5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9" r:id="rId7" name="Option Button 3">
              <controlPr defaultSize="0" autoFill="0" autoLine="0" autoPict="0">
                <anchor moveWithCells="1">
                  <from>
                    <xdr:col>6</xdr:col>
                    <xdr:colOff>238125</xdr:colOff>
                    <xdr:row>58</xdr:row>
                    <xdr:rowOff>9525</xdr:rowOff>
                  </from>
                  <to>
                    <xdr:col>6</xdr:col>
                    <xdr:colOff>457200</xdr:colOff>
                    <xdr:row>58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3" r:id="rId8" name="Option Button 17">
              <controlPr defaultSize="0" autoFill="0" autoLine="0" autoPict="0">
                <anchor moveWithCells="1">
                  <from>
                    <xdr:col>7</xdr:col>
                    <xdr:colOff>238125</xdr:colOff>
                    <xdr:row>58</xdr:row>
                    <xdr:rowOff>19050</xdr:rowOff>
                  </from>
                  <to>
                    <xdr:col>7</xdr:col>
                    <xdr:colOff>466725</xdr:colOff>
                    <xdr:row>58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4" r:id="rId9" name="Option Button 18">
              <controlPr defaultSize="0" autoFill="0" autoLine="0" autoPict="0">
                <anchor moveWithCells="1">
                  <from>
                    <xdr:col>8</xdr:col>
                    <xdr:colOff>247650</xdr:colOff>
                    <xdr:row>58</xdr:row>
                    <xdr:rowOff>0</xdr:rowOff>
                  </from>
                  <to>
                    <xdr:col>8</xdr:col>
                    <xdr:colOff>466725</xdr:colOff>
                    <xdr:row>58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5" r:id="rId10" name="Option Button 19">
              <controlPr defaultSize="0" autoFill="0" autoLine="0" autoPict="0">
                <anchor moveWithCells="1">
                  <from>
                    <xdr:col>9</xdr:col>
                    <xdr:colOff>257175</xdr:colOff>
                    <xdr:row>58</xdr:row>
                    <xdr:rowOff>0</xdr:rowOff>
                  </from>
                  <to>
                    <xdr:col>9</xdr:col>
                    <xdr:colOff>476250</xdr:colOff>
                    <xdr:row>58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6" r:id="rId11" name="Option Button 20">
              <controlPr defaultSize="0" autoFill="0" autoLine="0" autoPict="0">
                <anchor moveWithCells="1">
                  <from>
                    <xdr:col>10</xdr:col>
                    <xdr:colOff>257175</xdr:colOff>
                    <xdr:row>58</xdr:row>
                    <xdr:rowOff>19050</xdr:rowOff>
                  </from>
                  <to>
                    <xdr:col>10</xdr:col>
                    <xdr:colOff>476250</xdr:colOff>
                    <xdr:row>58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7" r:id="rId12" name="Option Button 21">
              <controlPr defaultSize="0" autoFill="0" autoLine="0" autoPict="0">
                <anchor moveWithCells="1">
                  <from>
                    <xdr:col>11</xdr:col>
                    <xdr:colOff>266700</xdr:colOff>
                    <xdr:row>58</xdr:row>
                    <xdr:rowOff>9525</xdr:rowOff>
                  </from>
                  <to>
                    <xdr:col>11</xdr:col>
                    <xdr:colOff>485775</xdr:colOff>
                    <xdr:row>58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8" r:id="rId13" name="Option Button 22">
              <controlPr defaultSize="0" autoFill="0" autoLine="0" autoPict="0">
                <anchor moveWithCells="1">
                  <from>
                    <xdr:col>12</xdr:col>
                    <xdr:colOff>276225</xdr:colOff>
                    <xdr:row>58</xdr:row>
                    <xdr:rowOff>9525</xdr:rowOff>
                  </from>
                  <to>
                    <xdr:col>12</xdr:col>
                    <xdr:colOff>485775</xdr:colOff>
                    <xdr:row>58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9" r:id="rId14" name="Option Button 23">
              <controlPr defaultSize="0" autoFill="0" autoLine="0" autoPict="0">
                <anchor moveWithCells="1">
                  <from>
                    <xdr:col>13</xdr:col>
                    <xdr:colOff>266700</xdr:colOff>
                    <xdr:row>58</xdr:row>
                    <xdr:rowOff>9525</xdr:rowOff>
                  </from>
                  <to>
                    <xdr:col>13</xdr:col>
                    <xdr:colOff>476250</xdr:colOff>
                    <xdr:row>58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0" r:id="rId15" name="Option Button 24">
              <controlPr defaultSize="0" autoFill="0" autoLine="0" autoPict="0">
                <anchor moveWithCells="1">
                  <from>
                    <xdr:col>14</xdr:col>
                    <xdr:colOff>247650</xdr:colOff>
                    <xdr:row>58</xdr:row>
                    <xdr:rowOff>9525</xdr:rowOff>
                  </from>
                  <to>
                    <xdr:col>14</xdr:col>
                    <xdr:colOff>466725</xdr:colOff>
                    <xdr:row>58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1" r:id="rId16" name="Option Button 25">
              <controlPr defaultSize="0" autoFill="0" autoLine="0" autoPict="0">
                <anchor moveWithCells="1">
                  <from>
                    <xdr:col>15</xdr:col>
                    <xdr:colOff>257175</xdr:colOff>
                    <xdr:row>58</xdr:row>
                    <xdr:rowOff>9525</xdr:rowOff>
                  </from>
                  <to>
                    <xdr:col>15</xdr:col>
                    <xdr:colOff>466725</xdr:colOff>
                    <xdr:row>58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2" r:id="rId17" name="Option Button 26">
              <controlPr defaultSize="0" autoFill="0" autoLine="0" autoPict="0">
                <anchor moveWithCells="1">
                  <from>
                    <xdr:col>16</xdr:col>
                    <xdr:colOff>247650</xdr:colOff>
                    <xdr:row>58</xdr:row>
                    <xdr:rowOff>9525</xdr:rowOff>
                  </from>
                  <to>
                    <xdr:col>16</xdr:col>
                    <xdr:colOff>457200</xdr:colOff>
                    <xdr:row>58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3" r:id="rId18" name="Option Button 27">
              <controlPr defaultSize="0" autoFill="0" autoLine="0" autoPict="0">
                <anchor moveWithCells="1">
                  <from>
                    <xdr:col>17</xdr:col>
                    <xdr:colOff>238125</xdr:colOff>
                    <xdr:row>58</xdr:row>
                    <xdr:rowOff>9525</xdr:rowOff>
                  </from>
                  <to>
                    <xdr:col>17</xdr:col>
                    <xdr:colOff>447675</xdr:colOff>
                    <xdr:row>58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4" r:id="rId19" name="Group Box 28">
              <controlPr defaultSize="0" autoFill="0" autoPict="0">
                <anchor moveWithCells="1">
                  <from>
                    <xdr:col>5</xdr:col>
                    <xdr:colOff>323850</xdr:colOff>
                    <xdr:row>57</xdr:row>
                    <xdr:rowOff>142875</xdr:rowOff>
                  </from>
                  <to>
                    <xdr:col>18</xdr:col>
                    <xdr:colOff>66675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5" r:id="rId20" name="Option Button 29">
              <controlPr defaultSize="0" autoFill="0" autoLine="0" autoPict="0">
                <anchor moveWithCells="1">
                  <from>
                    <xdr:col>6</xdr:col>
                    <xdr:colOff>447675</xdr:colOff>
                    <xdr:row>61</xdr:row>
                    <xdr:rowOff>57150</xdr:rowOff>
                  </from>
                  <to>
                    <xdr:col>7</xdr:col>
                    <xdr:colOff>428625</xdr:colOff>
                    <xdr:row>61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6" r:id="rId21" name="Option Button 30">
              <controlPr defaultSize="0" autoFill="0" autoLine="0" autoPict="0">
                <anchor moveWithCells="1">
                  <from>
                    <xdr:col>8</xdr:col>
                    <xdr:colOff>438150</xdr:colOff>
                    <xdr:row>61</xdr:row>
                    <xdr:rowOff>57150</xdr:rowOff>
                  </from>
                  <to>
                    <xdr:col>9</xdr:col>
                    <xdr:colOff>581025</xdr:colOff>
                    <xdr:row>61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7" r:id="rId22" name="Option Button 31">
              <controlPr defaultSize="0" autoFill="0" autoLine="0" autoPict="0">
                <anchor moveWithCells="1">
                  <from>
                    <xdr:col>10</xdr:col>
                    <xdr:colOff>438150</xdr:colOff>
                    <xdr:row>61</xdr:row>
                    <xdr:rowOff>47625</xdr:rowOff>
                  </from>
                  <to>
                    <xdr:col>11</xdr:col>
                    <xdr:colOff>352425</xdr:colOff>
                    <xdr:row>61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8" r:id="rId23" name="Group Box 32">
              <controlPr defaultSize="0" autoFill="0" autoPict="0">
                <anchor moveWithCells="1">
                  <from>
                    <xdr:col>5</xdr:col>
                    <xdr:colOff>180975</xdr:colOff>
                    <xdr:row>61</xdr:row>
                    <xdr:rowOff>28575</xdr:rowOff>
                  </from>
                  <to>
                    <xdr:col>13</xdr:col>
                    <xdr:colOff>19050</xdr:colOff>
                    <xdr:row>61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9" r:id="rId24" name="Option Button 33">
              <controlPr defaultSize="0" autoFill="0" autoLine="0" autoPict="0">
                <anchor moveWithCells="1">
                  <from>
                    <xdr:col>6</xdr:col>
                    <xdr:colOff>447675</xdr:colOff>
                    <xdr:row>62</xdr:row>
                    <xdr:rowOff>47625</xdr:rowOff>
                  </from>
                  <to>
                    <xdr:col>7</xdr:col>
                    <xdr:colOff>257175</xdr:colOff>
                    <xdr:row>62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0" r:id="rId25" name="Option Button 34">
              <controlPr defaultSize="0" autoFill="0" autoLine="0" autoPict="0">
                <anchor moveWithCells="1">
                  <from>
                    <xdr:col>8</xdr:col>
                    <xdr:colOff>428625</xdr:colOff>
                    <xdr:row>62</xdr:row>
                    <xdr:rowOff>47625</xdr:rowOff>
                  </from>
                  <to>
                    <xdr:col>9</xdr:col>
                    <xdr:colOff>457200</xdr:colOff>
                    <xdr:row>62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1" r:id="rId26" name="Option Button 35">
              <controlPr defaultSize="0" autoFill="0" autoLine="0" autoPict="0">
                <anchor moveWithCells="1">
                  <from>
                    <xdr:col>10</xdr:col>
                    <xdr:colOff>419100</xdr:colOff>
                    <xdr:row>62</xdr:row>
                    <xdr:rowOff>47625</xdr:rowOff>
                  </from>
                  <to>
                    <xdr:col>11</xdr:col>
                    <xdr:colOff>314325</xdr:colOff>
                    <xdr:row>62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2" r:id="rId27" name="Group Box 36">
              <controlPr defaultSize="0" autoFill="0" autoPict="0">
                <anchor moveWithCells="1">
                  <from>
                    <xdr:col>5</xdr:col>
                    <xdr:colOff>123825</xdr:colOff>
                    <xdr:row>62</xdr:row>
                    <xdr:rowOff>19050</xdr:rowOff>
                  </from>
                  <to>
                    <xdr:col>12</xdr:col>
                    <xdr:colOff>600075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6" r:id="rId28" name="Option Button 40">
              <controlPr defaultSize="0" autoFill="0" autoLine="0" autoPict="0">
                <anchor moveWithCells="1">
                  <from>
                    <xdr:col>6</xdr:col>
                    <xdr:colOff>438150</xdr:colOff>
                    <xdr:row>64</xdr:row>
                    <xdr:rowOff>28575</xdr:rowOff>
                  </from>
                  <to>
                    <xdr:col>7</xdr:col>
                    <xdr:colOff>600075</xdr:colOff>
                    <xdr:row>64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7" r:id="rId29" name="Option Button 41">
              <controlPr defaultSize="0" autoFill="0" autoLine="0" autoPict="0">
                <anchor moveWithCells="1">
                  <from>
                    <xdr:col>10</xdr:col>
                    <xdr:colOff>438150</xdr:colOff>
                    <xdr:row>64</xdr:row>
                    <xdr:rowOff>28575</xdr:rowOff>
                  </from>
                  <to>
                    <xdr:col>12</xdr:col>
                    <xdr:colOff>76200</xdr:colOff>
                    <xdr:row>64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8" r:id="rId30" name="Option Button 42">
              <controlPr defaultSize="0" autoFill="0" autoLine="0" autoPict="0">
                <anchor moveWithCells="1">
                  <from>
                    <xdr:col>13</xdr:col>
                    <xdr:colOff>333375</xdr:colOff>
                    <xdr:row>64</xdr:row>
                    <xdr:rowOff>47625</xdr:rowOff>
                  </from>
                  <to>
                    <xdr:col>14</xdr:col>
                    <xdr:colOff>628650</xdr:colOff>
                    <xdr:row>64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9" r:id="rId31" name="Group Box 43">
              <controlPr defaultSize="0" autoFill="0" autoPict="0">
                <anchor moveWithCells="1">
                  <from>
                    <xdr:col>5</xdr:col>
                    <xdr:colOff>9525</xdr:colOff>
                    <xdr:row>64</xdr:row>
                    <xdr:rowOff>9525</xdr:rowOff>
                  </from>
                  <to>
                    <xdr:col>15</xdr:col>
                    <xdr:colOff>114300</xdr:colOff>
                    <xdr:row>64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3" r:id="rId32" name="Group Box 47">
              <controlPr defaultSize="0" autoFill="0" autoPict="0">
                <anchor moveWithCells="1">
                  <from>
                    <xdr:col>9</xdr:col>
                    <xdr:colOff>323850</xdr:colOff>
                    <xdr:row>10</xdr:row>
                    <xdr:rowOff>85725</xdr:rowOff>
                  </from>
                  <to>
                    <xdr:col>16</xdr:col>
                    <xdr:colOff>314325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4" r:id="rId33" name="Option Button 48">
              <controlPr defaultSize="0" autoFill="0" autoLine="0" autoPict="0">
                <anchor moveWithCells="1">
                  <from>
                    <xdr:col>10</xdr:col>
                    <xdr:colOff>142875</xdr:colOff>
                    <xdr:row>10</xdr:row>
                    <xdr:rowOff>190500</xdr:rowOff>
                  </from>
                  <to>
                    <xdr:col>11</xdr:col>
                    <xdr:colOff>238125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5" r:id="rId34" name="Option Button 49">
              <controlPr defaultSize="0" autoFill="0" autoLine="0" autoPict="0">
                <anchor moveWithCells="1">
                  <from>
                    <xdr:col>10</xdr:col>
                    <xdr:colOff>142875</xdr:colOff>
                    <xdr:row>13</xdr:row>
                    <xdr:rowOff>95250</xdr:rowOff>
                  </from>
                  <to>
                    <xdr:col>11</xdr:col>
                    <xdr:colOff>276225</xdr:colOff>
                    <xdr:row>14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7" r:id="rId35" name="Option Button 51">
              <controlPr defaultSize="0" autoFill="0" autoLine="0" autoPict="0">
                <anchor moveWithCells="1">
                  <from>
                    <xdr:col>10</xdr:col>
                    <xdr:colOff>152400</xdr:colOff>
                    <xdr:row>16</xdr:row>
                    <xdr:rowOff>9525</xdr:rowOff>
                  </from>
                  <to>
                    <xdr:col>11</xdr:col>
                    <xdr:colOff>333375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9" r:id="rId36" name="Group Box 53">
              <controlPr defaultSize="0" autoFill="0" autoPict="0">
                <anchor moveWithCells="1">
                  <from>
                    <xdr:col>5</xdr:col>
                    <xdr:colOff>0</xdr:colOff>
                    <xdr:row>6</xdr:row>
                    <xdr:rowOff>95250</xdr:rowOff>
                  </from>
                  <to>
                    <xdr:col>7</xdr:col>
                    <xdr:colOff>609600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2" r:id="rId37" name="Option Button 56">
              <controlPr defaultSize="0" autoFill="0" autoLine="0" autoPict="0">
                <anchor moveWithCells="1">
                  <from>
                    <xdr:col>5</xdr:col>
                    <xdr:colOff>104775</xdr:colOff>
                    <xdr:row>6</xdr:row>
                    <xdr:rowOff>200025</xdr:rowOff>
                  </from>
                  <to>
                    <xdr:col>5</xdr:col>
                    <xdr:colOff>400050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3" r:id="rId38" name="Option Button 57">
              <controlPr defaultSize="0" autoFill="0" autoLine="0" autoPict="0">
                <anchor moveWithCells="1">
                  <from>
                    <xdr:col>6</xdr:col>
                    <xdr:colOff>123825</xdr:colOff>
                    <xdr:row>6</xdr:row>
                    <xdr:rowOff>190500</xdr:rowOff>
                  </from>
                  <to>
                    <xdr:col>6</xdr:col>
                    <xdr:colOff>571500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0" r:id="rId39" name="Group Box 64">
              <controlPr defaultSize="0" autoFill="0" autoPict="0">
                <anchor moveWithCells="1">
                  <from>
                    <xdr:col>5</xdr:col>
                    <xdr:colOff>276225</xdr:colOff>
                    <xdr:row>65</xdr:row>
                    <xdr:rowOff>28575</xdr:rowOff>
                  </from>
                  <to>
                    <xdr:col>16</xdr:col>
                    <xdr:colOff>38100</xdr:colOff>
                    <xdr:row>65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1" r:id="rId40" name="Option Button 65">
              <controlPr defaultSize="0" autoFill="0" autoLine="0" autoPict="0">
                <anchor moveWithCells="1">
                  <from>
                    <xdr:col>6</xdr:col>
                    <xdr:colOff>447675</xdr:colOff>
                    <xdr:row>65</xdr:row>
                    <xdr:rowOff>47625</xdr:rowOff>
                  </from>
                  <to>
                    <xdr:col>7</xdr:col>
                    <xdr:colOff>266700</xdr:colOff>
                    <xdr:row>65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7" r:id="rId41" name="Check Box 71">
              <controlPr defaultSize="0" autoFill="0" autoLine="0" autoPict="0">
                <anchor moveWithCells="1">
                  <from>
                    <xdr:col>6</xdr:col>
                    <xdr:colOff>409575</xdr:colOff>
                    <xdr:row>66</xdr:row>
                    <xdr:rowOff>47625</xdr:rowOff>
                  </from>
                  <to>
                    <xdr:col>7</xdr:col>
                    <xdr:colOff>333375</xdr:colOff>
                    <xdr:row>66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8" r:id="rId42" name="Option Button 72">
              <controlPr defaultSize="0" autoFill="0" autoLine="0" autoPict="0">
                <anchor moveWithCells="1">
                  <from>
                    <xdr:col>8</xdr:col>
                    <xdr:colOff>438150</xdr:colOff>
                    <xdr:row>65</xdr:row>
                    <xdr:rowOff>47625</xdr:rowOff>
                  </from>
                  <to>
                    <xdr:col>9</xdr:col>
                    <xdr:colOff>371475</xdr:colOff>
                    <xdr:row>65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9" r:id="rId43" name="Group Box 73">
              <controlPr defaultSize="0" autoFill="0" autoPict="0">
                <anchor moveWithCells="1">
                  <from>
                    <xdr:col>5</xdr:col>
                    <xdr:colOff>66675</xdr:colOff>
                    <xdr:row>59</xdr:row>
                    <xdr:rowOff>228600</xdr:rowOff>
                  </from>
                  <to>
                    <xdr:col>13</xdr:col>
                    <xdr:colOff>304800</xdr:colOff>
                    <xdr:row>60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0" r:id="rId44" name="Option Button 74">
              <controlPr defaultSize="0" autoFill="0" autoLine="0" autoPict="0">
                <anchor moveWithCells="1">
                  <from>
                    <xdr:col>6</xdr:col>
                    <xdr:colOff>457200</xdr:colOff>
                    <xdr:row>60</xdr:row>
                    <xdr:rowOff>66675</xdr:rowOff>
                  </from>
                  <to>
                    <xdr:col>7</xdr:col>
                    <xdr:colOff>400050</xdr:colOff>
                    <xdr:row>60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1" r:id="rId45" name="Option Button 75">
              <controlPr defaultSize="0" autoFill="0" autoLine="0" autoPict="0">
                <anchor moveWithCells="1">
                  <from>
                    <xdr:col>10</xdr:col>
                    <xdr:colOff>438150</xdr:colOff>
                    <xdr:row>60</xdr:row>
                    <xdr:rowOff>66675</xdr:rowOff>
                  </from>
                  <to>
                    <xdr:col>11</xdr:col>
                    <xdr:colOff>447675</xdr:colOff>
                    <xdr:row>60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2" r:id="rId46" name="Group Box 76">
              <controlPr defaultSize="0" autoFill="0" autoPict="0">
                <anchor moveWithCells="1">
                  <from>
                    <xdr:col>8</xdr:col>
                    <xdr:colOff>200025</xdr:colOff>
                    <xdr:row>21</xdr:row>
                    <xdr:rowOff>123825</xdr:rowOff>
                  </from>
                  <to>
                    <xdr:col>15</xdr:col>
                    <xdr:colOff>628650</xdr:colOff>
                    <xdr:row>23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3" r:id="rId47" name="Option Button 77">
              <controlPr defaultSize="0" autoFill="0" autoLine="0" autoPict="0">
                <anchor moveWithCells="1">
                  <from>
                    <xdr:col>9</xdr:col>
                    <xdr:colOff>523875</xdr:colOff>
                    <xdr:row>21</xdr:row>
                    <xdr:rowOff>171450</xdr:rowOff>
                  </from>
                  <to>
                    <xdr:col>10</xdr:col>
                    <xdr:colOff>552450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4" r:id="rId48" name="Option Button 78">
              <controlPr defaultSize="0" autoFill="0" autoLine="0" autoPict="0">
                <anchor moveWithCells="1">
                  <from>
                    <xdr:col>13</xdr:col>
                    <xdr:colOff>85725</xdr:colOff>
                    <xdr:row>21</xdr:row>
                    <xdr:rowOff>171450</xdr:rowOff>
                  </from>
                  <to>
                    <xdr:col>14</xdr:col>
                    <xdr:colOff>247650</xdr:colOff>
                    <xdr:row>23</xdr:row>
                    <xdr:rowOff>9525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1" id="{32CFAC70-4649-4BA5-BDA8-B09240B1E419}">
            <xm:f>NOT('BMW-Std-selection'!$B$46="TS")</xm:f>
            <x14:dxf>
              <border>
                <left style="thin">
                  <color theme="0" tint="-0.24994659260841701"/>
                </left>
                <vertical/>
                <horizontal/>
              </border>
            </x14:dxf>
          </x14:cfRule>
          <xm:sqref>D39:D42</xm:sqref>
        </x14:conditionalFormatting>
        <x14:conditionalFormatting xmlns:xm="http://schemas.microsoft.com/office/excel/2006/main">
          <x14:cfRule type="expression" priority="10" id="{68D93449-D8A4-40D5-AFC7-F2A0196E395A}">
            <xm:f>NOT('BMW-Std-selection'!$B$46="TS")</xm:f>
            <x14:dxf>
              <border>
                <top style="thin">
                  <color auto="1"/>
                </top>
                <vertical/>
                <horizontal/>
              </border>
            </x14:dxf>
          </x14:cfRule>
          <xm:sqref>D39:R39</xm:sqref>
        </x14:conditionalFormatting>
        <x14:conditionalFormatting xmlns:xm="http://schemas.microsoft.com/office/excel/2006/main">
          <x14:cfRule type="expression" priority="27" id="{EF13EA34-3DA0-4AED-B511-5946AEE642B1}">
            <xm:f>BMW_Std_Eqn!C$232</xm:f>
            <x14:dxf>
              <fill>
                <patternFill>
                  <bgColor theme="0" tint="-0.14996795556505021"/>
                </patternFill>
              </fill>
            </x14:dxf>
          </x14:cfRule>
          <xm:sqref>G28:R28 G30:R30 G32:R32</xm:sqref>
        </x14:conditionalFormatting>
        <x14:conditionalFormatting xmlns:xm="http://schemas.microsoft.com/office/excel/2006/main">
          <x14:cfRule type="expression" priority="28" id="{FE1C21B7-BFD6-483C-83D7-B8FE4E5D162F}">
            <xm:f>BMW_Std_Eqn!C$231</xm:f>
            <x14:dxf>
              <fill>
                <patternFill>
                  <bgColor theme="0" tint="-0.14996795556505021"/>
                </patternFill>
              </fill>
            </x14:dxf>
          </x14:cfRule>
          <xm:sqref>G29:R29 G31:R31 G33:R55</xm:sqref>
        </x14:conditionalFormatting>
        <x14:conditionalFormatting xmlns:xm="http://schemas.microsoft.com/office/excel/2006/main">
          <x14:cfRule type="expression" priority="23" id="{C0A2F384-60E9-4E90-BAEA-6C52D310AFB4}">
            <xm:f>BMW_Std_Eqn!C$233</xm:f>
            <x14:dxf>
              <font>
                <color rgb="FFC00000"/>
              </font>
            </x14:dxf>
          </x14:cfRule>
          <xm:sqref>G34:R34</xm:sqref>
        </x14:conditionalFormatting>
        <x14:conditionalFormatting xmlns:xm="http://schemas.microsoft.com/office/excel/2006/main">
          <x14:cfRule type="expression" priority="24" id="{52FFF6DA-4385-4A00-BB9F-B270679B446E}">
            <xm:f>BMW_Std_Eqn!C$234</xm:f>
            <x14:dxf>
              <font>
                <color rgb="FFC00000"/>
              </font>
            </x14:dxf>
          </x14:cfRule>
          <xm:sqref>G35:R35</xm:sqref>
        </x14:conditionalFormatting>
        <x14:conditionalFormatting xmlns:xm="http://schemas.microsoft.com/office/excel/2006/main">
          <x14:cfRule type="expression" priority="17" id="{C3E65A61-FD2F-46DE-A110-A10ABDF904CC}">
            <xm:f>BMW_Std_Eqn!C$235</xm:f>
            <x14:dxf>
              <font>
                <color rgb="FFC00000"/>
              </font>
            </x14:dxf>
          </x14:cfRule>
          <xm:sqref>G38:R38</xm:sqref>
        </x14:conditionalFormatting>
        <x14:conditionalFormatting xmlns:xm="http://schemas.microsoft.com/office/excel/2006/main">
          <x14:cfRule type="expression" priority="25" id="{8CE8ABAF-42A9-47DC-86E1-151D4F78B461}">
            <xm:f>BMW_Std_Eqn!C250</xm:f>
            <x14:dxf>
              <fill>
                <patternFill>
                  <bgColor theme="0" tint="-0.14996795556505021"/>
                </patternFill>
              </fill>
            </x14:dxf>
          </x14:cfRule>
          <x14:cfRule type="expression" priority="26" id="{85F6D303-E53A-4F8B-9CA2-CE830E304396}">
            <xm:f>BMW_Std_Eqn!C236</xm:f>
            <x14:dxf>
              <font>
                <color rgb="FFC00000"/>
              </font>
            </x14:dxf>
          </x14:cfRule>
          <xm:sqref>G39:R50</xm:sqref>
        </x14:conditionalFormatting>
        <x14:conditionalFormatting xmlns:xm="http://schemas.microsoft.com/office/excel/2006/main">
          <x14:cfRule type="expression" priority="14" id="{C70B4F76-301E-4C9D-A19C-89B0424C6836}">
            <xm:f>('BMW-Std-selection'!$B$10=2)</xm:f>
            <x14:dxf>
              <font>
                <color theme="0" tint="-0.34998626667073579"/>
              </font>
            </x14:dxf>
          </x14:cfRule>
          <xm:sqref>H62:L64</xm:sqref>
        </x14:conditionalFormatting>
        <x14:conditionalFormatting xmlns:xm="http://schemas.microsoft.com/office/excel/2006/main">
          <x14:cfRule type="expression" priority="13" id="{0F488DD2-AB9A-45B2-9421-9B926318932E}">
            <xm:f>('BMW-Std-selection'!$B$10=2)</xm:f>
            <x14:dxf>
              <font>
                <color theme="0" tint="-0.34998626667073579"/>
              </font>
            </x14:dxf>
          </x14:cfRule>
          <xm:sqref>K23:N23</xm:sqref>
        </x14:conditionalFormatting>
        <x14:conditionalFormatting xmlns:xm="http://schemas.microsoft.com/office/excel/2006/main">
          <x14:cfRule type="expression" priority="21" id="{06D10EAF-21D5-400F-9119-0CFEE6196387}">
            <xm:f>(BMW_Std_Eqn!$B$25=1)</xm:f>
            <x14:dxf>
              <font>
                <color theme="1" tint="0.499984740745262"/>
              </font>
            </x14:dxf>
          </x14:cfRule>
          <xm:sqref>L12</xm:sqref>
        </x14:conditionalFormatting>
        <x14:conditionalFormatting xmlns:xm="http://schemas.microsoft.com/office/excel/2006/main">
          <x14:cfRule type="expression" priority="20" id="{85D59C21-636A-4658-83DC-97C1E5E7988D}">
            <xm:f>(BMW_Std_Eqn!$B$25=2)</xm:f>
            <x14:dxf>
              <font>
                <color theme="1" tint="0.499984740745262"/>
              </font>
            </x14:dxf>
          </x14:cfRule>
          <xm:sqref>M14:M15 P14:P15 Q15</xm:sqref>
        </x14:conditionalFormatting>
        <x14:conditionalFormatting xmlns:xm="http://schemas.microsoft.com/office/excel/2006/main">
          <x14:cfRule type="expression" priority="19" id="{0A0843F1-CF93-4929-81BF-F00327C4676E}">
            <xm:f>(BMW_Std_Eqn!$B$25=3)</xm:f>
            <x14:dxf>
              <font>
                <color theme="1" tint="0.499984740745262"/>
              </font>
            </x14:dxf>
          </x14:cfRule>
          <xm:sqref>M17 P17:Q17</xm:sqref>
        </x14:conditionalFormatting>
        <x14:conditionalFormatting xmlns:xm="http://schemas.microsoft.com/office/excel/2006/main">
          <x14:cfRule type="expression" priority="16" id="{7C1E60E4-5496-4ECB-970C-B7EF6B6F2A4A}">
            <xm:f>NOT(BMW_Std_Eqn!$B$25=2)</xm:f>
            <x14:dxf>
              <font>
                <color theme="1" tint="0.34998626667073579"/>
              </font>
              <fill>
                <patternFill>
                  <bgColor theme="0" tint="-0.49998474074526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N14:O15</xm:sqref>
        </x14:conditionalFormatting>
        <x14:conditionalFormatting xmlns:xm="http://schemas.microsoft.com/office/excel/2006/main">
          <x14:cfRule type="expression" priority="15" id="{B1859145-FDB2-4F05-ABD2-558A54E3528E}">
            <xm:f>NOT(BMW_Std_Eqn!$B$25=3)</xm:f>
            <x14:dxf>
              <font>
                <color theme="1" tint="0.34998626667073579"/>
              </font>
              <fill>
                <patternFill>
                  <bgColor theme="0" tint="-0.49998474074526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N17:O17</xm:sqref>
        </x14:conditionalFormatting>
        <x14:conditionalFormatting xmlns:xm="http://schemas.microsoft.com/office/excel/2006/main">
          <x14:cfRule type="expression" priority="12" id="{D448ADE6-9980-4800-A170-9791070FD139}">
            <xm:f>NOT('BMW-Std-selection'!$B$46="TS")</xm:f>
            <x14:dxf>
              <border>
                <right style="thin">
                  <color auto="1"/>
                </right>
                <vertical/>
                <horizontal/>
              </border>
            </x14:dxf>
          </x14:cfRule>
          <xm:sqref>R39:R42</xm:sqref>
        </x14:conditionalFormatting>
        <x14:conditionalFormatting xmlns:xm="http://schemas.microsoft.com/office/excel/2006/main">
          <x14:cfRule type="expression" priority="7" id="{A44F873F-B7EF-46F3-943C-0180B208A89A}">
            <xm:f>NOT('BMW-Std-selection'!$B$46="TM")</xm:f>
            <x14:dxf>
              <border>
                <right style="thin">
                  <color auto="1"/>
                </right>
                <vertical/>
                <horizontal/>
              </border>
            </x14:dxf>
          </x14:cfRule>
          <xm:sqref>R43:R46</xm:sqref>
        </x14:conditionalFormatting>
        <x14:conditionalFormatting xmlns:xm="http://schemas.microsoft.com/office/excel/2006/main">
          <x14:cfRule type="expression" priority="8" id="{6FD050FF-616C-45EA-851A-AABCC6FF1207}">
            <xm:f>NOT('BMW-Std-selection'!$B$46="TM")</xm:f>
            <x14:dxf>
              <border>
                <left style="thin">
                  <color theme="0" tint="-0.24994659260841701"/>
                </left>
                <vertical/>
                <horizontal/>
              </border>
            </x14:dxf>
          </x14:cfRule>
          <xm:sqref>D43:D46</xm:sqref>
        </x14:conditionalFormatting>
        <x14:conditionalFormatting xmlns:xm="http://schemas.microsoft.com/office/excel/2006/main">
          <x14:cfRule type="expression" priority="4" id="{EA7C5614-B91C-4050-B037-46E319CD09F4}">
            <xm:f>NOT('BMW-Std-selection'!$B$46="TL")</xm:f>
            <x14:dxf>
              <border>
                <right style="thin">
                  <color auto="1"/>
                </right>
                <vertical/>
                <horizontal/>
              </border>
            </x14:dxf>
          </x14:cfRule>
          <xm:sqref>R47:R50</xm:sqref>
        </x14:conditionalFormatting>
        <x14:conditionalFormatting xmlns:xm="http://schemas.microsoft.com/office/excel/2006/main">
          <x14:cfRule type="expression" priority="5" id="{76E6D93E-CEFF-457B-B7EE-886551989423}">
            <xm:f>NOT('BMW-Std-selection'!$B$46="TL")</xm:f>
            <x14:dxf>
              <border>
                <left style="thin">
                  <color theme="0" tint="-0.24994659260841701"/>
                </left>
                <vertical/>
                <horizontal/>
              </border>
            </x14:dxf>
          </x14:cfRule>
          <xm:sqref>D47:D50</xm:sqref>
        </x14:conditionalFormatting>
        <x14:conditionalFormatting xmlns:xm="http://schemas.microsoft.com/office/excel/2006/main">
          <x14:cfRule type="expression" priority="3" id="{8286C506-16D0-45F3-A6B3-F67F606E4BBF}">
            <xm:f>NOT('BMW-Std-selection'!$B$46="TL")</xm:f>
            <x14:dxf>
              <border>
                <bottom style="thin">
                  <color theme="1" tint="0.24994659260841701"/>
                </bottom>
                <vertical/>
                <horizontal/>
              </border>
            </x14:dxf>
          </x14:cfRule>
          <xm:sqref>D50:R50</xm:sqref>
        </x14:conditionalFormatting>
        <x14:conditionalFormatting xmlns:xm="http://schemas.microsoft.com/office/excel/2006/main">
          <x14:cfRule type="expression" priority="2" id="{14701101-621A-4C09-A87D-458B0094254B}">
            <xm:f>('BMW-Std-selection'!$B$46="TL")</xm:f>
            <x14:dxf>
              <border>
                <bottom style="thin">
                  <color theme="1" tint="0.24994659260841701"/>
                </bottom>
                <vertical/>
                <horizontal/>
              </border>
            </x14:dxf>
          </x14:cfRule>
          <xm:sqref>D42:R42</xm:sqref>
        </x14:conditionalFormatting>
        <x14:conditionalFormatting xmlns:xm="http://schemas.microsoft.com/office/excel/2006/main">
          <x14:cfRule type="expression" priority="1" id="{3968FBE1-6CBA-4594-B0DB-A51B18D3439D}">
            <xm:f>('BMW-Std-selection'!$B$46="TS")</xm:f>
            <x14:dxf>
              <border>
                <top style="thin">
                  <color theme="1" tint="0.24994659260841701"/>
                </top>
                <vertical/>
                <horizontal/>
              </border>
            </x14:dxf>
          </x14:cfRule>
          <xm:sqref>D47:R47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AA356"/>
  <sheetViews>
    <sheetView topLeftCell="A316" zoomScale="115" zoomScaleNormal="115" workbookViewId="0">
      <selection activeCell="E270" sqref="E270"/>
    </sheetView>
  </sheetViews>
  <sheetFormatPr defaultRowHeight="15" x14ac:dyDescent="0.25"/>
  <cols>
    <col min="1" max="1" width="30.28515625" customWidth="1"/>
    <col min="3" max="3" width="10.28515625" bestFit="1" customWidth="1"/>
    <col min="4" max="4" width="13.28515625" customWidth="1"/>
    <col min="5" max="5" width="11.7109375" customWidth="1"/>
  </cols>
  <sheetData>
    <row r="1" spans="1:6" x14ac:dyDescent="0.25">
      <c r="A1" s="2" t="s">
        <v>120</v>
      </c>
      <c r="B1" s="2"/>
      <c r="C1" s="2"/>
    </row>
    <row r="2" spans="1:6" x14ac:dyDescent="0.25">
      <c r="A2" s="2"/>
      <c r="B2" s="2"/>
      <c r="C2" s="2"/>
      <c r="D2" s="821" t="s">
        <v>15</v>
      </c>
      <c r="E2" t="s">
        <v>306</v>
      </c>
    </row>
    <row r="3" spans="1:6" x14ac:dyDescent="0.25">
      <c r="A3" s="2"/>
      <c r="B3" s="2"/>
      <c r="C3" s="2"/>
      <c r="D3" t="s">
        <v>307</v>
      </c>
      <c r="E3" t="s">
        <v>308</v>
      </c>
      <c r="F3" t="s">
        <v>305</v>
      </c>
    </row>
    <row r="4" spans="1:6" x14ac:dyDescent="0.25">
      <c r="A4" t="s">
        <v>239</v>
      </c>
      <c r="B4">
        <f>'BMW-AD-Std Size Calculator'!E8</f>
        <v>100</v>
      </c>
      <c r="C4" t="str">
        <f>IF($B$5=1,D2,E2)</f>
        <v>L/s</v>
      </c>
      <c r="D4" t="str">
        <f>"["&amp;C4&amp;"]"</f>
        <v>[L/s]</v>
      </c>
    </row>
    <row r="5" spans="1:6" x14ac:dyDescent="0.25">
      <c r="A5" t="s">
        <v>241</v>
      </c>
      <c r="B5">
        <v>1</v>
      </c>
      <c r="C5" t="str">
        <f>IF($B$5=1,D3,E3)</f>
        <v>L/s/m²</v>
      </c>
      <c r="D5" t="str">
        <f>"["&amp;C5&amp;"]"</f>
        <v>[L/s/m²]</v>
      </c>
    </row>
    <row r="6" spans="1:6" x14ac:dyDescent="0.25">
      <c r="A6" t="s">
        <v>242</v>
      </c>
      <c r="B6">
        <f>IF(B5=1,1,3.6)</f>
        <v>1</v>
      </c>
    </row>
    <row r="7" spans="1:6" x14ac:dyDescent="0.25">
      <c r="A7" t="s">
        <v>277</v>
      </c>
      <c r="B7">
        <f>'BMW-AD-Std Size Calculator'!N17</f>
        <v>9.8000000000000007</v>
      </c>
    </row>
    <row r="9" spans="1:6" x14ac:dyDescent="0.25">
      <c r="A9" s="2" t="s">
        <v>120</v>
      </c>
    </row>
    <row r="10" spans="1:6" x14ac:dyDescent="0.25">
      <c r="A10" t="s">
        <v>240</v>
      </c>
      <c r="B10">
        <f>B4/B6</f>
        <v>100</v>
      </c>
    </row>
    <row r="11" spans="1:6" x14ac:dyDescent="0.25">
      <c r="A11" t="s">
        <v>243</v>
      </c>
      <c r="B11">
        <f>'BMW-AD-Std Size Calculator'!E10/100</f>
        <v>1</v>
      </c>
    </row>
    <row r="12" spans="1:6" x14ac:dyDescent="0.25">
      <c r="A12" t="s">
        <v>280</v>
      </c>
      <c r="B12">
        <f>B10*B11</f>
        <v>100</v>
      </c>
    </row>
    <row r="13" spans="1:6" x14ac:dyDescent="0.25">
      <c r="A13" t="s">
        <v>236</v>
      </c>
      <c r="B13">
        <f>'BMW-AD-Std Size Calculator'!E12</f>
        <v>30</v>
      </c>
    </row>
    <row r="14" spans="1:6" x14ac:dyDescent="0.25">
      <c r="A14" t="s">
        <v>9</v>
      </c>
      <c r="B14">
        <f>'BMW-AD-Std Size Calculator'!E14</f>
        <v>2.5</v>
      </c>
    </row>
    <row r="15" spans="1:6" x14ac:dyDescent="0.25">
      <c r="A15" t="s">
        <v>244</v>
      </c>
      <c r="B15">
        <f>MAX(ABS('BMW-AD-Std Size Calculator'!E16),8)</f>
        <v>12</v>
      </c>
      <c r="C15" t="s">
        <v>312</v>
      </c>
    </row>
    <row r="16" spans="1:6" x14ac:dyDescent="0.25">
      <c r="A16" t="s">
        <v>124</v>
      </c>
      <c r="B16" s="514">
        <f>'BMW-AD-Std Size Calculator'!N10</f>
        <v>0.9</v>
      </c>
    </row>
    <row r="17" spans="1:5" x14ac:dyDescent="0.25">
      <c r="B17" s="514"/>
    </row>
    <row r="18" spans="1:5" x14ac:dyDescent="0.25">
      <c r="A18" t="s">
        <v>263</v>
      </c>
      <c r="B18" s="514"/>
    </row>
    <row r="19" spans="1:5" x14ac:dyDescent="0.25">
      <c r="A19" s="514">
        <v>0.95</v>
      </c>
      <c r="B19" s="93">
        <v>0.2</v>
      </c>
      <c r="E19" s="785"/>
    </row>
    <row r="20" spans="1:5" x14ac:dyDescent="0.25">
      <c r="A20" s="514">
        <v>0.9</v>
      </c>
      <c r="B20" s="93">
        <v>0.25</v>
      </c>
    </row>
    <row r="21" spans="1:5" x14ac:dyDescent="0.25">
      <c r="A21" s="514">
        <v>0.8</v>
      </c>
      <c r="B21" s="93">
        <v>0.28999999999999998</v>
      </c>
    </row>
    <row r="22" spans="1:5" x14ac:dyDescent="0.25">
      <c r="A22" s="514">
        <v>0.7</v>
      </c>
      <c r="B22" s="93">
        <v>0.33</v>
      </c>
      <c r="E22" s="785"/>
    </row>
    <row r="23" spans="1:5" x14ac:dyDescent="0.25">
      <c r="A23" s="514" t="s">
        <v>264</v>
      </c>
      <c r="B23" s="93">
        <f ca="1">OFFSET(B19,MATCH(B16,A19:A22,0)-1,0)</f>
        <v>0.25</v>
      </c>
      <c r="C23" t="s">
        <v>199</v>
      </c>
    </row>
    <row r="24" spans="1:5" x14ac:dyDescent="0.25">
      <c r="B24" s="514"/>
    </row>
    <row r="25" spans="1:5" x14ac:dyDescent="0.25">
      <c r="A25" t="s">
        <v>258</v>
      </c>
      <c r="B25" s="1">
        <v>1</v>
      </c>
    </row>
    <row r="26" spans="1:5" x14ac:dyDescent="0.25">
      <c r="A26" t="s">
        <v>275</v>
      </c>
      <c r="B26" s="106">
        <f>'BMW-AD-Std Size Calculator'!N14</f>
        <v>5</v>
      </c>
    </row>
    <row r="27" spans="1:5" x14ac:dyDescent="0.25">
      <c r="A27" t="s">
        <v>274</v>
      </c>
      <c r="B27" s="106">
        <f>'BMW-AD-Std Size Calculator'!N15</f>
        <v>4</v>
      </c>
    </row>
    <row r="28" spans="1:5" x14ac:dyDescent="0.25">
      <c r="A28" t="s">
        <v>276</v>
      </c>
      <c r="B28">
        <f>B26*B27</f>
        <v>20</v>
      </c>
      <c r="C28" t="s">
        <v>311</v>
      </c>
      <c r="D28">
        <f>ROUND(B10/B28*B6,1)</f>
        <v>5</v>
      </c>
      <c r="E28" t="str">
        <f>C5</f>
        <v>L/s/m²</v>
      </c>
    </row>
    <row r="29" spans="1:5" x14ac:dyDescent="0.25">
      <c r="A29" t="s">
        <v>259</v>
      </c>
      <c r="B29">
        <f>'BMW-AD-Std Size Calculator'!$N$17/B6</f>
        <v>9.8000000000000007</v>
      </c>
    </row>
    <row r="30" spans="1:5" x14ac:dyDescent="0.25">
      <c r="A30" t="s">
        <v>260</v>
      </c>
      <c r="B30">
        <f>B10/B29</f>
        <v>10.204081632653061</v>
      </c>
      <c r="C30" t="s">
        <v>310</v>
      </c>
      <c r="D30">
        <f>ROUND(B30,1)</f>
        <v>10.199999999999999</v>
      </c>
    </row>
    <row r="32" spans="1:5" x14ac:dyDescent="0.25">
      <c r="A32" t="s">
        <v>273</v>
      </c>
      <c r="B32">
        <f>'BMW-AD-Std Size Calculator'!N19</f>
        <v>23</v>
      </c>
    </row>
    <row r="34" spans="1:11" x14ac:dyDescent="0.25">
      <c r="A34" s="2" t="s">
        <v>245</v>
      </c>
    </row>
    <row r="35" spans="1:11" x14ac:dyDescent="0.25">
      <c r="A35" s="43" t="s">
        <v>69</v>
      </c>
      <c r="B35" s="785">
        <v>7</v>
      </c>
      <c r="C35" s="260"/>
    </row>
    <row r="36" spans="1:11" x14ac:dyDescent="0.25">
      <c r="A36" s="43" t="s">
        <v>70</v>
      </c>
      <c r="B36" s="785">
        <v>21</v>
      </c>
      <c r="C36" s="260"/>
    </row>
    <row r="37" spans="1:11" x14ac:dyDescent="0.25">
      <c r="A37" s="43" t="s">
        <v>78</v>
      </c>
      <c r="B37" s="785">
        <f>SQRT(12/B15)</f>
        <v>1</v>
      </c>
      <c r="C37" s="260" t="s">
        <v>85</v>
      </c>
    </row>
    <row r="38" spans="1:11" x14ac:dyDescent="0.25">
      <c r="A38" s="893" t="s">
        <v>81</v>
      </c>
      <c r="B38" s="785">
        <f>SQRT(1.2065*B14^-0.205)</f>
        <v>0.9999420047061659</v>
      </c>
      <c r="C38" s="260" t="s">
        <v>86</v>
      </c>
      <c r="J38" s="785">
        <f>SQRT(1.209*B14^-0.199)</f>
        <v>1.0037328076321883</v>
      </c>
      <c r="K38" t="s">
        <v>393</v>
      </c>
    </row>
    <row r="39" spans="1:11" x14ac:dyDescent="0.25">
      <c r="A39" s="43" t="s">
        <v>82</v>
      </c>
      <c r="B39" s="785">
        <f>SQRT(2.5/B14)</f>
        <v>1</v>
      </c>
      <c r="C39" s="260" t="s">
        <v>87</v>
      </c>
    </row>
    <row r="40" spans="1:11" x14ac:dyDescent="0.25">
      <c r="A40" s="43" t="s">
        <v>83</v>
      </c>
      <c r="B40" s="785">
        <f>SQRT(195/145)</f>
        <v>1.1596670152276025</v>
      </c>
      <c r="C40" s="260" t="s">
        <v>84</v>
      </c>
    </row>
    <row r="41" spans="1:11" x14ac:dyDescent="0.25">
      <c r="A41" s="43" t="s">
        <v>52</v>
      </c>
      <c r="B41" s="785">
        <f ca="1">B23</f>
        <v>0.25</v>
      </c>
      <c r="C41" s="260" t="s">
        <v>90</v>
      </c>
      <c r="G41">
        <v>0.23665000000000003</v>
      </c>
      <c r="H41" t="s">
        <v>282</v>
      </c>
    </row>
    <row r="42" spans="1:11" x14ac:dyDescent="0.25">
      <c r="A42" s="893" t="s">
        <v>91</v>
      </c>
      <c r="B42" s="801">
        <f ca="1">SQRT(19.92*B41^2.153)</f>
        <v>1.0035224355789787</v>
      </c>
      <c r="C42" s="260" t="s">
        <v>92</v>
      </c>
    </row>
    <row r="43" spans="1:11" x14ac:dyDescent="0.25">
      <c r="A43" s="43" t="s">
        <v>94</v>
      </c>
      <c r="B43" s="785">
        <v>1.9</v>
      </c>
    </row>
    <row r="44" spans="1:11" x14ac:dyDescent="0.25">
      <c r="A44" s="43" t="s">
        <v>464</v>
      </c>
      <c r="B44" s="785">
        <v>1.07</v>
      </c>
    </row>
    <row r="45" spans="1:11" x14ac:dyDescent="0.25">
      <c r="A45" s="43"/>
    </row>
    <row r="46" spans="1:11" x14ac:dyDescent="0.25">
      <c r="A46" t="s">
        <v>265</v>
      </c>
    </row>
    <row r="47" spans="1:11" x14ac:dyDescent="0.25">
      <c r="A47" t="s">
        <v>176</v>
      </c>
      <c r="B47" t="s">
        <v>177</v>
      </c>
      <c r="C47" t="s">
        <v>178</v>
      </c>
      <c r="D47" t="s">
        <v>262</v>
      </c>
    </row>
    <row r="48" spans="1:11" x14ac:dyDescent="0.25">
      <c r="A48">
        <v>2.7</v>
      </c>
      <c r="B48">
        <v>2876.0549137605672</v>
      </c>
      <c r="C48">
        <v>2.1519259737465033</v>
      </c>
      <c r="D48">
        <f ca="1">B48*$B$23^C48</f>
        <v>145.61584705502079</v>
      </c>
    </row>
    <row r="49" spans="1:14" x14ac:dyDescent="0.25">
      <c r="A49">
        <v>4</v>
      </c>
      <c r="B49">
        <v>2647.6464560127733</v>
      </c>
      <c r="C49">
        <v>2.1753317380900588</v>
      </c>
      <c r="D49">
        <f t="shared" ref="D49:D50" ca="1" si="0">B49*$B$23^C49</f>
        <v>129.77163767195657</v>
      </c>
    </row>
    <row r="50" spans="1:14" x14ac:dyDescent="0.25">
      <c r="A50" s="131">
        <v>10</v>
      </c>
      <c r="B50" s="131">
        <v>2313.9064511709307</v>
      </c>
      <c r="C50" s="131">
        <v>2.1944261575597981</v>
      </c>
      <c r="D50" s="131">
        <f t="shared" ca="1" si="0"/>
        <v>110.4509876070708</v>
      </c>
    </row>
    <row r="51" spans="1:14" x14ac:dyDescent="0.25">
      <c r="A51">
        <f>B14</f>
        <v>2.5</v>
      </c>
      <c r="B51">
        <f ca="1">EXP(INDEX(LINEST(LN(D48:D50),LN(A48:A50),,),1,2))</f>
        <v>175.94818606365365</v>
      </c>
      <c r="C51">
        <f ca="1">INDEX(LINEST(LN(D48:D50),LN(A48:A50),,),1)</f>
        <v>-0.2048743409754559</v>
      </c>
      <c r="D51">
        <f ca="1">B51*B14^C51</f>
        <v>145.83343211575402</v>
      </c>
    </row>
    <row r="53" spans="1:14" x14ac:dyDescent="0.25">
      <c r="A53" t="s">
        <v>268</v>
      </c>
    </row>
    <row r="54" spans="1:14" x14ac:dyDescent="0.25">
      <c r="A54" t="s">
        <v>176</v>
      </c>
      <c r="B54" t="s">
        <v>266</v>
      </c>
      <c r="C54" t="s">
        <v>267</v>
      </c>
    </row>
    <row r="55" spans="1:14" x14ac:dyDescent="0.25">
      <c r="A55">
        <v>2.7</v>
      </c>
      <c r="B55">
        <v>2.47E-2</v>
      </c>
      <c r="C55">
        <v>0.4647</v>
      </c>
      <c r="G55" s="93">
        <f>N70</f>
        <v>1.1141708143752573</v>
      </c>
      <c r="H55">
        <f>B10</f>
        <v>100</v>
      </c>
    </row>
    <row r="56" spans="1:14" x14ac:dyDescent="0.25">
      <c r="A56">
        <v>4</v>
      </c>
      <c r="B56">
        <v>2.6700000000000002E-2</v>
      </c>
      <c r="C56">
        <v>0.4597</v>
      </c>
      <c r="G56">
        <v>3</v>
      </c>
      <c r="H56">
        <f>H55*SQRT(G56/G55)</f>
        <v>164.09099119281856</v>
      </c>
    </row>
    <row r="57" spans="1:14" x14ac:dyDescent="0.25">
      <c r="A57">
        <v>10</v>
      </c>
      <c r="B57">
        <v>2.93E-2</v>
      </c>
      <c r="C57">
        <v>0.45569999999999999</v>
      </c>
    </row>
    <row r="61" spans="1:14" x14ac:dyDescent="0.25">
      <c r="C61" s="718" t="s">
        <v>246</v>
      </c>
      <c r="D61">
        <v>2</v>
      </c>
      <c r="E61">
        <v>3</v>
      </c>
      <c r="F61">
        <v>4</v>
      </c>
      <c r="G61" s="173">
        <v>5</v>
      </c>
      <c r="H61">
        <v>6</v>
      </c>
      <c r="I61">
        <v>7</v>
      </c>
      <c r="J61">
        <v>8</v>
      </c>
      <c r="K61" s="173">
        <v>9</v>
      </c>
      <c r="L61">
        <v>10</v>
      </c>
      <c r="M61">
        <v>11</v>
      </c>
      <c r="N61">
        <v>12</v>
      </c>
    </row>
    <row r="62" spans="1:14" ht="15.75" x14ac:dyDescent="0.25">
      <c r="A62" s="702" t="s">
        <v>144</v>
      </c>
      <c r="B62" s="704" t="s">
        <v>214</v>
      </c>
      <c r="C62" s="718" t="s">
        <v>246</v>
      </c>
      <c r="D62">
        <v>2</v>
      </c>
      <c r="E62">
        <v>3</v>
      </c>
      <c r="F62">
        <v>4</v>
      </c>
      <c r="G62" s="718" t="s">
        <v>246</v>
      </c>
      <c r="H62">
        <v>2</v>
      </c>
      <c r="I62">
        <v>3</v>
      </c>
      <c r="J62">
        <v>4</v>
      </c>
      <c r="K62" s="718" t="s">
        <v>246</v>
      </c>
      <c r="L62">
        <v>2</v>
      </c>
      <c r="M62">
        <v>3</v>
      </c>
      <c r="N62">
        <v>4</v>
      </c>
    </row>
    <row r="63" spans="1:14" ht="15.75" x14ac:dyDescent="0.25">
      <c r="A63" s="702" t="s">
        <v>488</v>
      </c>
      <c r="B63" s="703" t="s">
        <v>212</v>
      </c>
      <c r="C63">
        <v>1000</v>
      </c>
      <c r="D63">
        <v>1000</v>
      </c>
      <c r="E63">
        <v>1000</v>
      </c>
      <c r="F63">
        <v>1000</v>
      </c>
      <c r="G63" s="173">
        <v>1200</v>
      </c>
      <c r="H63">
        <v>1200</v>
      </c>
      <c r="I63">
        <v>1200</v>
      </c>
      <c r="J63">
        <v>1200</v>
      </c>
      <c r="K63" s="173">
        <v>1500</v>
      </c>
      <c r="L63">
        <v>1500</v>
      </c>
      <c r="M63">
        <v>1500</v>
      </c>
      <c r="N63">
        <v>1500</v>
      </c>
    </row>
    <row r="64" spans="1:14" ht="15.75" x14ac:dyDescent="0.25">
      <c r="A64" s="960" t="s">
        <v>476</v>
      </c>
      <c r="B64" s="961"/>
      <c r="C64" s="962">
        <f t="shared" ref="C64:N64" si="1">C63-40</f>
        <v>960</v>
      </c>
      <c r="D64" s="962">
        <f t="shared" si="1"/>
        <v>960</v>
      </c>
      <c r="E64" s="962">
        <f t="shared" si="1"/>
        <v>960</v>
      </c>
      <c r="F64" s="962">
        <f t="shared" si="1"/>
        <v>960</v>
      </c>
      <c r="G64" s="962">
        <f t="shared" si="1"/>
        <v>1160</v>
      </c>
      <c r="H64" s="962">
        <f t="shared" si="1"/>
        <v>1160</v>
      </c>
      <c r="I64" s="962">
        <f t="shared" si="1"/>
        <v>1160</v>
      </c>
      <c r="J64" s="962">
        <f t="shared" si="1"/>
        <v>1160</v>
      </c>
      <c r="K64" s="962">
        <f t="shared" si="1"/>
        <v>1460</v>
      </c>
      <c r="L64" s="962">
        <f t="shared" si="1"/>
        <v>1460</v>
      </c>
      <c r="M64" s="962">
        <f t="shared" si="1"/>
        <v>1460</v>
      </c>
      <c r="N64" s="962">
        <f t="shared" si="1"/>
        <v>1460</v>
      </c>
    </row>
    <row r="65" spans="1:14" ht="15.75" x14ac:dyDescent="0.25">
      <c r="A65" s="702" t="s">
        <v>208</v>
      </c>
      <c r="B65" s="704" t="s">
        <v>215</v>
      </c>
      <c r="C65">
        <v>101</v>
      </c>
      <c r="D65">
        <v>140</v>
      </c>
      <c r="E65">
        <v>179</v>
      </c>
      <c r="F65">
        <v>218</v>
      </c>
      <c r="G65">
        <v>101</v>
      </c>
      <c r="H65">
        <v>140</v>
      </c>
      <c r="I65">
        <v>179</v>
      </c>
      <c r="J65">
        <v>218</v>
      </c>
      <c r="K65">
        <v>101</v>
      </c>
      <c r="L65">
        <v>140</v>
      </c>
      <c r="M65">
        <v>179</v>
      </c>
      <c r="N65">
        <v>218</v>
      </c>
    </row>
    <row r="66" spans="1:14" ht="15.75" x14ac:dyDescent="0.25">
      <c r="A66" s="702" t="s">
        <v>516</v>
      </c>
      <c r="B66" s="703"/>
      <c r="C66">
        <f>C63+52</f>
        <v>1052</v>
      </c>
      <c r="D66">
        <f t="shared" ref="D66:N66" si="2">D63+52</f>
        <v>1052</v>
      </c>
      <c r="E66">
        <f t="shared" si="2"/>
        <v>1052</v>
      </c>
      <c r="F66">
        <f t="shared" si="2"/>
        <v>1052</v>
      </c>
      <c r="G66">
        <f t="shared" si="2"/>
        <v>1252</v>
      </c>
      <c r="H66">
        <f t="shared" si="2"/>
        <v>1252</v>
      </c>
      <c r="I66">
        <f t="shared" si="2"/>
        <v>1252</v>
      </c>
      <c r="J66">
        <f t="shared" si="2"/>
        <v>1252</v>
      </c>
      <c r="K66">
        <f t="shared" si="2"/>
        <v>1552</v>
      </c>
      <c r="L66">
        <f t="shared" si="2"/>
        <v>1552</v>
      </c>
      <c r="M66">
        <f t="shared" si="2"/>
        <v>1552</v>
      </c>
      <c r="N66">
        <f t="shared" si="2"/>
        <v>1552</v>
      </c>
    </row>
    <row r="67" spans="1:14" ht="15.75" x14ac:dyDescent="0.25">
      <c r="A67" s="702" t="s">
        <v>515</v>
      </c>
      <c r="B67" s="703"/>
      <c r="C67">
        <f>IF('BMW-Std-selection'!$B$58=1,C66,C63)</f>
        <v>1052</v>
      </c>
      <c r="D67">
        <f>IF('BMW-Std-selection'!$B$58=1,D66,D63)</f>
        <v>1052</v>
      </c>
      <c r="E67">
        <f>IF('BMW-Std-selection'!$B$58=1,E66,E63)</f>
        <v>1052</v>
      </c>
      <c r="F67">
        <f>IF('BMW-Std-selection'!$B$58=1,F66,F63)</f>
        <v>1052</v>
      </c>
      <c r="G67">
        <f>IF('BMW-Std-selection'!$B$58=1,G66,G63)</f>
        <v>1252</v>
      </c>
      <c r="H67">
        <f>IF('BMW-Std-selection'!$B$58=1,H66,H63)</f>
        <v>1252</v>
      </c>
      <c r="I67">
        <f>IF('BMW-Std-selection'!$B$58=1,I66,I63)</f>
        <v>1252</v>
      </c>
      <c r="J67">
        <f>IF('BMW-Std-selection'!$B$58=1,J66,J63)</f>
        <v>1252</v>
      </c>
      <c r="K67">
        <f>IF('BMW-Std-selection'!$B$58=1,K66,K63)</f>
        <v>1552</v>
      </c>
      <c r="L67">
        <f>IF('BMW-Std-selection'!$B$58=1,L66,L63)</f>
        <v>1552</v>
      </c>
      <c r="M67">
        <f>IF('BMW-Std-selection'!$B$58=1,M66,M63)</f>
        <v>1552</v>
      </c>
      <c r="N67">
        <f>IF('BMW-Std-selection'!$B$58=1,N66,N63)</f>
        <v>1552</v>
      </c>
    </row>
    <row r="68" spans="1:14" ht="15.75" x14ac:dyDescent="0.25">
      <c r="A68" s="705" t="s">
        <v>209</v>
      </c>
      <c r="B68" s="706" t="s">
        <v>216</v>
      </c>
      <c r="C68">
        <v>134</v>
      </c>
      <c r="D68">
        <v>173</v>
      </c>
      <c r="E68">
        <v>212</v>
      </c>
      <c r="F68">
        <v>251</v>
      </c>
      <c r="G68" s="173">
        <v>134</v>
      </c>
      <c r="H68">
        <v>173</v>
      </c>
      <c r="I68">
        <v>212</v>
      </c>
      <c r="J68">
        <v>251</v>
      </c>
      <c r="K68" s="173">
        <v>134</v>
      </c>
      <c r="L68">
        <v>173</v>
      </c>
      <c r="M68">
        <v>212</v>
      </c>
      <c r="N68">
        <v>251</v>
      </c>
    </row>
    <row r="69" spans="1:14" ht="15.75" x14ac:dyDescent="0.25">
      <c r="A69" s="703" t="s">
        <v>237</v>
      </c>
      <c r="B69" s="704" t="s">
        <v>463</v>
      </c>
      <c r="C69" s="93">
        <f t="shared" ref="C69:N69" si="3">(1.359*10^-3*($B$10/(C$64*10^-3*C$65*10^-3)*(0.507*0.171))^2.0302)*$B$44</f>
        <v>13.315540087121997</v>
      </c>
      <c r="D69" s="93">
        <f t="shared" si="3"/>
        <v>6.8621925725454922</v>
      </c>
      <c r="E69" s="93">
        <f t="shared" si="3"/>
        <v>4.1666768141109713</v>
      </c>
      <c r="F69" s="93">
        <f t="shared" si="3"/>
        <v>2.7925288344038659</v>
      </c>
      <c r="G69" s="93">
        <f t="shared" si="3"/>
        <v>9.0678271695493962</v>
      </c>
      <c r="H69" s="93">
        <f t="shared" si="3"/>
        <v>4.6731244729749042</v>
      </c>
      <c r="I69" s="93">
        <f t="shared" si="3"/>
        <v>2.8374895028304752</v>
      </c>
      <c r="J69" s="93">
        <f t="shared" si="3"/>
        <v>1.9017004695774669</v>
      </c>
      <c r="K69" s="93">
        <f t="shared" si="3"/>
        <v>5.6845576586835511</v>
      </c>
      <c r="L69" s="93">
        <f t="shared" si="3"/>
        <v>2.9295491649904357</v>
      </c>
      <c r="M69" s="93">
        <f t="shared" si="3"/>
        <v>1.7788023947914169</v>
      </c>
      <c r="N69" s="93">
        <f t="shared" si="3"/>
        <v>1.1921627713815255</v>
      </c>
    </row>
    <row r="70" spans="1:14" ht="15.75" x14ac:dyDescent="0.25">
      <c r="A70" s="703" t="s">
        <v>462</v>
      </c>
      <c r="B70" s="704" t="s">
        <v>22</v>
      </c>
      <c r="C70" s="93">
        <f t="shared" ref="C70:N70" si="4">1.359*10^-3*($B$10/(C$64*10^-3*C$65*10^-3)*(0.507*0.171))^2.0302</f>
        <v>12.444429987964483</v>
      </c>
      <c r="D70" s="93">
        <f t="shared" si="4"/>
        <v>6.4132640864911137</v>
      </c>
      <c r="E70" s="93">
        <f t="shared" si="4"/>
        <v>3.8940904804775434</v>
      </c>
      <c r="F70" s="93">
        <f t="shared" si="4"/>
        <v>2.6098400321531456</v>
      </c>
      <c r="G70" s="93">
        <f t="shared" si="4"/>
        <v>8.4746048313545757</v>
      </c>
      <c r="H70" s="93">
        <f t="shared" si="4"/>
        <v>4.3674060495092561</v>
      </c>
      <c r="I70" s="93">
        <f t="shared" si="4"/>
        <v>2.6518593484396962</v>
      </c>
      <c r="J70" s="93">
        <f t="shared" si="4"/>
        <v>1.7772901584836138</v>
      </c>
      <c r="K70" s="93">
        <f t="shared" si="4"/>
        <v>5.3126707090500478</v>
      </c>
      <c r="L70" s="93">
        <f t="shared" si="4"/>
        <v>2.7378964158789119</v>
      </c>
      <c r="M70" s="93">
        <f t="shared" si="4"/>
        <v>1.6624321446648755</v>
      </c>
      <c r="N70" s="93">
        <f t="shared" si="4"/>
        <v>1.1141708143752573</v>
      </c>
    </row>
    <row r="71" spans="1:14" ht="15.75" x14ac:dyDescent="0.25">
      <c r="A71" s="703" t="s">
        <v>295</v>
      </c>
      <c r="B71" s="704" t="s">
        <v>294</v>
      </c>
      <c r="C71" s="93">
        <f t="shared" ref="C71:N71" si="5">C64*10^-3*C65*10^-3/(0.507*0.171)*(3/(1.359*10^-3))^0.4926</f>
        <v>49.635747062397726</v>
      </c>
      <c r="D71" s="93">
        <f t="shared" si="5"/>
        <v>68.802025631046376</v>
      </c>
      <c r="E71" s="93">
        <f t="shared" si="5"/>
        <v>87.968304199694998</v>
      </c>
      <c r="F71" s="93">
        <f t="shared" si="5"/>
        <v>107.13458276834362</v>
      </c>
      <c r="G71" s="93">
        <f t="shared" si="5"/>
        <v>59.976527700397256</v>
      </c>
      <c r="H71" s="93">
        <f t="shared" si="5"/>
        <v>83.135780970847676</v>
      </c>
      <c r="I71" s="93">
        <f t="shared" si="5"/>
        <v>106.2950342412981</v>
      </c>
      <c r="J71" s="93">
        <f t="shared" si="5"/>
        <v>129.45428751174853</v>
      </c>
      <c r="K71" s="93">
        <f t="shared" si="5"/>
        <v>75.48769865739655</v>
      </c>
      <c r="L71" s="93">
        <f t="shared" si="5"/>
        <v>104.63641398054968</v>
      </c>
      <c r="M71" s="93">
        <f t="shared" si="5"/>
        <v>133.78512930370277</v>
      </c>
      <c r="N71" s="93">
        <f t="shared" si="5"/>
        <v>162.93384462685592</v>
      </c>
    </row>
    <row r="72" spans="1:14" ht="15.75" x14ac:dyDescent="0.25">
      <c r="A72" s="703" t="s">
        <v>296</v>
      </c>
      <c r="B72" s="704"/>
      <c r="C72" s="93">
        <f>C71/$B$37</f>
        <v>49.635747062397726</v>
      </c>
      <c r="D72" s="93">
        <f t="shared" ref="D72:N72" si="6">D71/$B$37</f>
        <v>68.802025631046376</v>
      </c>
      <c r="E72" s="93">
        <f t="shared" si="6"/>
        <v>87.968304199694998</v>
      </c>
      <c r="F72" s="93">
        <f t="shared" si="6"/>
        <v>107.13458276834362</v>
      </c>
      <c r="G72" s="93">
        <f t="shared" si="6"/>
        <v>59.976527700397256</v>
      </c>
      <c r="H72" s="93">
        <f t="shared" si="6"/>
        <v>83.135780970847676</v>
      </c>
      <c r="I72" s="93">
        <f t="shared" si="6"/>
        <v>106.2950342412981</v>
      </c>
      <c r="J72" s="93">
        <f t="shared" si="6"/>
        <v>129.45428751174853</v>
      </c>
      <c r="K72" s="93">
        <f t="shared" si="6"/>
        <v>75.48769865739655</v>
      </c>
      <c r="L72" s="93">
        <f t="shared" si="6"/>
        <v>104.63641398054968</v>
      </c>
      <c r="M72" s="93">
        <f t="shared" si="6"/>
        <v>133.78512930370277</v>
      </c>
      <c r="N72" s="93">
        <f t="shared" si="6"/>
        <v>162.93384462685592</v>
      </c>
    </row>
    <row r="73" spans="1:14" ht="15.75" x14ac:dyDescent="0.25">
      <c r="A73" s="707" t="s">
        <v>142</v>
      </c>
      <c r="B73" s="708" t="s">
        <v>46</v>
      </c>
      <c r="C73" s="93">
        <f t="shared" ref="C73:N73" si="7">-114.08+32.01*LN($B$10/(C64*C65)*(507*171))+10*LOG(C64*C65/(507*171))+2</f>
        <v>32.236128513336354</v>
      </c>
      <c r="D73" s="93">
        <f t="shared" si="7"/>
        <v>23.202228928657185</v>
      </c>
      <c r="E73" s="93">
        <f t="shared" si="7"/>
        <v>16.403233184435027</v>
      </c>
      <c r="F73" s="93">
        <f t="shared" si="7"/>
        <v>10.949800495765967</v>
      </c>
      <c r="G73" s="93">
        <f t="shared" si="7"/>
        <v>27.000359666780568</v>
      </c>
      <c r="H73" s="93">
        <f t="shared" si="7"/>
        <v>17.966460082101428</v>
      </c>
      <c r="I73" s="93">
        <f t="shared" si="7"/>
        <v>11.167464337879224</v>
      </c>
      <c r="J73" s="93">
        <f t="shared" si="7"/>
        <v>5.7140316492101784</v>
      </c>
      <c r="K73" s="93">
        <f t="shared" si="7"/>
        <v>20.636482388786646</v>
      </c>
      <c r="L73" s="93">
        <f t="shared" si="7"/>
        <v>11.602582804107477</v>
      </c>
      <c r="M73" s="93">
        <f t="shared" si="7"/>
        <v>4.8035870598853041</v>
      </c>
      <c r="N73" s="93">
        <f t="shared" si="7"/>
        <v>-0.64984562878375574</v>
      </c>
    </row>
    <row r="74" spans="1:14" ht="15.75" x14ac:dyDescent="0.25">
      <c r="A74" s="709" t="s">
        <v>211</v>
      </c>
      <c r="B74" s="710" t="s">
        <v>23</v>
      </c>
      <c r="C74" s="93">
        <f>C73-15</f>
        <v>17.236128513336354</v>
      </c>
      <c r="D74" s="93">
        <f t="shared" ref="D74:N74" si="8">D73-15</f>
        <v>8.2022289286571848</v>
      </c>
      <c r="E74" s="93">
        <f t="shared" si="8"/>
        <v>1.4032331844350274</v>
      </c>
      <c r="F74" s="93">
        <f t="shared" si="8"/>
        <v>-4.0501995042340333</v>
      </c>
      <c r="G74" s="720">
        <f t="shared" si="8"/>
        <v>12.000359666780568</v>
      </c>
      <c r="H74" s="93">
        <f t="shared" si="8"/>
        <v>2.9664600821014275</v>
      </c>
      <c r="I74" s="93">
        <f t="shared" si="8"/>
        <v>-3.832535662120776</v>
      </c>
      <c r="J74" s="93">
        <f t="shared" si="8"/>
        <v>-9.2859683507898225</v>
      </c>
      <c r="K74" s="720">
        <f t="shared" si="8"/>
        <v>5.6364823887866464</v>
      </c>
      <c r="L74" s="93">
        <f t="shared" si="8"/>
        <v>-3.3974171958925226</v>
      </c>
      <c r="M74" s="93">
        <f t="shared" si="8"/>
        <v>-10.196412940114696</v>
      </c>
      <c r="N74" s="93">
        <f t="shared" si="8"/>
        <v>-15.649845628783755</v>
      </c>
    </row>
    <row r="75" spans="1:14" ht="15.75" x14ac:dyDescent="0.25">
      <c r="A75" s="744" t="s">
        <v>238</v>
      </c>
      <c r="B75" s="711" t="s">
        <v>93</v>
      </c>
      <c r="C75" s="118">
        <f t="shared" ref="C75:N75" ca="1" si="9">2+($B$10/C64*$B$43/$B$42^3)</f>
        <v>2.1958398684658293</v>
      </c>
      <c r="D75" s="118">
        <f t="shared" ca="1" si="9"/>
        <v>2.1958398684658293</v>
      </c>
      <c r="E75" s="118">
        <f t="shared" ca="1" si="9"/>
        <v>2.1958398684658293</v>
      </c>
      <c r="F75" s="118">
        <f t="shared" ca="1" si="9"/>
        <v>2.1958398684658293</v>
      </c>
      <c r="G75" s="745">
        <f t="shared" ca="1" si="9"/>
        <v>2.1620743739027555</v>
      </c>
      <c r="H75" s="118">
        <f t="shared" ca="1" si="9"/>
        <v>2.1620743739027555</v>
      </c>
      <c r="I75" s="118">
        <f t="shared" ca="1" si="9"/>
        <v>2.1620743739027555</v>
      </c>
      <c r="J75" s="118">
        <f t="shared" ca="1" si="9"/>
        <v>2.1620743739027555</v>
      </c>
      <c r="K75" s="745">
        <f t="shared" ca="1" si="9"/>
        <v>2.128771420361093</v>
      </c>
      <c r="L75" s="118">
        <f t="shared" ca="1" si="9"/>
        <v>2.128771420361093</v>
      </c>
      <c r="M75" s="118">
        <f t="shared" ca="1" si="9"/>
        <v>2.128771420361093</v>
      </c>
      <c r="N75" s="118">
        <f t="shared" ca="1" si="9"/>
        <v>2.128771420361093</v>
      </c>
    </row>
    <row r="76" spans="1:14" ht="15.75" x14ac:dyDescent="0.25">
      <c r="A76" s="799"/>
      <c r="B76" s="800"/>
      <c r="C76" s="115"/>
      <c r="D76" s="115"/>
      <c r="E76" s="115"/>
      <c r="F76" s="115"/>
      <c r="G76" s="719"/>
      <c r="H76" s="115"/>
      <c r="I76" s="115"/>
      <c r="J76" s="115"/>
      <c r="K76" s="719"/>
      <c r="L76" s="115"/>
      <c r="M76" s="115"/>
      <c r="N76" s="115"/>
    </row>
    <row r="77" spans="1:14" ht="15.75" x14ac:dyDescent="0.25">
      <c r="A77" s="678" t="s">
        <v>278</v>
      </c>
      <c r="B77" s="703"/>
      <c r="C77" s="115"/>
      <c r="D77" s="115"/>
      <c r="E77" s="115"/>
      <c r="F77" s="115"/>
      <c r="G77" s="719"/>
      <c r="H77" s="115"/>
      <c r="I77" s="115"/>
      <c r="J77" s="115"/>
      <c r="K77" s="719"/>
      <c r="L77" s="115"/>
      <c r="M77" s="115"/>
      <c r="N77" s="115"/>
    </row>
    <row r="78" spans="1:14" x14ac:dyDescent="0.25">
      <c r="A78" s="775" t="s">
        <v>75</v>
      </c>
      <c r="B78" s="776"/>
      <c r="C78" s="777">
        <f t="shared" ref="C78:N78" ca="1" si="10">(0.2529+2.7683*10^-4*C$70)*SQRT($B$10)/$B$37*$B$38*$B$40/$B$42</f>
        <v>2.962141952618961</v>
      </c>
      <c r="D78" s="777">
        <f t="shared" ca="1" si="10"/>
        <v>2.9428491439170075</v>
      </c>
      <c r="E78" s="777">
        <f t="shared" ca="1" si="10"/>
        <v>2.9347906797225543</v>
      </c>
      <c r="F78" s="777">
        <f t="shared" ca="1" si="10"/>
        <v>2.9306825522676507</v>
      </c>
      <c r="G78" s="778">
        <f t="shared" ca="1" si="10"/>
        <v>2.9494430684267741</v>
      </c>
      <c r="H78" s="777">
        <f t="shared" ca="1" si="10"/>
        <v>2.9363047463024095</v>
      </c>
      <c r="I78" s="777">
        <f t="shared" ca="1" si="10"/>
        <v>2.9308169658527099</v>
      </c>
      <c r="J78" s="777">
        <f t="shared" ca="1" si="10"/>
        <v>2.9280193482188914</v>
      </c>
      <c r="K78" s="778">
        <f t="shared" ca="1" si="10"/>
        <v>2.9393285082992038</v>
      </c>
      <c r="L78" s="777">
        <f t="shared" ca="1" si="10"/>
        <v>2.9310921857207251</v>
      </c>
      <c r="M78" s="777">
        <f t="shared" ca="1" si="10"/>
        <v>2.9276519344012826</v>
      </c>
      <c r="N78" s="777">
        <f t="shared" ca="1" si="10"/>
        <v>2.9258981274033076</v>
      </c>
    </row>
    <row r="79" spans="1:14" x14ac:dyDescent="0.25">
      <c r="A79" s="775" t="s">
        <v>76</v>
      </c>
      <c r="B79" s="776"/>
      <c r="C79" s="777">
        <f t="shared" ref="C79:N79" ca="1" si="11">(0.675+9.273*10^-3*C$70)*SQRT($B$10)*$B$37*$B$39/$B$40*$B$42</f>
        <v>6.8397334069123623</v>
      </c>
      <c r="D79" s="777">
        <f t="shared" ca="1" si="11"/>
        <v>6.3557668895675565</v>
      </c>
      <c r="E79" s="777">
        <f t="shared" ca="1" si="11"/>
        <v>6.1536176373986686</v>
      </c>
      <c r="F79" s="777">
        <f t="shared" ca="1" si="11"/>
        <v>6.0505638950497422</v>
      </c>
      <c r="G79" s="777">
        <f t="shared" ca="1" si="11"/>
        <v>6.5211776770752934</v>
      </c>
      <c r="H79" s="777">
        <f t="shared" ca="1" si="11"/>
        <v>6.1915985006830612</v>
      </c>
      <c r="I79" s="777">
        <f t="shared" ca="1" si="11"/>
        <v>6.0539357044969737</v>
      </c>
      <c r="J79" s="777">
        <f t="shared" ca="1" si="11"/>
        <v>5.9837565364961876</v>
      </c>
      <c r="K79" s="777">
        <f t="shared" ca="1" si="11"/>
        <v>6.2674505751775342</v>
      </c>
      <c r="L79" s="777">
        <f t="shared" ca="1" si="11"/>
        <v>6.0608396863424989</v>
      </c>
      <c r="M79" s="777">
        <f t="shared" ca="1" si="11"/>
        <v>5.9745398387887985</v>
      </c>
      <c r="N79" s="777">
        <f t="shared" ca="1" si="11"/>
        <v>5.9305450074494255</v>
      </c>
    </row>
    <row r="80" spans="1:14" ht="15.75" thickBot="1" x14ac:dyDescent="0.3">
      <c r="A80" s="779" t="s">
        <v>77</v>
      </c>
      <c r="B80" s="780"/>
      <c r="C80" s="781">
        <f t="shared" ref="C80:N80" ca="1" si="12">MIN(($B$36*($B$10*10^-3)/SQRT(C$64*10^-3*C$65*10^-3)*$B$37/$B$39^2*$B$42),(4*$B$14*$B$42))</f>
        <v>6.7678399189894227</v>
      </c>
      <c r="D80" s="781">
        <f t="shared" ca="1" si="12"/>
        <v>5.7483969032838935</v>
      </c>
      <c r="E80" s="781">
        <f t="shared" ca="1" si="12"/>
        <v>5.0837507455501028</v>
      </c>
      <c r="F80" s="781">
        <f t="shared" ca="1" si="12"/>
        <v>4.6066213683718455</v>
      </c>
      <c r="G80" s="781">
        <f t="shared" ca="1" si="12"/>
        <v>6.1568234422093022</v>
      </c>
      <c r="H80" s="781">
        <f t="shared" ca="1" si="12"/>
        <v>5.2294181353134572</v>
      </c>
      <c r="I80" s="781">
        <f t="shared" ca="1" si="12"/>
        <v>4.6247777930931901</v>
      </c>
      <c r="J80" s="781">
        <f t="shared" ca="1" si="12"/>
        <v>4.1907247762457605</v>
      </c>
      <c r="K80" s="781">
        <f t="shared" ca="1" si="12"/>
        <v>5.4879388851423609</v>
      </c>
      <c r="L80" s="781">
        <f t="shared" ca="1" si="12"/>
        <v>4.6612879841097383</v>
      </c>
      <c r="M80" s="781">
        <f t="shared" ca="1" si="12"/>
        <v>4.1223364814813515</v>
      </c>
      <c r="N80" s="781">
        <f t="shared" ca="1" si="12"/>
        <v>3.735439496091173</v>
      </c>
    </row>
    <row r="81" spans="1:14" ht="15.75" x14ac:dyDescent="0.25">
      <c r="A81" s="1056" t="s">
        <v>131</v>
      </c>
      <c r="B81" s="713" t="s">
        <v>56</v>
      </c>
      <c r="C81" s="115">
        <f t="shared" ref="C81:N81" ca="1" si="13">C78</f>
        <v>2.962141952618961</v>
      </c>
      <c r="D81" s="115">
        <f t="shared" ca="1" si="13"/>
        <v>2.9428491439170075</v>
      </c>
      <c r="E81" s="115">
        <f t="shared" ca="1" si="13"/>
        <v>2.9347906797225543</v>
      </c>
      <c r="F81" s="115">
        <f t="shared" ca="1" si="13"/>
        <v>2.9306825522676507</v>
      </c>
      <c r="G81" s="719">
        <f t="shared" ca="1" si="13"/>
        <v>2.9494430684267741</v>
      </c>
      <c r="H81" s="115">
        <f t="shared" ca="1" si="13"/>
        <v>2.9363047463024095</v>
      </c>
      <c r="I81" s="115">
        <f t="shared" ca="1" si="13"/>
        <v>2.9308169658527099</v>
      </c>
      <c r="J81" s="115">
        <f t="shared" ca="1" si="13"/>
        <v>2.9280193482188914</v>
      </c>
      <c r="K81" s="719">
        <f t="shared" ca="1" si="13"/>
        <v>2.9393285082992038</v>
      </c>
      <c r="L81" s="115">
        <f t="shared" ca="1" si="13"/>
        <v>2.9310921857207251</v>
      </c>
      <c r="M81" s="115">
        <f t="shared" ca="1" si="13"/>
        <v>2.9276519344012826</v>
      </c>
      <c r="N81" s="115">
        <f t="shared" ca="1" si="13"/>
        <v>2.9258981274033076</v>
      </c>
    </row>
    <row r="82" spans="1:14" ht="15.75" x14ac:dyDescent="0.25">
      <c r="A82" s="1057"/>
      <c r="B82" s="710" t="s">
        <v>140</v>
      </c>
      <c r="C82" s="115">
        <f t="shared" ref="C82:N82" ca="1" si="14">MIN(C79,C80)</f>
        <v>6.7678399189894227</v>
      </c>
      <c r="D82" s="115">
        <f t="shared" ca="1" si="14"/>
        <v>5.7483969032838935</v>
      </c>
      <c r="E82" s="115">
        <f t="shared" ca="1" si="14"/>
        <v>5.0837507455501028</v>
      </c>
      <c r="F82" s="115">
        <f t="shared" ca="1" si="14"/>
        <v>4.6066213683718455</v>
      </c>
      <c r="G82" s="719">
        <f t="shared" ca="1" si="14"/>
        <v>6.1568234422093022</v>
      </c>
      <c r="H82" s="115">
        <f t="shared" ca="1" si="14"/>
        <v>5.2294181353134572</v>
      </c>
      <c r="I82" s="115">
        <f t="shared" ca="1" si="14"/>
        <v>4.6247777930931901</v>
      </c>
      <c r="J82" s="115">
        <f t="shared" ca="1" si="14"/>
        <v>4.1907247762457605</v>
      </c>
      <c r="K82" s="719">
        <f t="shared" ca="1" si="14"/>
        <v>5.4879388851423609</v>
      </c>
      <c r="L82" s="115">
        <f t="shared" ca="1" si="14"/>
        <v>4.6612879841097383</v>
      </c>
      <c r="M82" s="115">
        <f t="shared" ca="1" si="14"/>
        <v>4.1223364814813515</v>
      </c>
      <c r="N82" s="115">
        <f t="shared" ca="1" si="14"/>
        <v>3.735439496091173</v>
      </c>
    </row>
    <row r="83" spans="1:14" ht="15.75" x14ac:dyDescent="0.25">
      <c r="A83" s="1057"/>
      <c r="B83" s="708" t="s">
        <v>145</v>
      </c>
      <c r="C83" s="115">
        <f t="shared" ref="C83:N83" ca="1" si="15">C78</f>
        <v>2.962141952618961</v>
      </c>
      <c r="D83" s="115">
        <f t="shared" ca="1" si="15"/>
        <v>2.9428491439170075</v>
      </c>
      <c r="E83" s="115">
        <f t="shared" ca="1" si="15"/>
        <v>2.9347906797225543</v>
      </c>
      <c r="F83" s="115">
        <f t="shared" ca="1" si="15"/>
        <v>2.9306825522676507</v>
      </c>
      <c r="G83" s="719">
        <f t="shared" ca="1" si="15"/>
        <v>2.9494430684267741</v>
      </c>
      <c r="H83" s="115">
        <f t="shared" ca="1" si="15"/>
        <v>2.9363047463024095</v>
      </c>
      <c r="I83" s="115">
        <f t="shared" ca="1" si="15"/>
        <v>2.9308169658527099</v>
      </c>
      <c r="J83" s="115">
        <f t="shared" ca="1" si="15"/>
        <v>2.9280193482188914</v>
      </c>
      <c r="K83" s="719">
        <f t="shared" ca="1" si="15"/>
        <v>2.9393285082992038</v>
      </c>
      <c r="L83" s="115">
        <f t="shared" ca="1" si="15"/>
        <v>2.9310921857207251</v>
      </c>
      <c r="M83" s="115">
        <f t="shared" ca="1" si="15"/>
        <v>2.9276519344012826</v>
      </c>
      <c r="N83" s="115">
        <f t="shared" ca="1" si="15"/>
        <v>2.9258981274033076</v>
      </c>
    </row>
    <row r="84" spans="1:14" ht="16.5" thickBot="1" x14ac:dyDescent="0.3">
      <c r="A84" s="1058"/>
      <c r="B84" s="712" t="s">
        <v>148</v>
      </c>
      <c r="C84" s="118">
        <f t="shared" ref="C84:N84" ca="1" si="16">MIN(C79,C80)</f>
        <v>6.7678399189894227</v>
      </c>
      <c r="D84" s="118">
        <f t="shared" ca="1" si="16"/>
        <v>5.7483969032838935</v>
      </c>
      <c r="E84" s="118">
        <f t="shared" ca="1" si="16"/>
        <v>5.0837507455501028</v>
      </c>
      <c r="F84" s="118">
        <f t="shared" ca="1" si="16"/>
        <v>4.6066213683718455</v>
      </c>
      <c r="G84" s="745">
        <f t="shared" ca="1" si="16"/>
        <v>6.1568234422093022</v>
      </c>
      <c r="H84" s="118">
        <f t="shared" ca="1" si="16"/>
        <v>5.2294181353134572</v>
      </c>
      <c r="I84" s="118">
        <f t="shared" ca="1" si="16"/>
        <v>4.6247777930931901</v>
      </c>
      <c r="J84" s="118">
        <f t="shared" ca="1" si="16"/>
        <v>4.1907247762457605</v>
      </c>
      <c r="K84" s="745">
        <f t="shared" ca="1" si="16"/>
        <v>5.4879388851423609</v>
      </c>
      <c r="L84" s="118">
        <f t="shared" ca="1" si="16"/>
        <v>4.6612879841097383</v>
      </c>
      <c r="M84" s="118">
        <f t="shared" ca="1" si="16"/>
        <v>4.1223364814813515</v>
      </c>
      <c r="N84" s="118">
        <f t="shared" ca="1" si="16"/>
        <v>3.735439496091173</v>
      </c>
    </row>
    <row r="85" spans="1:14" x14ac:dyDescent="0.25">
      <c r="A85" s="775" t="s">
        <v>71</v>
      </c>
      <c r="B85" s="776"/>
      <c r="C85" s="777">
        <f ca="1">1.075*0.707*C78</f>
        <v>2.2513019375392256</v>
      </c>
      <c r="D85" s="777">
        <f t="shared" ref="D85:N85" ca="1" si="17">1.075*0.707*D78</f>
        <v>2.2366389206055235</v>
      </c>
      <c r="E85" s="777">
        <f t="shared" ca="1" si="17"/>
        <v>2.2305142863561342</v>
      </c>
      <c r="F85" s="777">
        <f t="shared" ca="1" si="17"/>
        <v>2.227392006787221</v>
      </c>
      <c r="G85" s="778">
        <f t="shared" ca="1" si="17"/>
        <v>2.2416504680810587</v>
      </c>
      <c r="H85" s="777">
        <f t="shared" ca="1" si="17"/>
        <v>2.2316650148084887</v>
      </c>
      <c r="I85" s="777">
        <f t="shared" ca="1" si="17"/>
        <v>2.2274941644722057</v>
      </c>
      <c r="J85" s="777">
        <f t="shared" ca="1" si="17"/>
        <v>2.2253679051300628</v>
      </c>
      <c r="K85" s="778">
        <f t="shared" ca="1" si="17"/>
        <v>2.2339631495201022</v>
      </c>
      <c r="L85" s="777">
        <f t="shared" ca="1" si="17"/>
        <v>2.2277033384523941</v>
      </c>
      <c r="M85" s="777">
        <f t="shared" ca="1" si="17"/>
        <v>2.2250886614433347</v>
      </c>
      <c r="N85" s="777">
        <f t="shared" ca="1" si="17"/>
        <v>2.2237557242796986</v>
      </c>
    </row>
    <row r="86" spans="1:14" x14ac:dyDescent="0.25">
      <c r="A86" s="775" t="s">
        <v>72</v>
      </c>
      <c r="B86" s="776"/>
      <c r="C86" s="777">
        <f ca="1">1.075*0.707*C79</f>
        <v>5.1983683825885683</v>
      </c>
      <c r="D86" s="777">
        <f t="shared" ref="D86:N86" ca="1" si="18">1.075*0.707*D79</f>
        <v>4.8305417302435822</v>
      </c>
      <c r="E86" s="777">
        <f t="shared" ca="1" si="18"/>
        <v>4.6769032448639232</v>
      </c>
      <c r="F86" s="777">
        <f t="shared" ca="1" si="18"/>
        <v>4.5985798243351796</v>
      </c>
      <c r="G86" s="778">
        <f t="shared" ca="1" si="18"/>
        <v>4.9562580640191491</v>
      </c>
      <c r="H86" s="777">
        <f t="shared" ca="1" si="18"/>
        <v>4.7057696504816429</v>
      </c>
      <c r="I86" s="777">
        <f t="shared" ca="1" si="18"/>
        <v>4.6011424838103121</v>
      </c>
      <c r="J86" s="777">
        <f t="shared" ca="1" si="18"/>
        <v>4.5478045616505147</v>
      </c>
      <c r="K86" s="778">
        <f t="shared" ca="1" si="18"/>
        <v>4.7634191233993048</v>
      </c>
      <c r="L86" s="777">
        <f t="shared" ca="1" si="18"/>
        <v>4.6063896826124573</v>
      </c>
      <c r="M86" s="777">
        <f t="shared" ca="1" si="18"/>
        <v>4.5407996409754565</v>
      </c>
      <c r="N86" s="777">
        <f t="shared" ca="1" si="18"/>
        <v>4.5073624692867496</v>
      </c>
    </row>
    <row r="87" spans="1:14" x14ac:dyDescent="0.25">
      <c r="A87" s="779" t="s">
        <v>79</v>
      </c>
      <c r="B87" s="780"/>
      <c r="C87" s="781">
        <f ca="1">1.075*0.707*C80</f>
        <v>5.143727534429936</v>
      </c>
      <c r="D87" s="781">
        <f t="shared" ref="D87:N87" ca="1" si="19">1.075*0.707*D80</f>
        <v>4.368925356418341</v>
      </c>
      <c r="E87" s="781">
        <f t="shared" ca="1" si="19"/>
        <v>3.8637776603867167</v>
      </c>
      <c r="F87" s="781">
        <f t="shared" ca="1" si="19"/>
        <v>3.5011474054968117</v>
      </c>
      <c r="G87" s="782">
        <f t="shared" ca="1" si="19"/>
        <v>4.679339736665125</v>
      </c>
      <c r="H87" s="781">
        <f t="shared" ca="1" si="19"/>
        <v>3.9744885182916101</v>
      </c>
      <c r="I87" s="781">
        <f t="shared" ca="1" si="19"/>
        <v>3.5149467421956517</v>
      </c>
      <c r="J87" s="781">
        <f t="shared" ca="1" si="19"/>
        <v>3.1850555980661839</v>
      </c>
      <c r="K87" s="782">
        <f t="shared" ca="1" si="19"/>
        <v>4.1709707511803229</v>
      </c>
      <c r="L87" s="781">
        <f t="shared" ca="1" si="19"/>
        <v>3.5426954001230038</v>
      </c>
      <c r="M87" s="781">
        <f t="shared" ca="1" si="19"/>
        <v>3.1330787843378638</v>
      </c>
      <c r="N87" s="781">
        <f t="shared" ca="1" si="19"/>
        <v>2.8390274030166935</v>
      </c>
    </row>
    <row r="88" spans="1:14" x14ac:dyDescent="0.25">
      <c r="A88" s="775" t="s">
        <v>73</v>
      </c>
      <c r="B88" s="776"/>
      <c r="C88" s="777">
        <f ca="1">1.075*1.225*C78</f>
        <v>3.9007706838550944</v>
      </c>
      <c r="D88" s="777">
        <f t="shared" ref="D88:N88" ca="1" si="20">1.075*1.225*D78</f>
        <v>3.8753644663957094</v>
      </c>
      <c r="E88" s="777">
        <f t="shared" ca="1" si="20"/>
        <v>3.8647524763596386</v>
      </c>
      <c r="F88" s="777">
        <f t="shared" ca="1" si="20"/>
        <v>3.8593425860174628</v>
      </c>
      <c r="G88" s="778">
        <f t="shared" ca="1" si="20"/>
        <v>3.884047840734508</v>
      </c>
      <c r="H88" s="777">
        <f t="shared" ca="1" si="20"/>
        <v>3.8667463127869857</v>
      </c>
      <c r="I88" s="777">
        <f t="shared" ca="1" si="20"/>
        <v>3.8595195919072873</v>
      </c>
      <c r="J88" s="777">
        <f t="shared" ca="1" si="20"/>
        <v>3.8558354791857528</v>
      </c>
      <c r="K88" s="778">
        <f t="shared" ca="1" si="20"/>
        <v>3.870728229366514</v>
      </c>
      <c r="L88" s="777">
        <f t="shared" ca="1" si="20"/>
        <v>3.85988202207098</v>
      </c>
      <c r="M88" s="777">
        <f t="shared" ca="1" si="20"/>
        <v>3.8553516411146891</v>
      </c>
      <c r="N88" s="777">
        <f t="shared" ca="1" si="20"/>
        <v>3.8530420965242307</v>
      </c>
    </row>
    <row r="89" spans="1:14" x14ac:dyDescent="0.25">
      <c r="A89" s="775" t="s">
        <v>74</v>
      </c>
      <c r="B89" s="776"/>
      <c r="C89" s="777">
        <f ca="1">1.075*1.225*C79</f>
        <v>9.0070739302277172</v>
      </c>
      <c r="D89" s="777">
        <f t="shared" ref="D89:N89" ca="1" si="21">1.075*1.225*D79</f>
        <v>8.3697505226992757</v>
      </c>
      <c r="E89" s="777">
        <f t="shared" ca="1" si="21"/>
        <v>8.1035452262493717</v>
      </c>
      <c r="F89" s="777">
        <f t="shared" ca="1" si="21"/>
        <v>7.9678363292936298</v>
      </c>
      <c r="G89" s="778">
        <f t="shared" ca="1" si="21"/>
        <v>8.5875758534985263</v>
      </c>
      <c r="H89" s="777">
        <f t="shared" ca="1" si="21"/>
        <v>8.1535612755870055</v>
      </c>
      <c r="I89" s="777">
        <f t="shared" ca="1" si="21"/>
        <v>7.972276580859452</v>
      </c>
      <c r="J89" s="777">
        <f t="shared" ca="1" si="21"/>
        <v>7.8798593889984172</v>
      </c>
      <c r="K89" s="778">
        <f t="shared" ca="1" si="21"/>
        <v>8.253448976186915</v>
      </c>
      <c r="L89" s="777">
        <f t="shared" ca="1" si="21"/>
        <v>7.9813682619522783</v>
      </c>
      <c r="M89" s="777">
        <f t="shared" ca="1" si="21"/>
        <v>7.8677221502049992</v>
      </c>
      <c r="N89" s="777">
        <f t="shared" ca="1" si="21"/>
        <v>7.8097864566849626</v>
      </c>
    </row>
    <row r="90" spans="1:14" x14ac:dyDescent="0.25">
      <c r="A90" s="779" t="s">
        <v>80</v>
      </c>
      <c r="B90" s="780"/>
      <c r="C90" s="781">
        <f ca="1">1.075*1.225*C80</f>
        <v>8.9123991933191959</v>
      </c>
      <c r="D90" s="781">
        <f t="shared" ref="D90:N90" ca="1" si="22">1.075*1.225*D80</f>
        <v>7.5699201720119778</v>
      </c>
      <c r="E90" s="781">
        <f t="shared" ca="1" si="22"/>
        <v>6.6946642630462918</v>
      </c>
      <c r="F90" s="781">
        <f t="shared" ca="1" si="22"/>
        <v>6.0663445144746744</v>
      </c>
      <c r="G90" s="782">
        <f t="shared" ca="1" si="22"/>
        <v>8.1077668704593755</v>
      </c>
      <c r="H90" s="781">
        <f t="shared" ca="1" si="22"/>
        <v>6.8864900069409094</v>
      </c>
      <c r="I90" s="781">
        <f t="shared" ca="1" si="22"/>
        <v>6.0902542562795947</v>
      </c>
      <c r="J90" s="781">
        <f t="shared" ca="1" si="22"/>
        <v>5.5186606897186357</v>
      </c>
      <c r="K90" s="782">
        <f t="shared" ca="1" si="22"/>
        <v>7.226929519371847</v>
      </c>
      <c r="L90" s="781">
        <f t="shared" ca="1" si="22"/>
        <v>6.1383336140745115</v>
      </c>
      <c r="M90" s="781">
        <f t="shared" ca="1" si="22"/>
        <v>5.428601854050755</v>
      </c>
      <c r="N90" s="781">
        <f t="shared" ca="1" si="22"/>
        <v>4.9191068864150633</v>
      </c>
    </row>
    <row r="91" spans="1:14" ht="15.75" x14ac:dyDescent="0.25">
      <c r="A91" s="1055" t="s">
        <v>130</v>
      </c>
      <c r="B91" s="704" t="s">
        <v>139</v>
      </c>
      <c r="C91" s="115">
        <f ca="1">C85</f>
        <v>2.2513019375392256</v>
      </c>
      <c r="D91" s="115">
        <f t="shared" ref="D91:N91" ca="1" si="23">D85</f>
        <v>2.2366389206055235</v>
      </c>
      <c r="E91" s="115">
        <f t="shared" ca="1" si="23"/>
        <v>2.2305142863561342</v>
      </c>
      <c r="F91" s="115">
        <f t="shared" ca="1" si="23"/>
        <v>2.227392006787221</v>
      </c>
      <c r="G91" s="719">
        <f t="shared" ca="1" si="23"/>
        <v>2.2416504680810587</v>
      </c>
      <c r="H91" s="115">
        <f t="shared" ca="1" si="23"/>
        <v>2.2316650148084887</v>
      </c>
      <c r="I91" s="115">
        <f t="shared" ca="1" si="23"/>
        <v>2.2274941644722057</v>
      </c>
      <c r="J91" s="115">
        <f t="shared" ca="1" si="23"/>
        <v>2.2253679051300628</v>
      </c>
      <c r="K91" s="719">
        <f t="shared" ca="1" si="23"/>
        <v>2.2339631495201022</v>
      </c>
      <c r="L91" s="115">
        <f t="shared" ca="1" si="23"/>
        <v>2.2277033384523941</v>
      </c>
      <c r="M91" s="115">
        <f t="shared" ca="1" si="23"/>
        <v>2.2250886614433347</v>
      </c>
      <c r="N91" s="115">
        <f t="shared" ca="1" si="23"/>
        <v>2.2237557242796986</v>
      </c>
    </row>
    <row r="92" spans="1:14" ht="15.75" x14ac:dyDescent="0.25">
      <c r="A92" s="1055"/>
      <c r="B92" s="710" t="s">
        <v>57</v>
      </c>
      <c r="C92" s="115">
        <f ca="1">MIN(C86,C87)</f>
        <v>5.143727534429936</v>
      </c>
      <c r="D92" s="115">
        <f t="shared" ref="D92:N92" ca="1" si="24">MIN(D86,D87)</f>
        <v>4.368925356418341</v>
      </c>
      <c r="E92" s="115">
        <f t="shared" ca="1" si="24"/>
        <v>3.8637776603867167</v>
      </c>
      <c r="F92" s="115">
        <f t="shared" ca="1" si="24"/>
        <v>3.5011474054968117</v>
      </c>
      <c r="G92" s="719">
        <f t="shared" ca="1" si="24"/>
        <v>4.679339736665125</v>
      </c>
      <c r="H92" s="115">
        <f t="shared" ca="1" si="24"/>
        <v>3.9744885182916101</v>
      </c>
      <c r="I92" s="115">
        <f t="shared" ca="1" si="24"/>
        <v>3.5149467421956517</v>
      </c>
      <c r="J92" s="115">
        <f t="shared" ca="1" si="24"/>
        <v>3.1850555980661839</v>
      </c>
      <c r="K92" s="719">
        <f t="shared" ca="1" si="24"/>
        <v>4.1709707511803229</v>
      </c>
      <c r="L92" s="115">
        <f t="shared" ca="1" si="24"/>
        <v>3.5426954001230038</v>
      </c>
      <c r="M92" s="115">
        <f t="shared" ca="1" si="24"/>
        <v>3.1330787843378638</v>
      </c>
      <c r="N92" s="115">
        <f t="shared" ca="1" si="24"/>
        <v>2.8390274030166935</v>
      </c>
    </row>
    <row r="93" spans="1:14" ht="15.75" x14ac:dyDescent="0.25">
      <c r="A93" s="1055"/>
      <c r="B93" s="708" t="s">
        <v>145</v>
      </c>
      <c r="C93" s="115">
        <f ca="1">C88</f>
        <v>3.9007706838550944</v>
      </c>
      <c r="D93" s="115">
        <f t="shared" ref="D93:N93" ca="1" si="25">D88</f>
        <v>3.8753644663957094</v>
      </c>
      <c r="E93" s="115">
        <f t="shared" ca="1" si="25"/>
        <v>3.8647524763596386</v>
      </c>
      <c r="F93" s="115">
        <f t="shared" ca="1" si="25"/>
        <v>3.8593425860174628</v>
      </c>
      <c r="G93" s="719">
        <f t="shared" ca="1" si="25"/>
        <v>3.884047840734508</v>
      </c>
      <c r="H93" s="115">
        <f t="shared" ca="1" si="25"/>
        <v>3.8667463127869857</v>
      </c>
      <c r="I93" s="115">
        <f t="shared" ca="1" si="25"/>
        <v>3.8595195919072873</v>
      </c>
      <c r="J93" s="115">
        <f t="shared" ca="1" si="25"/>
        <v>3.8558354791857528</v>
      </c>
      <c r="K93" s="719">
        <f t="shared" ca="1" si="25"/>
        <v>3.870728229366514</v>
      </c>
      <c r="L93" s="115">
        <f t="shared" ca="1" si="25"/>
        <v>3.85988202207098</v>
      </c>
      <c r="M93" s="115">
        <f t="shared" ca="1" si="25"/>
        <v>3.8553516411146891</v>
      </c>
      <c r="N93" s="115">
        <f t="shared" ca="1" si="25"/>
        <v>3.8530420965242307</v>
      </c>
    </row>
    <row r="94" spans="1:14" ht="16.5" thickBot="1" x14ac:dyDescent="0.3">
      <c r="A94" s="1055"/>
      <c r="B94" s="712" t="s">
        <v>148</v>
      </c>
      <c r="C94" s="118">
        <f ca="1">MIN(C89,C90)</f>
        <v>8.9123991933191959</v>
      </c>
      <c r="D94" s="118">
        <f t="shared" ref="D94:N94" ca="1" si="26">MIN(D89,D90)</f>
        <v>7.5699201720119778</v>
      </c>
      <c r="E94" s="118">
        <f t="shared" ca="1" si="26"/>
        <v>6.6946642630462918</v>
      </c>
      <c r="F94" s="118">
        <f t="shared" ca="1" si="26"/>
        <v>6.0663445144746744</v>
      </c>
      <c r="G94" s="745">
        <f t="shared" ca="1" si="26"/>
        <v>8.1077668704593755</v>
      </c>
      <c r="H94" s="118">
        <f t="shared" ca="1" si="26"/>
        <v>6.8864900069409094</v>
      </c>
      <c r="I94" s="118">
        <f t="shared" ca="1" si="26"/>
        <v>6.0902542562795947</v>
      </c>
      <c r="J94" s="118">
        <f t="shared" ca="1" si="26"/>
        <v>5.5186606897186357</v>
      </c>
      <c r="K94" s="745">
        <f t="shared" ca="1" si="26"/>
        <v>7.226929519371847</v>
      </c>
      <c r="L94" s="118">
        <f t="shared" ca="1" si="26"/>
        <v>6.1383336140745115</v>
      </c>
      <c r="M94" s="118">
        <f t="shared" ca="1" si="26"/>
        <v>5.428601854050755</v>
      </c>
      <c r="N94" s="118">
        <f t="shared" ca="1" si="26"/>
        <v>4.9191068864150633</v>
      </c>
    </row>
    <row r="95" spans="1:14" hidden="1" x14ac:dyDescent="0.25">
      <c r="A95" s="775" t="s">
        <v>71</v>
      </c>
      <c r="B95" s="776"/>
      <c r="C95" s="777">
        <f t="shared" ref="C95:N95" ca="1" si="27">1.07*1.22*C78</f>
        <v>3.8667801049487918</v>
      </c>
      <c r="D95" s="777">
        <f t="shared" ca="1" si="27"/>
        <v>3.8415952724692617</v>
      </c>
      <c r="E95" s="777">
        <f t="shared" ca="1" si="27"/>
        <v>3.8310757533098228</v>
      </c>
      <c r="F95" s="777">
        <f t="shared" ca="1" si="27"/>
        <v>3.8257130037301916</v>
      </c>
      <c r="G95" s="778">
        <f t="shared" ca="1" si="27"/>
        <v>3.8502029815243111</v>
      </c>
      <c r="H95" s="777">
        <f t="shared" ca="1" si="27"/>
        <v>3.8330522158231655</v>
      </c>
      <c r="I95" s="777">
        <f t="shared" ca="1" si="27"/>
        <v>3.8258884672241278</v>
      </c>
      <c r="J95" s="777">
        <f t="shared" ca="1" si="27"/>
        <v>3.8222364571649412</v>
      </c>
      <c r="K95" s="778">
        <f t="shared" ca="1" si="27"/>
        <v>3.836999434733781</v>
      </c>
      <c r="L95" s="777">
        <f t="shared" ca="1" si="27"/>
        <v>3.8262477392398346</v>
      </c>
      <c r="M95" s="777">
        <f t="shared" ca="1" si="27"/>
        <v>3.8217568351674345</v>
      </c>
      <c r="N95" s="777">
        <f t="shared" ca="1" si="27"/>
        <v>3.8194674155122779</v>
      </c>
    </row>
    <row r="96" spans="1:14" hidden="1" x14ac:dyDescent="0.25">
      <c r="A96" s="775" t="s">
        <v>72</v>
      </c>
      <c r="B96" s="776"/>
      <c r="C96" s="777">
        <f t="shared" ref="C96:N96" ca="1" si="28">1.07*1.22*C79</f>
        <v>8.9285879893833986</v>
      </c>
      <c r="D96" s="777">
        <f t="shared" ca="1" si="28"/>
        <v>8.2968180976414896</v>
      </c>
      <c r="E96" s="777">
        <f t="shared" ca="1" si="28"/>
        <v>8.032932463860222</v>
      </c>
      <c r="F96" s="777">
        <f t="shared" ca="1" si="28"/>
        <v>7.8984061085979338</v>
      </c>
      <c r="G96" s="778">
        <f t="shared" ca="1" si="28"/>
        <v>8.5127453396540886</v>
      </c>
      <c r="H96" s="777">
        <f t="shared" ca="1" si="28"/>
        <v>8.082512682791668</v>
      </c>
      <c r="I96" s="777">
        <f t="shared" ca="1" si="28"/>
        <v>7.9028076686503503</v>
      </c>
      <c r="J96" s="777">
        <f t="shared" ca="1" si="28"/>
        <v>7.8111957827421241</v>
      </c>
      <c r="K96" s="778">
        <f t="shared" ca="1" si="28"/>
        <v>8.1815299808367534</v>
      </c>
      <c r="L96" s="777">
        <f t="shared" ca="1" si="28"/>
        <v>7.9118201265514987</v>
      </c>
      <c r="M96" s="777">
        <f t="shared" ca="1" si="28"/>
        <v>7.799164305554898</v>
      </c>
      <c r="N96" s="777">
        <f t="shared" ca="1" si="28"/>
        <v>7.741733452724481</v>
      </c>
    </row>
    <row r="97" spans="1:14" hidden="1" x14ac:dyDescent="0.25">
      <c r="A97" s="779" t="s">
        <v>79</v>
      </c>
      <c r="B97" s="780"/>
      <c r="C97" s="781">
        <f t="shared" ref="C97:N97" ca="1" si="29">1.07*1.22*C80</f>
        <v>8.834738230248794</v>
      </c>
      <c r="D97" s="781">
        <f t="shared" ca="1" si="29"/>
        <v>7.5039573175467948</v>
      </c>
      <c r="E97" s="781">
        <f t="shared" ca="1" si="29"/>
        <v>6.6363282232411045</v>
      </c>
      <c r="F97" s="781">
        <f t="shared" ca="1" si="29"/>
        <v>6.0134835342726074</v>
      </c>
      <c r="G97" s="782">
        <f t="shared" ca="1" si="29"/>
        <v>8.0371173214600233</v>
      </c>
      <c r="H97" s="781">
        <f t="shared" ca="1" si="29"/>
        <v>6.826482433838188</v>
      </c>
      <c r="I97" s="781">
        <f t="shared" ca="1" si="29"/>
        <v>6.0371849311038508</v>
      </c>
      <c r="J97" s="781">
        <f t="shared" ca="1" si="29"/>
        <v>5.4705721229112161</v>
      </c>
      <c r="K97" s="782">
        <f t="shared" ca="1" si="29"/>
        <v>7.1639554206648386</v>
      </c>
      <c r="L97" s="781">
        <f t="shared" ca="1" si="29"/>
        <v>6.0848453344568529</v>
      </c>
      <c r="M97" s="781">
        <f t="shared" ca="1" si="29"/>
        <v>5.3812980429257564</v>
      </c>
      <c r="N97" s="781">
        <f t="shared" ca="1" si="29"/>
        <v>4.8762427181974175</v>
      </c>
    </row>
    <row r="98" spans="1:14" hidden="1" x14ac:dyDescent="0.25">
      <c r="A98" s="775" t="s">
        <v>73</v>
      </c>
      <c r="B98" s="776"/>
      <c r="C98" s="777">
        <f t="shared" ref="C98:N98" ca="1" si="30">1.07*0.707*C78</f>
        <v>2.2408307657367179</v>
      </c>
      <c r="D98" s="777">
        <f t="shared" ca="1" si="30"/>
        <v>2.2262359488817771</v>
      </c>
      <c r="E98" s="777">
        <f t="shared" ca="1" si="30"/>
        <v>2.2201398013033149</v>
      </c>
      <c r="F98" s="777">
        <f t="shared" ca="1" si="30"/>
        <v>2.2170320439649549</v>
      </c>
      <c r="G98" s="778">
        <f t="shared" ca="1" si="30"/>
        <v>2.2312241868341705</v>
      </c>
      <c r="H98" s="777">
        <f t="shared" ca="1" si="30"/>
        <v>2.2212851775303095</v>
      </c>
      <c r="I98" s="777">
        <f t="shared" ca="1" si="30"/>
        <v>2.2171337264979165</v>
      </c>
      <c r="J98" s="777">
        <f t="shared" ca="1" si="30"/>
        <v>2.2150173567341094</v>
      </c>
      <c r="K98" s="778">
        <f t="shared" ca="1" si="30"/>
        <v>2.2235726232432644</v>
      </c>
      <c r="L98" s="777">
        <f t="shared" ca="1" si="30"/>
        <v>2.2173419275758715</v>
      </c>
      <c r="M98" s="777">
        <f t="shared" ca="1" si="30"/>
        <v>2.2147394118552262</v>
      </c>
      <c r="N98" s="777">
        <f t="shared" ca="1" si="30"/>
        <v>2.2134126743993283</v>
      </c>
    </row>
    <row r="99" spans="1:14" hidden="1" x14ac:dyDescent="0.25">
      <c r="A99" s="775" t="s">
        <v>74</v>
      </c>
      <c r="B99" s="776"/>
      <c r="C99" s="777">
        <f t="shared" ref="C99:N99" ca="1" si="31">1.07*0.707*C79</f>
        <v>5.1741899249951331</v>
      </c>
      <c r="D99" s="777">
        <f t="shared" ca="1" si="31"/>
        <v>4.808074094288961</v>
      </c>
      <c r="E99" s="777">
        <f t="shared" ca="1" si="31"/>
        <v>4.6551502065157191</v>
      </c>
      <c r="F99" s="777">
        <f t="shared" ca="1" si="31"/>
        <v>4.5771910809661795</v>
      </c>
      <c r="G99" s="778">
        <f t="shared" ca="1" si="31"/>
        <v>4.9332057009306887</v>
      </c>
      <c r="H99" s="777">
        <f t="shared" ca="1" si="31"/>
        <v>4.6838823497817286</v>
      </c>
      <c r="I99" s="777">
        <f t="shared" ca="1" si="31"/>
        <v>4.5797418210949159</v>
      </c>
      <c r="J99" s="777">
        <f t="shared" ca="1" si="31"/>
        <v>4.526651982294001</v>
      </c>
      <c r="K99" s="778">
        <f t="shared" ca="1" si="31"/>
        <v>4.7412636856160528</v>
      </c>
      <c r="L99" s="777">
        <f t="shared" ca="1" si="31"/>
        <v>4.5849646143212368</v>
      </c>
      <c r="M99" s="777">
        <f t="shared" ca="1" si="31"/>
        <v>4.5196796426453378</v>
      </c>
      <c r="N99" s="777">
        <f t="shared" ca="1" si="31"/>
        <v>4.4863979926854158</v>
      </c>
    </row>
    <row r="100" spans="1:14" hidden="1" x14ac:dyDescent="0.25">
      <c r="A100" s="775" t="s">
        <v>80</v>
      </c>
      <c r="B100" s="776"/>
      <c r="C100" s="777">
        <f t="shared" ref="C100:N100" ca="1" si="32">1.07*0.707*C80</f>
        <v>5.1198032203163084</v>
      </c>
      <c r="D100" s="777">
        <f t="shared" ca="1" si="32"/>
        <v>4.3486047733652322</v>
      </c>
      <c r="E100" s="777">
        <f t="shared" ca="1" si="32"/>
        <v>3.8458066015011974</v>
      </c>
      <c r="F100" s="777">
        <f t="shared" ca="1" si="32"/>
        <v>3.4848629989596174</v>
      </c>
      <c r="G100" s="778">
        <f t="shared" ca="1" si="32"/>
        <v>4.657575365796915</v>
      </c>
      <c r="H100" s="777">
        <f t="shared" ca="1" si="32"/>
        <v>3.9560025251832771</v>
      </c>
      <c r="I100" s="777">
        <f t="shared" ca="1" si="32"/>
        <v>3.4985981526970673</v>
      </c>
      <c r="J100" s="777">
        <f t="shared" ca="1" si="32"/>
        <v>3.1702413859821554</v>
      </c>
      <c r="K100" s="778">
        <f t="shared" ca="1" si="32"/>
        <v>4.1515708872213448</v>
      </c>
      <c r="L100" s="777">
        <f t="shared" ca="1" si="32"/>
        <v>3.5262177470991758</v>
      </c>
      <c r="M100" s="777">
        <f t="shared" ca="1" si="32"/>
        <v>3.1185063248758276</v>
      </c>
      <c r="N100" s="777">
        <f t="shared" ca="1" si="32"/>
        <v>2.8258226243980116</v>
      </c>
    </row>
    <row r="101" spans="1:14" ht="15.75" x14ac:dyDescent="0.25">
      <c r="A101" s="1055" t="s">
        <v>132</v>
      </c>
      <c r="B101" s="704" t="s">
        <v>139</v>
      </c>
      <c r="C101" s="115">
        <f ca="1">C95</f>
        <v>3.8667801049487918</v>
      </c>
      <c r="D101" s="115">
        <f t="shared" ref="D101:N101" ca="1" si="33">D95</f>
        <v>3.8415952724692617</v>
      </c>
      <c r="E101" s="115">
        <f t="shared" ca="1" si="33"/>
        <v>3.8310757533098228</v>
      </c>
      <c r="F101" s="115">
        <f t="shared" ca="1" si="33"/>
        <v>3.8257130037301916</v>
      </c>
      <c r="G101" s="719">
        <f t="shared" ca="1" si="33"/>
        <v>3.8502029815243111</v>
      </c>
      <c r="H101" s="115">
        <f t="shared" ca="1" si="33"/>
        <v>3.8330522158231655</v>
      </c>
      <c r="I101" s="115">
        <f t="shared" ca="1" si="33"/>
        <v>3.8258884672241278</v>
      </c>
      <c r="J101" s="115">
        <f t="shared" ca="1" si="33"/>
        <v>3.8222364571649412</v>
      </c>
      <c r="K101" s="719">
        <f t="shared" ca="1" si="33"/>
        <v>3.836999434733781</v>
      </c>
      <c r="L101" s="115">
        <f t="shared" ca="1" si="33"/>
        <v>3.8262477392398346</v>
      </c>
      <c r="M101" s="115">
        <f t="shared" ca="1" si="33"/>
        <v>3.8217568351674345</v>
      </c>
      <c r="N101" s="115">
        <f t="shared" ca="1" si="33"/>
        <v>3.8194674155122779</v>
      </c>
    </row>
    <row r="102" spans="1:14" ht="15.75" x14ac:dyDescent="0.25">
      <c r="A102" s="1055"/>
      <c r="B102" s="710" t="s">
        <v>140</v>
      </c>
      <c r="C102" s="115">
        <f ca="1">MIN(C96,C97)</f>
        <v>8.834738230248794</v>
      </c>
      <c r="D102" s="115">
        <f t="shared" ref="D102:N102" ca="1" si="34">MIN(D96,D97)</f>
        <v>7.5039573175467948</v>
      </c>
      <c r="E102" s="115">
        <f t="shared" ca="1" si="34"/>
        <v>6.6363282232411045</v>
      </c>
      <c r="F102" s="115">
        <f t="shared" ca="1" si="34"/>
        <v>6.0134835342726074</v>
      </c>
      <c r="G102" s="719">
        <f t="shared" ca="1" si="34"/>
        <v>8.0371173214600233</v>
      </c>
      <c r="H102" s="115">
        <f t="shared" ca="1" si="34"/>
        <v>6.826482433838188</v>
      </c>
      <c r="I102" s="115">
        <f t="shared" ca="1" si="34"/>
        <v>6.0371849311038508</v>
      </c>
      <c r="J102" s="115">
        <f t="shared" ca="1" si="34"/>
        <v>5.4705721229112161</v>
      </c>
      <c r="K102" s="719">
        <f t="shared" ca="1" si="34"/>
        <v>7.1639554206648386</v>
      </c>
      <c r="L102" s="115">
        <f t="shared" ca="1" si="34"/>
        <v>6.0848453344568529</v>
      </c>
      <c r="M102" s="115">
        <f t="shared" ca="1" si="34"/>
        <v>5.3812980429257564</v>
      </c>
      <c r="N102" s="115">
        <f t="shared" ca="1" si="34"/>
        <v>4.8762427181974175</v>
      </c>
    </row>
    <row r="103" spans="1:14" ht="15.75" x14ac:dyDescent="0.25">
      <c r="A103" s="1055"/>
      <c r="B103" s="708" t="s">
        <v>145</v>
      </c>
      <c r="C103" s="115">
        <f ca="1">C98</f>
        <v>2.2408307657367179</v>
      </c>
      <c r="D103" s="115">
        <f t="shared" ref="D103:N103" ca="1" si="35">D98</f>
        <v>2.2262359488817771</v>
      </c>
      <c r="E103" s="115">
        <f t="shared" ca="1" si="35"/>
        <v>2.2201398013033149</v>
      </c>
      <c r="F103" s="115">
        <f t="shared" ca="1" si="35"/>
        <v>2.2170320439649549</v>
      </c>
      <c r="G103" s="719">
        <f t="shared" ca="1" si="35"/>
        <v>2.2312241868341705</v>
      </c>
      <c r="H103" s="115">
        <f t="shared" ca="1" si="35"/>
        <v>2.2212851775303095</v>
      </c>
      <c r="I103" s="115">
        <f t="shared" ca="1" si="35"/>
        <v>2.2171337264979165</v>
      </c>
      <c r="J103" s="115">
        <f t="shared" ca="1" si="35"/>
        <v>2.2150173567341094</v>
      </c>
      <c r="K103" s="719">
        <f t="shared" ca="1" si="35"/>
        <v>2.2235726232432644</v>
      </c>
      <c r="L103" s="115">
        <f t="shared" ca="1" si="35"/>
        <v>2.2173419275758715</v>
      </c>
      <c r="M103" s="115">
        <f t="shared" ca="1" si="35"/>
        <v>2.2147394118552262</v>
      </c>
      <c r="N103" s="115">
        <f t="shared" ca="1" si="35"/>
        <v>2.2134126743993283</v>
      </c>
    </row>
    <row r="104" spans="1:14" ht="15.75" x14ac:dyDescent="0.25">
      <c r="A104" s="1061"/>
      <c r="B104" s="706" t="s">
        <v>146</v>
      </c>
      <c r="C104" s="118">
        <f ca="1">MIN(C99,C100)</f>
        <v>5.1198032203163084</v>
      </c>
      <c r="D104" s="118">
        <f t="shared" ref="D104:N104" ca="1" si="36">MIN(D99,D100)</f>
        <v>4.3486047733652322</v>
      </c>
      <c r="E104" s="118">
        <f t="shared" ca="1" si="36"/>
        <v>3.8458066015011974</v>
      </c>
      <c r="F104" s="118">
        <f t="shared" ca="1" si="36"/>
        <v>3.4848629989596174</v>
      </c>
      <c r="G104" s="745">
        <f t="shared" ca="1" si="36"/>
        <v>4.657575365796915</v>
      </c>
      <c r="H104" s="118">
        <f t="shared" ca="1" si="36"/>
        <v>3.9560025251832771</v>
      </c>
      <c r="I104" s="118">
        <f t="shared" ca="1" si="36"/>
        <v>3.4985981526970673</v>
      </c>
      <c r="J104" s="118">
        <f t="shared" ca="1" si="36"/>
        <v>3.1702413859821554</v>
      </c>
      <c r="K104" s="745">
        <f t="shared" ca="1" si="36"/>
        <v>4.1515708872213448</v>
      </c>
      <c r="L104" s="118">
        <f t="shared" ca="1" si="36"/>
        <v>3.5262177470991758</v>
      </c>
      <c r="M104" s="118">
        <f t="shared" ca="1" si="36"/>
        <v>3.1185063248758276</v>
      </c>
      <c r="N104" s="118">
        <f t="shared" ca="1" si="36"/>
        <v>2.8258226243980116</v>
      </c>
    </row>
    <row r="106" spans="1:14" ht="15.75" x14ac:dyDescent="0.25">
      <c r="A106" s="798" t="s">
        <v>279</v>
      </c>
    </row>
    <row r="107" spans="1:14" ht="15.75" x14ac:dyDescent="0.25">
      <c r="A107" s="798" t="s">
        <v>465</v>
      </c>
      <c r="C107" s="93">
        <f t="shared" ref="C107:N107" si="37">C70*($B$12/$B$10)^2</f>
        <v>12.444429987964483</v>
      </c>
      <c r="D107" s="93">
        <f t="shared" si="37"/>
        <v>6.4132640864911137</v>
      </c>
      <c r="E107" s="93">
        <f t="shared" si="37"/>
        <v>3.8940904804775434</v>
      </c>
      <c r="F107" s="93">
        <f t="shared" si="37"/>
        <v>2.6098400321531456</v>
      </c>
      <c r="G107" s="93">
        <f t="shared" si="37"/>
        <v>8.4746048313545757</v>
      </c>
      <c r="H107" s="93">
        <f t="shared" si="37"/>
        <v>4.3674060495092561</v>
      </c>
      <c r="I107" s="93">
        <f t="shared" si="37"/>
        <v>2.6518593484396962</v>
      </c>
      <c r="J107" s="93">
        <f t="shared" si="37"/>
        <v>1.7772901584836138</v>
      </c>
      <c r="K107" s="93">
        <f t="shared" si="37"/>
        <v>5.3126707090500478</v>
      </c>
      <c r="L107" s="93">
        <f t="shared" si="37"/>
        <v>2.7378964158789119</v>
      </c>
      <c r="M107" s="93">
        <f t="shared" si="37"/>
        <v>1.6624321446648755</v>
      </c>
      <c r="N107" s="93">
        <f t="shared" si="37"/>
        <v>1.1141708143752573</v>
      </c>
    </row>
    <row r="108" spans="1:14" x14ac:dyDescent="0.25">
      <c r="A108" s="775" t="s">
        <v>75</v>
      </c>
      <c r="B108" s="776"/>
      <c r="C108" s="777">
        <f t="shared" ref="C108:N108" ca="1" si="38">(0.2529+2.7683*10^-4*C$107)*SQRT($B$12)/$B$37*$B$38*$B$40/$B$42</f>
        <v>2.962141952618961</v>
      </c>
      <c r="D108" s="777">
        <f t="shared" ca="1" si="38"/>
        <v>2.9428491439170075</v>
      </c>
      <c r="E108" s="777">
        <f t="shared" ca="1" si="38"/>
        <v>2.9347906797225543</v>
      </c>
      <c r="F108" s="777">
        <f t="shared" ca="1" si="38"/>
        <v>2.9306825522676507</v>
      </c>
      <c r="G108" s="778">
        <f t="shared" ca="1" si="38"/>
        <v>2.9494430684267741</v>
      </c>
      <c r="H108" s="777">
        <f t="shared" ca="1" si="38"/>
        <v>2.9363047463024095</v>
      </c>
      <c r="I108" s="777">
        <f t="shared" ca="1" si="38"/>
        <v>2.9308169658527099</v>
      </c>
      <c r="J108" s="777">
        <f t="shared" ca="1" si="38"/>
        <v>2.9280193482188914</v>
      </c>
      <c r="K108" s="778">
        <f t="shared" ca="1" si="38"/>
        <v>2.9393285082992038</v>
      </c>
      <c r="L108" s="777">
        <f t="shared" ca="1" si="38"/>
        <v>2.9310921857207251</v>
      </c>
      <c r="M108" s="777">
        <f t="shared" ca="1" si="38"/>
        <v>2.9276519344012826</v>
      </c>
      <c r="N108" s="777">
        <f t="shared" ca="1" si="38"/>
        <v>2.9258981274033076</v>
      </c>
    </row>
    <row r="109" spans="1:14" x14ac:dyDescent="0.25">
      <c r="A109" s="775" t="s">
        <v>76</v>
      </c>
      <c r="B109" s="776"/>
      <c r="C109" s="777">
        <f t="shared" ref="C109:N109" ca="1" si="39">(0.675+9.273*10^-3*C$107)*SQRT($B$12)*$B$37*$B$39/$B$40*$B$42</f>
        <v>6.8397334069123623</v>
      </c>
      <c r="D109" s="777">
        <f t="shared" ca="1" si="39"/>
        <v>6.3557668895675565</v>
      </c>
      <c r="E109" s="777">
        <f t="shared" ca="1" si="39"/>
        <v>6.1536176373986686</v>
      </c>
      <c r="F109" s="777">
        <f t="shared" ca="1" si="39"/>
        <v>6.0505638950497422</v>
      </c>
      <c r="G109" s="778">
        <f t="shared" ca="1" si="39"/>
        <v>6.5211776770752934</v>
      </c>
      <c r="H109" s="777">
        <f t="shared" ca="1" si="39"/>
        <v>6.1915985006830612</v>
      </c>
      <c r="I109" s="777">
        <f t="shared" ca="1" si="39"/>
        <v>6.0539357044969737</v>
      </c>
      <c r="J109" s="777">
        <f t="shared" ca="1" si="39"/>
        <v>5.9837565364961876</v>
      </c>
      <c r="K109" s="778">
        <f t="shared" ca="1" si="39"/>
        <v>6.2674505751775342</v>
      </c>
      <c r="L109" s="777">
        <f t="shared" ca="1" si="39"/>
        <v>6.0608396863424989</v>
      </c>
      <c r="M109" s="777">
        <f t="shared" ca="1" si="39"/>
        <v>5.9745398387887985</v>
      </c>
      <c r="N109" s="777">
        <f t="shared" ca="1" si="39"/>
        <v>5.9305450074494255</v>
      </c>
    </row>
    <row r="110" spans="1:14" ht="15.75" thickBot="1" x14ac:dyDescent="0.3">
      <c r="A110" s="779" t="s">
        <v>77</v>
      </c>
      <c r="B110" s="780"/>
      <c r="C110" s="781">
        <f t="shared" ref="C110:N110" ca="1" si="40">MIN(($B$36*($B$12*10^-3)/SQRT(C$64*10^-3*C$65*10^-3)*$B$37/$B$39^2*$B$42),(4*$B$14*$B$42))</f>
        <v>6.7678399189894227</v>
      </c>
      <c r="D110" s="781">
        <f t="shared" ca="1" si="40"/>
        <v>5.7483969032838935</v>
      </c>
      <c r="E110" s="781">
        <f t="shared" ca="1" si="40"/>
        <v>5.0837507455501028</v>
      </c>
      <c r="F110" s="781">
        <f t="shared" ca="1" si="40"/>
        <v>4.6066213683718455</v>
      </c>
      <c r="G110" s="782">
        <f t="shared" ca="1" si="40"/>
        <v>6.1568234422093022</v>
      </c>
      <c r="H110" s="781">
        <f t="shared" ca="1" si="40"/>
        <v>5.2294181353134572</v>
      </c>
      <c r="I110" s="781">
        <f t="shared" ca="1" si="40"/>
        <v>4.6247777930931901</v>
      </c>
      <c r="J110" s="781">
        <f t="shared" ca="1" si="40"/>
        <v>4.1907247762457605</v>
      </c>
      <c r="K110" s="782">
        <f t="shared" ca="1" si="40"/>
        <v>5.4879388851423609</v>
      </c>
      <c r="L110" s="781">
        <f t="shared" ca="1" si="40"/>
        <v>4.6612879841097383</v>
      </c>
      <c r="M110" s="781">
        <f t="shared" ca="1" si="40"/>
        <v>4.1223364814813515</v>
      </c>
      <c r="N110" s="781">
        <f t="shared" ca="1" si="40"/>
        <v>3.735439496091173</v>
      </c>
    </row>
    <row r="111" spans="1:14" ht="15.75" x14ac:dyDescent="0.25">
      <c r="A111" s="1056" t="s">
        <v>131</v>
      </c>
      <c r="B111" s="713" t="s">
        <v>56</v>
      </c>
      <c r="C111" s="115">
        <f ca="1">C108</f>
        <v>2.962141952618961</v>
      </c>
      <c r="D111" s="115">
        <f t="shared" ref="D111:N111" ca="1" si="41">D108</f>
        <v>2.9428491439170075</v>
      </c>
      <c r="E111" s="115">
        <f t="shared" ca="1" si="41"/>
        <v>2.9347906797225543</v>
      </c>
      <c r="F111" s="115">
        <f t="shared" ca="1" si="41"/>
        <v>2.9306825522676507</v>
      </c>
      <c r="G111" s="719">
        <f t="shared" ca="1" si="41"/>
        <v>2.9494430684267741</v>
      </c>
      <c r="H111" s="115">
        <f t="shared" ca="1" si="41"/>
        <v>2.9363047463024095</v>
      </c>
      <c r="I111" s="115">
        <f t="shared" ca="1" si="41"/>
        <v>2.9308169658527099</v>
      </c>
      <c r="J111" s="115">
        <f t="shared" ca="1" si="41"/>
        <v>2.9280193482188914</v>
      </c>
      <c r="K111" s="719">
        <f t="shared" ca="1" si="41"/>
        <v>2.9393285082992038</v>
      </c>
      <c r="L111" s="115">
        <f t="shared" ca="1" si="41"/>
        <v>2.9310921857207251</v>
      </c>
      <c r="M111" s="115">
        <f t="shared" ca="1" si="41"/>
        <v>2.9276519344012826</v>
      </c>
      <c r="N111" s="115">
        <f t="shared" ca="1" si="41"/>
        <v>2.9258981274033076</v>
      </c>
    </row>
    <row r="112" spans="1:14" ht="15.75" x14ac:dyDescent="0.25">
      <c r="A112" s="1057"/>
      <c r="B112" s="710" t="s">
        <v>140</v>
      </c>
      <c r="C112" s="115">
        <f t="shared" ref="C112:N112" ca="1" si="42">MIN(C109,C110)</f>
        <v>6.7678399189894227</v>
      </c>
      <c r="D112" s="115">
        <f t="shared" ca="1" si="42"/>
        <v>5.7483969032838935</v>
      </c>
      <c r="E112" s="115">
        <f t="shared" ca="1" si="42"/>
        <v>5.0837507455501028</v>
      </c>
      <c r="F112" s="115">
        <f t="shared" ca="1" si="42"/>
        <v>4.6066213683718455</v>
      </c>
      <c r="G112" s="719">
        <f t="shared" ca="1" si="42"/>
        <v>6.1568234422093022</v>
      </c>
      <c r="H112" s="115">
        <f t="shared" ca="1" si="42"/>
        <v>5.2294181353134572</v>
      </c>
      <c r="I112" s="115">
        <f t="shared" ca="1" si="42"/>
        <v>4.6247777930931901</v>
      </c>
      <c r="J112" s="115">
        <f t="shared" ca="1" si="42"/>
        <v>4.1907247762457605</v>
      </c>
      <c r="K112" s="719">
        <f t="shared" ca="1" si="42"/>
        <v>5.4879388851423609</v>
      </c>
      <c r="L112" s="115">
        <f t="shared" ca="1" si="42"/>
        <v>4.6612879841097383</v>
      </c>
      <c r="M112" s="115">
        <f t="shared" ca="1" si="42"/>
        <v>4.1223364814813515</v>
      </c>
      <c r="N112" s="115">
        <f t="shared" ca="1" si="42"/>
        <v>3.735439496091173</v>
      </c>
    </row>
    <row r="113" spans="1:14" ht="15.75" x14ac:dyDescent="0.25">
      <c r="A113" s="1057"/>
      <c r="B113" s="708" t="s">
        <v>145</v>
      </c>
      <c r="C113" s="115">
        <f t="shared" ref="C113:N113" ca="1" si="43">C108</f>
        <v>2.962141952618961</v>
      </c>
      <c r="D113" s="115">
        <f t="shared" ca="1" si="43"/>
        <v>2.9428491439170075</v>
      </c>
      <c r="E113" s="115">
        <f t="shared" ca="1" si="43"/>
        <v>2.9347906797225543</v>
      </c>
      <c r="F113" s="115">
        <f t="shared" ca="1" si="43"/>
        <v>2.9306825522676507</v>
      </c>
      <c r="G113" s="719">
        <f t="shared" ca="1" si="43"/>
        <v>2.9494430684267741</v>
      </c>
      <c r="H113" s="115">
        <f t="shared" ca="1" si="43"/>
        <v>2.9363047463024095</v>
      </c>
      <c r="I113" s="115">
        <f t="shared" ca="1" si="43"/>
        <v>2.9308169658527099</v>
      </c>
      <c r="J113" s="115">
        <f t="shared" ca="1" si="43"/>
        <v>2.9280193482188914</v>
      </c>
      <c r="K113" s="719">
        <f t="shared" ca="1" si="43"/>
        <v>2.9393285082992038</v>
      </c>
      <c r="L113" s="115">
        <f t="shared" ca="1" si="43"/>
        <v>2.9310921857207251</v>
      </c>
      <c r="M113" s="115">
        <f t="shared" ca="1" si="43"/>
        <v>2.9276519344012826</v>
      </c>
      <c r="N113" s="115">
        <f t="shared" ca="1" si="43"/>
        <v>2.9258981274033076</v>
      </c>
    </row>
    <row r="114" spans="1:14" ht="16.5" thickBot="1" x14ac:dyDescent="0.3">
      <c r="A114" s="1058"/>
      <c r="B114" s="712" t="s">
        <v>148</v>
      </c>
      <c r="C114" s="118">
        <f t="shared" ref="C114:N114" ca="1" si="44">MIN(C109,C110)</f>
        <v>6.7678399189894227</v>
      </c>
      <c r="D114" s="118">
        <f t="shared" ca="1" si="44"/>
        <v>5.7483969032838935</v>
      </c>
      <c r="E114" s="118">
        <f t="shared" ca="1" si="44"/>
        <v>5.0837507455501028</v>
      </c>
      <c r="F114" s="118">
        <f t="shared" ca="1" si="44"/>
        <v>4.6066213683718455</v>
      </c>
      <c r="G114" s="745">
        <f t="shared" ca="1" si="44"/>
        <v>6.1568234422093022</v>
      </c>
      <c r="H114" s="118">
        <f t="shared" ca="1" si="44"/>
        <v>5.2294181353134572</v>
      </c>
      <c r="I114" s="118">
        <f t="shared" ca="1" si="44"/>
        <v>4.6247777930931901</v>
      </c>
      <c r="J114" s="118">
        <f t="shared" ca="1" si="44"/>
        <v>4.1907247762457605</v>
      </c>
      <c r="K114" s="745">
        <f t="shared" ca="1" si="44"/>
        <v>5.4879388851423609</v>
      </c>
      <c r="L114" s="118">
        <f t="shared" ca="1" si="44"/>
        <v>4.6612879841097383</v>
      </c>
      <c r="M114" s="118">
        <f t="shared" ca="1" si="44"/>
        <v>4.1223364814813515</v>
      </c>
      <c r="N114" s="118">
        <f t="shared" ca="1" si="44"/>
        <v>3.735439496091173</v>
      </c>
    </row>
    <row r="115" spans="1:14" x14ac:dyDescent="0.25">
      <c r="A115" s="775" t="s">
        <v>71</v>
      </c>
      <c r="B115" s="776"/>
      <c r="C115" s="777">
        <f t="shared" ref="C115:N115" ca="1" si="45">1.075*0.707*C108</f>
        <v>2.2513019375392256</v>
      </c>
      <c r="D115" s="777">
        <f t="shared" ca="1" si="45"/>
        <v>2.2366389206055235</v>
      </c>
      <c r="E115" s="777">
        <f t="shared" ca="1" si="45"/>
        <v>2.2305142863561342</v>
      </c>
      <c r="F115" s="777">
        <f t="shared" ca="1" si="45"/>
        <v>2.227392006787221</v>
      </c>
      <c r="G115" s="778">
        <f t="shared" ca="1" si="45"/>
        <v>2.2416504680810587</v>
      </c>
      <c r="H115" s="777">
        <f t="shared" ca="1" si="45"/>
        <v>2.2316650148084887</v>
      </c>
      <c r="I115" s="777">
        <f t="shared" ca="1" si="45"/>
        <v>2.2274941644722057</v>
      </c>
      <c r="J115" s="777">
        <f t="shared" ca="1" si="45"/>
        <v>2.2253679051300628</v>
      </c>
      <c r="K115" s="778">
        <f t="shared" ca="1" si="45"/>
        <v>2.2339631495201022</v>
      </c>
      <c r="L115" s="777">
        <f t="shared" ca="1" si="45"/>
        <v>2.2277033384523941</v>
      </c>
      <c r="M115" s="777">
        <f t="shared" ca="1" si="45"/>
        <v>2.2250886614433347</v>
      </c>
      <c r="N115" s="777">
        <f t="shared" ca="1" si="45"/>
        <v>2.2237557242796986</v>
      </c>
    </row>
    <row r="116" spans="1:14" x14ac:dyDescent="0.25">
      <c r="A116" s="775" t="s">
        <v>72</v>
      </c>
      <c r="B116" s="776"/>
      <c r="C116" s="777">
        <f t="shared" ref="C116:N116" ca="1" si="46">1.075*0.707*C109</f>
        <v>5.1983683825885683</v>
      </c>
      <c r="D116" s="777">
        <f t="shared" ca="1" si="46"/>
        <v>4.8305417302435822</v>
      </c>
      <c r="E116" s="777">
        <f t="shared" ca="1" si="46"/>
        <v>4.6769032448639232</v>
      </c>
      <c r="F116" s="777">
        <f t="shared" ca="1" si="46"/>
        <v>4.5985798243351796</v>
      </c>
      <c r="G116" s="778">
        <f t="shared" ca="1" si="46"/>
        <v>4.9562580640191491</v>
      </c>
      <c r="H116" s="777">
        <f t="shared" ca="1" si="46"/>
        <v>4.7057696504816429</v>
      </c>
      <c r="I116" s="777">
        <f t="shared" ca="1" si="46"/>
        <v>4.6011424838103121</v>
      </c>
      <c r="J116" s="777">
        <f t="shared" ca="1" si="46"/>
        <v>4.5478045616505147</v>
      </c>
      <c r="K116" s="778">
        <f t="shared" ca="1" si="46"/>
        <v>4.7634191233993048</v>
      </c>
      <c r="L116" s="777">
        <f t="shared" ca="1" si="46"/>
        <v>4.6063896826124573</v>
      </c>
      <c r="M116" s="777">
        <f t="shared" ca="1" si="46"/>
        <v>4.5407996409754565</v>
      </c>
      <c r="N116" s="777">
        <f t="shared" ca="1" si="46"/>
        <v>4.5073624692867496</v>
      </c>
    </row>
    <row r="117" spans="1:14" x14ac:dyDescent="0.25">
      <c r="A117" s="779" t="s">
        <v>79</v>
      </c>
      <c r="B117" s="780"/>
      <c r="C117" s="781">
        <f t="shared" ref="C117:N117" ca="1" si="47">1.075*0.707*C110</f>
        <v>5.143727534429936</v>
      </c>
      <c r="D117" s="781">
        <f ca="1">1.075*0.707*D110</f>
        <v>4.368925356418341</v>
      </c>
      <c r="E117" s="781">
        <f t="shared" ca="1" si="47"/>
        <v>3.8637776603867167</v>
      </c>
      <c r="F117" s="781">
        <f t="shared" ca="1" si="47"/>
        <v>3.5011474054968117</v>
      </c>
      <c r="G117" s="782">
        <f t="shared" ca="1" si="47"/>
        <v>4.679339736665125</v>
      </c>
      <c r="H117" s="781">
        <f t="shared" ca="1" si="47"/>
        <v>3.9744885182916101</v>
      </c>
      <c r="I117" s="781">
        <f t="shared" ca="1" si="47"/>
        <v>3.5149467421956517</v>
      </c>
      <c r="J117" s="781">
        <f t="shared" ca="1" si="47"/>
        <v>3.1850555980661839</v>
      </c>
      <c r="K117" s="782">
        <f t="shared" ca="1" si="47"/>
        <v>4.1709707511803229</v>
      </c>
      <c r="L117" s="781">
        <f t="shared" ca="1" si="47"/>
        <v>3.5426954001230038</v>
      </c>
      <c r="M117" s="781">
        <f t="shared" ca="1" si="47"/>
        <v>3.1330787843378638</v>
      </c>
      <c r="N117" s="781">
        <f t="shared" ca="1" si="47"/>
        <v>2.8390274030166935</v>
      </c>
    </row>
    <row r="118" spans="1:14" x14ac:dyDescent="0.25">
      <c r="A118" s="775" t="s">
        <v>73</v>
      </c>
      <c r="B118" s="776"/>
      <c r="C118" s="777">
        <f t="shared" ref="C118:N118" ca="1" si="48">1.075*1.225*C108</f>
        <v>3.9007706838550944</v>
      </c>
      <c r="D118" s="777">
        <f t="shared" ca="1" si="48"/>
        <v>3.8753644663957094</v>
      </c>
      <c r="E118" s="777">
        <f t="shared" ca="1" si="48"/>
        <v>3.8647524763596386</v>
      </c>
      <c r="F118" s="777">
        <f t="shared" ca="1" si="48"/>
        <v>3.8593425860174628</v>
      </c>
      <c r="G118" s="778">
        <f t="shared" ca="1" si="48"/>
        <v>3.884047840734508</v>
      </c>
      <c r="H118" s="777">
        <f t="shared" ca="1" si="48"/>
        <v>3.8667463127869857</v>
      </c>
      <c r="I118" s="777">
        <f t="shared" ca="1" si="48"/>
        <v>3.8595195919072873</v>
      </c>
      <c r="J118" s="777">
        <f t="shared" ca="1" si="48"/>
        <v>3.8558354791857528</v>
      </c>
      <c r="K118" s="778">
        <f t="shared" ca="1" si="48"/>
        <v>3.870728229366514</v>
      </c>
      <c r="L118" s="777">
        <f t="shared" ca="1" si="48"/>
        <v>3.85988202207098</v>
      </c>
      <c r="M118" s="777">
        <f t="shared" ca="1" si="48"/>
        <v>3.8553516411146891</v>
      </c>
      <c r="N118" s="777">
        <f t="shared" ca="1" si="48"/>
        <v>3.8530420965242307</v>
      </c>
    </row>
    <row r="119" spans="1:14" x14ac:dyDescent="0.25">
      <c r="A119" s="775" t="s">
        <v>74</v>
      </c>
      <c r="B119" s="776"/>
      <c r="C119" s="777">
        <f t="shared" ref="C119:N119" ca="1" si="49">1.075*1.225*C109</f>
        <v>9.0070739302277172</v>
      </c>
      <c r="D119" s="777">
        <f t="shared" ca="1" si="49"/>
        <v>8.3697505226992757</v>
      </c>
      <c r="E119" s="777">
        <f t="shared" ca="1" si="49"/>
        <v>8.1035452262493717</v>
      </c>
      <c r="F119" s="777">
        <f t="shared" ca="1" si="49"/>
        <v>7.9678363292936298</v>
      </c>
      <c r="G119" s="778">
        <f t="shared" ca="1" si="49"/>
        <v>8.5875758534985263</v>
      </c>
      <c r="H119" s="777">
        <f t="shared" ca="1" si="49"/>
        <v>8.1535612755870055</v>
      </c>
      <c r="I119" s="777">
        <f t="shared" ca="1" si="49"/>
        <v>7.972276580859452</v>
      </c>
      <c r="J119" s="777">
        <f t="shared" ca="1" si="49"/>
        <v>7.8798593889984172</v>
      </c>
      <c r="K119" s="778">
        <f t="shared" ca="1" si="49"/>
        <v>8.253448976186915</v>
      </c>
      <c r="L119" s="777">
        <f t="shared" ca="1" si="49"/>
        <v>7.9813682619522783</v>
      </c>
      <c r="M119" s="777">
        <f t="shared" ca="1" si="49"/>
        <v>7.8677221502049992</v>
      </c>
      <c r="N119" s="777">
        <f t="shared" ca="1" si="49"/>
        <v>7.8097864566849626</v>
      </c>
    </row>
    <row r="120" spans="1:14" x14ac:dyDescent="0.25">
      <c r="A120" s="779" t="s">
        <v>80</v>
      </c>
      <c r="B120" s="780"/>
      <c r="C120" s="781">
        <f t="shared" ref="C120:N120" ca="1" si="50">1.075*1.225*C110</f>
        <v>8.9123991933191959</v>
      </c>
      <c r="D120" s="781">
        <f t="shared" ca="1" si="50"/>
        <v>7.5699201720119778</v>
      </c>
      <c r="E120" s="781">
        <f t="shared" ca="1" si="50"/>
        <v>6.6946642630462918</v>
      </c>
      <c r="F120" s="781">
        <f t="shared" ca="1" si="50"/>
        <v>6.0663445144746744</v>
      </c>
      <c r="G120" s="782">
        <f t="shared" ca="1" si="50"/>
        <v>8.1077668704593755</v>
      </c>
      <c r="H120" s="781">
        <f t="shared" ca="1" si="50"/>
        <v>6.8864900069409094</v>
      </c>
      <c r="I120" s="781">
        <f t="shared" ca="1" si="50"/>
        <v>6.0902542562795947</v>
      </c>
      <c r="J120" s="781">
        <f t="shared" ca="1" si="50"/>
        <v>5.5186606897186357</v>
      </c>
      <c r="K120" s="782">
        <f t="shared" ca="1" si="50"/>
        <v>7.226929519371847</v>
      </c>
      <c r="L120" s="781">
        <f t="shared" ca="1" si="50"/>
        <v>6.1383336140745115</v>
      </c>
      <c r="M120" s="781">
        <f t="shared" ca="1" si="50"/>
        <v>5.428601854050755</v>
      </c>
      <c r="N120" s="781">
        <f t="shared" ca="1" si="50"/>
        <v>4.9191068864150633</v>
      </c>
    </row>
    <row r="121" spans="1:14" ht="15.75" x14ac:dyDescent="0.25">
      <c r="A121" s="1055" t="s">
        <v>130</v>
      </c>
      <c r="B121" s="704" t="s">
        <v>139</v>
      </c>
      <c r="C121" s="115">
        <f ca="1">C115</f>
        <v>2.2513019375392256</v>
      </c>
      <c r="D121" s="115">
        <f t="shared" ref="D121:N121" ca="1" si="51">D115</f>
        <v>2.2366389206055235</v>
      </c>
      <c r="E121" s="115">
        <f t="shared" ca="1" si="51"/>
        <v>2.2305142863561342</v>
      </c>
      <c r="F121" s="115">
        <f t="shared" ca="1" si="51"/>
        <v>2.227392006787221</v>
      </c>
      <c r="G121" s="719">
        <f t="shared" ca="1" si="51"/>
        <v>2.2416504680810587</v>
      </c>
      <c r="H121" s="115">
        <f t="shared" ca="1" si="51"/>
        <v>2.2316650148084887</v>
      </c>
      <c r="I121" s="115">
        <f t="shared" ca="1" si="51"/>
        <v>2.2274941644722057</v>
      </c>
      <c r="J121" s="115">
        <f t="shared" ca="1" si="51"/>
        <v>2.2253679051300628</v>
      </c>
      <c r="K121" s="719">
        <f t="shared" ca="1" si="51"/>
        <v>2.2339631495201022</v>
      </c>
      <c r="L121" s="115">
        <f t="shared" ca="1" si="51"/>
        <v>2.2277033384523941</v>
      </c>
      <c r="M121" s="115">
        <f t="shared" ca="1" si="51"/>
        <v>2.2250886614433347</v>
      </c>
      <c r="N121" s="115">
        <f t="shared" ca="1" si="51"/>
        <v>2.2237557242796986</v>
      </c>
    </row>
    <row r="122" spans="1:14" ht="15.75" x14ac:dyDescent="0.25">
      <c r="A122" s="1055"/>
      <c r="B122" s="710" t="s">
        <v>57</v>
      </c>
      <c r="C122" s="115">
        <f ca="1">MIN(C116,C117)</f>
        <v>5.143727534429936</v>
      </c>
      <c r="D122" s="115">
        <f t="shared" ref="D122:N122" ca="1" si="52">MIN(D116,D117)</f>
        <v>4.368925356418341</v>
      </c>
      <c r="E122" s="115">
        <f t="shared" ca="1" si="52"/>
        <v>3.8637776603867167</v>
      </c>
      <c r="F122" s="115">
        <f t="shared" ca="1" si="52"/>
        <v>3.5011474054968117</v>
      </c>
      <c r="G122" s="719">
        <f t="shared" ca="1" si="52"/>
        <v>4.679339736665125</v>
      </c>
      <c r="H122" s="115">
        <f t="shared" ca="1" si="52"/>
        <v>3.9744885182916101</v>
      </c>
      <c r="I122" s="115">
        <f t="shared" ca="1" si="52"/>
        <v>3.5149467421956517</v>
      </c>
      <c r="J122" s="115">
        <f t="shared" ca="1" si="52"/>
        <v>3.1850555980661839</v>
      </c>
      <c r="K122" s="719">
        <f t="shared" ca="1" si="52"/>
        <v>4.1709707511803229</v>
      </c>
      <c r="L122" s="115">
        <f t="shared" ca="1" si="52"/>
        <v>3.5426954001230038</v>
      </c>
      <c r="M122" s="115">
        <f t="shared" ca="1" si="52"/>
        <v>3.1330787843378638</v>
      </c>
      <c r="N122" s="115">
        <f t="shared" ca="1" si="52"/>
        <v>2.8390274030166935</v>
      </c>
    </row>
    <row r="123" spans="1:14" ht="15.75" x14ac:dyDescent="0.25">
      <c r="A123" s="1055"/>
      <c r="B123" s="708" t="s">
        <v>145</v>
      </c>
      <c r="C123" s="115">
        <f ca="1">C118</f>
        <v>3.9007706838550944</v>
      </c>
      <c r="D123" s="115">
        <f t="shared" ref="D123:N123" ca="1" si="53">D118</f>
        <v>3.8753644663957094</v>
      </c>
      <c r="E123" s="115">
        <f t="shared" ca="1" si="53"/>
        <v>3.8647524763596386</v>
      </c>
      <c r="F123" s="115">
        <f t="shared" ca="1" si="53"/>
        <v>3.8593425860174628</v>
      </c>
      <c r="G123" s="719">
        <f t="shared" ca="1" si="53"/>
        <v>3.884047840734508</v>
      </c>
      <c r="H123" s="115">
        <f t="shared" ca="1" si="53"/>
        <v>3.8667463127869857</v>
      </c>
      <c r="I123" s="115">
        <f t="shared" ca="1" si="53"/>
        <v>3.8595195919072873</v>
      </c>
      <c r="J123" s="115">
        <f t="shared" ca="1" si="53"/>
        <v>3.8558354791857528</v>
      </c>
      <c r="K123" s="719">
        <f t="shared" ca="1" si="53"/>
        <v>3.870728229366514</v>
      </c>
      <c r="L123" s="115">
        <f t="shared" ca="1" si="53"/>
        <v>3.85988202207098</v>
      </c>
      <c r="M123" s="115">
        <f t="shared" ca="1" si="53"/>
        <v>3.8553516411146891</v>
      </c>
      <c r="N123" s="115">
        <f t="shared" ca="1" si="53"/>
        <v>3.8530420965242307</v>
      </c>
    </row>
    <row r="124" spans="1:14" ht="16.5" thickBot="1" x14ac:dyDescent="0.3">
      <c r="A124" s="1055"/>
      <c r="B124" s="712" t="s">
        <v>148</v>
      </c>
      <c r="C124" s="118">
        <f ca="1">MIN(C119,C120)</f>
        <v>8.9123991933191959</v>
      </c>
      <c r="D124" s="118">
        <f ca="1">MIN(D119,D120)</f>
        <v>7.5699201720119778</v>
      </c>
      <c r="E124" s="118">
        <f t="shared" ref="E124:N124" ca="1" si="54">MIN(E119,E120)</f>
        <v>6.6946642630462918</v>
      </c>
      <c r="F124" s="118">
        <f t="shared" ca="1" si="54"/>
        <v>6.0663445144746744</v>
      </c>
      <c r="G124" s="745">
        <f t="shared" ca="1" si="54"/>
        <v>8.1077668704593755</v>
      </c>
      <c r="H124" s="118">
        <f t="shared" ca="1" si="54"/>
        <v>6.8864900069409094</v>
      </c>
      <c r="I124" s="118">
        <f t="shared" ca="1" si="54"/>
        <v>6.0902542562795947</v>
      </c>
      <c r="J124" s="118">
        <f t="shared" ca="1" si="54"/>
        <v>5.5186606897186357</v>
      </c>
      <c r="K124" s="745">
        <f t="shared" ca="1" si="54"/>
        <v>7.226929519371847</v>
      </c>
      <c r="L124" s="118">
        <f t="shared" ca="1" si="54"/>
        <v>6.1383336140745115</v>
      </c>
      <c r="M124" s="118">
        <f t="shared" ca="1" si="54"/>
        <v>5.428601854050755</v>
      </c>
      <c r="N124" s="118">
        <f t="shared" ca="1" si="54"/>
        <v>4.9191068864150633</v>
      </c>
    </row>
    <row r="125" spans="1:14" hidden="1" x14ac:dyDescent="0.25">
      <c r="A125" s="775" t="s">
        <v>71</v>
      </c>
      <c r="B125" s="776"/>
      <c r="C125" s="777">
        <f t="shared" ref="C125:N125" ca="1" si="55">1.07*1.22*C108</f>
        <v>3.8667801049487918</v>
      </c>
      <c r="D125" s="777">
        <f t="shared" ca="1" si="55"/>
        <v>3.8415952724692617</v>
      </c>
      <c r="E125" s="777">
        <f t="shared" ca="1" si="55"/>
        <v>3.8310757533098228</v>
      </c>
      <c r="F125" s="777">
        <f t="shared" ca="1" si="55"/>
        <v>3.8257130037301916</v>
      </c>
      <c r="G125" s="778">
        <f t="shared" ca="1" si="55"/>
        <v>3.8502029815243111</v>
      </c>
      <c r="H125" s="777">
        <f t="shared" ca="1" si="55"/>
        <v>3.8330522158231655</v>
      </c>
      <c r="I125" s="777">
        <f t="shared" ca="1" si="55"/>
        <v>3.8258884672241278</v>
      </c>
      <c r="J125" s="777">
        <f t="shared" ca="1" si="55"/>
        <v>3.8222364571649412</v>
      </c>
      <c r="K125" s="778">
        <f t="shared" ca="1" si="55"/>
        <v>3.836999434733781</v>
      </c>
      <c r="L125" s="777">
        <f t="shared" ca="1" si="55"/>
        <v>3.8262477392398346</v>
      </c>
      <c r="M125" s="777">
        <f t="shared" ca="1" si="55"/>
        <v>3.8217568351674345</v>
      </c>
      <c r="N125" s="777">
        <f t="shared" ca="1" si="55"/>
        <v>3.8194674155122779</v>
      </c>
    </row>
    <row r="126" spans="1:14" hidden="1" x14ac:dyDescent="0.25">
      <c r="A126" s="775" t="s">
        <v>72</v>
      </c>
      <c r="B126" s="776"/>
      <c r="C126" s="777">
        <f t="shared" ref="C126:N126" ca="1" si="56">1.07*1.22*C109</f>
        <v>8.9285879893833986</v>
      </c>
      <c r="D126" s="777">
        <f t="shared" ca="1" si="56"/>
        <v>8.2968180976414896</v>
      </c>
      <c r="E126" s="777">
        <f t="shared" ca="1" si="56"/>
        <v>8.032932463860222</v>
      </c>
      <c r="F126" s="777">
        <f t="shared" ca="1" si="56"/>
        <v>7.8984061085979338</v>
      </c>
      <c r="G126" s="778">
        <f t="shared" ca="1" si="56"/>
        <v>8.5127453396540886</v>
      </c>
      <c r="H126" s="777">
        <f t="shared" ca="1" si="56"/>
        <v>8.082512682791668</v>
      </c>
      <c r="I126" s="777">
        <f t="shared" ca="1" si="56"/>
        <v>7.9028076686503503</v>
      </c>
      <c r="J126" s="777">
        <f t="shared" ca="1" si="56"/>
        <v>7.8111957827421241</v>
      </c>
      <c r="K126" s="778">
        <f t="shared" ca="1" si="56"/>
        <v>8.1815299808367534</v>
      </c>
      <c r="L126" s="777">
        <f t="shared" ca="1" si="56"/>
        <v>7.9118201265514987</v>
      </c>
      <c r="M126" s="777">
        <f t="shared" ca="1" si="56"/>
        <v>7.799164305554898</v>
      </c>
      <c r="N126" s="777">
        <f t="shared" ca="1" si="56"/>
        <v>7.741733452724481</v>
      </c>
    </row>
    <row r="127" spans="1:14" hidden="1" x14ac:dyDescent="0.25">
      <c r="A127" s="779" t="s">
        <v>79</v>
      </c>
      <c r="B127" s="780"/>
      <c r="C127" s="781">
        <f t="shared" ref="C127:N127" ca="1" si="57">1.07*1.22*C110</f>
        <v>8.834738230248794</v>
      </c>
      <c r="D127" s="781">
        <f t="shared" ca="1" si="57"/>
        <v>7.5039573175467948</v>
      </c>
      <c r="E127" s="781">
        <f t="shared" ca="1" si="57"/>
        <v>6.6363282232411045</v>
      </c>
      <c r="F127" s="781">
        <f t="shared" ca="1" si="57"/>
        <v>6.0134835342726074</v>
      </c>
      <c r="G127" s="782">
        <f t="shared" ca="1" si="57"/>
        <v>8.0371173214600233</v>
      </c>
      <c r="H127" s="781">
        <f t="shared" ca="1" si="57"/>
        <v>6.826482433838188</v>
      </c>
      <c r="I127" s="781">
        <f t="shared" ca="1" si="57"/>
        <v>6.0371849311038508</v>
      </c>
      <c r="J127" s="781">
        <f t="shared" ca="1" si="57"/>
        <v>5.4705721229112161</v>
      </c>
      <c r="K127" s="782">
        <f t="shared" ca="1" si="57"/>
        <v>7.1639554206648386</v>
      </c>
      <c r="L127" s="781">
        <f t="shared" ca="1" si="57"/>
        <v>6.0848453344568529</v>
      </c>
      <c r="M127" s="781">
        <f t="shared" ca="1" si="57"/>
        <v>5.3812980429257564</v>
      </c>
      <c r="N127" s="781">
        <f t="shared" ca="1" si="57"/>
        <v>4.8762427181974175</v>
      </c>
    </row>
    <row r="128" spans="1:14" hidden="1" x14ac:dyDescent="0.25">
      <c r="A128" s="775" t="s">
        <v>73</v>
      </c>
      <c r="B128" s="776"/>
      <c r="C128" s="777">
        <f t="shared" ref="C128:N128" ca="1" si="58">1.07*0.707*C108</f>
        <v>2.2408307657367179</v>
      </c>
      <c r="D128" s="777">
        <f t="shared" ca="1" si="58"/>
        <v>2.2262359488817771</v>
      </c>
      <c r="E128" s="777">
        <f t="shared" ca="1" si="58"/>
        <v>2.2201398013033149</v>
      </c>
      <c r="F128" s="777">
        <f t="shared" ca="1" si="58"/>
        <v>2.2170320439649549</v>
      </c>
      <c r="G128" s="778">
        <f t="shared" ca="1" si="58"/>
        <v>2.2312241868341705</v>
      </c>
      <c r="H128" s="777">
        <f t="shared" ca="1" si="58"/>
        <v>2.2212851775303095</v>
      </c>
      <c r="I128" s="777">
        <f t="shared" ca="1" si="58"/>
        <v>2.2171337264979165</v>
      </c>
      <c r="J128" s="777">
        <f t="shared" ca="1" si="58"/>
        <v>2.2150173567341094</v>
      </c>
      <c r="K128" s="778">
        <f t="shared" ca="1" si="58"/>
        <v>2.2235726232432644</v>
      </c>
      <c r="L128" s="777">
        <f t="shared" ca="1" si="58"/>
        <v>2.2173419275758715</v>
      </c>
      <c r="M128" s="777">
        <f t="shared" ca="1" si="58"/>
        <v>2.2147394118552262</v>
      </c>
      <c r="N128" s="777">
        <f t="shared" ca="1" si="58"/>
        <v>2.2134126743993283</v>
      </c>
    </row>
    <row r="129" spans="1:27" hidden="1" x14ac:dyDescent="0.25">
      <c r="A129" s="775" t="s">
        <v>74</v>
      </c>
      <c r="B129" s="776"/>
      <c r="C129" s="777">
        <f t="shared" ref="C129:N129" ca="1" si="59">1.07*0.707*C109</f>
        <v>5.1741899249951331</v>
      </c>
      <c r="D129" s="777">
        <f t="shared" ca="1" si="59"/>
        <v>4.808074094288961</v>
      </c>
      <c r="E129" s="777">
        <f t="shared" ca="1" si="59"/>
        <v>4.6551502065157191</v>
      </c>
      <c r="F129" s="777">
        <f t="shared" ca="1" si="59"/>
        <v>4.5771910809661795</v>
      </c>
      <c r="G129" s="778">
        <f t="shared" ca="1" si="59"/>
        <v>4.9332057009306887</v>
      </c>
      <c r="H129" s="777">
        <f t="shared" ca="1" si="59"/>
        <v>4.6838823497817286</v>
      </c>
      <c r="I129" s="777">
        <f t="shared" ca="1" si="59"/>
        <v>4.5797418210949159</v>
      </c>
      <c r="J129" s="777">
        <f t="shared" ca="1" si="59"/>
        <v>4.526651982294001</v>
      </c>
      <c r="K129" s="778">
        <f t="shared" ca="1" si="59"/>
        <v>4.7412636856160528</v>
      </c>
      <c r="L129" s="777">
        <f t="shared" ca="1" si="59"/>
        <v>4.5849646143212368</v>
      </c>
      <c r="M129" s="777">
        <f t="shared" ca="1" si="59"/>
        <v>4.5196796426453378</v>
      </c>
      <c r="N129" s="777">
        <f t="shared" ca="1" si="59"/>
        <v>4.4863979926854158</v>
      </c>
    </row>
    <row r="130" spans="1:27" hidden="1" x14ac:dyDescent="0.25">
      <c r="A130" s="775" t="s">
        <v>80</v>
      </c>
      <c r="B130" s="776"/>
      <c r="C130" s="777">
        <f t="shared" ref="C130:N130" ca="1" si="60">1.07*0.707*C110</f>
        <v>5.1198032203163084</v>
      </c>
      <c r="D130" s="777">
        <f t="shared" ca="1" si="60"/>
        <v>4.3486047733652322</v>
      </c>
      <c r="E130" s="777">
        <f t="shared" ca="1" si="60"/>
        <v>3.8458066015011974</v>
      </c>
      <c r="F130" s="777">
        <f t="shared" ca="1" si="60"/>
        <v>3.4848629989596174</v>
      </c>
      <c r="G130" s="778">
        <f t="shared" ca="1" si="60"/>
        <v>4.657575365796915</v>
      </c>
      <c r="H130" s="777">
        <f t="shared" ca="1" si="60"/>
        <v>3.9560025251832771</v>
      </c>
      <c r="I130" s="777">
        <f t="shared" ca="1" si="60"/>
        <v>3.4985981526970673</v>
      </c>
      <c r="J130" s="777">
        <f t="shared" ca="1" si="60"/>
        <v>3.1702413859821554</v>
      </c>
      <c r="K130" s="778">
        <f t="shared" ca="1" si="60"/>
        <v>4.1515708872213448</v>
      </c>
      <c r="L130" s="777">
        <f t="shared" ca="1" si="60"/>
        <v>3.5262177470991758</v>
      </c>
      <c r="M130" s="777">
        <f t="shared" ca="1" si="60"/>
        <v>3.1185063248758276</v>
      </c>
      <c r="N130" s="777">
        <f t="shared" ca="1" si="60"/>
        <v>2.8258226243980116</v>
      </c>
    </row>
    <row r="131" spans="1:27" ht="15.75" x14ac:dyDescent="0.25">
      <c r="A131" s="1055" t="s">
        <v>132</v>
      </c>
      <c r="B131" s="704" t="s">
        <v>139</v>
      </c>
      <c r="C131" s="115">
        <f t="shared" ref="C131:N131" ca="1" si="61">C125</f>
        <v>3.8667801049487918</v>
      </c>
      <c r="D131" s="115">
        <f t="shared" ca="1" si="61"/>
        <v>3.8415952724692617</v>
      </c>
      <c r="E131" s="115">
        <f t="shared" ca="1" si="61"/>
        <v>3.8310757533098228</v>
      </c>
      <c r="F131" s="115">
        <f t="shared" ca="1" si="61"/>
        <v>3.8257130037301916</v>
      </c>
      <c r="G131" s="719">
        <f t="shared" ca="1" si="61"/>
        <v>3.8502029815243111</v>
      </c>
      <c r="H131" s="115">
        <f t="shared" ca="1" si="61"/>
        <v>3.8330522158231655</v>
      </c>
      <c r="I131" s="115">
        <f t="shared" ca="1" si="61"/>
        <v>3.8258884672241278</v>
      </c>
      <c r="J131" s="115">
        <f t="shared" ca="1" si="61"/>
        <v>3.8222364571649412</v>
      </c>
      <c r="K131" s="719">
        <f t="shared" ca="1" si="61"/>
        <v>3.836999434733781</v>
      </c>
      <c r="L131" s="115">
        <f t="shared" ca="1" si="61"/>
        <v>3.8262477392398346</v>
      </c>
      <c r="M131" s="115">
        <f t="shared" ca="1" si="61"/>
        <v>3.8217568351674345</v>
      </c>
      <c r="N131" s="115">
        <f t="shared" ca="1" si="61"/>
        <v>3.8194674155122779</v>
      </c>
    </row>
    <row r="132" spans="1:27" ht="15.75" x14ac:dyDescent="0.25">
      <c r="A132" s="1055"/>
      <c r="B132" s="710" t="s">
        <v>140</v>
      </c>
      <c r="C132" s="115">
        <f t="shared" ref="C132:N132" ca="1" si="62">MIN(C126,C127)</f>
        <v>8.834738230248794</v>
      </c>
      <c r="D132" s="115">
        <f t="shared" ca="1" si="62"/>
        <v>7.5039573175467948</v>
      </c>
      <c r="E132" s="115">
        <f t="shared" ca="1" si="62"/>
        <v>6.6363282232411045</v>
      </c>
      <c r="F132" s="115">
        <f t="shared" ca="1" si="62"/>
        <v>6.0134835342726074</v>
      </c>
      <c r="G132" s="719">
        <f t="shared" ca="1" si="62"/>
        <v>8.0371173214600233</v>
      </c>
      <c r="H132" s="115">
        <f t="shared" ca="1" si="62"/>
        <v>6.826482433838188</v>
      </c>
      <c r="I132" s="115">
        <f t="shared" ca="1" si="62"/>
        <v>6.0371849311038508</v>
      </c>
      <c r="J132" s="115">
        <f t="shared" ca="1" si="62"/>
        <v>5.4705721229112161</v>
      </c>
      <c r="K132" s="719">
        <f t="shared" ca="1" si="62"/>
        <v>7.1639554206648386</v>
      </c>
      <c r="L132" s="115">
        <f t="shared" ca="1" si="62"/>
        <v>6.0848453344568529</v>
      </c>
      <c r="M132" s="115">
        <f t="shared" ca="1" si="62"/>
        <v>5.3812980429257564</v>
      </c>
      <c r="N132" s="115">
        <f t="shared" ca="1" si="62"/>
        <v>4.8762427181974175</v>
      </c>
    </row>
    <row r="133" spans="1:27" ht="15.75" x14ac:dyDescent="0.25">
      <c r="A133" s="1055"/>
      <c r="B133" s="708" t="s">
        <v>145</v>
      </c>
      <c r="C133" s="115">
        <f t="shared" ref="C133:N133" ca="1" si="63">C128</f>
        <v>2.2408307657367179</v>
      </c>
      <c r="D133" s="115">
        <f t="shared" ca="1" si="63"/>
        <v>2.2262359488817771</v>
      </c>
      <c r="E133" s="115">
        <f t="shared" ca="1" si="63"/>
        <v>2.2201398013033149</v>
      </c>
      <c r="F133" s="115">
        <f t="shared" ca="1" si="63"/>
        <v>2.2170320439649549</v>
      </c>
      <c r="G133" s="719">
        <f t="shared" ca="1" si="63"/>
        <v>2.2312241868341705</v>
      </c>
      <c r="H133" s="115">
        <f t="shared" ca="1" si="63"/>
        <v>2.2212851775303095</v>
      </c>
      <c r="I133" s="115">
        <f t="shared" ca="1" si="63"/>
        <v>2.2171337264979165</v>
      </c>
      <c r="J133" s="115">
        <f t="shared" ca="1" si="63"/>
        <v>2.2150173567341094</v>
      </c>
      <c r="K133" s="719">
        <f t="shared" ca="1" si="63"/>
        <v>2.2235726232432644</v>
      </c>
      <c r="L133" s="115">
        <f t="shared" ca="1" si="63"/>
        <v>2.2173419275758715</v>
      </c>
      <c r="M133" s="115">
        <f t="shared" ca="1" si="63"/>
        <v>2.2147394118552262</v>
      </c>
      <c r="N133" s="115">
        <f t="shared" ca="1" si="63"/>
        <v>2.2134126743993283</v>
      </c>
    </row>
    <row r="134" spans="1:27" ht="15.75" x14ac:dyDescent="0.25">
      <c r="A134" s="1061"/>
      <c r="B134" s="706" t="s">
        <v>146</v>
      </c>
      <c r="C134" s="118">
        <f t="shared" ref="C134:N134" ca="1" si="64">MIN(C129,C130)</f>
        <v>5.1198032203163084</v>
      </c>
      <c r="D134" s="118">
        <f t="shared" ca="1" si="64"/>
        <v>4.3486047733652322</v>
      </c>
      <c r="E134" s="118">
        <f t="shared" ca="1" si="64"/>
        <v>3.8458066015011974</v>
      </c>
      <c r="F134" s="118">
        <f t="shared" ca="1" si="64"/>
        <v>3.4848629989596174</v>
      </c>
      <c r="G134" s="745">
        <f t="shared" ca="1" si="64"/>
        <v>4.657575365796915</v>
      </c>
      <c r="H134" s="118">
        <f t="shared" ca="1" si="64"/>
        <v>3.9560025251832771</v>
      </c>
      <c r="I134" s="118">
        <f t="shared" ca="1" si="64"/>
        <v>3.4985981526970673</v>
      </c>
      <c r="J134" s="118">
        <f t="shared" ca="1" si="64"/>
        <v>3.1702413859821554</v>
      </c>
      <c r="K134" s="745">
        <f t="shared" ca="1" si="64"/>
        <v>4.1515708872213448</v>
      </c>
      <c r="L134" s="118">
        <f t="shared" ca="1" si="64"/>
        <v>3.5262177470991758</v>
      </c>
      <c r="M134" s="118">
        <f t="shared" ca="1" si="64"/>
        <v>3.1185063248758276</v>
      </c>
      <c r="N134" s="118">
        <f t="shared" ca="1" si="64"/>
        <v>2.8258226243980116</v>
      </c>
    </row>
    <row r="136" spans="1:27" ht="15.75" x14ac:dyDescent="0.25">
      <c r="A136" s="804" t="s">
        <v>284</v>
      </c>
      <c r="P136" t="s">
        <v>297</v>
      </c>
    </row>
    <row r="137" spans="1:27" ht="15.75" x14ac:dyDescent="0.25">
      <c r="A137" s="1064" t="s">
        <v>130</v>
      </c>
      <c r="B137" s="753" t="s">
        <v>139</v>
      </c>
      <c r="C137" s="795">
        <f ca="1">ROUND(MAX(C91,C121),1)</f>
        <v>2.2999999999999998</v>
      </c>
      <c r="D137" s="795">
        <f t="shared" ref="D137:N137" ca="1" si="65">ROUND(MAX(D91,D121),1)</f>
        <v>2.2000000000000002</v>
      </c>
      <c r="E137" s="795">
        <f t="shared" ca="1" si="65"/>
        <v>2.2000000000000002</v>
      </c>
      <c r="F137" s="795">
        <f t="shared" ca="1" si="65"/>
        <v>2.2000000000000002</v>
      </c>
      <c r="G137" s="795">
        <f t="shared" ca="1" si="65"/>
        <v>2.2000000000000002</v>
      </c>
      <c r="H137" s="795">
        <f t="shared" ca="1" si="65"/>
        <v>2.2000000000000002</v>
      </c>
      <c r="I137" s="795">
        <f t="shared" ca="1" si="65"/>
        <v>2.2000000000000002</v>
      </c>
      <c r="J137" s="795">
        <f t="shared" ca="1" si="65"/>
        <v>2.2000000000000002</v>
      </c>
      <c r="K137" s="795">
        <f t="shared" ca="1" si="65"/>
        <v>2.2000000000000002</v>
      </c>
      <c r="L137" s="795">
        <f t="shared" ca="1" si="65"/>
        <v>2.2000000000000002</v>
      </c>
      <c r="M137" s="795">
        <f t="shared" ca="1" si="65"/>
        <v>2.2000000000000002</v>
      </c>
      <c r="N137" s="795">
        <f t="shared" ca="1" si="65"/>
        <v>2.2000000000000002</v>
      </c>
      <c r="P137">
        <v>2.8519981248745698</v>
      </c>
      <c r="Q137">
        <v>2.7656030278231287</v>
      </c>
      <c r="R137">
        <v>2.7300022436910343</v>
      </c>
      <c r="S137">
        <v>2.7119967356271371</v>
      </c>
      <c r="T137">
        <v>2.7449318978216382</v>
      </c>
      <c r="U137">
        <v>2.7110512951090819</v>
      </c>
      <c r="V137">
        <v>2.6970901322121086</v>
      </c>
      <c r="W137">
        <v>2.6900291127078728</v>
      </c>
      <c r="X137">
        <v>2.702793822065519</v>
      </c>
      <c r="Y137">
        <v>2.6895813590797153</v>
      </c>
      <c r="Z137">
        <v>2.6841369061111542</v>
      </c>
      <c r="AA137">
        <v>2.6813833110929886</v>
      </c>
    </row>
    <row r="138" spans="1:27" ht="15.75" x14ac:dyDescent="0.25">
      <c r="A138" s="1059"/>
      <c r="B138" s="754" t="s">
        <v>57</v>
      </c>
      <c r="C138" s="281">
        <f ca="1">ROUND(MIN(C92,C122),1)</f>
        <v>5.0999999999999996</v>
      </c>
      <c r="D138" s="281">
        <f t="shared" ref="D138:N138" ca="1" si="66">ROUND(MIN(D92,D122),1)</f>
        <v>4.4000000000000004</v>
      </c>
      <c r="E138" s="281">
        <f t="shared" ca="1" si="66"/>
        <v>3.9</v>
      </c>
      <c r="F138" s="281">
        <f t="shared" ca="1" si="66"/>
        <v>3.5</v>
      </c>
      <c r="G138" s="281">
        <f t="shared" ca="1" si="66"/>
        <v>4.7</v>
      </c>
      <c r="H138" s="281">
        <f t="shared" ca="1" si="66"/>
        <v>4</v>
      </c>
      <c r="I138" s="281">
        <f t="shared" ca="1" si="66"/>
        <v>3.5</v>
      </c>
      <c r="J138" s="281">
        <f t="shared" ca="1" si="66"/>
        <v>3.2</v>
      </c>
      <c r="K138" s="281">
        <f t="shared" ca="1" si="66"/>
        <v>4.2</v>
      </c>
      <c r="L138" s="281">
        <f t="shared" ca="1" si="66"/>
        <v>3.5</v>
      </c>
      <c r="M138" s="281">
        <f t="shared" ca="1" si="66"/>
        <v>3.1</v>
      </c>
      <c r="N138" s="281">
        <f t="shared" ca="1" si="66"/>
        <v>2.8</v>
      </c>
      <c r="P138">
        <v>4.0249036359017847</v>
      </c>
      <c r="Q138">
        <v>3.4242859251213384</v>
      </c>
      <c r="R138">
        <v>3.0235902120707392</v>
      </c>
      <c r="S138">
        <v>2.7370497307554955</v>
      </c>
      <c r="T138">
        <v>3.2104752498285385</v>
      </c>
      <c r="U138">
        <v>2.7192389995305879</v>
      </c>
      <c r="V138">
        <v>2.4010449486546244</v>
      </c>
      <c r="W138">
        <v>2.1735020188950229</v>
      </c>
      <c r="X138">
        <v>2.545941243552821</v>
      </c>
      <c r="Y138">
        <v>2.1563856380303732</v>
      </c>
      <c r="Z138">
        <v>1.9040543491903406</v>
      </c>
      <c r="AA138">
        <v>1.7236103698808125</v>
      </c>
    </row>
    <row r="139" spans="1:27" ht="15.75" x14ac:dyDescent="0.25">
      <c r="A139" s="1059"/>
      <c r="B139" s="755" t="s">
        <v>145</v>
      </c>
      <c r="C139" s="106">
        <f ca="1">ROUND(MAX(C93,C123),1)</f>
        <v>3.9</v>
      </c>
      <c r="D139" s="106">
        <f t="shared" ref="D139:N139" ca="1" si="67">ROUND(MAX(D93,D123),1)</f>
        <v>3.9</v>
      </c>
      <c r="E139" s="106">
        <f t="shared" ca="1" si="67"/>
        <v>3.9</v>
      </c>
      <c r="F139" s="106">
        <f t="shared" ca="1" si="67"/>
        <v>3.9</v>
      </c>
      <c r="G139" s="106">
        <f t="shared" ca="1" si="67"/>
        <v>3.9</v>
      </c>
      <c r="H139" s="106">
        <f t="shared" ca="1" si="67"/>
        <v>3.9</v>
      </c>
      <c r="I139" s="106">
        <f t="shared" ca="1" si="67"/>
        <v>3.9</v>
      </c>
      <c r="J139" s="106">
        <f t="shared" ca="1" si="67"/>
        <v>3.9</v>
      </c>
      <c r="K139" s="106">
        <f t="shared" ca="1" si="67"/>
        <v>3.9</v>
      </c>
      <c r="L139" s="106">
        <f t="shared" ca="1" si="67"/>
        <v>3.9</v>
      </c>
      <c r="M139" s="106">
        <f t="shared" ca="1" si="67"/>
        <v>3.9</v>
      </c>
      <c r="N139" s="106">
        <f t="shared" ca="1" si="67"/>
        <v>3.9</v>
      </c>
      <c r="P139">
        <v>4.9415809094361407</v>
      </c>
      <c r="Q139">
        <v>4.7918864343470053</v>
      </c>
      <c r="R139">
        <v>4.7302019073854558</v>
      </c>
      <c r="S139">
        <v>4.6990042448985054</v>
      </c>
      <c r="T139">
        <v>4.7560701199879878</v>
      </c>
      <c r="U139">
        <v>4.6973661053870233</v>
      </c>
      <c r="V139">
        <v>4.6731759716546444</v>
      </c>
      <c r="W139">
        <v>4.6609415319195815</v>
      </c>
      <c r="X139">
        <v>4.6830586025887708</v>
      </c>
      <c r="Y139">
        <v>4.6601657211777248</v>
      </c>
      <c r="Z139">
        <v>4.6507322630638814</v>
      </c>
      <c r="AA139">
        <v>4.6459611825868619</v>
      </c>
    </row>
    <row r="140" spans="1:27" ht="16.5" thickBot="1" x14ac:dyDescent="0.3">
      <c r="A140" s="1059"/>
      <c r="B140" s="756" t="s">
        <v>148</v>
      </c>
      <c r="C140" s="106">
        <f ca="1">ROUND(MIN(C94,C124),1)</f>
        <v>8.9</v>
      </c>
      <c r="D140" s="106">
        <f ca="1">ROUND(MIN(D94,D124),1)</f>
        <v>7.6</v>
      </c>
      <c r="E140" s="106">
        <f t="shared" ref="E140:N140" ca="1" si="68">ROUND(MIN(E94,E124),1)</f>
        <v>6.7</v>
      </c>
      <c r="F140" s="106">
        <f t="shared" ca="1" si="68"/>
        <v>6.1</v>
      </c>
      <c r="G140" s="106">
        <f t="shared" ca="1" si="68"/>
        <v>8.1</v>
      </c>
      <c r="H140" s="106">
        <f t="shared" ca="1" si="68"/>
        <v>6.9</v>
      </c>
      <c r="I140" s="106">
        <f t="shared" ca="1" si="68"/>
        <v>6.1</v>
      </c>
      <c r="J140" s="106">
        <f t="shared" ca="1" si="68"/>
        <v>5.5</v>
      </c>
      <c r="K140" s="106">
        <f t="shared" ca="1" si="68"/>
        <v>7.2</v>
      </c>
      <c r="L140" s="106">
        <f t="shared" ca="1" si="68"/>
        <v>6.1</v>
      </c>
      <c r="M140" s="106">
        <f t="shared" ca="1" si="68"/>
        <v>5.4</v>
      </c>
      <c r="N140" s="106">
        <f t="shared" ca="1" si="68"/>
        <v>4.9000000000000004</v>
      </c>
      <c r="P140">
        <v>6.9738429334931915</v>
      </c>
      <c r="Q140">
        <v>5.9331686821409333</v>
      </c>
      <c r="R140">
        <v>5.2388939318057366</v>
      </c>
      <c r="S140">
        <v>4.7424128998238793</v>
      </c>
      <c r="T140">
        <v>5.5627046407920231</v>
      </c>
      <c r="U140">
        <v>4.7115527219589399</v>
      </c>
      <c r="V140">
        <v>4.1602263961837549</v>
      </c>
      <c r="W140">
        <v>3.7659688446200894</v>
      </c>
      <c r="X140">
        <v>4.4112843328885516</v>
      </c>
      <c r="Y140">
        <v>3.7363117490625282</v>
      </c>
      <c r="Z140">
        <v>3.2991040703793035</v>
      </c>
      <c r="AA140">
        <v>2.986453611179626</v>
      </c>
    </row>
    <row r="141" spans="1:27" ht="15.75" x14ac:dyDescent="0.25">
      <c r="A141" s="1062" t="s">
        <v>131</v>
      </c>
      <c r="B141" s="757" t="s">
        <v>56</v>
      </c>
      <c r="C141" s="795">
        <f ca="1">ROUND(MAX(C81,C111),1)</f>
        <v>3</v>
      </c>
      <c r="D141" s="795">
        <f t="shared" ref="D141:N141" ca="1" si="69">ROUND(MAX(D81,D111),1)</f>
        <v>2.9</v>
      </c>
      <c r="E141" s="795">
        <f t="shared" ca="1" si="69"/>
        <v>2.9</v>
      </c>
      <c r="F141" s="795">
        <f t="shared" ca="1" si="69"/>
        <v>2.9</v>
      </c>
      <c r="G141" s="795">
        <f t="shared" ca="1" si="69"/>
        <v>2.9</v>
      </c>
      <c r="H141" s="795">
        <f t="shared" ca="1" si="69"/>
        <v>2.9</v>
      </c>
      <c r="I141" s="795">
        <f t="shared" ca="1" si="69"/>
        <v>2.9</v>
      </c>
      <c r="J141" s="795">
        <f t="shared" ca="1" si="69"/>
        <v>2.9</v>
      </c>
      <c r="K141" s="795">
        <f t="shared" ca="1" si="69"/>
        <v>2.9</v>
      </c>
      <c r="L141" s="795">
        <f t="shared" ca="1" si="69"/>
        <v>2.9</v>
      </c>
      <c r="M141" s="795">
        <f t="shared" ca="1" si="69"/>
        <v>2.9</v>
      </c>
      <c r="N141" s="795">
        <f t="shared" ca="1" si="69"/>
        <v>2.9</v>
      </c>
      <c r="P141">
        <v>3.7525056739904246</v>
      </c>
      <c r="Q141">
        <v>3.638831653989183</v>
      </c>
      <c r="R141">
        <v>3.5919900578152486</v>
      </c>
      <c r="S141">
        <v>3.5682993791350777</v>
      </c>
      <c r="T141">
        <v>3.6116336933938205</v>
      </c>
      <c r="U141">
        <v>3.5670554193731547</v>
      </c>
      <c r="V141">
        <v>3.5486860724477602</v>
      </c>
      <c r="W141">
        <v>3.5393955629194735</v>
      </c>
      <c r="X141">
        <v>3.5561906806559245</v>
      </c>
      <c r="Y141">
        <v>3.5388064327880207</v>
      </c>
      <c r="Z141">
        <v>3.5316429145240673</v>
      </c>
      <c r="AA141">
        <v>3.5280198823630653</v>
      </c>
    </row>
    <row r="142" spans="1:27" ht="15.75" x14ac:dyDescent="0.25">
      <c r="A142" s="1059"/>
      <c r="B142" s="754" t="s">
        <v>140</v>
      </c>
      <c r="C142" s="281">
        <f ca="1">ROUND(MIN(C82,C112),1)</f>
        <v>6.8</v>
      </c>
      <c r="D142" s="281">
        <f t="shared" ref="D142:N142" ca="1" si="70">ROUND(MIN(D82,D112),1)</f>
        <v>5.7</v>
      </c>
      <c r="E142" s="281">
        <f t="shared" ca="1" si="70"/>
        <v>5.0999999999999996</v>
      </c>
      <c r="F142" s="281">
        <f t="shared" ca="1" si="70"/>
        <v>4.5999999999999996</v>
      </c>
      <c r="G142" s="281">
        <f t="shared" ca="1" si="70"/>
        <v>6.2</v>
      </c>
      <c r="H142" s="281">
        <f t="shared" ca="1" si="70"/>
        <v>5.2</v>
      </c>
      <c r="I142" s="281">
        <f t="shared" ca="1" si="70"/>
        <v>4.5999999999999996</v>
      </c>
      <c r="J142" s="281">
        <f t="shared" ca="1" si="70"/>
        <v>4.2</v>
      </c>
      <c r="K142" s="281">
        <f t="shared" ca="1" si="70"/>
        <v>5.5</v>
      </c>
      <c r="L142" s="281">
        <f t="shared" ca="1" si="70"/>
        <v>4.7</v>
      </c>
      <c r="M142" s="281">
        <f t="shared" ca="1" si="70"/>
        <v>4.0999999999999996</v>
      </c>
      <c r="N142" s="281">
        <f t="shared" ca="1" si="70"/>
        <v>3.7</v>
      </c>
      <c r="P142">
        <v>5.2957516343564812</v>
      </c>
      <c r="Q142">
        <v>4.5054911682133332</v>
      </c>
      <c r="R142">
        <v>3.9782773093921113</v>
      </c>
      <c r="S142">
        <v>3.6012627620874258</v>
      </c>
      <c r="T142">
        <v>4.2241705862682659</v>
      </c>
      <c r="U142">
        <v>3.5778283602915537</v>
      </c>
      <c r="V142">
        <v>3.1591657493564349</v>
      </c>
      <c r="W142">
        <v>2.8597770058814156</v>
      </c>
      <c r="X142">
        <v>3.3498124976847095</v>
      </c>
      <c r="Y142">
        <v>2.8372561929283555</v>
      </c>
      <c r="Z142">
        <v>2.5052522603734624</v>
      </c>
      <c r="AA142">
        <v>2.2678337816266736</v>
      </c>
    </row>
    <row r="143" spans="1:27" ht="15.75" x14ac:dyDescent="0.25">
      <c r="A143" s="1059"/>
      <c r="B143" s="755" t="s">
        <v>145</v>
      </c>
      <c r="C143" s="106">
        <f ca="1">ROUND(MAX(C83,C113),1)</f>
        <v>3</v>
      </c>
      <c r="D143" s="106">
        <f t="shared" ref="D143:N143" ca="1" si="71">ROUND(MAX(D83,D113),1)</f>
        <v>2.9</v>
      </c>
      <c r="E143" s="106">
        <f t="shared" ca="1" si="71"/>
        <v>2.9</v>
      </c>
      <c r="F143" s="106">
        <f t="shared" ca="1" si="71"/>
        <v>2.9</v>
      </c>
      <c r="G143" s="106">
        <f t="shared" ca="1" si="71"/>
        <v>2.9</v>
      </c>
      <c r="H143" s="106">
        <f t="shared" ca="1" si="71"/>
        <v>2.9</v>
      </c>
      <c r="I143" s="106">
        <f t="shared" ca="1" si="71"/>
        <v>2.9</v>
      </c>
      <c r="J143" s="106">
        <f t="shared" ca="1" si="71"/>
        <v>2.9</v>
      </c>
      <c r="K143" s="106">
        <f t="shared" ca="1" si="71"/>
        <v>2.9</v>
      </c>
      <c r="L143" s="106">
        <f t="shared" ca="1" si="71"/>
        <v>2.9</v>
      </c>
      <c r="M143" s="106">
        <f t="shared" ca="1" si="71"/>
        <v>2.9</v>
      </c>
      <c r="N143" s="106">
        <f t="shared" ca="1" si="71"/>
        <v>2.9</v>
      </c>
      <c r="P143">
        <v>3.7525056739904246</v>
      </c>
      <c r="Q143">
        <v>3.638831653989183</v>
      </c>
      <c r="R143">
        <v>3.5919900578152486</v>
      </c>
      <c r="S143">
        <v>3.5682993791350777</v>
      </c>
      <c r="T143">
        <v>3.6116336933938205</v>
      </c>
      <c r="U143">
        <v>3.5670554193731547</v>
      </c>
      <c r="V143">
        <v>3.5486860724477602</v>
      </c>
      <c r="W143">
        <v>3.5393955629194735</v>
      </c>
      <c r="X143">
        <v>3.5561906806559245</v>
      </c>
      <c r="Y143">
        <v>3.5388064327880207</v>
      </c>
      <c r="Z143">
        <v>3.5316429145240673</v>
      </c>
      <c r="AA143">
        <v>3.5280198823630653</v>
      </c>
    </row>
    <row r="144" spans="1:27" ht="16.5" thickBot="1" x14ac:dyDescent="0.3">
      <c r="A144" s="1063"/>
      <c r="B144" s="756" t="s">
        <v>148</v>
      </c>
      <c r="C144" s="106">
        <f ca="1">ROUND(MIN(C84,C114),1)</f>
        <v>6.8</v>
      </c>
      <c r="D144" s="106">
        <f t="shared" ref="D144:N144" ca="1" si="72">ROUND(MIN(D84,D114),1)</f>
        <v>5.7</v>
      </c>
      <c r="E144" s="106">
        <f t="shared" ca="1" si="72"/>
        <v>5.0999999999999996</v>
      </c>
      <c r="F144" s="106">
        <f t="shared" ca="1" si="72"/>
        <v>4.5999999999999996</v>
      </c>
      <c r="G144" s="106">
        <f t="shared" ca="1" si="72"/>
        <v>6.2</v>
      </c>
      <c r="H144" s="106">
        <f t="shared" ca="1" si="72"/>
        <v>5.2</v>
      </c>
      <c r="I144" s="106">
        <f t="shared" ca="1" si="72"/>
        <v>4.5999999999999996</v>
      </c>
      <c r="J144" s="106">
        <f t="shared" ca="1" si="72"/>
        <v>4.2</v>
      </c>
      <c r="K144" s="106">
        <f t="shared" ca="1" si="72"/>
        <v>5.5</v>
      </c>
      <c r="L144" s="106">
        <f t="shared" ca="1" si="72"/>
        <v>4.7</v>
      </c>
      <c r="M144" s="106">
        <f t="shared" ca="1" si="72"/>
        <v>4.0999999999999996</v>
      </c>
      <c r="N144" s="106">
        <f t="shared" ca="1" si="72"/>
        <v>3.7</v>
      </c>
      <c r="P144">
        <v>5.2957516343564812</v>
      </c>
      <c r="Q144">
        <v>4.5054911682133332</v>
      </c>
      <c r="R144">
        <v>3.9782773093921113</v>
      </c>
      <c r="S144">
        <v>3.6012627620874258</v>
      </c>
      <c r="T144">
        <v>4.2241705862682659</v>
      </c>
      <c r="U144">
        <v>3.5778283602915537</v>
      </c>
      <c r="V144">
        <v>3.1591657493564349</v>
      </c>
      <c r="W144">
        <v>2.8597770058814156</v>
      </c>
      <c r="X144">
        <v>3.3498124976847095</v>
      </c>
      <c r="Y144">
        <v>2.8372561929283555</v>
      </c>
      <c r="Z144">
        <v>2.5052522603734624</v>
      </c>
      <c r="AA144">
        <v>2.2678337816266736</v>
      </c>
    </row>
    <row r="145" spans="1:27" ht="15.75" x14ac:dyDescent="0.25">
      <c r="A145" s="1059" t="s">
        <v>132</v>
      </c>
      <c r="B145" s="758" t="s">
        <v>139</v>
      </c>
      <c r="C145" s="795">
        <f ca="1">ROUND(MAX(C101,C131),1)</f>
        <v>3.9</v>
      </c>
      <c r="D145" s="795">
        <f t="shared" ref="D145:N145" ca="1" si="73">ROUND(MAX(D101,D131),1)</f>
        <v>3.8</v>
      </c>
      <c r="E145" s="795">
        <f t="shared" ca="1" si="73"/>
        <v>3.8</v>
      </c>
      <c r="F145" s="795">
        <f t="shared" ca="1" si="73"/>
        <v>3.8</v>
      </c>
      <c r="G145" s="795">
        <f t="shared" ca="1" si="73"/>
        <v>3.9</v>
      </c>
      <c r="H145" s="795">
        <f t="shared" ca="1" si="73"/>
        <v>3.8</v>
      </c>
      <c r="I145" s="795">
        <f t="shared" ca="1" si="73"/>
        <v>3.8</v>
      </c>
      <c r="J145" s="795">
        <f t="shared" ca="1" si="73"/>
        <v>3.8</v>
      </c>
      <c r="K145" s="795">
        <f t="shared" ca="1" si="73"/>
        <v>3.8</v>
      </c>
      <c r="L145" s="795">
        <f t="shared" ca="1" si="73"/>
        <v>3.8</v>
      </c>
      <c r="M145" s="795">
        <f t="shared" ca="1" si="73"/>
        <v>3.8</v>
      </c>
      <c r="N145" s="795">
        <f t="shared" ca="1" si="73"/>
        <v>3.8</v>
      </c>
      <c r="P145">
        <v>4.898520906827101</v>
      </c>
      <c r="Q145">
        <v>4.7501308411174801</v>
      </c>
      <c r="R145">
        <v>4.6889838214720259</v>
      </c>
      <c r="S145">
        <v>4.6580580095229305</v>
      </c>
      <c r="T145">
        <v>4.7146266233562937</v>
      </c>
      <c r="U145">
        <v>4.656434144449717</v>
      </c>
      <c r="V145">
        <v>4.6324547989733063</v>
      </c>
      <c r="W145">
        <v>4.6203269678350809</v>
      </c>
      <c r="X145">
        <v>4.6422513145282442</v>
      </c>
      <c r="Y145">
        <v>4.6195579173614822</v>
      </c>
      <c r="Z145">
        <v>4.6102066606197178</v>
      </c>
      <c r="AA145">
        <v>4.6054771544367457</v>
      </c>
    </row>
    <row r="146" spans="1:27" ht="15.75" x14ac:dyDescent="0.25">
      <c r="A146" s="1059"/>
      <c r="B146" s="754" t="s">
        <v>140</v>
      </c>
      <c r="C146" s="281">
        <f ca="1">ROUND(MIN(C102,C132),1)</f>
        <v>8.8000000000000007</v>
      </c>
      <c r="D146" s="281">
        <f t="shared" ref="D146:N146" ca="1" si="74">ROUND(MIN(D102,D132),1)</f>
        <v>7.5</v>
      </c>
      <c r="E146" s="281">
        <f t="shared" ca="1" si="74"/>
        <v>6.6</v>
      </c>
      <c r="F146" s="281">
        <f t="shared" ca="1" si="74"/>
        <v>6</v>
      </c>
      <c r="G146" s="281">
        <f t="shared" ca="1" si="74"/>
        <v>8</v>
      </c>
      <c r="H146" s="281">
        <f t="shared" ca="1" si="74"/>
        <v>6.8</v>
      </c>
      <c r="I146" s="281">
        <f t="shared" ca="1" si="74"/>
        <v>6</v>
      </c>
      <c r="J146" s="281">
        <f t="shared" ca="1" si="74"/>
        <v>5.5</v>
      </c>
      <c r="K146" s="281">
        <f t="shared" ca="1" si="74"/>
        <v>7.2</v>
      </c>
      <c r="L146" s="281">
        <f t="shared" ca="1" si="74"/>
        <v>6.1</v>
      </c>
      <c r="M146" s="281">
        <f t="shared" ca="1" si="74"/>
        <v>5.4</v>
      </c>
      <c r="N146" s="281">
        <f t="shared" ca="1" si="74"/>
        <v>4.9000000000000004</v>
      </c>
      <c r="P146">
        <v>6.9130741834889511</v>
      </c>
      <c r="Q146">
        <v>5.881468170985686</v>
      </c>
      <c r="R146">
        <v>5.1932431996804622</v>
      </c>
      <c r="S146">
        <v>4.7010884096289258</v>
      </c>
      <c r="T146">
        <v>5.5142322833145947</v>
      </c>
      <c r="U146">
        <v>4.6704971415245948</v>
      </c>
      <c r="V146">
        <v>4.1239749692098906</v>
      </c>
      <c r="W146">
        <v>3.7331529034776003</v>
      </c>
      <c r="X146">
        <v>4.3728452344776203</v>
      </c>
      <c r="Y146">
        <v>3.7037542342486756</v>
      </c>
      <c r="Z146">
        <v>3.2703563006915179</v>
      </c>
      <c r="AA146">
        <v>2.9604302185354601</v>
      </c>
    </row>
    <row r="147" spans="1:27" ht="15.75" x14ac:dyDescent="0.25">
      <c r="A147" s="1059"/>
      <c r="B147" s="755" t="s">
        <v>145</v>
      </c>
      <c r="C147" s="106">
        <f ca="1">ROUND(MAX(C103,C133),1)</f>
        <v>2.2000000000000002</v>
      </c>
      <c r="D147" s="106">
        <f t="shared" ref="D147:N147" ca="1" si="75">ROUND(MAX(D103,D133),1)</f>
        <v>2.2000000000000002</v>
      </c>
      <c r="E147" s="106">
        <f t="shared" ca="1" si="75"/>
        <v>2.2000000000000002</v>
      </c>
      <c r="F147" s="106">
        <f t="shared" ca="1" si="75"/>
        <v>2.2000000000000002</v>
      </c>
      <c r="G147" s="106">
        <f t="shared" ca="1" si="75"/>
        <v>2.2000000000000002</v>
      </c>
      <c r="H147" s="106">
        <f t="shared" ca="1" si="75"/>
        <v>2.2000000000000002</v>
      </c>
      <c r="I147" s="106">
        <f t="shared" ca="1" si="75"/>
        <v>2.2000000000000002</v>
      </c>
      <c r="J147" s="106">
        <f t="shared" ca="1" si="75"/>
        <v>2.2000000000000002</v>
      </c>
      <c r="K147" s="106">
        <f t="shared" ca="1" si="75"/>
        <v>2.2000000000000002</v>
      </c>
      <c r="L147" s="106">
        <f t="shared" ca="1" si="75"/>
        <v>2.2000000000000002</v>
      </c>
      <c r="M147" s="106">
        <f t="shared" ca="1" si="75"/>
        <v>2.2000000000000002</v>
      </c>
      <c r="N147" s="106">
        <f t="shared" ca="1" si="75"/>
        <v>2.2000000000000002</v>
      </c>
      <c r="P147">
        <v>2.8387330173170162</v>
      </c>
      <c r="Q147">
        <v>2.7527397579262769</v>
      </c>
      <c r="R147">
        <v>2.7173045588366573</v>
      </c>
      <c r="S147">
        <v>2.6993827973218947</v>
      </c>
      <c r="T147">
        <v>2.7321647727154912</v>
      </c>
      <c r="U147">
        <v>2.6984417542015979</v>
      </c>
      <c r="V147">
        <v>2.6845455269460063</v>
      </c>
      <c r="W147">
        <v>2.6775173493929527</v>
      </c>
      <c r="X147">
        <v>2.6902226880094005</v>
      </c>
      <c r="Y147">
        <v>2.6770716783398099</v>
      </c>
      <c r="Z147">
        <v>2.6716525484083116</v>
      </c>
      <c r="AA147">
        <v>2.6689117608088351</v>
      </c>
    </row>
    <row r="148" spans="1:27" ht="16.5" thickBot="1" x14ac:dyDescent="0.3">
      <c r="A148" s="1060"/>
      <c r="B148" s="774" t="s">
        <v>146</v>
      </c>
      <c r="C148" s="797">
        <f ca="1">ROUND(MIN(C104,C134),1)</f>
        <v>5.0999999999999996</v>
      </c>
      <c r="D148" s="796">
        <f t="shared" ref="D148:N148" ca="1" si="76">ROUND(MIN(D104,D134),1)</f>
        <v>4.3</v>
      </c>
      <c r="E148" s="796">
        <f t="shared" ca="1" si="76"/>
        <v>3.8</v>
      </c>
      <c r="F148" s="796">
        <f t="shared" ca="1" si="76"/>
        <v>3.5</v>
      </c>
      <c r="G148" s="796">
        <f t="shared" ca="1" si="76"/>
        <v>4.7</v>
      </c>
      <c r="H148" s="796">
        <f t="shared" ca="1" si="76"/>
        <v>4</v>
      </c>
      <c r="I148" s="796">
        <f t="shared" ca="1" si="76"/>
        <v>3.5</v>
      </c>
      <c r="J148" s="796">
        <f t="shared" ca="1" si="76"/>
        <v>3.2</v>
      </c>
      <c r="K148" s="796">
        <f t="shared" ca="1" si="76"/>
        <v>4.2</v>
      </c>
      <c r="L148" s="796">
        <f t="shared" ca="1" si="76"/>
        <v>3.5</v>
      </c>
      <c r="M148" s="796">
        <f t="shared" ca="1" si="76"/>
        <v>3.1</v>
      </c>
      <c r="N148" s="796">
        <f t="shared" ca="1" si="76"/>
        <v>2.8</v>
      </c>
      <c r="P148">
        <v>4.0061831538743347</v>
      </c>
      <c r="Q148">
        <v>3.4083590138417046</v>
      </c>
      <c r="R148">
        <v>3.0095270017820384</v>
      </c>
      <c r="S148">
        <v>2.7243192668915168</v>
      </c>
      <c r="T148">
        <v>3.1955428068060803</v>
      </c>
      <c r="U148">
        <v>2.7065913762769576</v>
      </c>
      <c r="V148">
        <v>2.3898772977306493</v>
      </c>
      <c r="W148">
        <v>2.163392707179232</v>
      </c>
      <c r="X148">
        <v>2.5340996563735056</v>
      </c>
      <c r="Y148">
        <v>2.1463559373883716</v>
      </c>
      <c r="Z148">
        <v>1.8951982824499205</v>
      </c>
      <c r="AA148">
        <v>1.7155935774627622</v>
      </c>
    </row>
    <row r="149" spans="1:27" x14ac:dyDescent="0.25"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</row>
    <row r="150" spans="1:27" ht="15.75" x14ac:dyDescent="0.25">
      <c r="A150" s="804" t="s">
        <v>438</v>
      </c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</row>
    <row r="151" spans="1:27" ht="15.75" x14ac:dyDescent="0.25">
      <c r="A151" s="1064" t="s">
        <v>130</v>
      </c>
      <c r="B151" s="753" t="s">
        <v>139</v>
      </c>
      <c r="C151" s="93">
        <f t="shared" ref="C151:N151" ca="1" si="77">IF(C$233,"",C137)</f>
        <v>2.2999999999999998</v>
      </c>
      <c r="D151" s="93">
        <f t="shared" ca="1" si="77"/>
        <v>2.2000000000000002</v>
      </c>
      <c r="E151" s="93">
        <f t="shared" ca="1" si="77"/>
        <v>2.2000000000000002</v>
      </c>
      <c r="F151" s="93" t="str">
        <f t="shared" si="77"/>
        <v/>
      </c>
      <c r="G151" s="93">
        <f t="shared" ca="1" si="77"/>
        <v>2.2000000000000002</v>
      </c>
      <c r="H151" s="93">
        <f t="shared" ca="1" si="77"/>
        <v>2.2000000000000002</v>
      </c>
      <c r="I151" s="93" t="str">
        <f t="shared" si="77"/>
        <v/>
      </c>
      <c r="J151" s="93" t="str">
        <f t="shared" si="77"/>
        <v/>
      </c>
      <c r="K151" s="93">
        <f t="shared" ca="1" si="77"/>
        <v>2.2000000000000002</v>
      </c>
      <c r="L151" s="93" t="str">
        <f t="shared" si="77"/>
        <v/>
      </c>
      <c r="M151" s="93" t="str">
        <f t="shared" si="77"/>
        <v/>
      </c>
      <c r="N151" s="93" t="str">
        <f t="shared" si="77"/>
        <v/>
      </c>
    </row>
    <row r="152" spans="1:27" ht="15.75" x14ac:dyDescent="0.25">
      <c r="A152" s="1059"/>
      <c r="B152" s="754" t="s">
        <v>57</v>
      </c>
      <c r="C152" s="93">
        <f t="shared" ref="C152:N152" ca="1" si="78">IF(C$233,"",C138)</f>
        <v>5.0999999999999996</v>
      </c>
      <c r="D152" s="93">
        <f t="shared" ca="1" si="78"/>
        <v>4.4000000000000004</v>
      </c>
      <c r="E152" s="93">
        <f t="shared" ca="1" si="78"/>
        <v>3.9</v>
      </c>
      <c r="F152" s="93" t="str">
        <f t="shared" si="78"/>
        <v/>
      </c>
      <c r="G152" s="93">
        <f t="shared" ca="1" si="78"/>
        <v>4.7</v>
      </c>
      <c r="H152" s="93">
        <f t="shared" ca="1" si="78"/>
        <v>4</v>
      </c>
      <c r="I152" s="93" t="str">
        <f t="shared" si="78"/>
        <v/>
      </c>
      <c r="J152" s="93" t="str">
        <f t="shared" si="78"/>
        <v/>
      </c>
      <c r="K152" s="93">
        <f t="shared" ca="1" si="78"/>
        <v>4.2</v>
      </c>
      <c r="L152" s="93" t="str">
        <f t="shared" si="78"/>
        <v/>
      </c>
      <c r="M152" s="93" t="str">
        <f t="shared" si="78"/>
        <v/>
      </c>
      <c r="N152" s="93" t="str">
        <f t="shared" si="78"/>
        <v/>
      </c>
    </row>
    <row r="153" spans="1:27" ht="15.75" x14ac:dyDescent="0.25">
      <c r="A153" s="1059"/>
      <c r="B153" s="755" t="s">
        <v>145</v>
      </c>
      <c r="C153" s="93">
        <f t="shared" ref="C153:N153" ca="1" si="79">IF(C$233,"",C139)</f>
        <v>3.9</v>
      </c>
      <c r="D153" s="93">
        <f t="shared" ca="1" si="79"/>
        <v>3.9</v>
      </c>
      <c r="E153" s="93">
        <f t="shared" ca="1" si="79"/>
        <v>3.9</v>
      </c>
      <c r="F153" s="93" t="str">
        <f t="shared" si="79"/>
        <v/>
      </c>
      <c r="G153" s="93">
        <f t="shared" ca="1" si="79"/>
        <v>3.9</v>
      </c>
      <c r="H153" s="93">
        <f t="shared" ca="1" si="79"/>
        <v>3.9</v>
      </c>
      <c r="I153" s="93" t="str">
        <f t="shared" si="79"/>
        <v/>
      </c>
      <c r="J153" s="93" t="str">
        <f t="shared" si="79"/>
        <v/>
      </c>
      <c r="K153" s="93">
        <f t="shared" ca="1" si="79"/>
        <v>3.9</v>
      </c>
      <c r="L153" s="93" t="str">
        <f t="shared" si="79"/>
        <v/>
      </c>
      <c r="M153" s="93" t="str">
        <f t="shared" si="79"/>
        <v/>
      </c>
      <c r="N153" s="93" t="str">
        <f t="shared" si="79"/>
        <v/>
      </c>
    </row>
    <row r="154" spans="1:27" ht="16.5" thickBot="1" x14ac:dyDescent="0.3">
      <c r="A154" s="1059"/>
      <c r="B154" s="756" t="s">
        <v>148</v>
      </c>
      <c r="C154" s="951">
        <f t="shared" ref="C154:N154" ca="1" si="80">IF(C$233,"",C140)</f>
        <v>8.9</v>
      </c>
      <c r="D154" s="784">
        <f t="shared" ca="1" si="80"/>
        <v>7.6</v>
      </c>
      <c r="E154" s="784">
        <f t="shared" ca="1" si="80"/>
        <v>6.7</v>
      </c>
      <c r="F154" s="784" t="str">
        <f t="shared" si="80"/>
        <v/>
      </c>
      <c r="G154" s="784">
        <f t="shared" ca="1" si="80"/>
        <v>8.1</v>
      </c>
      <c r="H154" s="784">
        <f t="shared" ca="1" si="80"/>
        <v>6.9</v>
      </c>
      <c r="I154" s="784" t="str">
        <f t="shared" si="80"/>
        <v/>
      </c>
      <c r="J154" s="784" t="str">
        <f t="shared" si="80"/>
        <v/>
      </c>
      <c r="K154" s="784">
        <f t="shared" ca="1" si="80"/>
        <v>7.2</v>
      </c>
      <c r="L154" s="784" t="str">
        <f t="shared" si="80"/>
        <v/>
      </c>
      <c r="M154" s="784" t="str">
        <f t="shared" si="80"/>
        <v/>
      </c>
      <c r="N154" s="784" t="str">
        <f t="shared" si="80"/>
        <v/>
      </c>
    </row>
    <row r="155" spans="1:27" ht="15.75" x14ac:dyDescent="0.25">
      <c r="A155" s="1062" t="s">
        <v>131</v>
      </c>
      <c r="B155" s="757" t="s">
        <v>56</v>
      </c>
      <c r="C155" s="93">
        <f t="shared" ref="C155:N155" ca="1" si="81">IF(C$233,"",C141)</f>
        <v>3</v>
      </c>
      <c r="D155" s="93">
        <f t="shared" ca="1" si="81"/>
        <v>2.9</v>
      </c>
      <c r="E155" s="93">
        <f t="shared" ca="1" si="81"/>
        <v>2.9</v>
      </c>
      <c r="F155" s="93" t="str">
        <f t="shared" si="81"/>
        <v/>
      </c>
      <c r="G155" s="93">
        <f t="shared" ca="1" si="81"/>
        <v>2.9</v>
      </c>
      <c r="H155" s="93">
        <f t="shared" ca="1" si="81"/>
        <v>2.9</v>
      </c>
      <c r="I155" s="93" t="str">
        <f t="shared" si="81"/>
        <v/>
      </c>
      <c r="J155" s="93" t="str">
        <f t="shared" si="81"/>
        <v/>
      </c>
      <c r="K155" s="93">
        <f t="shared" ca="1" si="81"/>
        <v>2.9</v>
      </c>
      <c r="L155" s="93" t="str">
        <f t="shared" si="81"/>
        <v/>
      </c>
      <c r="M155" s="93" t="str">
        <f t="shared" si="81"/>
        <v/>
      </c>
      <c r="N155" s="93" t="str">
        <f t="shared" si="81"/>
        <v/>
      </c>
    </row>
    <row r="156" spans="1:27" ht="15.75" x14ac:dyDescent="0.25">
      <c r="A156" s="1059"/>
      <c r="B156" s="754" t="s">
        <v>140</v>
      </c>
      <c r="C156" s="93">
        <f t="shared" ref="C156:N156" ca="1" si="82">IF(C$233,"",C142)</f>
        <v>6.8</v>
      </c>
      <c r="D156" s="93">
        <f t="shared" ca="1" si="82"/>
        <v>5.7</v>
      </c>
      <c r="E156" s="93">
        <f t="shared" ca="1" si="82"/>
        <v>5.0999999999999996</v>
      </c>
      <c r="F156" s="93" t="str">
        <f t="shared" si="82"/>
        <v/>
      </c>
      <c r="G156" s="93">
        <f t="shared" ca="1" si="82"/>
        <v>6.2</v>
      </c>
      <c r="H156" s="93">
        <f t="shared" ca="1" si="82"/>
        <v>5.2</v>
      </c>
      <c r="I156" s="93" t="str">
        <f t="shared" si="82"/>
        <v/>
      </c>
      <c r="J156" s="93" t="str">
        <f t="shared" si="82"/>
        <v/>
      </c>
      <c r="K156" s="93">
        <f t="shared" ca="1" si="82"/>
        <v>5.5</v>
      </c>
      <c r="L156" s="93" t="str">
        <f t="shared" si="82"/>
        <v/>
      </c>
      <c r="M156" s="93" t="str">
        <f t="shared" si="82"/>
        <v/>
      </c>
      <c r="N156" s="93" t="str">
        <f t="shared" si="82"/>
        <v/>
      </c>
    </row>
    <row r="157" spans="1:27" ht="15.75" x14ac:dyDescent="0.25">
      <c r="A157" s="1059"/>
      <c r="B157" s="755" t="s">
        <v>145</v>
      </c>
      <c r="C157" s="93">
        <f t="shared" ref="C157:N157" ca="1" si="83">IF(C$233,"",C143)</f>
        <v>3</v>
      </c>
      <c r="D157" s="93">
        <f t="shared" ca="1" si="83"/>
        <v>2.9</v>
      </c>
      <c r="E157" s="93">
        <f t="shared" ca="1" si="83"/>
        <v>2.9</v>
      </c>
      <c r="F157" s="93" t="str">
        <f t="shared" si="83"/>
        <v/>
      </c>
      <c r="G157" s="93">
        <f t="shared" ca="1" si="83"/>
        <v>2.9</v>
      </c>
      <c r="H157" s="93">
        <f t="shared" ca="1" si="83"/>
        <v>2.9</v>
      </c>
      <c r="I157" s="93" t="str">
        <f t="shared" si="83"/>
        <v/>
      </c>
      <c r="J157" s="93" t="str">
        <f t="shared" si="83"/>
        <v/>
      </c>
      <c r="K157" s="93">
        <f t="shared" ca="1" si="83"/>
        <v>2.9</v>
      </c>
      <c r="L157" s="93" t="str">
        <f t="shared" si="83"/>
        <v/>
      </c>
      <c r="M157" s="93" t="str">
        <f t="shared" si="83"/>
        <v/>
      </c>
      <c r="N157" s="93" t="str">
        <f t="shared" si="83"/>
        <v/>
      </c>
    </row>
    <row r="158" spans="1:27" ht="16.5" thickBot="1" x14ac:dyDescent="0.3">
      <c r="A158" s="1063"/>
      <c r="B158" s="756" t="s">
        <v>148</v>
      </c>
      <c r="C158" s="951">
        <f t="shared" ref="C158:N158" ca="1" si="84">IF(C$233,"",C144)</f>
        <v>6.8</v>
      </c>
      <c r="D158" s="784">
        <f t="shared" ca="1" si="84"/>
        <v>5.7</v>
      </c>
      <c r="E158" s="784">
        <f t="shared" ca="1" si="84"/>
        <v>5.0999999999999996</v>
      </c>
      <c r="F158" s="784" t="str">
        <f t="shared" si="84"/>
        <v/>
      </c>
      <c r="G158" s="784">
        <f t="shared" ca="1" si="84"/>
        <v>6.2</v>
      </c>
      <c r="H158" s="784">
        <f t="shared" ca="1" si="84"/>
        <v>5.2</v>
      </c>
      <c r="I158" s="784" t="str">
        <f t="shared" si="84"/>
        <v/>
      </c>
      <c r="J158" s="784" t="str">
        <f t="shared" si="84"/>
        <v/>
      </c>
      <c r="K158" s="784">
        <f t="shared" ca="1" si="84"/>
        <v>5.5</v>
      </c>
      <c r="L158" s="784" t="str">
        <f t="shared" si="84"/>
        <v/>
      </c>
      <c r="M158" s="784" t="str">
        <f t="shared" si="84"/>
        <v/>
      </c>
      <c r="N158" s="784" t="str">
        <f t="shared" si="84"/>
        <v/>
      </c>
    </row>
    <row r="159" spans="1:27" ht="15.75" x14ac:dyDescent="0.25">
      <c r="A159" s="1059" t="s">
        <v>132</v>
      </c>
      <c r="B159" s="758" t="s">
        <v>139</v>
      </c>
      <c r="C159" s="93">
        <f t="shared" ref="C159:N159" ca="1" si="85">IF(C$233,"",C145)</f>
        <v>3.9</v>
      </c>
      <c r="D159" s="93">
        <f t="shared" ca="1" si="85"/>
        <v>3.8</v>
      </c>
      <c r="E159" s="93">
        <f t="shared" ca="1" si="85"/>
        <v>3.8</v>
      </c>
      <c r="F159" s="93" t="str">
        <f t="shared" si="85"/>
        <v/>
      </c>
      <c r="G159" s="93">
        <f t="shared" ca="1" si="85"/>
        <v>3.9</v>
      </c>
      <c r="H159" s="93">
        <f t="shared" ca="1" si="85"/>
        <v>3.8</v>
      </c>
      <c r="I159" s="93" t="str">
        <f t="shared" si="85"/>
        <v/>
      </c>
      <c r="J159" s="93" t="str">
        <f t="shared" si="85"/>
        <v/>
      </c>
      <c r="K159" s="93">
        <f t="shared" ca="1" si="85"/>
        <v>3.8</v>
      </c>
      <c r="L159" s="93" t="str">
        <f t="shared" si="85"/>
        <v/>
      </c>
      <c r="M159" s="93" t="str">
        <f t="shared" si="85"/>
        <v/>
      </c>
      <c r="N159" s="93" t="str">
        <f t="shared" si="85"/>
        <v/>
      </c>
    </row>
    <row r="160" spans="1:27" ht="15.75" x14ac:dyDescent="0.25">
      <c r="A160" s="1059"/>
      <c r="B160" s="754" t="s">
        <v>140</v>
      </c>
      <c r="C160" s="93">
        <f t="shared" ref="C160:N160" ca="1" si="86">IF(C$233,"",C146)</f>
        <v>8.8000000000000007</v>
      </c>
      <c r="D160" s="93">
        <f t="shared" ca="1" si="86"/>
        <v>7.5</v>
      </c>
      <c r="E160" s="93">
        <f t="shared" ca="1" si="86"/>
        <v>6.6</v>
      </c>
      <c r="F160" s="93" t="str">
        <f t="shared" si="86"/>
        <v/>
      </c>
      <c r="G160" s="93">
        <f t="shared" ca="1" si="86"/>
        <v>8</v>
      </c>
      <c r="H160" s="93">
        <f t="shared" ca="1" si="86"/>
        <v>6.8</v>
      </c>
      <c r="I160" s="93" t="str">
        <f t="shared" si="86"/>
        <v/>
      </c>
      <c r="J160" s="93" t="str">
        <f t="shared" si="86"/>
        <v/>
      </c>
      <c r="K160" s="93">
        <f t="shared" ca="1" si="86"/>
        <v>7.2</v>
      </c>
      <c r="L160" s="93" t="str">
        <f t="shared" si="86"/>
        <v/>
      </c>
      <c r="M160" s="93" t="str">
        <f t="shared" si="86"/>
        <v/>
      </c>
      <c r="N160" s="93" t="str">
        <f t="shared" si="86"/>
        <v/>
      </c>
    </row>
    <row r="161" spans="1:14" ht="15.75" x14ac:dyDescent="0.25">
      <c r="A161" s="1059"/>
      <c r="B161" s="755" t="s">
        <v>145</v>
      </c>
      <c r="C161" s="93">
        <f t="shared" ref="C161:N161" ca="1" si="87">IF(C$233,"",C147)</f>
        <v>2.2000000000000002</v>
      </c>
      <c r="D161" s="93">
        <f t="shared" ca="1" si="87"/>
        <v>2.2000000000000002</v>
      </c>
      <c r="E161" s="93">
        <f t="shared" ca="1" si="87"/>
        <v>2.2000000000000002</v>
      </c>
      <c r="F161" s="93" t="str">
        <f t="shared" si="87"/>
        <v/>
      </c>
      <c r="G161" s="93">
        <f t="shared" ca="1" si="87"/>
        <v>2.2000000000000002</v>
      </c>
      <c r="H161" s="93">
        <f t="shared" ca="1" si="87"/>
        <v>2.2000000000000002</v>
      </c>
      <c r="I161" s="93" t="str">
        <f t="shared" si="87"/>
        <v/>
      </c>
      <c r="J161" s="93" t="str">
        <f t="shared" si="87"/>
        <v/>
      </c>
      <c r="K161" s="93">
        <f t="shared" ca="1" si="87"/>
        <v>2.2000000000000002</v>
      </c>
      <c r="L161" s="93" t="str">
        <f t="shared" si="87"/>
        <v/>
      </c>
      <c r="M161" s="93" t="str">
        <f t="shared" si="87"/>
        <v/>
      </c>
      <c r="N161" s="93" t="str">
        <f t="shared" si="87"/>
        <v/>
      </c>
    </row>
    <row r="162" spans="1:14" ht="16.5" thickBot="1" x14ac:dyDescent="0.3">
      <c r="A162" s="1060"/>
      <c r="B162" s="774" t="s">
        <v>146</v>
      </c>
      <c r="C162" s="951">
        <f t="shared" ref="C162:N162" ca="1" si="88">IF(C$233,"",C148)</f>
        <v>5.0999999999999996</v>
      </c>
      <c r="D162" s="784">
        <f t="shared" ca="1" si="88"/>
        <v>4.3</v>
      </c>
      <c r="E162" s="784">
        <f t="shared" ca="1" si="88"/>
        <v>3.8</v>
      </c>
      <c r="F162" s="784" t="str">
        <f t="shared" si="88"/>
        <v/>
      </c>
      <c r="G162" s="784">
        <f t="shared" ca="1" si="88"/>
        <v>4.7</v>
      </c>
      <c r="H162" s="784">
        <f t="shared" ca="1" si="88"/>
        <v>4</v>
      </c>
      <c r="I162" s="784" t="str">
        <f t="shared" si="88"/>
        <v/>
      </c>
      <c r="J162" s="784" t="str">
        <f t="shared" si="88"/>
        <v/>
      </c>
      <c r="K162" s="784">
        <f t="shared" ca="1" si="88"/>
        <v>4.2</v>
      </c>
      <c r="L162" s="784" t="str">
        <f t="shared" si="88"/>
        <v/>
      </c>
      <c r="M162" s="784" t="str">
        <f t="shared" si="88"/>
        <v/>
      </c>
      <c r="N162" s="784" t="str">
        <f t="shared" si="88"/>
        <v/>
      </c>
    </row>
    <row r="163" spans="1:14" ht="15.75" x14ac:dyDescent="0.25">
      <c r="A163" s="1064" t="s">
        <v>130</v>
      </c>
      <c r="B163" s="703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</row>
    <row r="164" spans="1:14" ht="15.75" x14ac:dyDescent="0.25">
      <c r="A164" s="1059"/>
      <c r="B164" s="703" t="s">
        <v>439</v>
      </c>
      <c r="C164" s="93">
        <f ca="1">AVERAGE(C151:N152)</f>
        <v>3.2999999999999994</v>
      </c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</row>
    <row r="165" spans="1:14" ht="15.75" x14ac:dyDescent="0.25">
      <c r="A165" s="1059"/>
      <c r="B165" s="703" t="s">
        <v>440</v>
      </c>
      <c r="C165" s="93">
        <f ca="1">AVERAGE(C153:N154)</f>
        <v>5.7333333333333334</v>
      </c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</row>
    <row r="166" spans="1:14" ht="16.5" thickBot="1" x14ac:dyDescent="0.3">
      <c r="A166" s="1059"/>
      <c r="B166" s="703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</row>
    <row r="167" spans="1:14" x14ac:dyDescent="0.25">
      <c r="A167" s="1062" t="s">
        <v>131</v>
      </c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</row>
    <row r="168" spans="1:14" ht="15.75" x14ac:dyDescent="0.25">
      <c r="A168" s="1059"/>
      <c r="B168" s="703" t="s">
        <v>439</v>
      </c>
      <c r="C168" s="93">
        <f ca="1">AVERAGE(C155:N156)</f>
        <v>4.3333333333333339</v>
      </c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</row>
    <row r="169" spans="1:14" ht="15.75" x14ac:dyDescent="0.25">
      <c r="A169" s="1059"/>
      <c r="B169" s="703" t="s">
        <v>440</v>
      </c>
      <c r="C169" s="93">
        <f ca="1">AVERAGE(C157:N158)</f>
        <v>4.3333333333333339</v>
      </c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</row>
    <row r="170" spans="1:14" ht="16.5" thickBot="1" x14ac:dyDescent="0.3">
      <c r="A170" s="1063"/>
      <c r="B170" s="70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</row>
    <row r="171" spans="1:14" x14ac:dyDescent="0.25">
      <c r="A171" s="1059" t="s">
        <v>132</v>
      </c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</row>
    <row r="172" spans="1:14" ht="15.75" x14ac:dyDescent="0.25">
      <c r="A172" s="1059"/>
      <c r="B172" s="703" t="s">
        <v>439</v>
      </c>
      <c r="C172" s="93">
        <f ca="1">AVERAGE(C159:N160)</f>
        <v>5.6583333333333323</v>
      </c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</row>
    <row r="173" spans="1:14" ht="15" customHeight="1" x14ac:dyDescent="0.25">
      <c r="A173" s="1059"/>
      <c r="B173" s="703" t="s">
        <v>440</v>
      </c>
      <c r="C173" s="93">
        <f ca="1">AVERAGE(C161:N162)</f>
        <v>3.2749999999999999</v>
      </c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</row>
    <row r="174" spans="1:14" ht="15" customHeight="1" thickBot="1" x14ac:dyDescent="0.3">
      <c r="A174" s="1060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</row>
    <row r="175" spans="1:14" ht="15" customHeight="1" x14ac:dyDescent="0.25"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</row>
    <row r="176" spans="1:14" ht="15.75" x14ac:dyDescent="0.25">
      <c r="B176" s="703" t="s">
        <v>251</v>
      </c>
      <c r="C176" s="93">
        <f t="shared" ref="C176:N176" ca="1" si="89">C137*C139</f>
        <v>8.9699999999999989</v>
      </c>
      <c r="D176" s="93">
        <f t="shared" ca="1" si="89"/>
        <v>8.58</v>
      </c>
      <c r="E176" s="93">
        <f t="shared" ca="1" si="89"/>
        <v>8.58</v>
      </c>
      <c r="F176" s="93">
        <f t="shared" ca="1" si="89"/>
        <v>8.58</v>
      </c>
      <c r="G176" s="93">
        <f t="shared" ca="1" si="89"/>
        <v>8.58</v>
      </c>
      <c r="H176" s="93">
        <f t="shared" ca="1" si="89"/>
        <v>8.58</v>
      </c>
      <c r="I176" s="93">
        <f t="shared" ca="1" si="89"/>
        <v>8.58</v>
      </c>
      <c r="J176" s="93">
        <f t="shared" ca="1" si="89"/>
        <v>8.58</v>
      </c>
      <c r="K176" s="93">
        <f t="shared" ca="1" si="89"/>
        <v>8.58</v>
      </c>
      <c r="L176" s="93">
        <f t="shared" ca="1" si="89"/>
        <v>8.58</v>
      </c>
      <c r="M176" s="93">
        <f t="shared" ca="1" si="89"/>
        <v>8.58</v>
      </c>
      <c r="N176" s="93">
        <f t="shared" ca="1" si="89"/>
        <v>8.58</v>
      </c>
    </row>
    <row r="177" spans="1:14" ht="15.75" x14ac:dyDescent="0.25">
      <c r="B177" s="703" t="s">
        <v>252</v>
      </c>
      <c r="C177" s="93">
        <f t="shared" ref="C177:N177" ca="1" si="90">C138*C140</f>
        <v>45.39</v>
      </c>
      <c r="D177" s="93">
        <f t="shared" ca="1" si="90"/>
        <v>33.44</v>
      </c>
      <c r="E177" s="93">
        <f t="shared" ca="1" si="90"/>
        <v>26.13</v>
      </c>
      <c r="F177" s="93">
        <f t="shared" ca="1" si="90"/>
        <v>21.349999999999998</v>
      </c>
      <c r="G177" s="93">
        <f t="shared" ca="1" si="90"/>
        <v>38.07</v>
      </c>
      <c r="H177" s="93">
        <f t="shared" ca="1" si="90"/>
        <v>27.6</v>
      </c>
      <c r="I177" s="93">
        <f t="shared" ca="1" si="90"/>
        <v>21.349999999999998</v>
      </c>
      <c r="J177" s="93">
        <f t="shared" ca="1" si="90"/>
        <v>17.600000000000001</v>
      </c>
      <c r="K177" s="93">
        <f t="shared" ca="1" si="90"/>
        <v>30.240000000000002</v>
      </c>
      <c r="L177" s="93">
        <f t="shared" ca="1" si="90"/>
        <v>21.349999999999998</v>
      </c>
      <c r="M177" s="93">
        <f t="shared" ca="1" si="90"/>
        <v>16.740000000000002</v>
      </c>
      <c r="N177" s="93">
        <f t="shared" ca="1" si="90"/>
        <v>13.72</v>
      </c>
    </row>
    <row r="178" spans="1:14" ht="15.75" x14ac:dyDescent="0.25">
      <c r="A178" s="131" t="s">
        <v>66</v>
      </c>
      <c r="B178" s="783" t="s">
        <v>253</v>
      </c>
      <c r="C178" s="784">
        <f t="shared" ref="C178:N178" ca="1" si="91">AVERAGE(C137*C139,C138*C140)</f>
        <v>27.18</v>
      </c>
      <c r="D178" s="784">
        <f t="shared" ca="1" si="91"/>
        <v>21.009999999999998</v>
      </c>
      <c r="E178" s="784">
        <f t="shared" ca="1" si="91"/>
        <v>17.355</v>
      </c>
      <c r="F178" s="784">
        <f t="shared" ca="1" si="91"/>
        <v>14.965</v>
      </c>
      <c r="G178" s="784">
        <f t="shared" ca="1" si="91"/>
        <v>23.324999999999999</v>
      </c>
      <c r="H178" s="784">
        <f t="shared" ca="1" si="91"/>
        <v>18.09</v>
      </c>
      <c r="I178" s="784">
        <f t="shared" ca="1" si="91"/>
        <v>14.965</v>
      </c>
      <c r="J178" s="784">
        <f t="shared" ca="1" si="91"/>
        <v>13.09</v>
      </c>
      <c r="K178" s="784">
        <f t="shared" ca="1" si="91"/>
        <v>19.41</v>
      </c>
      <c r="L178" s="784">
        <f t="shared" ca="1" si="91"/>
        <v>14.965</v>
      </c>
      <c r="M178" s="784">
        <f t="shared" ca="1" si="91"/>
        <v>12.66</v>
      </c>
      <c r="N178" s="784">
        <f t="shared" ca="1" si="91"/>
        <v>11.15</v>
      </c>
    </row>
    <row r="179" spans="1:14" ht="15.75" x14ac:dyDescent="0.25">
      <c r="B179" s="703" t="s">
        <v>251</v>
      </c>
      <c r="C179" s="93">
        <f t="shared" ref="C179:N179" ca="1" si="92">C141*C143</f>
        <v>9</v>
      </c>
      <c r="D179" s="93">
        <f t="shared" ca="1" si="92"/>
        <v>8.41</v>
      </c>
      <c r="E179" s="93">
        <f t="shared" ca="1" si="92"/>
        <v>8.41</v>
      </c>
      <c r="F179" s="93">
        <f t="shared" ca="1" si="92"/>
        <v>8.41</v>
      </c>
      <c r="G179" s="93">
        <f t="shared" ca="1" si="92"/>
        <v>8.41</v>
      </c>
      <c r="H179" s="93">
        <f t="shared" ca="1" si="92"/>
        <v>8.41</v>
      </c>
      <c r="I179" s="93">
        <f t="shared" ca="1" si="92"/>
        <v>8.41</v>
      </c>
      <c r="J179" s="93">
        <f t="shared" ca="1" si="92"/>
        <v>8.41</v>
      </c>
      <c r="K179" s="93">
        <f t="shared" ca="1" si="92"/>
        <v>8.41</v>
      </c>
      <c r="L179" s="93">
        <f t="shared" ca="1" si="92"/>
        <v>8.41</v>
      </c>
      <c r="M179" s="93">
        <f t="shared" ca="1" si="92"/>
        <v>8.41</v>
      </c>
      <c r="N179" s="93">
        <f t="shared" ca="1" si="92"/>
        <v>8.41</v>
      </c>
    </row>
    <row r="180" spans="1:14" ht="15.75" x14ac:dyDescent="0.25">
      <c r="B180" s="703" t="s">
        <v>252</v>
      </c>
      <c r="C180" s="93">
        <f t="shared" ref="C180:N180" ca="1" si="93">C142*C144</f>
        <v>46.239999999999995</v>
      </c>
      <c r="D180" s="93">
        <f t="shared" ca="1" si="93"/>
        <v>32.49</v>
      </c>
      <c r="E180" s="93">
        <f t="shared" ca="1" si="93"/>
        <v>26.009999999999998</v>
      </c>
      <c r="F180" s="93">
        <f t="shared" ca="1" si="93"/>
        <v>21.159999999999997</v>
      </c>
      <c r="G180" s="93">
        <f t="shared" ca="1" si="93"/>
        <v>38.440000000000005</v>
      </c>
      <c r="H180" s="93">
        <f t="shared" ca="1" si="93"/>
        <v>27.040000000000003</v>
      </c>
      <c r="I180" s="93">
        <f t="shared" ca="1" si="93"/>
        <v>21.159999999999997</v>
      </c>
      <c r="J180" s="93">
        <f t="shared" ca="1" si="93"/>
        <v>17.64</v>
      </c>
      <c r="K180" s="93">
        <f t="shared" ca="1" si="93"/>
        <v>30.25</v>
      </c>
      <c r="L180" s="93">
        <f t="shared" ca="1" si="93"/>
        <v>22.090000000000003</v>
      </c>
      <c r="M180" s="93">
        <f t="shared" ca="1" si="93"/>
        <v>16.809999999999999</v>
      </c>
      <c r="N180" s="93">
        <f t="shared" ca="1" si="93"/>
        <v>13.690000000000001</v>
      </c>
    </row>
    <row r="181" spans="1:14" ht="15.75" x14ac:dyDescent="0.25">
      <c r="A181" s="131" t="s">
        <v>248</v>
      </c>
      <c r="B181" s="783" t="s">
        <v>253</v>
      </c>
      <c r="C181" s="784">
        <f t="shared" ref="C181:N181" ca="1" si="94">AVERAGE(C141*C143,C142*C144)</f>
        <v>27.619999999999997</v>
      </c>
      <c r="D181" s="784">
        <f t="shared" ca="1" si="94"/>
        <v>20.450000000000003</v>
      </c>
      <c r="E181" s="784">
        <f t="shared" ca="1" si="94"/>
        <v>17.21</v>
      </c>
      <c r="F181" s="784">
        <f t="shared" ca="1" si="94"/>
        <v>14.784999999999998</v>
      </c>
      <c r="G181" s="784">
        <f t="shared" ca="1" si="94"/>
        <v>23.425000000000004</v>
      </c>
      <c r="H181" s="784">
        <f t="shared" ca="1" si="94"/>
        <v>17.725000000000001</v>
      </c>
      <c r="I181" s="784">
        <f t="shared" ca="1" si="94"/>
        <v>14.784999999999998</v>
      </c>
      <c r="J181" s="784">
        <f t="shared" ca="1" si="94"/>
        <v>13.025</v>
      </c>
      <c r="K181" s="784">
        <f t="shared" ca="1" si="94"/>
        <v>19.329999999999998</v>
      </c>
      <c r="L181" s="784">
        <f t="shared" ca="1" si="94"/>
        <v>15.250000000000002</v>
      </c>
      <c r="M181" s="784">
        <f t="shared" ca="1" si="94"/>
        <v>12.61</v>
      </c>
      <c r="N181" s="784">
        <f t="shared" ca="1" si="94"/>
        <v>11.05</v>
      </c>
    </row>
    <row r="182" spans="1:14" ht="15.75" x14ac:dyDescent="0.25">
      <c r="B182" s="703" t="s">
        <v>251</v>
      </c>
      <c r="C182" s="93">
        <f t="shared" ref="C182:N182" ca="1" si="95">C145*C147</f>
        <v>8.58</v>
      </c>
      <c r="D182" s="93">
        <f t="shared" ca="1" si="95"/>
        <v>8.36</v>
      </c>
      <c r="E182" s="93">
        <f t="shared" ca="1" si="95"/>
        <v>8.36</v>
      </c>
      <c r="F182" s="93">
        <f t="shared" ca="1" si="95"/>
        <v>8.36</v>
      </c>
      <c r="G182" s="93">
        <f t="shared" ca="1" si="95"/>
        <v>8.58</v>
      </c>
      <c r="H182" s="93">
        <f t="shared" ca="1" si="95"/>
        <v>8.36</v>
      </c>
      <c r="I182" s="93">
        <f t="shared" ca="1" si="95"/>
        <v>8.36</v>
      </c>
      <c r="J182" s="93">
        <f t="shared" ca="1" si="95"/>
        <v>8.36</v>
      </c>
      <c r="K182" s="93">
        <f t="shared" ca="1" si="95"/>
        <v>8.36</v>
      </c>
      <c r="L182" s="93">
        <f t="shared" ca="1" si="95"/>
        <v>8.36</v>
      </c>
      <c r="M182" s="93">
        <f t="shared" ca="1" si="95"/>
        <v>8.36</v>
      </c>
      <c r="N182" s="93">
        <f t="shared" ca="1" si="95"/>
        <v>8.36</v>
      </c>
    </row>
    <row r="183" spans="1:14" ht="15.75" x14ac:dyDescent="0.25">
      <c r="B183" s="703" t="s">
        <v>252</v>
      </c>
      <c r="C183" s="93">
        <f t="shared" ref="C183:N183" ca="1" si="96">C146*C148</f>
        <v>44.88</v>
      </c>
      <c r="D183" s="93">
        <f t="shared" ca="1" si="96"/>
        <v>32.25</v>
      </c>
      <c r="E183" s="93">
        <f t="shared" ca="1" si="96"/>
        <v>25.08</v>
      </c>
      <c r="F183" s="93">
        <f t="shared" ca="1" si="96"/>
        <v>21</v>
      </c>
      <c r="G183" s="93">
        <f t="shared" ca="1" si="96"/>
        <v>37.6</v>
      </c>
      <c r="H183" s="93">
        <f t="shared" ca="1" si="96"/>
        <v>27.2</v>
      </c>
      <c r="I183" s="93">
        <f t="shared" ca="1" si="96"/>
        <v>21</v>
      </c>
      <c r="J183" s="93">
        <f t="shared" ca="1" si="96"/>
        <v>17.600000000000001</v>
      </c>
      <c r="K183" s="93">
        <f t="shared" ca="1" si="96"/>
        <v>30.240000000000002</v>
      </c>
      <c r="L183" s="93">
        <f t="shared" ca="1" si="96"/>
        <v>21.349999999999998</v>
      </c>
      <c r="M183" s="93">
        <f t="shared" ca="1" si="96"/>
        <v>16.740000000000002</v>
      </c>
      <c r="N183" s="93">
        <f t="shared" ca="1" si="96"/>
        <v>13.72</v>
      </c>
    </row>
    <row r="184" spans="1:14" ht="15.75" x14ac:dyDescent="0.25">
      <c r="A184" s="131" t="s">
        <v>249</v>
      </c>
      <c r="B184" s="783" t="s">
        <v>253</v>
      </c>
      <c r="C184" s="784">
        <f t="shared" ref="C184:N184" ca="1" si="97">AVERAGE(C145*C147,C146*C148)</f>
        <v>26.73</v>
      </c>
      <c r="D184" s="784">
        <f t="shared" ca="1" si="97"/>
        <v>20.305</v>
      </c>
      <c r="E184" s="784">
        <f t="shared" ca="1" si="97"/>
        <v>16.72</v>
      </c>
      <c r="F184" s="784">
        <f t="shared" ca="1" si="97"/>
        <v>14.68</v>
      </c>
      <c r="G184" s="784">
        <f t="shared" ca="1" si="97"/>
        <v>23.09</v>
      </c>
      <c r="H184" s="784">
        <f t="shared" ca="1" si="97"/>
        <v>17.78</v>
      </c>
      <c r="I184" s="784">
        <f t="shared" ca="1" si="97"/>
        <v>14.68</v>
      </c>
      <c r="J184" s="784">
        <f t="shared" ca="1" si="97"/>
        <v>12.98</v>
      </c>
      <c r="K184" s="784">
        <f t="shared" ca="1" si="97"/>
        <v>19.3</v>
      </c>
      <c r="L184" s="784">
        <f t="shared" ca="1" si="97"/>
        <v>14.854999999999999</v>
      </c>
      <c r="M184" s="784">
        <f t="shared" ca="1" si="97"/>
        <v>12.55</v>
      </c>
      <c r="N184" s="784">
        <f t="shared" ca="1" si="97"/>
        <v>11.04</v>
      </c>
    </row>
    <row r="185" spans="1:14" x14ac:dyDescent="0.25">
      <c r="A185" t="s">
        <v>254</v>
      </c>
      <c r="C185" s="93">
        <f t="shared" ref="C185:N185" ca="1" si="98">IF(C233,"",AVERAGE(C178,C181,C184))</f>
        <v>27.176666666666666</v>
      </c>
      <c r="D185" s="93">
        <f t="shared" ca="1" si="98"/>
        <v>20.588333333333335</v>
      </c>
      <c r="E185" s="93">
        <f t="shared" ca="1" si="98"/>
        <v>17.094999999999999</v>
      </c>
      <c r="F185" s="93" t="str">
        <f t="shared" si="98"/>
        <v/>
      </c>
      <c r="G185" s="93">
        <f t="shared" ca="1" si="98"/>
        <v>23.28</v>
      </c>
      <c r="H185" s="93">
        <f t="shared" ca="1" si="98"/>
        <v>17.864999999999998</v>
      </c>
      <c r="I185" s="93" t="str">
        <f t="shared" si="98"/>
        <v/>
      </c>
      <c r="J185" s="93" t="str">
        <f t="shared" si="98"/>
        <v/>
      </c>
      <c r="K185" s="93">
        <f t="shared" ca="1" si="98"/>
        <v>19.346666666666664</v>
      </c>
      <c r="L185" s="93" t="str">
        <f t="shared" si="98"/>
        <v/>
      </c>
      <c r="M185" s="93" t="str">
        <f t="shared" si="98"/>
        <v/>
      </c>
      <c r="N185" s="93" t="str">
        <f t="shared" si="98"/>
        <v/>
      </c>
    </row>
    <row r="187" spans="1:14" x14ac:dyDescent="0.25">
      <c r="A187" t="s">
        <v>446</v>
      </c>
    </row>
    <row r="188" spans="1:14" x14ac:dyDescent="0.25">
      <c r="A188" s="952" t="s">
        <v>116</v>
      </c>
      <c r="B188" s="93">
        <f ca="1">OFFSET(C164,4*('BMW-Std-selection'!$B$40-1),0)</f>
        <v>4.3333333333333339</v>
      </c>
    </row>
    <row r="189" spans="1:14" x14ac:dyDescent="0.25">
      <c r="A189" s="952" t="s">
        <v>447</v>
      </c>
      <c r="B189" s="93">
        <f ca="1">OFFSET(C165,4*('BMW-Std-selection'!$B$40-1),0)</f>
        <v>4.3333333333333339</v>
      </c>
    </row>
    <row r="190" spans="1:14" x14ac:dyDescent="0.25">
      <c r="A190" s="952" t="s">
        <v>448</v>
      </c>
      <c r="B190">
        <f ca="1">B189*B188</f>
        <v>18.777777777777782</v>
      </c>
    </row>
    <row r="191" spans="1:14" x14ac:dyDescent="0.25">
      <c r="A191" s="952" t="s">
        <v>455</v>
      </c>
      <c r="B191">
        <f ca="1">B10/B190</f>
        <v>5.3254437869822473</v>
      </c>
      <c r="C191" t="s">
        <v>457</v>
      </c>
    </row>
    <row r="192" spans="1:14" x14ac:dyDescent="0.25">
      <c r="A192" s="952" t="s">
        <v>456</v>
      </c>
      <c r="B192">
        <f ca="1">ROUND(B191*$B$6,1)</f>
        <v>5.3</v>
      </c>
      <c r="C192" t="str">
        <f>D5</f>
        <v>[L/s/m²]</v>
      </c>
    </row>
    <row r="193" spans="1:2" x14ac:dyDescent="0.25">
      <c r="A193" t="s">
        <v>445</v>
      </c>
    </row>
    <row r="194" spans="1:2" x14ac:dyDescent="0.25">
      <c r="A194" s="952" t="s">
        <v>116</v>
      </c>
      <c r="B194" s="106">
        <f>B26</f>
        <v>5</v>
      </c>
    </row>
    <row r="195" spans="1:2" x14ac:dyDescent="0.25">
      <c r="A195" s="952" t="s">
        <v>447</v>
      </c>
      <c r="B195" s="106">
        <f>B27</f>
        <v>4</v>
      </c>
    </row>
    <row r="196" spans="1:2" x14ac:dyDescent="0.25">
      <c r="A196" s="952" t="s">
        <v>448</v>
      </c>
      <c r="B196">
        <f>B194*B195</f>
        <v>20</v>
      </c>
    </row>
    <row r="197" spans="1:2" x14ac:dyDescent="0.25">
      <c r="A197" s="952"/>
    </row>
    <row r="198" spans="1:2" x14ac:dyDescent="0.25">
      <c r="A198" s="952"/>
    </row>
    <row r="199" spans="1:2" x14ac:dyDescent="0.25">
      <c r="A199" t="s">
        <v>444</v>
      </c>
    </row>
    <row r="200" spans="1:2" x14ac:dyDescent="0.25">
      <c r="A200" s="952" t="s">
        <v>116</v>
      </c>
      <c r="B200">
        <f>SQRT(B202)</f>
        <v>3.1943828249996997</v>
      </c>
    </row>
    <row r="201" spans="1:2" x14ac:dyDescent="0.25">
      <c r="A201" s="952" t="s">
        <v>447</v>
      </c>
      <c r="B201">
        <f>B200</f>
        <v>3.1943828249996997</v>
      </c>
    </row>
    <row r="202" spans="1:2" x14ac:dyDescent="0.25">
      <c r="A202" s="952" t="s">
        <v>448</v>
      </c>
      <c r="B202">
        <f>B30</f>
        <v>10.204081632653061</v>
      </c>
    </row>
    <row r="203" spans="1:2" x14ac:dyDescent="0.25">
      <c r="A203" s="952"/>
    </row>
    <row r="204" spans="1:2" x14ac:dyDescent="0.25">
      <c r="A204" s="952"/>
    </row>
    <row r="206" spans="1:2" x14ac:dyDescent="0.25">
      <c r="A206" s="2" t="s">
        <v>441</v>
      </c>
    </row>
    <row r="207" spans="1:2" x14ac:dyDescent="0.25">
      <c r="A207" t="s">
        <v>442</v>
      </c>
      <c r="B207">
        <f ca="1">IF($B$25=1,B188,IF($B$25=2,B194,B200))</f>
        <v>4.3333333333333339</v>
      </c>
    </row>
    <row r="208" spans="1:2" x14ac:dyDescent="0.25">
      <c r="A208" t="s">
        <v>443</v>
      </c>
      <c r="B208">
        <f ca="1">IF($B$25=1,B189,IF($B$25=2,B195,B201))</f>
        <v>4.3333333333333339</v>
      </c>
    </row>
    <row r="209" spans="1:14" x14ac:dyDescent="0.25">
      <c r="A209" t="s">
        <v>175</v>
      </c>
      <c r="B209">
        <f ca="1">IF($B$25=1,B190,IF($B$25=2,B196,B202))</f>
        <v>18.777777777777782</v>
      </c>
      <c r="I209">
        <f>SQRT(195/145)</f>
        <v>1.1596670152276025</v>
      </c>
    </row>
    <row r="210" spans="1:14" x14ac:dyDescent="0.25">
      <c r="A210" t="s">
        <v>261</v>
      </c>
      <c r="B210">
        <f ca="1">IF(B25=3,B29,B10/B209)</f>
        <v>5.3254437869822473</v>
      </c>
      <c r="I210">
        <v>133.33000000000001</v>
      </c>
    </row>
    <row r="212" spans="1:14" x14ac:dyDescent="0.25">
      <c r="A212" t="s">
        <v>449</v>
      </c>
      <c r="B212">
        <f ca="1">ROUND(B210*$B$6,1)</f>
        <v>5.3</v>
      </c>
      <c r="C212" t="str">
        <f>D5</f>
        <v>[L/s/m²]</v>
      </c>
    </row>
    <row r="214" spans="1:14" x14ac:dyDescent="0.25">
      <c r="A214" t="s">
        <v>270</v>
      </c>
      <c r="C214">
        <v>1.1154999999999999</v>
      </c>
      <c r="D214" t="s">
        <v>272</v>
      </c>
    </row>
    <row r="215" spans="1:14" x14ac:dyDescent="0.25">
      <c r="A215" t="s">
        <v>271</v>
      </c>
      <c r="C215">
        <f t="shared" ref="C215:N215" si="99">0.00241*C70+1.0444</f>
        <v>1.0743910762709945</v>
      </c>
      <c r="D215">
        <f t="shared" si="99"/>
        <v>1.0598559664484435</v>
      </c>
      <c r="E215">
        <f t="shared" si="99"/>
        <v>1.0537847580579509</v>
      </c>
      <c r="F215">
        <f t="shared" si="99"/>
        <v>1.0506897144774892</v>
      </c>
      <c r="G215">
        <f t="shared" si="99"/>
        <v>1.0648237976435646</v>
      </c>
      <c r="H215">
        <f t="shared" si="99"/>
        <v>1.0549254485793174</v>
      </c>
      <c r="I215">
        <f t="shared" si="99"/>
        <v>1.0507909810297396</v>
      </c>
      <c r="J215">
        <f t="shared" si="99"/>
        <v>1.0486832692819454</v>
      </c>
      <c r="K215">
        <f t="shared" si="99"/>
        <v>1.0572035364088106</v>
      </c>
      <c r="L215">
        <f t="shared" si="99"/>
        <v>1.0509983303622681</v>
      </c>
      <c r="M215">
        <f t="shared" si="99"/>
        <v>1.0484064614686424</v>
      </c>
      <c r="N215">
        <f t="shared" si="99"/>
        <v>1.0470851516626443</v>
      </c>
    </row>
    <row r="217" spans="1:14" x14ac:dyDescent="0.25">
      <c r="A217" t="s">
        <v>269</v>
      </c>
      <c r="C217">
        <f t="shared" ref="C217:N217" ca="1" si="100">$B$10*$B$15/$B$209*C215</f>
        <v>68.659311382998439</v>
      </c>
      <c r="D217">
        <f t="shared" ca="1" si="100"/>
        <v>67.730440459427143</v>
      </c>
      <c r="E217">
        <f t="shared" ca="1" si="100"/>
        <v>67.342457911395655</v>
      </c>
      <c r="F217">
        <f t="shared" ca="1" si="100"/>
        <v>67.144668144123543</v>
      </c>
      <c r="G217">
        <f t="shared" ca="1" si="100"/>
        <v>68.047911328701147</v>
      </c>
      <c r="H217">
        <f t="shared" ca="1" si="100"/>
        <v>67.415354110394233</v>
      </c>
      <c r="I217">
        <f t="shared" ca="1" si="100"/>
        <v>67.151139616101673</v>
      </c>
      <c r="J217">
        <f t="shared" ca="1" si="100"/>
        <v>67.016445610917202</v>
      </c>
      <c r="K217">
        <f t="shared" ca="1" si="100"/>
        <v>67.560936054527517</v>
      </c>
      <c r="L217">
        <f t="shared" ca="1" si="100"/>
        <v>67.164390342677464</v>
      </c>
      <c r="M217">
        <f t="shared" ca="1" si="100"/>
        <v>66.998756117522689</v>
      </c>
      <c r="N217">
        <f t="shared" ca="1" si="100"/>
        <v>66.914317384358313</v>
      </c>
    </row>
    <row r="218" spans="1:14" x14ac:dyDescent="0.25">
      <c r="B218" s="656">
        <v>2.7</v>
      </c>
      <c r="C218" s="656">
        <f t="shared" ref="C218:N218" ca="1" si="101">$B55*C217^$C55</f>
        <v>0.17628330517217936</v>
      </c>
      <c r="D218" s="656">
        <f t="shared" ca="1" si="101"/>
        <v>0.17517100899406093</v>
      </c>
      <c r="E218" s="656">
        <f t="shared" ca="1" si="101"/>
        <v>0.1747039943525191</v>
      </c>
      <c r="F218" s="656">
        <f t="shared" ca="1" si="101"/>
        <v>0.17446536044927394</v>
      </c>
      <c r="G218" s="656">
        <f t="shared" ca="1" si="101"/>
        <v>0.1755520844735394</v>
      </c>
      <c r="H218" s="656">
        <f t="shared" ca="1" si="101"/>
        <v>0.17479184918469887</v>
      </c>
      <c r="I218" s="656">
        <f t="shared" ca="1" si="101"/>
        <v>0.17447317424808728</v>
      </c>
      <c r="J218" s="656">
        <f t="shared" ca="1" si="101"/>
        <v>0.1743104585149344</v>
      </c>
      <c r="K218" s="656">
        <f t="shared" ca="1" si="101"/>
        <v>0.17496715314742806</v>
      </c>
      <c r="L218" s="656">
        <f t="shared" ca="1" si="101"/>
        <v>0.17448917221169943</v>
      </c>
      <c r="M218" s="656">
        <f t="shared" ca="1" si="101"/>
        <v>0.17428907590034004</v>
      </c>
      <c r="N218" s="656">
        <f t="shared" ca="1" si="101"/>
        <v>0.17418696681757662</v>
      </c>
    </row>
    <row r="219" spans="1:14" x14ac:dyDescent="0.25">
      <c r="B219" s="656">
        <v>4</v>
      </c>
      <c r="C219" s="656">
        <f t="shared" ref="C219:N219" ca="1" si="102">$B56*C217^$C56</f>
        <v>0.18657007902209602</v>
      </c>
      <c r="D219" s="656">
        <f t="shared" ca="1" si="102"/>
        <v>0.18540550295583841</v>
      </c>
      <c r="E219" s="656">
        <f t="shared" ca="1" si="102"/>
        <v>0.18491651411195048</v>
      </c>
      <c r="F219" s="656">
        <f t="shared" ca="1" si="102"/>
        <v>0.18466664646194217</v>
      </c>
      <c r="G219" s="656">
        <f t="shared" ca="1" si="102"/>
        <v>0.18580449859175421</v>
      </c>
      <c r="H219" s="656">
        <f t="shared" ca="1" si="102"/>
        <v>0.18500850380576359</v>
      </c>
      <c r="I219" s="656">
        <f t="shared" ca="1" si="102"/>
        <v>0.18467482815536682</v>
      </c>
      <c r="J219" s="656">
        <f t="shared" ca="1" si="102"/>
        <v>0.18450445051491099</v>
      </c>
      <c r="K219" s="656">
        <f t="shared" ca="1" si="102"/>
        <v>0.18519205691106658</v>
      </c>
      <c r="L219" s="656">
        <f t="shared" ca="1" si="102"/>
        <v>0.18469157933372679</v>
      </c>
      <c r="M219" s="656">
        <f t="shared" ca="1" si="102"/>
        <v>0.18448206091530026</v>
      </c>
      <c r="N219" s="656">
        <f t="shared" ca="1" si="102"/>
        <v>0.18437514273719177</v>
      </c>
    </row>
    <row r="220" spans="1:14" x14ac:dyDescent="0.25">
      <c r="B220" s="656">
        <v>10</v>
      </c>
      <c r="C220" s="656">
        <f t="shared" ref="C220:N220" ca="1" si="103">$B57*C217^$C57</f>
        <v>0.20130360698056479</v>
      </c>
      <c r="D220" s="656">
        <f t="shared" ca="1" si="103"/>
        <v>0.20005796348289348</v>
      </c>
      <c r="E220" s="656">
        <f t="shared" ca="1" si="103"/>
        <v>0.19953491531300552</v>
      </c>
      <c r="F220" s="656">
        <f t="shared" ca="1" si="103"/>
        <v>0.19926763909671244</v>
      </c>
      <c r="G220" s="656">
        <f t="shared" ca="1" si="103"/>
        <v>0.2004847412928932</v>
      </c>
      <c r="H220" s="656">
        <f t="shared" ca="1" si="103"/>
        <v>0.19963331324283096</v>
      </c>
      <c r="I220" s="656">
        <f t="shared" ca="1" si="103"/>
        <v>0.19927639086792842</v>
      </c>
      <c r="J220" s="656">
        <f t="shared" ca="1" si="103"/>
        <v>0.19909414108763188</v>
      </c>
      <c r="K220" s="656">
        <f t="shared" ca="1" si="103"/>
        <v>0.19982965185224461</v>
      </c>
      <c r="L220" s="656">
        <f t="shared" ca="1" si="103"/>
        <v>0.19929430921158725</v>
      </c>
      <c r="M220" s="656">
        <f t="shared" ca="1" si="103"/>
        <v>0.19907019124220576</v>
      </c>
      <c r="N220" s="656">
        <f t="shared" ca="1" si="103"/>
        <v>0.19895582199517178</v>
      </c>
    </row>
    <row r="221" spans="1:14" x14ac:dyDescent="0.25">
      <c r="B221" s="786" t="s">
        <v>177</v>
      </c>
      <c r="C221" s="656" cm="1">
        <f t="array" aca="1" ref="C221" ca="1">EXP(INDEX(LINEST(LN(C218:C220),LN($B218:$B220),,),1,2))</f>
        <v>0.16111566743535929</v>
      </c>
      <c r="D221" s="656">
        <f t="shared" ref="D221:N221" ca="1" si="104">EXP(INDEX(LINEST(LN(D218:D220),LN($B218:$B220),,),1,2))</f>
        <v>0.16008736843695534</v>
      </c>
      <c r="E221" s="656">
        <f t="shared" ca="1" si="104"/>
        <v>0.15965564375750838</v>
      </c>
      <c r="F221" s="656">
        <f t="shared" ca="1" si="104"/>
        <v>0.15943504736986899</v>
      </c>
      <c r="G221" s="656">
        <f t="shared" ca="1" si="104"/>
        <v>0.1604396578003735</v>
      </c>
      <c r="H221" s="656">
        <f t="shared" ca="1" si="104"/>
        <v>0.15973685882213998</v>
      </c>
      <c r="I221" s="656">
        <f t="shared" ca="1" si="104"/>
        <v>0.15944227049534562</v>
      </c>
      <c r="J221" s="656">
        <f t="shared" ca="1" si="104"/>
        <v>0.15929185580505748</v>
      </c>
      <c r="K221" s="656">
        <f t="shared" ca="1" si="104"/>
        <v>0.15989891532033809</v>
      </c>
      <c r="L221" s="656">
        <f t="shared" ca="1" si="104"/>
        <v>0.15945705912663652</v>
      </c>
      <c r="M221" s="656">
        <f t="shared" ca="1" si="104"/>
        <v>0.15927208980164514</v>
      </c>
      <c r="N221" s="656">
        <f t="shared" ca="1" si="104"/>
        <v>0.15917770096027264</v>
      </c>
    </row>
    <row r="222" spans="1:14" x14ac:dyDescent="0.25">
      <c r="B222" s="787" t="s">
        <v>180</v>
      </c>
      <c r="C222" s="788">
        <f ca="1">INDEX(LINEST(LN(C218:C220),LN($B218:$B220),,),1)</f>
        <v>9.8106167980557851E-2</v>
      </c>
      <c r="D222" s="788">
        <f t="shared" ref="D222:N222" ca="1" si="105">INDEX(LINEST(LN(D218:D220),LN($B218:$B220),,),1)</f>
        <v>9.81937472763207E-2</v>
      </c>
      <c r="E222" s="788">
        <f t="shared" ca="1" si="105"/>
        <v>9.8230684671960528E-2</v>
      </c>
      <c r="F222" s="788">
        <f t="shared" ca="1" si="105"/>
        <v>9.8249596979631815E-2</v>
      </c>
      <c r="G222" s="788">
        <f t="shared" ca="1" si="105"/>
        <v>9.8163679919955699E-2</v>
      </c>
      <c r="H222" s="788">
        <f t="shared" ca="1" si="105"/>
        <v>9.8223728471642804E-2</v>
      </c>
      <c r="I222" s="788">
        <f t="shared" ca="1" si="105"/>
        <v>9.8248977307843682E-2</v>
      </c>
      <c r="J222" s="788">
        <f t="shared" ca="1" si="105"/>
        <v>9.8261887179195415E-2</v>
      </c>
      <c r="K222" s="788">
        <f t="shared" ca="1" si="105"/>
        <v>9.820985863644853E-2</v>
      </c>
      <c r="L222" s="788">
        <f t="shared" ca="1" si="105"/>
        <v>9.8247708679036413E-2</v>
      </c>
      <c r="M222" s="788">
        <f t="shared" ca="1" si="105"/>
        <v>9.8263584572318888E-2</v>
      </c>
      <c r="N222" s="788">
        <f t="shared" ca="1" si="105"/>
        <v>9.8271693060602933E-2</v>
      </c>
    </row>
    <row r="223" spans="1:14" ht="15.75" x14ac:dyDescent="0.25">
      <c r="A223" s="791" t="s">
        <v>394</v>
      </c>
      <c r="B223">
        <f>B14</f>
        <v>2.5</v>
      </c>
      <c r="C223">
        <f ca="1">C221*$B$14^C222*$B$38^2</f>
        <v>0.17624944924224445</v>
      </c>
      <c r="D223">
        <f t="shared" ref="D223:N223" ca="1" si="106">D221*$B$14^D222*$B$38^2</f>
        <v>0.17513861490101618</v>
      </c>
      <c r="E223">
        <f t="shared" ca="1" si="106"/>
        <v>0.17467221166970212</v>
      </c>
      <c r="F223">
        <f t="shared" ca="1" si="106"/>
        <v>0.17443388964153667</v>
      </c>
      <c r="G223">
        <f t="shared" ca="1" si="106"/>
        <v>0.17551919044333272</v>
      </c>
      <c r="H223">
        <f t="shared" ca="1" si="106"/>
        <v>0.17475995159043137</v>
      </c>
      <c r="I223">
        <f t="shared" ca="1" si="106"/>
        <v>0.17444169323416092</v>
      </c>
      <c r="J223">
        <f t="shared" ca="1" si="106"/>
        <v>0.17427918995498926</v>
      </c>
      <c r="K223">
        <f t="shared" ca="1" si="106"/>
        <v>0.17493502611253575</v>
      </c>
      <c r="L223">
        <f t="shared" ca="1" si="106"/>
        <v>0.17445767030040443</v>
      </c>
      <c r="M223">
        <f t="shared" ca="1" si="106"/>
        <v>0.17425783524646155</v>
      </c>
      <c r="N223">
        <f t="shared" ca="1" si="106"/>
        <v>0.17415585938374523</v>
      </c>
    </row>
    <row r="224" spans="1:14" ht="15.75" x14ac:dyDescent="0.25">
      <c r="A224" s="792" t="s">
        <v>219</v>
      </c>
      <c r="B224" s="758" t="s">
        <v>156</v>
      </c>
      <c r="C224">
        <f ca="1">(34-$B$32)*(C223-0.05)^0.62*(0.37*C223*40+3.14)/100</f>
        <v>0.17527052607644972</v>
      </c>
      <c r="D224">
        <f t="shared" ref="D224:N224" ca="1" si="107">(34-$B$32)*(D223-0.05)^0.62*(0.37*D223*40+3.14)/100</f>
        <v>0.17381425927059765</v>
      </c>
      <c r="E224">
        <f t="shared" ca="1" si="107"/>
        <v>0.17320349466974858</v>
      </c>
      <c r="F224">
        <f t="shared" ca="1" si="107"/>
        <v>0.17289156064155045</v>
      </c>
      <c r="G224">
        <f t="shared" ca="1" si="107"/>
        <v>0.17431292596871756</v>
      </c>
      <c r="H224">
        <f t="shared" ca="1" si="107"/>
        <v>0.17331836150400359</v>
      </c>
      <c r="I224">
        <f t="shared" ca="1" si="107"/>
        <v>0.17290177293524819</v>
      </c>
      <c r="J224">
        <f t="shared" ca="1" si="107"/>
        <v>0.17268913341889786</v>
      </c>
      <c r="K224">
        <f t="shared" ca="1" si="107"/>
        <v>0.17354760661580287</v>
      </c>
      <c r="L224">
        <f t="shared" ca="1" si="107"/>
        <v>0.17292268192008009</v>
      </c>
      <c r="M224">
        <f t="shared" ca="1" si="107"/>
        <v>0.17266119384286763</v>
      </c>
      <c r="N224">
        <f t="shared" ca="1" si="107"/>
        <v>0.17252778450983086</v>
      </c>
    </row>
    <row r="225" spans="1:14" ht="15.75" x14ac:dyDescent="0.25">
      <c r="A225" s="792" t="s">
        <v>174</v>
      </c>
      <c r="B225" s="758" t="s">
        <v>181</v>
      </c>
      <c r="C225">
        <f ca="1">0.5*C224^2+0.25*C224+0.03</f>
        <v>8.9177510174670155E-2</v>
      </c>
      <c r="D225">
        <f t="shared" ref="D225:N225" ca="1" si="108">0.5*D224^2+0.25*D224+0.03</f>
        <v>8.8559263180542691E-2</v>
      </c>
      <c r="E225">
        <f t="shared" ca="1" si="108"/>
        <v>8.830059895034395E-2</v>
      </c>
      <c r="F225">
        <f t="shared" ca="1" si="108"/>
        <v>8.8168636030923064E-2</v>
      </c>
      <c r="G225">
        <f t="shared" ca="1" si="108"/>
        <v>8.8770729572067192E-2</v>
      </c>
      <c r="H225">
        <f t="shared" ca="1" si="108"/>
        <v>8.8349217593217136E-2</v>
      </c>
      <c r="I225">
        <f t="shared" ca="1" si="108"/>
        <v>8.8172954775888102E-2</v>
      </c>
      <c r="J225">
        <f t="shared" ca="1" si="108"/>
        <v>8.8083051755209418E-2</v>
      </c>
      <c r="K225">
        <f t="shared" ca="1" si="108"/>
        <v>8.8446287534987456E-2</v>
      </c>
      <c r="L225">
        <f t="shared" ca="1" si="108"/>
        <v>8.8181797441236609E-2</v>
      </c>
      <c r="M225">
        <f t="shared" ca="1" si="108"/>
        <v>8.8071242390339061E-2</v>
      </c>
      <c r="N225">
        <f t="shared" ca="1" si="108"/>
        <v>8.8014864341393023E-2</v>
      </c>
    </row>
    <row r="226" spans="1:14" ht="15.75" x14ac:dyDescent="0.25">
      <c r="A226" s="793" t="s">
        <v>221</v>
      </c>
      <c r="B226" s="790" t="s">
        <v>220</v>
      </c>
      <c r="C226" t="str">
        <f ca="1">IF(C224&lt;10%,"A",IF(C224&lt;20%,"B",IF(C224&lt;30%,"C","-")))</f>
        <v>B</v>
      </c>
      <c r="D226" t="str">
        <f t="shared" ref="D226:N226" ca="1" si="109">IF(D224&lt;10%,"A",IF(D224&lt;20%,"B",IF(D224&lt;30%,"C","-")))</f>
        <v>B</v>
      </c>
      <c r="E226" t="str">
        <f t="shared" ca="1" si="109"/>
        <v>B</v>
      </c>
      <c r="F226" t="str">
        <f t="shared" ca="1" si="109"/>
        <v>B</v>
      </c>
      <c r="G226" t="str">
        <f t="shared" ca="1" si="109"/>
        <v>B</v>
      </c>
      <c r="H226" t="str">
        <f t="shared" ca="1" si="109"/>
        <v>B</v>
      </c>
      <c r="I226" t="str">
        <f t="shared" ca="1" si="109"/>
        <v>B</v>
      </c>
      <c r="J226" t="str">
        <f t="shared" ca="1" si="109"/>
        <v>B</v>
      </c>
      <c r="K226" t="str">
        <f t="shared" ca="1" si="109"/>
        <v>B</v>
      </c>
      <c r="L226" t="str">
        <f t="shared" ca="1" si="109"/>
        <v>B</v>
      </c>
      <c r="M226" t="str">
        <f t="shared" ca="1" si="109"/>
        <v>B</v>
      </c>
      <c r="N226" t="str">
        <f t="shared" ca="1" si="109"/>
        <v>B</v>
      </c>
    </row>
    <row r="227" spans="1:14" ht="15.75" x14ac:dyDescent="0.25">
      <c r="A227" s="828" t="s">
        <v>358</v>
      </c>
      <c r="B227" s="703"/>
      <c r="C227">
        <f ca="1">ABS(0.4527*LN(C224)+1.2387)</f>
        <v>0.45035706756287064</v>
      </c>
      <c r="D227">
        <f t="shared" ref="D227:N227" ca="1" si="110">ABS(0.4527*LN(D224)+1.2387)</f>
        <v>0.44658001490972365</v>
      </c>
      <c r="E227">
        <f t="shared" ca="1" si="110"/>
        <v>0.44498647442272421</v>
      </c>
      <c r="F227">
        <f t="shared" ca="1" si="110"/>
        <v>0.44417044096234692</v>
      </c>
      <c r="G227">
        <f t="shared" ca="1" si="110"/>
        <v>0.44787693499071568</v>
      </c>
      <c r="H227">
        <f t="shared" ca="1" si="110"/>
        <v>0.44528660104876772</v>
      </c>
      <c r="I227">
        <f t="shared" ca="1" si="110"/>
        <v>0.44419718008603393</v>
      </c>
      <c r="J227">
        <f t="shared" ca="1" si="110"/>
        <v>0.44364009412439742</v>
      </c>
      <c r="K227">
        <f t="shared" ca="1" si="110"/>
        <v>0.44588498363316564</v>
      </c>
      <c r="L227">
        <f t="shared" ca="1" si="110"/>
        <v>0.44425192171758743</v>
      </c>
      <c r="M227">
        <f t="shared" ca="1" si="110"/>
        <v>0.44356684533846591</v>
      </c>
      <c r="N227">
        <f t="shared" ca="1" si="110"/>
        <v>0.44321692450170591</v>
      </c>
    </row>
    <row r="228" spans="1:14" ht="15.75" x14ac:dyDescent="0.25">
      <c r="A228" s="828" t="s">
        <v>360</v>
      </c>
      <c r="C228">
        <f ca="1">IFERROR(MAX(ROUND(C227,1),0.2),0.2)</f>
        <v>0.5</v>
      </c>
      <c r="D228">
        <f t="shared" ref="D228:N228" ca="1" si="111">IFERROR(MAX(ROUND(D227,1),0.2),0.2)</f>
        <v>0.4</v>
      </c>
      <c r="E228">
        <f t="shared" ca="1" si="111"/>
        <v>0.4</v>
      </c>
      <c r="F228">
        <f t="shared" ca="1" si="111"/>
        <v>0.4</v>
      </c>
      <c r="G228">
        <f t="shared" ca="1" si="111"/>
        <v>0.4</v>
      </c>
      <c r="H228">
        <f t="shared" ca="1" si="111"/>
        <v>0.4</v>
      </c>
      <c r="I228">
        <f t="shared" ca="1" si="111"/>
        <v>0.4</v>
      </c>
      <c r="J228">
        <f t="shared" ca="1" si="111"/>
        <v>0.4</v>
      </c>
      <c r="K228">
        <f t="shared" ca="1" si="111"/>
        <v>0.4</v>
      </c>
      <c r="L228">
        <f t="shared" ca="1" si="111"/>
        <v>0.4</v>
      </c>
      <c r="M228">
        <f t="shared" ca="1" si="111"/>
        <v>0.4</v>
      </c>
      <c r="N228">
        <f t="shared" ca="1" si="111"/>
        <v>0.4</v>
      </c>
    </row>
    <row r="230" spans="1:14" x14ac:dyDescent="0.25">
      <c r="A230" s="2" t="s">
        <v>255</v>
      </c>
      <c r="B230" s="2" t="s">
        <v>256</v>
      </c>
    </row>
    <row r="231" spans="1:14" x14ac:dyDescent="0.25">
      <c r="A231" t="s">
        <v>289</v>
      </c>
      <c r="B231" s="2"/>
      <c r="C231" t="b">
        <f>OR(C233,C234)</f>
        <v>0</v>
      </c>
      <c r="D231" t="b">
        <f t="shared" ref="D231:N231" si="112">OR(D233,D234)</f>
        <v>0</v>
      </c>
      <c r="E231" t="b">
        <f t="shared" si="112"/>
        <v>0</v>
      </c>
      <c r="F231" t="b">
        <f t="shared" si="112"/>
        <v>1</v>
      </c>
      <c r="G231" t="b">
        <f t="shared" si="112"/>
        <v>0</v>
      </c>
      <c r="H231" t="b">
        <f t="shared" si="112"/>
        <v>0</v>
      </c>
      <c r="I231" t="b">
        <f t="shared" si="112"/>
        <v>1</v>
      </c>
      <c r="J231" t="b">
        <f t="shared" si="112"/>
        <v>1</v>
      </c>
      <c r="K231" t="b">
        <f t="shared" si="112"/>
        <v>0</v>
      </c>
      <c r="L231" t="b">
        <f t="shared" si="112"/>
        <v>1</v>
      </c>
      <c r="M231" t="b">
        <f t="shared" si="112"/>
        <v>1</v>
      </c>
      <c r="N231" t="b">
        <f t="shared" si="112"/>
        <v>1</v>
      </c>
    </row>
    <row r="232" spans="1:14" x14ac:dyDescent="0.25">
      <c r="A232" s="131" t="s">
        <v>290</v>
      </c>
      <c r="B232" s="815"/>
      <c r="C232" s="131" t="b">
        <f>AND(C231:F231)</f>
        <v>0</v>
      </c>
      <c r="D232" s="131"/>
      <c r="E232" s="131"/>
      <c r="F232" s="131"/>
      <c r="G232" s="131" t="b">
        <f>AND(G231:J231)</f>
        <v>0</v>
      </c>
      <c r="H232" s="131"/>
      <c r="I232" s="131"/>
      <c r="J232" s="131"/>
      <c r="K232" s="131" t="b">
        <f>AND(K231:N231)</f>
        <v>0</v>
      </c>
      <c r="L232" s="131"/>
      <c r="M232" s="131"/>
      <c r="N232" s="131"/>
    </row>
    <row r="233" spans="1:14" x14ac:dyDescent="0.25">
      <c r="A233" s="131" t="s">
        <v>257</v>
      </c>
      <c r="B233" s="131"/>
      <c r="C233" s="131" t="b">
        <f t="shared" ref="C233:N233" si="113">OR(C70&gt;$B$13,C70&lt;3)</f>
        <v>0</v>
      </c>
      <c r="D233" s="131" t="b">
        <f t="shared" si="113"/>
        <v>0</v>
      </c>
      <c r="E233" s="131" t="b">
        <f t="shared" si="113"/>
        <v>0</v>
      </c>
      <c r="F233" s="131" t="b">
        <f t="shared" si="113"/>
        <v>1</v>
      </c>
      <c r="G233" s="802" t="b">
        <f t="shared" si="113"/>
        <v>0</v>
      </c>
      <c r="H233" s="131" t="b">
        <f t="shared" si="113"/>
        <v>0</v>
      </c>
      <c r="I233" s="131" t="b">
        <f t="shared" si="113"/>
        <v>1</v>
      </c>
      <c r="J233" s="131" t="b">
        <f t="shared" si="113"/>
        <v>1</v>
      </c>
      <c r="K233" s="802" t="b">
        <f t="shared" si="113"/>
        <v>0</v>
      </c>
      <c r="L233" s="131" t="b">
        <f t="shared" si="113"/>
        <v>1</v>
      </c>
      <c r="M233" s="131" t="b">
        <f t="shared" si="113"/>
        <v>1</v>
      </c>
      <c r="N233" s="131" t="b">
        <f t="shared" si="113"/>
        <v>1</v>
      </c>
    </row>
    <row r="234" spans="1:14" x14ac:dyDescent="0.25">
      <c r="A234" s="819" t="s">
        <v>298</v>
      </c>
      <c r="B234" s="819"/>
      <c r="C234" s="819" t="b">
        <f t="shared" ref="C234:N234" si="114">$B$12&lt;C72</f>
        <v>0</v>
      </c>
      <c r="D234" s="819" t="b">
        <f t="shared" si="114"/>
        <v>0</v>
      </c>
      <c r="E234" s="819" t="b">
        <f t="shared" si="114"/>
        <v>0</v>
      </c>
      <c r="F234" s="819" t="b">
        <f t="shared" si="114"/>
        <v>1</v>
      </c>
      <c r="G234" s="819" t="b">
        <f t="shared" si="114"/>
        <v>0</v>
      </c>
      <c r="H234" s="819" t="b">
        <f t="shared" si="114"/>
        <v>0</v>
      </c>
      <c r="I234" s="819" t="b">
        <f t="shared" si="114"/>
        <v>1</v>
      </c>
      <c r="J234" s="819" t="b">
        <f t="shared" si="114"/>
        <v>1</v>
      </c>
      <c r="K234" s="819" t="b">
        <f t="shared" si="114"/>
        <v>0</v>
      </c>
      <c r="L234" s="819" t="b">
        <f t="shared" si="114"/>
        <v>1</v>
      </c>
      <c r="M234" s="819" t="b">
        <f t="shared" si="114"/>
        <v>1</v>
      </c>
      <c r="N234" s="819" t="b">
        <f t="shared" si="114"/>
        <v>1</v>
      </c>
    </row>
    <row r="235" spans="1:14" x14ac:dyDescent="0.25">
      <c r="A235" s="819" t="s">
        <v>93</v>
      </c>
      <c r="B235" s="819"/>
      <c r="C235" s="819" t="b">
        <f ca="1">$B$14&lt;E339</f>
        <v>0</v>
      </c>
      <c r="D235" s="819" t="b">
        <f t="shared" ref="D235:N235" ca="1" si="115">$B$14&lt;F339</f>
        <v>0</v>
      </c>
      <c r="E235" s="819" t="b">
        <f t="shared" ca="1" si="115"/>
        <v>0</v>
      </c>
      <c r="F235" s="819" t="b">
        <f t="shared" ca="1" si="115"/>
        <v>0</v>
      </c>
      <c r="G235" s="819" t="b">
        <f t="shared" ca="1" si="115"/>
        <v>0</v>
      </c>
      <c r="H235" s="819" t="b">
        <f t="shared" ca="1" si="115"/>
        <v>0</v>
      </c>
      <c r="I235" s="819" t="b">
        <f t="shared" ca="1" si="115"/>
        <v>0</v>
      </c>
      <c r="J235" s="819" t="b">
        <f t="shared" ca="1" si="115"/>
        <v>0</v>
      </c>
      <c r="K235" s="819" t="b">
        <f t="shared" ca="1" si="115"/>
        <v>0</v>
      </c>
      <c r="L235" s="819" t="b">
        <f t="shared" ca="1" si="115"/>
        <v>0</v>
      </c>
      <c r="M235" s="819" t="b">
        <f t="shared" ca="1" si="115"/>
        <v>0</v>
      </c>
      <c r="N235" s="819" t="b">
        <f t="shared" ca="1" si="115"/>
        <v>0</v>
      </c>
    </row>
    <row r="236" spans="1:14" ht="15.75" x14ac:dyDescent="0.25">
      <c r="A236" s="1059" t="s">
        <v>130</v>
      </c>
      <c r="B236" s="758" t="s">
        <v>139</v>
      </c>
      <c r="C236" t="b">
        <f t="shared" ref="C236:N236" ca="1" si="116">OR(AND($B$25=2,$B$26&lt;C137),AND($B$25=3,OR($B$209&lt;C$176,$B$209&gt;C$177)),OR(C137&gt;C138,C139&gt;C140))</f>
        <v>0</v>
      </c>
      <c r="D236" t="b">
        <f t="shared" ca="1" si="116"/>
        <v>0</v>
      </c>
      <c r="E236" t="b">
        <f t="shared" ca="1" si="116"/>
        <v>0</v>
      </c>
      <c r="F236" t="b">
        <f t="shared" ca="1" si="116"/>
        <v>0</v>
      </c>
      <c r="G236" t="b">
        <f t="shared" ca="1" si="116"/>
        <v>0</v>
      </c>
      <c r="H236" t="b">
        <f t="shared" ca="1" si="116"/>
        <v>0</v>
      </c>
      <c r="I236" t="b">
        <f t="shared" ca="1" si="116"/>
        <v>0</v>
      </c>
      <c r="J236" t="b">
        <f t="shared" ca="1" si="116"/>
        <v>0</v>
      </c>
      <c r="K236" t="b">
        <f t="shared" ca="1" si="116"/>
        <v>0</v>
      </c>
      <c r="L236" t="b">
        <f t="shared" ca="1" si="116"/>
        <v>0</v>
      </c>
      <c r="M236" t="b">
        <f t="shared" ca="1" si="116"/>
        <v>0</v>
      </c>
      <c r="N236" t="b">
        <f t="shared" ca="1" si="116"/>
        <v>0</v>
      </c>
    </row>
    <row r="237" spans="1:14" ht="15.75" x14ac:dyDescent="0.25">
      <c r="A237" s="1059"/>
      <c r="B237" s="754" t="s">
        <v>57</v>
      </c>
      <c r="C237" t="b">
        <f t="shared" ref="C237:N237" ca="1" si="117">OR(AND($B$25=2,$B$26&gt;C138),AND($B$25=3,OR($B$209&lt;C$176,$B$209&gt;C$177)),OR(C137&gt;C138,C139&gt;C140))</f>
        <v>0</v>
      </c>
      <c r="D237" t="b">
        <f t="shared" ca="1" si="117"/>
        <v>0</v>
      </c>
      <c r="E237" t="b">
        <f t="shared" ca="1" si="117"/>
        <v>0</v>
      </c>
      <c r="F237" t="b">
        <f t="shared" ca="1" si="117"/>
        <v>0</v>
      </c>
      <c r="G237" t="b">
        <f t="shared" ca="1" si="117"/>
        <v>0</v>
      </c>
      <c r="H237" t="b">
        <f t="shared" ca="1" si="117"/>
        <v>0</v>
      </c>
      <c r="I237" t="b">
        <f t="shared" ca="1" si="117"/>
        <v>0</v>
      </c>
      <c r="J237" t="b">
        <f t="shared" ca="1" si="117"/>
        <v>0</v>
      </c>
      <c r="K237" t="b">
        <f t="shared" ca="1" si="117"/>
        <v>0</v>
      </c>
      <c r="L237" t="b">
        <f t="shared" ca="1" si="117"/>
        <v>0</v>
      </c>
      <c r="M237" t="b">
        <f t="shared" ca="1" si="117"/>
        <v>0</v>
      </c>
      <c r="N237" t="b">
        <f t="shared" ca="1" si="117"/>
        <v>0</v>
      </c>
    </row>
    <row r="238" spans="1:14" ht="15.75" x14ac:dyDescent="0.25">
      <c r="A238" s="1059"/>
      <c r="B238" s="755" t="s">
        <v>145</v>
      </c>
      <c r="C238" t="b">
        <f t="shared" ref="C238:N238" ca="1" si="118">OR(AND($B$25=2,$B$27&lt;C139),AND($B$25=3,OR($B$209&lt;C$176,$B$209&gt;C$177)),OR(C137&gt;C138,C139&gt;C140))</f>
        <v>0</v>
      </c>
      <c r="D238" t="b">
        <f t="shared" ca="1" si="118"/>
        <v>0</v>
      </c>
      <c r="E238" t="b">
        <f t="shared" ca="1" si="118"/>
        <v>0</v>
      </c>
      <c r="F238" t="b">
        <f t="shared" ca="1" si="118"/>
        <v>0</v>
      </c>
      <c r="G238" t="b">
        <f t="shared" ca="1" si="118"/>
        <v>0</v>
      </c>
      <c r="H238" t="b">
        <f t="shared" ca="1" si="118"/>
        <v>0</v>
      </c>
      <c r="I238" t="b">
        <f t="shared" ca="1" si="118"/>
        <v>0</v>
      </c>
      <c r="J238" t="b">
        <f t="shared" ca="1" si="118"/>
        <v>0</v>
      </c>
      <c r="K238" t="b">
        <f t="shared" ca="1" si="118"/>
        <v>0</v>
      </c>
      <c r="L238" t="b">
        <f t="shared" ca="1" si="118"/>
        <v>0</v>
      </c>
      <c r="M238" t="b">
        <f t="shared" ca="1" si="118"/>
        <v>0</v>
      </c>
      <c r="N238" t="b">
        <f t="shared" ca="1" si="118"/>
        <v>0</v>
      </c>
    </row>
    <row r="239" spans="1:14" ht="16.5" thickBot="1" x14ac:dyDescent="0.3">
      <c r="A239" s="1059"/>
      <c r="B239" s="756" t="s">
        <v>148</v>
      </c>
      <c r="C239" s="802" t="b">
        <f t="shared" ref="C239:N239" ca="1" si="119">OR(AND($B$25=2,$B$27&gt;C140),AND($B$25=3,OR($B$209&lt;C$176,$B$209&gt;C$177)),OR(C137&gt;C138,C139&gt;C140))</f>
        <v>0</v>
      </c>
      <c r="D239" s="802" t="b">
        <f t="shared" ca="1" si="119"/>
        <v>0</v>
      </c>
      <c r="E239" s="802" t="b">
        <f t="shared" ca="1" si="119"/>
        <v>0</v>
      </c>
      <c r="F239" s="802" t="b">
        <f t="shared" ca="1" si="119"/>
        <v>0</v>
      </c>
      <c r="G239" s="802" t="b">
        <f t="shared" ca="1" si="119"/>
        <v>0</v>
      </c>
      <c r="H239" s="802" t="b">
        <f t="shared" ca="1" si="119"/>
        <v>0</v>
      </c>
      <c r="I239" s="802" t="b">
        <f t="shared" ca="1" si="119"/>
        <v>0</v>
      </c>
      <c r="J239" s="802" t="b">
        <f t="shared" ca="1" si="119"/>
        <v>0</v>
      </c>
      <c r="K239" s="802" t="b">
        <f t="shared" ca="1" si="119"/>
        <v>0</v>
      </c>
      <c r="L239" s="802" t="b">
        <f t="shared" ca="1" si="119"/>
        <v>0</v>
      </c>
      <c r="M239" s="802" t="b">
        <f t="shared" ca="1" si="119"/>
        <v>0</v>
      </c>
      <c r="N239" s="802" t="b">
        <f t="shared" ca="1" si="119"/>
        <v>0</v>
      </c>
    </row>
    <row r="240" spans="1:14" ht="15.75" x14ac:dyDescent="0.25">
      <c r="A240" s="1062" t="s">
        <v>131</v>
      </c>
      <c r="B240" s="757" t="s">
        <v>56</v>
      </c>
      <c r="C240" t="b">
        <f t="shared" ref="C240:N240" ca="1" si="120">OR(AND($B$25=2,$B$26&lt;C141),AND($B$25=3,OR($B$209&lt;C$179,$B$209&gt;C$180)),OR(C141&gt;C142,C143&gt;C144))</f>
        <v>0</v>
      </c>
      <c r="D240" t="b">
        <f t="shared" ca="1" si="120"/>
        <v>0</v>
      </c>
      <c r="E240" t="b">
        <f t="shared" ca="1" si="120"/>
        <v>0</v>
      </c>
      <c r="F240" t="b">
        <f t="shared" ca="1" si="120"/>
        <v>0</v>
      </c>
      <c r="G240" t="b">
        <f t="shared" ca="1" si="120"/>
        <v>0</v>
      </c>
      <c r="H240" t="b">
        <f t="shared" ca="1" si="120"/>
        <v>0</v>
      </c>
      <c r="I240" t="b">
        <f t="shared" ca="1" si="120"/>
        <v>0</v>
      </c>
      <c r="J240" t="b">
        <f t="shared" ca="1" si="120"/>
        <v>0</v>
      </c>
      <c r="K240" t="b">
        <f t="shared" ca="1" si="120"/>
        <v>0</v>
      </c>
      <c r="L240" t="b">
        <f t="shared" ca="1" si="120"/>
        <v>0</v>
      </c>
      <c r="M240" t="b">
        <f t="shared" ca="1" si="120"/>
        <v>0</v>
      </c>
      <c r="N240" t="b">
        <f t="shared" ca="1" si="120"/>
        <v>0</v>
      </c>
    </row>
    <row r="241" spans="1:14" ht="15.75" x14ac:dyDescent="0.25">
      <c r="A241" s="1059"/>
      <c r="B241" s="754" t="s">
        <v>140</v>
      </c>
      <c r="C241" t="b">
        <f t="shared" ref="C241:N241" ca="1" si="121">OR(AND($B$25=2,$B$26&gt;C142),AND($B$25=3,OR($B$209&lt;C$179,$B$209&gt;C$180)),OR(C141&gt;C142,C143&gt;C144))</f>
        <v>0</v>
      </c>
      <c r="D241" t="b">
        <f t="shared" ca="1" si="121"/>
        <v>0</v>
      </c>
      <c r="E241" t="b">
        <f t="shared" ca="1" si="121"/>
        <v>0</v>
      </c>
      <c r="F241" t="b">
        <f t="shared" ca="1" si="121"/>
        <v>0</v>
      </c>
      <c r="G241" t="b">
        <f t="shared" ca="1" si="121"/>
        <v>0</v>
      </c>
      <c r="H241" t="b">
        <f t="shared" ca="1" si="121"/>
        <v>0</v>
      </c>
      <c r="I241" t="b">
        <f t="shared" ca="1" si="121"/>
        <v>0</v>
      </c>
      <c r="J241" t="b">
        <f t="shared" ca="1" si="121"/>
        <v>0</v>
      </c>
      <c r="K241" t="b">
        <f t="shared" ca="1" si="121"/>
        <v>0</v>
      </c>
      <c r="L241" t="b">
        <f t="shared" ca="1" si="121"/>
        <v>0</v>
      </c>
      <c r="M241" t="b">
        <f t="shared" ca="1" si="121"/>
        <v>0</v>
      </c>
      <c r="N241" t="b">
        <f t="shared" ca="1" si="121"/>
        <v>0</v>
      </c>
    </row>
    <row r="242" spans="1:14" ht="15.75" x14ac:dyDescent="0.25">
      <c r="A242" s="1059"/>
      <c r="B242" s="755" t="s">
        <v>145</v>
      </c>
      <c r="C242" t="b">
        <f t="shared" ref="C242:N242" ca="1" si="122">OR(AND($B$25=2,$B$27&lt;C143),AND($B$25=3,OR($B$209&lt;C$179,$B$209&gt;C$180)),OR(C141&gt;C142,C143&gt;C144))</f>
        <v>0</v>
      </c>
      <c r="D242" t="b">
        <f t="shared" ca="1" si="122"/>
        <v>0</v>
      </c>
      <c r="E242" t="b">
        <f t="shared" ca="1" si="122"/>
        <v>0</v>
      </c>
      <c r="F242" t="b">
        <f t="shared" ca="1" si="122"/>
        <v>0</v>
      </c>
      <c r="G242" t="b">
        <f t="shared" ca="1" si="122"/>
        <v>0</v>
      </c>
      <c r="H242" t="b">
        <f t="shared" ca="1" si="122"/>
        <v>0</v>
      </c>
      <c r="I242" t="b">
        <f t="shared" ca="1" si="122"/>
        <v>0</v>
      </c>
      <c r="J242" t="b">
        <f t="shared" ca="1" si="122"/>
        <v>0</v>
      </c>
      <c r="K242" t="b">
        <f t="shared" ca="1" si="122"/>
        <v>0</v>
      </c>
      <c r="L242" t="b">
        <f t="shared" ca="1" si="122"/>
        <v>0</v>
      </c>
      <c r="M242" t="b">
        <f t="shared" ca="1" si="122"/>
        <v>0</v>
      </c>
      <c r="N242" t="b">
        <f t="shared" ca="1" si="122"/>
        <v>0</v>
      </c>
    </row>
    <row r="243" spans="1:14" ht="16.5" thickBot="1" x14ac:dyDescent="0.3">
      <c r="A243" s="1063"/>
      <c r="B243" s="756" t="s">
        <v>148</v>
      </c>
      <c r="C243" s="802" t="b">
        <f t="shared" ref="C243:N243" ca="1" si="123">OR(AND($B$25=2,$B$27&gt;C144),AND($B$25=3,OR($B$209&lt;C$179,$B$209&gt;C$180)),OR(C141&gt;C142,C143&gt;C144))</f>
        <v>0</v>
      </c>
      <c r="D243" s="802" t="b">
        <f t="shared" ca="1" si="123"/>
        <v>0</v>
      </c>
      <c r="E243" s="802" t="b">
        <f t="shared" ca="1" si="123"/>
        <v>0</v>
      </c>
      <c r="F243" s="802" t="b">
        <f t="shared" ca="1" si="123"/>
        <v>0</v>
      </c>
      <c r="G243" s="802" t="b">
        <f t="shared" ca="1" si="123"/>
        <v>0</v>
      </c>
      <c r="H243" s="802" t="b">
        <f t="shared" ca="1" si="123"/>
        <v>0</v>
      </c>
      <c r="I243" s="802" t="b">
        <f t="shared" ca="1" si="123"/>
        <v>0</v>
      </c>
      <c r="J243" s="802" t="b">
        <f t="shared" ca="1" si="123"/>
        <v>0</v>
      </c>
      <c r="K243" s="802" t="b">
        <f t="shared" ca="1" si="123"/>
        <v>0</v>
      </c>
      <c r="L243" s="802" t="b">
        <f t="shared" ca="1" si="123"/>
        <v>0</v>
      </c>
      <c r="M243" s="802" t="b">
        <f t="shared" ca="1" si="123"/>
        <v>0</v>
      </c>
      <c r="N243" s="802" t="b">
        <f t="shared" ca="1" si="123"/>
        <v>0</v>
      </c>
    </row>
    <row r="244" spans="1:14" ht="15.75" x14ac:dyDescent="0.25">
      <c r="A244" s="1059" t="s">
        <v>132</v>
      </c>
      <c r="B244" s="758" t="s">
        <v>139</v>
      </c>
      <c r="C244" t="b">
        <f t="shared" ref="C244:N244" ca="1" si="124">OR(AND($B$25=2,$B$26&lt;C145),AND($B$25=3,OR($B$209&lt;C$182,$B$209&gt;C$183)),OR(C145&gt;C146,C147&gt;C148))</f>
        <v>0</v>
      </c>
      <c r="D244" t="b">
        <f t="shared" ca="1" si="124"/>
        <v>0</v>
      </c>
      <c r="E244" t="b">
        <f t="shared" ca="1" si="124"/>
        <v>0</v>
      </c>
      <c r="F244" t="b">
        <f t="shared" ca="1" si="124"/>
        <v>0</v>
      </c>
      <c r="G244" t="b">
        <f t="shared" ca="1" si="124"/>
        <v>0</v>
      </c>
      <c r="H244" t="b">
        <f t="shared" ca="1" si="124"/>
        <v>0</v>
      </c>
      <c r="I244" t="b">
        <f t="shared" ca="1" si="124"/>
        <v>0</v>
      </c>
      <c r="J244" t="b">
        <f t="shared" ca="1" si="124"/>
        <v>0</v>
      </c>
      <c r="K244" t="b">
        <f t="shared" ca="1" si="124"/>
        <v>0</v>
      </c>
      <c r="L244" t="b">
        <f t="shared" ca="1" si="124"/>
        <v>0</v>
      </c>
      <c r="M244" t="b">
        <f t="shared" ca="1" si="124"/>
        <v>0</v>
      </c>
      <c r="N244" t="b">
        <f t="shared" ca="1" si="124"/>
        <v>0</v>
      </c>
    </row>
    <row r="245" spans="1:14" ht="15.75" x14ac:dyDescent="0.25">
      <c r="A245" s="1059"/>
      <c r="B245" s="754" t="s">
        <v>140</v>
      </c>
      <c r="C245" t="b">
        <f t="shared" ref="C245:N245" ca="1" si="125">OR(AND($B$25=2,$B$26&gt;C146),AND($B$25=3,OR($B$209&lt;C$182,$B$209&gt;C$183)),OR(C145&gt;C146,C147&gt;C148))</f>
        <v>0</v>
      </c>
      <c r="D245" t="b">
        <f t="shared" ca="1" si="125"/>
        <v>0</v>
      </c>
      <c r="E245" t="b">
        <f t="shared" ca="1" si="125"/>
        <v>0</v>
      </c>
      <c r="F245" t="b">
        <f t="shared" ca="1" si="125"/>
        <v>0</v>
      </c>
      <c r="G245" t="b">
        <f t="shared" ca="1" si="125"/>
        <v>0</v>
      </c>
      <c r="H245" t="b">
        <f t="shared" ca="1" si="125"/>
        <v>0</v>
      </c>
      <c r="I245" t="b">
        <f t="shared" ca="1" si="125"/>
        <v>0</v>
      </c>
      <c r="J245" t="b">
        <f t="shared" ca="1" si="125"/>
        <v>0</v>
      </c>
      <c r="K245" t="b">
        <f t="shared" ca="1" si="125"/>
        <v>0</v>
      </c>
      <c r="L245" t="b">
        <f t="shared" ca="1" si="125"/>
        <v>0</v>
      </c>
      <c r="M245" t="b">
        <f t="shared" ca="1" si="125"/>
        <v>0</v>
      </c>
      <c r="N245" t="b">
        <f t="shared" ca="1" si="125"/>
        <v>0</v>
      </c>
    </row>
    <row r="246" spans="1:14" ht="15.75" x14ac:dyDescent="0.25">
      <c r="A246" s="1059"/>
      <c r="B246" s="755" t="s">
        <v>145</v>
      </c>
      <c r="C246" t="b">
        <f t="shared" ref="C246:N246" ca="1" si="126">OR(AND($B$25=2,$B$27&lt;C147),AND($B$25=3,OR($B$209&lt;C$182,$B$209&gt;C$183)),OR(C145&gt;C146,C147&gt;C148))</f>
        <v>0</v>
      </c>
      <c r="D246" t="b">
        <f t="shared" ca="1" si="126"/>
        <v>0</v>
      </c>
      <c r="E246" t="b">
        <f t="shared" ca="1" si="126"/>
        <v>0</v>
      </c>
      <c r="F246" t="b">
        <f t="shared" ca="1" si="126"/>
        <v>0</v>
      </c>
      <c r="G246" t="b">
        <f t="shared" ca="1" si="126"/>
        <v>0</v>
      </c>
      <c r="H246" t="b">
        <f t="shared" ca="1" si="126"/>
        <v>0</v>
      </c>
      <c r="I246" t="b">
        <f t="shared" ca="1" si="126"/>
        <v>0</v>
      </c>
      <c r="J246" t="b">
        <f t="shared" ca="1" si="126"/>
        <v>0</v>
      </c>
      <c r="K246" t="b">
        <f t="shared" ca="1" si="126"/>
        <v>0</v>
      </c>
      <c r="L246" t="b">
        <f t="shared" ca="1" si="126"/>
        <v>0</v>
      </c>
      <c r="M246" t="b">
        <f t="shared" ca="1" si="126"/>
        <v>0</v>
      </c>
      <c r="N246" t="b">
        <f t="shared" ca="1" si="126"/>
        <v>0</v>
      </c>
    </row>
    <row r="247" spans="1:14" ht="16.5" thickBot="1" x14ac:dyDescent="0.3">
      <c r="A247" s="1060"/>
      <c r="B247" s="774" t="s">
        <v>146</v>
      </c>
      <c r="C247" s="802" t="b">
        <f t="shared" ref="C247:N247" ca="1" si="127">OR(AND($B$25=2,$B$27&gt;C148),AND($B$25=3,OR($B$209&lt;C$182,$B$209&gt;C$183)),OR(C145&gt;C146,C147&gt;C148))</f>
        <v>0</v>
      </c>
      <c r="D247" s="802" t="b">
        <f t="shared" ca="1" si="127"/>
        <v>0</v>
      </c>
      <c r="E247" s="802" t="b">
        <f t="shared" ca="1" si="127"/>
        <v>0</v>
      </c>
      <c r="F247" s="802" t="b">
        <f t="shared" ca="1" si="127"/>
        <v>0</v>
      </c>
      <c r="G247" s="802" t="b">
        <f t="shared" ca="1" si="127"/>
        <v>0</v>
      </c>
      <c r="H247" s="802" t="b">
        <f t="shared" ca="1" si="127"/>
        <v>0</v>
      </c>
      <c r="I247" s="802" t="b">
        <f t="shared" ca="1" si="127"/>
        <v>0</v>
      </c>
      <c r="J247" s="802" t="b">
        <f t="shared" ca="1" si="127"/>
        <v>0</v>
      </c>
      <c r="K247" s="802" t="b">
        <f t="shared" ca="1" si="127"/>
        <v>0</v>
      </c>
      <c r="L247" s="802" t="b">
        <f t="shared" ca="1" si="127"/>
        <v>0</v>
      </c>
      <c r="M247" s="802" t="b">
        <f t="shared" ca="1" si="127"/>
        <v>0</v>
      </c>
      <c r="N247" s="802" t="b">
        <f t="shared" ca="1" si="127"/>
        <v>0</v>
      </c>
    </row>
    <row r="248" spans="1:14" x14ac:dyDescent="0.25">
      <c r="A248" s="519"/>
      <c r="B248" s="519"/>
      <c r="C248" s="803"/>
      <c r="F248" s="669"/>
      <c r="J248" s="669"/>
    </row>
    <row r="249" spans="1:14" x14ac:dyDescent="0.25">
      <c r="A249" s="519" t="s">
        <v>292</v>
      </c>
      <c r="B249" s="519"/>
    </row>
    <row r="250" spans="1:14" ht="15.75" x14ac:dyDescent="0.25">
      <c r="A250" s="1059" t="s">
        <v>291</v>
      </c>
      <c r="B250" s="758"/>
      <c r="C250" t="b">
        <f ca="1">OR(C236:C237)</f>
        <v>0</v>
      </c>
      <c r="D250" t="b">
        <f t="shared" ref="D250:N260" ca="1" si="128">OR(D236:D237)</f>
        <v>0</v>
      </c>
      <c r="E250" t="b">
        <f t="shared" ca="1" si="128"/>
        <v>0</v>
      </c>
      <c r="F250" t="b">
        <f t="shared" ca="1" si="128"/>
        <v>0</v>
      </c>
      <c r="G250" t="b">
        <f t="shared" ca="1" si="128"/>
        <v>0</v>
      </c>
      <c r="H250" t="b">
        <f t="shared" ca="1" si="128"/>
        <v>0</v>
      </c>
      <c r="I250" t="b">
        <f t="shared" ca="1" si="128"/>
        <v>0</v>
      </c>
      <c r="J250" t="b">
        <f t="shared" ca="1" si="128"/>
        <v>0</v>
      </c>
      <c r="K250" t="b">
        <f t="shared" ca="1" si="128"/>
        <v>0</v>
      </c>
      <c r="L250" t="b">
        <f t="shared" ca="1" si="128"/>
        <v>0</v>
      </c>
      <c r="M250" t="b">
        <f t="shared" ca="1" si="128"/>
        <v>0</v>
      </c>
      <c r="N250" t="b">
        <f t="shared" ca="1" si="128"/>
        <v>0</v>
      </c>
    </row>
    <row r="251" spans="1:14" ht="15.75" x14ac:dyDescent="0.25">
      <c r="A251" s="1059"/>
      <c r="B251" s="754"/>
      <c r="C251" t="b">
        <f ca="1">C250</f>
        <v>0</v>
      </c>
      <c r="D251" t="b">
        <f t="shared" ref="D251:N251" ca="1" si="129">D250</f>
        <v>0</v>
      </c>
      <c r="E251" t="b">
        <f t="shared" ca="1" si="129"/>
        <v>0</v>
      </c>
      <c r="F251" t="b">
        <f t="shared" ca="1" si="129"/>
        <v>0</v>
      </c>
      <c r="G251" t="b">
        <f t="shared" ca="1" si="129"/>
        <v>0</v>
      </c>
      <c r="H251" t="b">
        <f t="shared" ca="1" si="129"/>
        <v>0</v>
      </c>
      <c r="I251" t="b">
        <f t="shared" ca="1" si="129"/>
        <v>0</v>
      </c>
      <c r="J251" t="b">
        <f t="shared" ca="1" si="129"/>
        <v>0</v>
      </c>
      <c r="K251" t="b">
        <f t="shared" ca="1" si="129"/>
        <v>0</v>
      </c>
      <c r="L251" t="b">
        <f t="shared" ca="1" si="129"/>
        <v>0</v>
      </c>
      <c r="M251" t="b">
        <f t="shared" ca="1" si="129"/>
        <v>0</v>
      </c>
      <c r="N251" t="b">
        <f t="shared" ca="1" si="129"/>
        <v>0</v>
      </c>
    </row>
    <row r="252" spans="1:14" ht="15.75" x14ac:dyDescent="0.25">
      <c r="A252" s="1059"/>
      <c r="B252" s="755"/>
      <c r="C252" t="b">
        <f ca="1">OR(C238:C239)</f>
        <v>0</v>
      </c>
      <c r="D252" t="b">
        <f t="shared" ca="1" si="128"/>
        <v>0</v>
      </c>
      <c r="E252" t="b">
        <f t="shared" ca="1" si="128"/>
        <v>0</v>
      </c>
      <c r="F252" t="b">
        <f t="shared" ca="1" si="128"/>
        <v>0</v>
      </c>
      <c r="G252" t="b">
        <f t="shared" ca="1" si="128"/>
        <v>0</v>
      </c>
      <c r="H252" t="b">
        <f t="shared" ca="1" si="128"/>
        <v>0</v>
      </c>
      <c r="I252" t="b">
        <f t="shared" ca="1" si="128"/>
        <v>0</v>
      </c>
      <c r="J252" t="b">
        <f t="shared" ca="1" si="128"/>
        <v>0</v>
      </c>
      <c r="K252" t="b">
        <f t="shared" ca="1" si="128"/>
        <v>0</v>
      </c>
      <c r="L252" t="b">
        <f t="shared" ca="1" si="128"/>
        <v>0</v>
      </c>
      <c r="M252" t="b">
        <f t="shared" ca="1" si="128"/>
        <v>0</v>
      </c>
      <c r="N252" t="b">
        <f t="shared" ca="1" si="128"/>
        <v>0</v>
      </c>
    </row>
    <row r="253" spans="1:14" ht="16.5" thickBot="1" x14ac:dyDescent="0.3">
      <c r="A253" s="1059"/>
      <c r="B253" s="756"/>
      <c r="C253" t="b">
        <f ca="1">C252</f>
        <v>0</v>
      </c>
      <c r="D253" t="b">
        <f t="shared" ref="D253" ca="1" si="130">D252</f>
        <v>0</v>
      </c>
      <c r="E253" t="b">
        <f t="shared" ref="E253" ca="1" si="131">E252</f>
        <v>0</v>
      </c>
      <c r="F253" t="b">
        <f t="shared" ref="F253" ca="1" si="132">F252</f>
        <v>0</v>
      </c>
      <c r="G253" t="b">
        <f t="shared" ref="G253" ca="1" si="133">G252</f>
        <v>0</v>
      </c>
      <c r="H253" t="b">
        <f t="shared" ref="H253" ca="1" si="134">H252</f>
        <v>0</v>
      </c>
      <c r="I253" t="b">
        <f t="shared" ref="I253" ca="1" si="135">I252</f>
        <v>0</v>
      </c>
      <c r="J253" t="b">
        <f t="shared" ref="J253" ca="1" si="136">J252</f>
        <v>0</v>
      </c>
      <c r="K253" t="b">
        <f t="shared" ref="K253" ca="1" si="137">K252</f>
        <v>0</v>
      </c>
      <c r="L253" t="b">
        <f t="shared" ref="L253" ca="1" si="138">L252</f>
        <v>0</v>
      </c>
      <c r="M253" t="b">
        <f t="shared" ref="M253" ca="1" si="139">M252</f>
        <v>0</v>
      </c>
      <c r="N253" t="b">
        <f t="shared" ref="N253" ca="1" si="140">N252</f>
        <v>0</v>
      </c>
    </row>
    <row r="254" spans="1:14" ht="15.75" x14ac:dyDescent="0.25">
      <c r="A254" s="1062" t="s">
        <v>131</v>
      </c>
      <c r="B254" s="757"/>
      <c r="C254" t="b">
        <f ca="1">OR(C240:C241)</f>
        <v>0</v>
      </c>
      <c r="D254" t="b">
        <f t="shared" ca="1" si="128"/>
        <v>0</v>
      </c>
      <c r="E254" t="b">
        <f t="shared" ca="1" si="128"/>
        <v>0</v>
      </c>
      <c r="F254" t="b">
        <f t="shared" ca="1" si="128"/>
        <v>0</v>
      </c>
      <c r="G254" t="b">
        <f t="shared" ca="1" si="128"/>
        <v>0</v>
      </c>
      <c r="H254" t="b">
        <f t="shared" ca="1" si="128"/>
        <v>0</v>
      </c>
      <c r="I254" t="b">
        <f t="shared" ca="1" si="128"/>
        <v>0</v>
      </c>
      <c r="J254" t="b">
        <f t="shared" ca="1" si="128"/>
        <v>0</v>
      </c>
      <c r="K254" t="b">
        <f t="shared" ca="1" si="128"/>
        <v>0</v>
      </c>
      <c r="L254" t="b">
        <f t="shared" ca="1" si="128"/>
        <v>0</v>
      </c>
      <c r="M254" t="b">
        <f t="shared" ca="1" si="128"/>
        <v>0</v>
      </c>
      <c r="N254" t="b">
        <f t="shared" ca="1" si="128"/>
        <v>0</v>
      </c>
    </row>
    <row r="255" spans="1:14" ht="15.75" x14ac:dyDescent="0.25">
      <c r="A255" s="1059"/>
      <c r="B255" s="754"/>
      <c r="C255" t="b">
        <f ca="1">C254</f>
        <v>0</v>
      </c>
      <c r="D255" t="b">
        <f t="shared" ref="D255" ca="1" si="141">D254</f>
        <v>0</v>
      </c>
      <c r="E255" t="b">
        <f t="shared" ref="E255" ca="1" si="142">E254</f>
        <v>0</v>
      </c>
      <c r="F255" t="b">
        <f t="shared" ref="F255" ca="1" si="143">F254</f>
        <v>0</v>
      </c>
      <c r="G255" t="b">
        <f t="shared" ref="G255" ca="1" si="144">G254</f>
        <v>0</v>
      </c>
      <c r="H255" t="b">
        <f t="shared" ref="H255" ca="1" si="145">H254</f>
        <v>0</v>
      </c>
      <c r="I255" t="b">
        <f t="shared" ref="I255" ca="1" si="146">I254</f>
        <v>0</v>
      </c>
      <c r="J255" t="b">
        <f t="shared" ref="J255" ca="1" si="147">J254</f>
        <v>0</v>
      </c>
      <c r="K255" t="b">
        <f t="shared" ref="K255" ca="1" si="148">K254</f>
        <v>0</v>
      </c>
      <c r="L255" t="b">
        <f t="shared" ref="L255" ca="1" si="149">L254</f>
        <v>0</v>
      </c>
      <c r="M255" t="b">
        <f t="shared" ref="M255" ca="1" si="150">M254</f>
        <v>0</v>
      </c>
      <c r="N255" t="b">
        <f t="shared" ref="N255" ca="1" si="151">N254</f>
        <v>0</v>
      </c>
    </row>
    <row r="256" spans="1:14" ht="15.75" x14ac:dyDescent="0.25">
      <c r="A256" s="1059"/>
      <c r="B256" s="755"/>
      <c r="C256" t="b">
        <f ca="1">OR(C242:C243)</f>
        <v>0</v>
      </c>
      <c r="D256" t="b">
        <f ca="1">OR(D242:D243)</f>
        <v>0</v>
      </c>
      <c r="E256" t="b">
        <f t="shared" ca="1" si="128"/>
        <v>0</v>
      </c>
      <c r="F256" t="b">
        <f t="shared" ca="1" si="128"/>
        <v>0</v>
      </c>
      <c r="G256" t="b">
        <f t="shared" ca="1" si="128"/>
        <v>0</v>
      </c>
      <c r="H256" t="b">
        <f t="shared" ca="1" si="128"/>
        <v>0</v>
      </c>
      <c r="I256" t="b">
        <f t="shared" ca="1" si="128"/>
        <v>0</v>
      </c>
      <c r="J256" t="b">
        <f t="shared" ca="1" si="128"/>
        <v>0</v>
      </c>
      <c r="K256" t="b">
        <f t="shared" ca="1" si="128"/>
        <v>0</v>
      </c>
      <c r="L256" t="b">
        <f t="shared" ca="1" si="128"/>
        <v>0</v>
      </c>
      <c r="M256" t="b">
        <f t="shared" ca="1" si="128"/>
        <v>0</v>
      </c>
      <c r="N256" t="b">
        <f t="shared" ca="1" si="128"/>
        <v>0</v>
      </c>
    </row>
    <row r="257" spans="1:17" ht="16.5" thickBot="1" x14ac:dyDescent="0.3">
      <c r="A257" s="1063"/>
      <c r="B257" s="756"/>
      <c r="C257" t="b">
        <f ca="1">C256</f>
        <v>0</v>
      </c>
      <c r="D257" t="b">
        <f t="shared" ref="D257" ca="1" si="152">D256</f>
        <v>0</v>
      </c>
      <c r="E257" t="b">
        <f t="shared" ref="E257" ca="1" si="153">E256</f>
        <v>0</v>
      </c>
      <c r="F257" t="b">
        <f t="shared" ref="F257" ca="1" si="154">F256</f>
        <v>0</v>
      </c>
      <c r="G257" t="b">
        <f t="shared" ref="G257" ca="1" si="155">G256</f>
        <v>0</v>
      </c>
      <c r="H257" t="b">
        <f t="shared" ref="H257" ca="1" si="156">H256</f>
        <v>0</v>
      </c>
      <c r="I257" t="b">
        <f t="shared" ref="I257" ca="1" si="157">I256</f>
        <v>0</v>
      </c>
      <c r="J257" t="b">
        <f t="shared" ref="J257" ca="1" si="158">J256</f>
        <v>0</v>
      </c>
      <c r="K257" t="b">
        <f t="shared" ref="K257" ca="1" si="159">K256</f>
        <v>0</v>
      </c>
      <c r="L257" t="b">
        <f t="shared" ref="L257" ca="1" si="160">L256</f>
        <v>0</v>
      </c>
      <c r="M257" t="b">
        <f t="shared" ref="M257" ca="1" si="161">M256</f>
        <v>0</v>
      </c>
      <c r="N257" t="b">
        <f t="shared" ref="N257" ca="1" si="162">N256</f>
        <v>0</v>
      </c>
    </row>
    <row r="258" spans="1:17" ht="15.75" x14ac:dyDescent="0.25">
      <c r="A258" s="1059" t="s">
        <v>132</v>
      </c>
      <c r="B258" s="758"/>
      <c r="C258" t="b">
        <f ca="1">OR(C244:C245)</f>
        <v>0</v>
      </c>
      <c r="D258" t="b">
        <f t="shared" ca="1" si="128"/>
        <v>0</v>
      </c>
      <c r="E258" t="b">
        <f t="shared" ca="1" si="128"/>
        <v>0</v>
      </c>
      <c r="F258" t="b">
        <f t="shared" ca="1" si="128"/>
        <v>0</v>
      </c>
      <c r="G258" t="b">
        <f t="shared" ca="1" si="128"/>
        <v>0</v>
      </c>
      <c r="H258" t="b">
        <f t="shared" ca="1" si="128"/>
        <v>0</v>
      </c>
      <c r="I258" t="b">
        <f t="shared" ca="1" si="128"/>
        <v>0</v>
      </c>
      <c r="J258" t="b">
        <f t="shared" ca="1" si="128"/>
        <v>0</v>
      </c>
      <c r="K258" t="b">
        <f t="shared" ca="1" si="128"/>
        <v>0</v>
      </c>
      <c r="L258" t="b">
        <f t="shared" ca="1" si="128"/>
        <v>0</v>
      </c>
      <c r="M258" t="b">
        <f t="shared" ca="1" si="128"/>
        <v>0</v>
      </c>
      <c r="N258" t="b">
        <f t="shared" ca="1" si="128"/>
        <v>0</v>
      </c>
    </row>
    <row r="259" spans="1:17" ht="15.75" x14ac:dyDescent="0.25">
      <c r="A259" s="1059"/>
      <c r="B259" s="754"/>
      <c r="C259" t="b">
        <f ca="1">C258</f>
        <v>0</v>
      </c>
      <c r="D259" t="b">
        <f t="shared" ref="D259" ca="1" si="163">D258</f>
        <v>0</v>
      </c>
      <c r="E259" t="b">
        <f t="shared" ref="E259" ca="1" si="164">E258</f>
        <v>0</v>
      </c>
      <c r="F259" t="b">
        <f t="shared" ref="F259" ca="1" si="165">F258</f>
        <v>0</v>
      </c>
      <c r="G259" t="b">
        <f t="shared" ref="G259" ca="1" si="166">G258</f>
        <v>0</v>
      </c>
      <c r="H259" t="b">
        <f t="shared" ref="H259" ca="1" si="167">H258</f>
        <v>0</v>
      </c>
      <c r="I259" t="b">
        <f t="shared" ref="I259" ca="1" si="168">I258</f>
        <v>0</v>
      </c>
      <c r="J259" t="b">
        <f t="shared" ref="J259" ca="1" si="169">J258</f>
        <v>0</v>
      </c>
      <c r="K259" t="b">
        <f t="shared" ref="K259" ca="1" si="170">K258</f>
        <v>0</v>
      </c>
      <c r="L259" t="b">
        <f t="shared" ref="L259" ca="1" si="171">L258</f>
        <v>0</v>
      </c>
      <c r="M259" t="b">
        <f t="shared" ref="M259" ca="1" si="172">M258</f>
        <v>0</v>
      </c>
      <c r="N259" t="b">
        <f t="shared" ref="N259" ca="1" si="173">N258</f>
        <v>0</v>
      </c>
    </row>
    <row r="260" spans="1:17" ht="15.75" x14ac:dyDescent="0.25">
      <c r="A260" s="1059"/>
      <c r="B260" s="755"/>
      <c r="C260" t="b">
        <f ca="1">OR(C246:C247)</f>
        <v>0</v>
      </c>
      <c r="D260" t="b">
        <f t="shared" ca="1" si="128"/>
        <v>0</v>
      </c>
      <c r="E260" t="b">
        <f t="shared" ca="1" si="128"/>
        <v>0</v>
      </c>
      <c r="F260" t="b">
        <f t="shared" ca="1" si="128"/>
        <v>0</v>
      </c>
      <c r="G260" t="b">
        <f t="shared" ca="1" si="128"/>
        <v>0</v>
      </c>
      <c r="H260" t="b">
        <f t="shared" ca="1" si="128"/>
        <v>0</v>
      </c>
      <c r="I260" t="b">
        <f t="shared" ca="1" si="128"/>
        <v>0</v>
      </c>
      <c r="J260" t="b">
        <f t="shared" ca="1" si="128"/>
        <v>0</v>
      </c>
      <c r="K260" t="b">
        <f t="shared" ca="1" si="128"/>
        <v>0</v>
      </c>
      <c r="L260" t="b">
        <f t="shared" ca="1" si="128"/>
        <v>0</v>
      </c>
      <c r="M260" t="b">
        <f t="shared" ca="1" si="128"/>
        <v>0</v>
      </c>
      <c r="N260" t="b">
        <f t="shared" ca="1" si="128"/>
        <v>0</v>
      </c>
    </row>
    <row r="261" spans="1:17" ht="16.5" thickBot="1" x14ac:dyDescent="0.3">
      <c r="A261" s="1060"/>
      <c r="B261" s="774"/>
      <c r="C261" t="b">
        <f ca="1">C260</f>
        <v>0</v>
      </c>
      <c r="D261" t="b">
        <f t="shared" ref="D261" ca="1" si="174">D260</f>
        <v>0</v>
      </c>
      <c r="E261" t="b">
        <f t="shared" ref="E261" ca="1" si="175">E260</f>
        <v>0</v>
      </c>
      <c r="F261" t="b">
        <f t="shared" ref="F261" ca="1" si="176">F260</f>
        <v>0</v>
      </c>
      <c r="G261" t="b">
        <f t="shared" ref="G261" ca="1" si="177">G260</f>
        <v>0</v>
      </c>
      <c r="H261" t="b">
        <f t="shared" ref="H261" ca="1" si="178">H260</f>
        <v>0</v>
      </c>
      <c r="I261" t="b">
        <f t="shared" ref="I261" ca="1" si="179">I260</f>
        <v>0</v>
      </c>
      <c r="J261" t="b">
        <f t="shared" ref="J261" ca="1" si="180">J260</f>
        <v>0</v>
      </c>
      <c r="K261" t="b">
        <f t="shared" ref="K261" ca="1" si="181">K260</f>
        <v>0</v>
      </c>
      <c r="L261" t="b">
        <f t="shared" ref="L261" ca="1" si="182">L260</f>
        <v>0</v>
      </c>
      <c r="M261" t="b">
        <f t="shared" ref="M261" ca="1" si="183">M260</f>
        <v>0</v>
      </c>
      <c r="N261" t="b">
        <f t="shared" ref="N261" ca="1" si="184">N260</f>
        <v>0</v>
      </c>
    </row>
    <row r="264" spans="1:17" ht="21" x14ac:dyDescent="0.35">
      <c r="A264" s="814" t="s">
        <v>283</v>
      </c>
    </row>
    <row r="266" spans="1:17" x14ac:dyDescent="0.25">
      <c r="A266" t="s">
        <v>309</v>
      </c>
    </row>
    <row r="267" spans="1:17" ht="18.75" x14ac:dyDescent="0.3">
      <c r="A267" s="519"/>
      <c r="B267" s="690"/>
      <c r="C267" s="533"/>
      <c r="D267" s="534"/>
      <c r="E267" s="802">
        <v>1</v>
      </c>
      <c r="F267" s="131">
        <v>2</v>
      </c>
      <c r="G267" s="131">
        <v>3</v>
      </c>
      <c r="H267" s="131">
        <v>4</v>
      </c>
      <c r="I267" s="802">
        <v>5</v>
      </c>
      <c r="J267" s="131">
        <v>6</v>
      </c>
      <c r="K267" s="131">
        <v>7</v>
      </c>
      <c r="L267" s="131">
        <v>8</v>
      </c>
      <c r="M267" s="802">
        <v>9</v>
      </c>
      <c r="N267" s="131">
        <v>10</v>
      </c>
      <c r="O267" s="131">
        <v>11</v>
      </c>
      <c r="P267" s="131">
        <v>12</v>
      </c>
      <c r="Q267" t="s">
        <v>415</v>
      </c>
    </row>
    <row r="268" spans="1:17" ht="15.75" x14ac:dyDescent="0.25">
      <c r="A268" s="759"/>
      <c r="B268" s="682" t="s">
        <v>144</v>
      </c>
      <c r="C268" s="524" t="s">
        <v>214</v>
      </c>
      <c r="D268" s="540"/>
      <c r="E268">
        <v>1</v>
      </c>
      <c r="F268">
        <v>2</v>
      </c>
      <c r="G268">
        <v>3</v>
      </c>
      <c r="H268">
        <v>4</v>
      </c>
      <c r="I268" s="789">
        <v>1</v>
      </c>
      <c r="J268">
        <v>2</v>
      </c>
      <c r="K268">
        <v>3</v>
      </c>
      <c r="L268">
        <v>4</v>
      </c>
      <c r="M268" s="789">
        <v>1</v>
      </c>
      <c r="N268">
        <v>2</v>
      </c>
      <c r="O268">
        <v>3</v>
      </c>
      <c r="P268">
        <v>4</v>
      </c>
    </row>
    <row r="269" spans="1:17" ht="15.75" x14ac:dyDescent="0.25">
      <c r="A269" s="1068" t="s">
        <v>250</v>
      </c>
      <c r="B269" s="676" t="s">
        <v>25</v>
      </c>
      <c r="C269" s="522" t="s">
        <v>212</v>
      </c>
      <c r="D269" s="538" t="s">
        <v>26</v>
      </c>
      <c r="E269">
        <f t="shared" ref="E269:P269" si="185">C63+$Q$269</f>
        <v>1000</v>
      </c>
      <c r="F269">
        <f t="shared" si="185"/>
        <v>1000</v>
      </c>
      <c r="G269">
        <f t="shared" si="185"/>
        <v>1000</v>
      </c>
      <c r="H269">
        <f t="shared" si="185"/>
        <v>1000</v>
      </c>
      <c r="I269" s="789">
        <f t="shared" si="185"/>
        <v>1200</v>
      </c>
      <c r="J269">
        <f t="shared" si="185"/>
        <v>1200</v>
      </c>
      <c r="K269">
        <f t="shared" si="185"/>
        <v>1200</v>
      </c>
      <c r="L269">
        <f t="shared" si="185"/>
        <v>1200</v>
      </c>
      <c r="M269" s="789">
        <f t="shared" si="185"/>
        <v>1500</v>
      </c>
      <c r="N269">
        <f t="shared" si="185"/>
        <v>1500</v>
      </c>
      <c r="O269">
        <f t="shared" si="185"/>
        <v>1500</v>
      </c>
      <c r="P269">
        <f t="shared" si="185"/>
        <v>1500</v>
      </c>
      <c r="Q269">
        <f>IF('BMW-Std-selection'!$A$84,8,0)</f>
        <v>0</v>
      </c>
    </row>
    <row r="270" spans="1:17" ht="15.75" x14ac:dyDescent="0.25">
      <c r="A270" s="1069"/>
      <c r="B270" s="682" t="s">
        <v>9</v>
      </c>
      <c r="C270" s="527" t="s">
        <v>215</v>
      </c>
      <c r="D270" s="545" t="s">
        <v>26</v>
      </c>
      <c r="E270">
        <f t="shared" ref="E270:P270" si="186">C65+$Q$269</f>
        <v>101</v>
      </c>
      <c r="F270">
        <f t="shared" si="186"/>
        <v>140</v>
      </c>
      <c r="G270">
        <f t="shared" si="186"/>
        <v>179</v>
      </c>
      <c r="H270">
        <f t="shared" si="186"/>
        <v>218</v>
      </c>
      <c r="I270" s="789">
        <f t="shared" si="186"/>
        <v>101</v>
      </c>
      <c r="J270">
        <f t="shared" si="186"/>
        <v>140</v>
      </c>
      <c r="K270">
        <f t="shared" si="186"/>
        <v>179</v>
      </c>
      <c r="L270">
        <f t="shared" si="186"/>
        <v>218</v>
      </c>
      <c r="M270" s="789">
        <f t="shared" si="186"/>
        <v>101</v>
      </c>
      <c r="N270">
        <f t="shared" si="186"/>
        <v>140</v>
      </c>
      <c r="O270">
        <f t="shared" si="186"/>
        <v>179</v>
      </c>
      <c r="P270">
        <f t="shared" si="186"/>
        <v>218</v>
      </c>
    </row>
    <row r="271" spans="1:17" ht="15.75" x14ac:dyDescent="0.25">
      <c r="A271" s="1070" t="s">
        <v>8</v>
      </c>
      <c r="B271" s="676" t="s">
        <v>25</v>
      </c>
      <c r="C271" s="523" t="s">
        <v>213</v>
      </c>
      <c r="D271" s="539" t="s">
        <v>26</v>
      </c>
      <c r="E271">
        <f t="shared" ref="E271:P271" si="187">C67</f>
        <v>1052</v>
      </c>
      <c r="F271">
        <f t="shared" si="187"/>
        <v>1052</v>
      </c>
      <c r="G271">
        <f t="shared" si="187"/>
        <v>1052</v>
      </c>
      <c r="H271">
        <f t="shared" si="187"/>
        <v>1052</v>
      </c>
      <c r="I271" s="789">
        <f t="shared" si="187"/>
        <v>1252</v>
      </c>
      <c r="J271">
        <f t="shared" si="187"/>
        <v>1252</v>
      </c>
      <c r="K271">
        <f t="shared" si="187"/>
        <v>1252</v>
      </c>
      <c r="L271">
        <f t="shared" si="187"/>
        <v>1252</v>
      </c>
      <c r="M271" s="789">
        <f t="shared" si="187"/>
        <v>1552</v>
      </c>
      <c r="N271">
        <f t="shared" si="187"/>
        <v>1552</v>
      </c>
      <c r="O271">
        <f t="shared" si="187"/>
        <v>1552</v>
      </c>
      <c r="P271">
        <f t="shared" si="187"/>
        <v>1552</v>
      </c>
    </row>
    <row r="272" spans="1:17" ht="15.75" x14ac:dyDescent="0.25">
      <c r="A272" s="1069"/>
      <c r="B272" s="679" t="s">
        <v>9</v>
      </c>
      <c r="C272" s="532" t="s">
        <v>216</v>
      </c>
      <c r="D272" s="541" t="s">
        <v>26</v>
      </c>
      <c r="E272">
        <f t="shared" ref="E272:P272" si="188">C68</f>
        <v>134</v>
      </c>
      <c r="F272">
        <f t="shared" si="188"/>
        <v>173</v>
      </c>
      <c r="G272">
        <f t="shared" si="188"/>
        <v>212</v>
      </c>
      <c r="H272">
        <f t="shared" si="188"/>
        <v>251</v>
      </c>
      <c r="I272" s="789">
        <f t="shared" si="188"/>
        <v>134</v>
      </c>
      <c r="J272">
        <f t="shared" si="188"/>
        <v>173</v>
      </c>
      <c r="K272">
        <f t="shared" si="188"/>
        <v>212</v>
      </c>
      <c r="L272">
        <f t="shared" si="188"/>
        <v>251</v>
      </c>
      <c r="M272" s="789">
        <f t="shared" si="188"/>
        <v>134</v>
      </c>
      <c r="N272">
        <f t="shared" si="188"/>
        <v>173</v>
      </c>
      <c r="O272">
        <f t="shared" si="188"/>
        <v>212</v>
      </c>
      <c r="P272">
        <f t="shared" si="188"/>
        <v>251</v>
      </c>
    </row>
    <row r="273" spans="1:16" ht="15.75" x14ac:dyDescent="0.25">
      <c r="A273" s="519"/>
      <c r="B273" s="522" t="s">
        <v>210</v>
      </c>
      <c r="C273" s="526" t="s">
        <v>22</v>
      </c>
      <c r="D273" s="542" t="s">
        <v>10</v>
      </c>
      <c r="E273" s="93">
        <f>C69</f>
        <v>13.315540087121997</v>
      </c>
      <c r="F273">
        <f t="shared" ref="F273:P273" si="189">D69</f>
        <v>6.8621925725454922</v>
      </c>
      <c r="G273">
        <f t="shared" si="189"/>
        <v>4.1666768141109713</v>
      </c>
      <c r="H273">
        <f t="shared" si="189"/>
        <v>2.7925288344038659</v>
      </c>
      <c r="I273" s="789">
        <f t="shared" si="189"/>
        <v>9.0678271695493962</v>
      </c>
      <c r="J273">
        <f t="shared" si="189"/>
        <v>4.6731244729749042</v>
      </c>
      <c r="K273">
        <f t="shared" si="189"/>
        <v>2.8374895028304752</v>
      </c>
      <c r="L273">
        <f t="shared" si="189"/>
        <v>1.9017004695774669</v>
      </c>
      <c r="M273" s="789">
        <f t="shared" si="189"/>
        <v>5.6845576586835511</v>
      </c>
      <c r="N273">
        <f t="shared" si="189"/>
        <v>2.9295491649904357</v>
      </c>
      <c r="O273">
        <f t="shared" si="189"/>
        <v>1.7788023947914169</v>
      </c>
      <c r="P273">
        <f t="shared" si="189"/>
        <v>1.1921627713815255</v>
      </c>
    </row>
    <row r="274" spans="1:16" ht="15.75" x14ac:dyDescent="0.25">
      <c r="A274" s="818" t="s">
        <v>298</v>
      </c>
      <c r="B274" s="523"/>
      <c r="C274" s="524"/>
      <c r="D274" s="539" t="s">
        <v>15</v>
      </c>
      <c r="E274" s="93">
        <f t="shared" ref="E274:P277" si="190">C72</f>
        <v>49.635747062397726</v>
      </c>
      <c r="F274" s="93">
        <f t="shared" si="190"/>
        <v>68.802025631046376</v>
      </c>
      <c r="G274" s="93">
        <f t="shared" si="190"/>
        <v>87.968304199694998</v>
      </c>
      <c r="H274" s="968">
        <f t="shared" si="190"/>
        <v>107.13458276834362</v>
      </c>
      <c r="I274" s="93">
        <f t="shared" si="190"/>
        <v>59.976527700397256</v>
      </c>
      <c r="J274" s="93">
        <f t="shared" si="190"/>
        <v>83.135780970847676</v>
      </c>
      <c r="K274" s="93">
        <f t="shared" si="190"/>
        <v>106.2950342412981</v>
      </c>
      <c r="L274" s="968">
        <f t="shared" si="190"/>
        <v>129.45428751174853</v>
      </c>
      <c r="M274" s="93">
        <f t="shared" si="190"/>
        <v>75.48769865739655</v>
      </c>
      <c r="N274" s="93">
        <f t="shared" si="190"/>
        <v>104.63641398054968</v>
      </c>
      <c r="O274" s="93">
        <f t="shared" si="190"/>
        <v>133.78512930370277</v>
      </c>
      <c r="P274" s="93">
        <f t="shared" si="190"/>
        <v>162.93384462685592</v>
      </c>
    </row>
    <row r="275" spans="1:16" ht="15.75" x14ac:dyDescent="0.25">
      <c r="A275" s="519"/>
      <c r="B275" s="680" t="s">
        <v>142</v>
      </c>
      <c r="C275" s="535" t="s">
        <v>46</v>
      </c>
      <c r="D275" s="543" t="s">
        <v>136</v>
      </c>
      <c r="E275">
        <f t="shared" si="190"/>
        <v>32.236128513336354</v>
      </c>
      <c r="F275">
        <f t="shared" si="190"/>
        <v>23.202228928657185</v>
      </c>
      <c r="G275">
        <f t="shared" si="190"/>
        <v>16.403233184435027</v>
      </c>
      <c r="H275">
        <f t="shared" si="190"/>
        <v>10.949800495765967</v>
      </c>
      <c r="I275" s="789">
        <f t="shared" si="190"/>
        <v>27.000359666780568</v>
      </c>
      <c r="J275">
        <f t="shared" si="190"/>
        <v>17.966460082101428</v>
      </c>
      <c r="K275">
        <f t="shared" si="190"/>
        <v>11.167464337879224</v>
      </c>
      <c r="L275">
        <f t="shared" si="190"/>
        <v>5.7140316492101784</v>
      </c>
      <c r="M275" s="789">
        <f t="shared" si="190"/>
        <v>20.636482388786646</v>
      </c>
      <c r="N275">
        <f t="shared" si="190"/>
        <v>11.602582804107477</v>
      </c>
      <c r="O275">
        <f t="shared" si="190"/>
        <v>4.8035870598853041</v>
      </c>
      <c r="P275">
        <f t="shared" si="190"/>
        <v>-0.64984562878375574</v>
      </c>
    </row>
    <row r="276" spans="1:16" ht="15.75" x14ac:dyDescent="0.25">
      <c r="A276" s="519"/>
      <c r="B276" s="681" t="s">
        <v>211</v>
      </c>
      <c r="C276" s="527" t="s">
        <v>23</v>
      </c>
      <c r="D276" s="544" t="s">
        <v>11</v>
      </c>
      <c r="E276">
        <f t="shared" si="190"/>
        <v>17.236128513336354</v>
      </c>
      <c r="F276">
        <f t="shared" si="190"/>
        <v>8.2022289286571848</v>
      </c>
      <c r="G276">
        <f t="shared" si="190"/>
        <v>1.4032331844350274</v>
      </c>
      <c r="H276">
        <f t="shared" si="190"/>
        <v>-4.0501995042340333</v>
      </c>
      <c r="I276" s="789">
        <f t="shared" si="190"/>
        <v>12.000359666780568</v>
      </c>
      <c r="J276">
        <f t="shared" si="190"/>
        <v>2.9664600821014275</v>
      </c>
      <c r="K276">
        <f t="shared" si="190"/>
        <v>-3.832535662120776</v>
      </c>
      <c r="L276">
        <f t="shared" si="190"/>
        <v>-9.2859683507898225</v>
      </c>
      <c r="M276" s="789">
        <f t="shared" si="190"/>
        <v>5.6364823887866464</v>
      </c>
      <c r="N276">
        <f t="shared" si="190"/>
        <v>-3.3974171958925226</v>
      </c>
      <c r="O276">
        <f t="shared" si="190"/>
        <v>-10.196412940114696</v>
      </c>
      <c r="P276">
        <f t="shared" si="190"/>
        <v>-15.649845628783755</v>
      </c>
    </row>
    <row r="277" spans="1:16" ht="15.75" x14ac:dyDescent="0.25">
      <c r="A277" s="519"/>
      <c r="B277" s="677" t="s">
        <v>143</v>
      </c>
      <c r="C277" s="537" t="s">
        <v>93</v>
      </c>
      <c r="D277" s="540" t="s">
        <v>137</v>
      </c>
      <c r="E277">
        <f t="shared" ca="1" si="190"/>
        <v>2.1958398684658293</v>
      </c>
      <c r="F277">
        <f t="shared" ca="1" si="190"/>
        <v>2.1958398684658293</v>
      </c>
      <c r="G277">
        <f t="shared" ca="1" si="190"/>
        <v>2.1958398684658293</v>
      </c>
      <c r="H277">
        <f t="shared" ca="1" si="190"/>
        <v>2.1958398684658293</v>
      </c>
      <c r="I277" s="789">
        <f t="shared" ca="1" si="190"/>
        <v>2.1620743739027555</v>
      </c>
      <c r="J277">
        <f t="shared" ca="1" si="190"/>
        <v>2.1620743739027555</v>
      </c>
      <c r="K277">
        <f t="shared" ca="1" si="190"/>
        <v>2.1620743739027555</v>
      </c>
      <c r="L277">
        <f t="shared" ca="1" si="190"/>
        <v>2.1620743739027555</v>
      </c>
      <c r="M277" s="789">
        <f t="shared" ca="1" si="190"/>
        <v>2.128771420361093</v>
      </c>
      <c r="N277">
        <f t="shared" ca="1" si="190"/>
        <v>2.128771420361093</v>
      </c>
      <c r="O277">
        <f t="shared" ca="1" si="190"/>
        <v>2.128771420361093</v>
      </c>
      <c r="P277">
        <f t="shared" ca="1" si="190"/>
        <v>2.128771420361093</v>
      </c>
    </row>
    <row r="278" spans="1:16" ht="15.75" x14ac:dyDescent="0.25">
      <c r="A278" s="1071" t="s">
        <v>129</v>
      </c>
      <c r="B278" s="1065" t="s">
        <v>130</v>
      </c>
      <c r="C278" s="526" t="s">
        <v>139</v>
      </c>
      <c r="D278" s="538" t="s">
        <v>137</v>
      </c>
      <c r="E278" s="106">
        <f t="shared" ref="E278:E289" ca="1" si="191">C137</f>
        <v>2.2999999999999998</v>
      </c>
      <c r="F278" s="106">
        <f t="shared" ref="F278:F289" ca="1" si="192">D137</f>
        <v>2.2000000000000002</v>
      </c>
      <c r="G278" s="106">
        <f t="shared" ref="G278:G289" ca="1" si="193">E137</f>
        <v>2.2000000000000002</v>
      </c>
      <c r="H278" s="106">
        <f t="shared" ref="H278:H289" ca="1" si="194">F137</f>
        <v>2.2000000000000002</v>
      </c>
      <c r="I278" s="281">
        <f t="shared" ref="I278:I289" ca="1" si="195">G137</f>
        <v>2.2000000000000002</v>
      </c>
      <c r="J278" s="106">
        <f t="shared" ref="J278:J289" ca="1" si="196">H137</f>
        <v>2.2000000000000002</v>
      </c>
      <c r="K278" s="106">
        <f t="shared" ref="K278:K289" ca="1" si="197">I137</f>
        <v>2.2000000000000002</v>
      </c>
      <c r="L278" s="106">
        <f t="shared" ref="L278:L289" ca="1" si="198">J137</f>
        <v>2.2000000000000002</v>
      </c>
      <c r="M278" s="281">
        <f t="shared" ref="M278:M289" ca="1" si="199">K137</f>
        <v>2.2000000000000002</v>
      </c>
      <c r="N278" s="106">
        <f t="shared" ref="N278:N289" ca="1" si="200">L137</f>
        <v>2.2000000000000002</v>
      </c>
      <c r="O278" s="106">
        <f t="shared" ref="O278:O289" ca="1" si="201">M137</f>
        <v>2.2000000000000002</v>
      </c>
      <c r="P278" s="106">
        <f t="shared" ref="P278:P289" ca="1" si="202">N137</f>
        <v>2.2000000000000002</v>
      </c>
    </row>
    <row r="279" spans="1:16" ht="15.75" x14ac:dyDescent="0.25">
      <c r="A279" s="1072"/>
      <c r="B279" s="1066"/>
      <c r="C279" s="527" t="s">
        <v>57</v>
      </c>
      <c r="D279" s="545" t="s">
        <v>137</v>
      </c>
      <c r="E279" s="106">
        <f t="shared" ca="1" si="191"/>
        <v>5.0999999999999996</v>
      </c>
      <c r="F279" s="106">
        <f t="shared" ca="1" si="192"/>
        <v>4.4000000000000004</v>
      </c>
      <c r="G279" s="106">
        <f t="shared" ca="1" si="193"/>
        <v>3.9</v>
      </c>
      <c r="H279" s="106">
        <f t="shared" ca="1" si="194"/>
        <v>3.5</v>
      </c>
      <c r="I279" s="281">
        <f t="shared" ca="1" si="195"/>
        <v>4.7</v>
      </c>
      <c r="J279" s="106">
        <f t="shared" ca="1" si="196"/>
        <v>4</v>
      </c>
      <c r="K279" s="106">
        <f t="shared" ca="1" si="197"/>
        <v>3.5</v>
      </c>
      <c r="L279" s="106">
        <f t="shared" ca="1" si="198"/>
        <v>3.2</v>
      </c>
      <c r="M279" s="281">
        <f t="shared" ca="1" si="199"/>
        <v>4.2</v>
      </c>
      <c r="N279" s="106">
        <f t="shared" ca="1" si="200"/>
        <v>3.5</v>
      </c>
      <c r="O279" s="106">
        <f t="shared" ca="1" si="201"/>
        <v>3.1</v>
      </c>
      <c r="P279" s="106">
        <f t="shared" ca="1" si="202"/>
        <v>2.8</v>
      </c>
    </row>
    <row r="280" spans="1:16" ht="15.75" x14ac:dyDescent="0.25">
      <c r="A280" s="1072"/>
      <c r="B280" s="1066"/>
      <c r="C280" s="535" t="s">
        <v>145</v>
      </c>
      <c r="D280" s="540" t="s">
        <v>137</v>
      </c>
      <c r="E280" s="106">
        <f t="shared" ca="1" si="191"/>
        <v>3.9</v>
      </c>
      <c r="F280" s="106">
        <f t="shared" ca="1" si="192"/>
        <v>3.9</v>
      </c>
      <c r="G280" s="106">
        <f t="shared" ca="1" si="193"/>
        <v>3.9</v>
      </c>
      <c r="H280" s="106">
        <f t="shared" ca="1" si="194"/>
        <v>3.9</v>
      </c>
      <c r="I280" s="281">
        <f t="shared" ca="1" si="195"/>
        <v>3.9</v>
      </c>
      <c r="J280" s="106">
        <f t="shared" ca="1" si="196"/>
        <v>3.9</v>
      </c>
      <c r="K280" s="106">
        <f t="shared" ca="1" si="197"/>
        <v>3.9</v>
      </c>
      <c r="L280" s="106">
        <f t="shared" ca="1" si="198"/>
        <v>3.9</v>
      </c>
      <c r="M280" s="281">
        <f t="shared" ca="1" si="199"/>
        <v>3.9</v>
      </c>
      <c r="N280" s="106">
        <f t="shared" ca="1" si="200"/>
        <v>3.9</v>
      </c>
      <c r="O280" s="106">
        <f t="shared" ca="1" si="201"/>
        <v>3.9</v>
      </c>
      <c r="P280" s="106">
        <f t="shared" ca="1" si="202"/>
        <v>3.9</v>
      </c>
    </row>
    <row r="281" spans="1:16" ht="16.5" thickBot="1" x14ac:dyDescent="0.3">
      <c r="A281" s="1072"/>
      <c r="B281" s="1066"/>
      <c r="C281" s="697" t="s">
        <v>148</v>
      </c>
      <c r="D281" s="698" t="s">
        <v>137</v>
      </c>
      <c r="E281" s="106">
        <f t="shared" ca="1" si="191"/>
        <v>8.9</v>
      </c>
      <c r="F281" s="106">
        <f t="shared" ca="1" si="192"/>
        <v>7.6</v>
      </c>
      <c r="G281" s="106">
        <f t="shared" ca="1" si="193"/>
        <v>6.7</v>
      </c>
      <c r="H281" s="106">
        <f t="shared" ca="1" si="194"/>
        <v>6.1</v>
      </c>
      <c r="I281" s="281">
        <f t="shared" ca="1" si="195"/>
        <v>8.1</v>
      </c>
      <c r="J281" s="106">
        <f t="shared" ca="1" si="196"/>
        <v>6.9</v>
      </c>
      <c r="K281" s="106">
        <f t="shared" ca="1" si="197"/>
        <v>6.1</v>
      </c>
      <c r="L281" s="106">
        <f t="shared" ca="1" si="198"/>
        <v>5.5</v>
      </c>
      <c r="M281" s="281">
        <f t="shared" ca="1" si="199"/>
        <v>7.2</v>
      </c>
      <c r="N281" s="106">
        <f t="shared" ca="1" si="200"/>
        <v>6.1</v>
      </c>
      <c r="O281" s="106">
        <f t="shared" ca="1" si="201"/>
        <v>5.4</v>
      </c>
      <c r="P281" s="106">
        <f t="shared" ca="1" si="202"/>
        <v>4.9000000000000004</v>
      </c>
    </row>
    <row r="282" spans="1:16" ht="15.75" x14ac:dyDescent="0.25">
      <c r="A282" s="1034"/>
      <c r="B282" s="1039" t="s">
        <v>247</v>
      </c>
      <c r="C282" s="699" t="s">
        <v>56</v>
      </c>
      <c r="D282" s="700" t="s">
        <v>137</v>
      </c>
      <c r="E282" s="106">
        <f t="shared" ca="1" si="191"/>
        <v>3</v>
      </c>
      <c r="F282" s="106">
        <f t="shared" ca="1" si="192"/>
        <v>2.9</v>
      </c>
      <c r="G282" s="106">
        <f t="shared" ca="1" si="193"/>
        <v>2.9</v>
      </c>
      <c r="H282" s="106">
        <f t="shared" ca="1" si="194"/>
        <v>2.9</v>
      </c>
      <c r="I282" s="281">
        <f t="shared" ca="1" si="195"/>
        <v>2.9</v>
      </c>
      <c r="J282" s="106">
        <f t="shared" ca="1" si="196"/>
        <v>2.9</v>
      </c>
      <c r="K282" s="106">
        <f t="shared" ca="1" si="197"/>
        <v>2.9</v>
      </c>
      <c r="L282" s="106">
        <f t="shared" ca="1" si="198"/>
        <v>2.9</v>
      </c>
      <c r="M282" s="281">
        <f t="shared" ca="1" si="199"/>
        <v>2.9</v>
      </c>
      <c r="N282" s="106">
        <f t="shared" ca="1" si="200"/>
        <v>2.9</v>
      </c>
      <c r="O282" s="106">
        <f t="shared" ca="1" si="201"/>
        <v>2.9</v>
      </c>
      <c r="P282" s="106">
        <f t="shared" ca="1" si="202"/>
        <v>2.9</v>
      </c>
    </row>
    <row r="283" spans="1:16" ht="15.75" x14ac:dyDescent="0.25">
      <c r="A283" s="1034"/>
      <c r="B283" s="1040"/>
      <c r="C283" s="527" t="s">
        <v>140</v>
      </c>
      <c r="D283" s="545" t="s">
        <v>137</v>
      </c>
      <c r="E283" s="106">
        <f t="shared" ca="1" si="191"/>
        <v>6.8</v>
      </c>
      <c r="F283" s="106">
        <f t="shared" ca="1" si="192"/>
        <v>5.7</v>
      </c>
      <c r="G283" s="106">
        <f t="shared" ca="1" si="193"/>
        <v>5.0999999999999996</v>
      </c>
      <c r="H283" s="106">
        <f t="shared" ca="1" si="194"/>
        <v>4.5999999999999996</v>
      </c>
      <c r="I283" s="281">
        <f t="shared" ca="1" si="195"/>
        <v>6.2</v>
      </c>
      <c r="J283" s="106">
        <f t="shared" ca="1" si="196"/>
        <v>5.2</v>
      </c>
      <c r="K283" s="106">
        <f t="shared" ca="1" si="197"/>
        <v>4.5999999999999996</v>
      </c>
      <c r="L283" s="106">
        <f t="shared" ca="1" si="198"/>
        <v>4.2</v>
      </c>
      <c r="M283" s="281">
        <f t="shared" ca="1" si="199"/>
        <v>5.5</v>
      </c>
      <c r="N283" s="106">
        <f t="shared" ca="1" si="200"/>
        <v>4.7</v>
      </c>
      <c r="O283" s="106">
        <f t="shared" ca="1" si="201"/>
        <v>4.0999999999999996</v>
      </c>
      <c r="P283" s="106">
        <f t="shared" ca="1" si="202"/>
        <v>3.7</v>
      </c>
    </row>
    <row r="284" spans="1:16" ht="15.75" x14ac:dyDescent="0.25">
      <c r="A284" s="1034"/>
      <c r="B284" s="1040"/>
      <c r="C284" s="535" t="s">
        <v>145</v>
      </c>
      <c r="D284" s="540" t="s">
        <v>137</v>
      </c>
      <c r="E284" s="106">
        <f t="shared" ca="1" si="191"/>
        <v>3</v>
      </c>
      <c r="F284" s="106">
        <f t="shared" ca="1" si="192"/>
        <v>2.9</v>
      </c>
      <c r="G284" s="106">
        <f t="shared" ca="1" si="193"/>
        <v>2.9</v>
      </c>
      <c r="H284" s="106">
        <f t="shared" ca="1" si="194"/>
        <v>2.9</v>
      </c>
      <c r="I284" s="281">
        <f t="shared" ca="1" si="195"/>
        <v>2.9</v>
      </c>
      <c r="J284" s="106">
        <f t="shared" ca="1" si="196"/>
        <v>2.9</v>
      </c>
      <c r="K284" s="106">
        <f t="shared" ca="1" si="197"/>
        <v>2.9</v>
      </c>
      <c r="L284" s="106">
        <f t="shared" ca="1" si="198"/>
        <v>2.9</v>
      </c>
      <c r="M284" s="281">
        <f t="shared" ca="1" si="199"/>
        <v>2.9</v>
      </c>
      <c r="N284" s="106">
        <f t="shared" ca="1" si="200"/>
        <v>2.9</v>
      </c>
      <c r="O284" s="106">
        <f t="shared" ca="1" si="201"/>
        <v>2.9</v>
      </c>
      <c r="P284" s="106">
        <f t="shared" ca="1" si="202"/>
        <v>2.9</v>
      </c>
    </row>
    <row r="285" spans="1:16" ht="16.5" thickBot="1" x14ac:dyDescent="0.3">
      <c r="A285" s="1034"/>
      <c r="B285" s="1041"/>
      <c r="C285" s="697" t="s">
        <v>148</v>
      </c>
      <c r="D285" s="698" t="s">
        <v>137</v>
      </c>
      <c r="E285" s="106">
        <f t="shared" ca="1" si="191"/>
        <v>6.8</v>
      </c>
      <c r="F285" s="106">
        <f t="shared" ca="1" si="192"/>
        <v>5.7</v>
      </c>
      <c r="G285" s="106">
        <f t="shared" ca="1" si="193"/>
        <v>5.0999999999999996</v>
      </c>
      <c r="H285" s="106">
        <f t="shared" ca="1" si="194"/>
        <v>4.5999999999999996</v>
      </c>
      <c r="I285" s="281">
        <f t="shared" ca="1" si="195"/>
        <v>6.2</v>
      </c>
      <c r="J285" s="106">
        <f t="shared" ca="1" si="196"/>
        <v>5.2</v>
      </c>
      <c r="K285" s="106">
        <f t="shared" ca="1" si="197"/>
        <v>4.5999999999999996</v>
      </c>
      <c r="L285" s="106">
        <f t="shared" ca="1" si="198"/>
        <v>4.2</v>
      </c>
      <c r="M285" s="281">
        <f t="shared" ca="1" si="199"/>
        <v>5.5</v>
      </c>
      <c r="N285" s="106">
        <f t="shared" ca="1" si="200"/>
        <v>4.7</v>
      </c>
      <c r="O285" s="106">
        <f t="shared" ca="1" si="201"/>
        <v>4.0999999999999996</v>
      </c>
      <c r="P285" s="106">
        <f t="shared" ca="1" si="202"/>
        <v>3.7</v>
      </c>
    </row>
    <row r="286" spans="1:16" ht="15.75" x14ac:dyDescent="0.25">
      <c r="A286" s="1072"/>
      <c r="B286" s="1066" t="s">
        <v>132</v>
      </c>
      <c r="C286" s="524" t="s">
        <v>139</v>
      </c>
      <c r="D286" s="540" t="s">
        <v>137</v>
      </c>
      <c r="E286" s="106">
        <f t="shared" ca="1" si="191"/>
        <v>3.9</v>
      </c>
      <c r="F286" s="106">
        <f t="shared" ca="1" si="192"/>
        <v>3.8</v>
      </c>
      <c r="G286" s="106">
        <f t="shared" ca="1" si="193"/>
        <v>3.8</v>
      </c>
      <c r="H286" s="106">
        <f t="shared" ca="1" si="194"/>
        <v>3.8</v>
      </c>
      <c r="I286" s="281">
        <f t="shared" ca="1" si="195"/>
        <v>3.9</v>
      </c>
      <c r="J286" s="106">
        <f t="shared" ca="1" si="196"/>
        <v>3.8</v>
      </c>
      <c r="K286" s="106">
        <f t="shared" ca="1" si="197"/>
        <v>3.8</v>
      </c>
      <c r="L286" s="106">
        <f t="shared" ca="1" si="198"/>
        <v>3.8</v>
      </c>
      <c r="M286" s="281">
        <f t="shared" ca="1" si="199"/>
        <v>3.8</v>
      </c>
      <c r="N286" s="106">
        <f t="shared" ca="1" si="200"/>
        <v>3.8</v>
      </c>
      <c r="O286" s="106">
        <f t="shared" ca="1" si="201"/>
        <v>3.8</v>
      </c>
      <c r="P286" s="106">
        <f t="shared" ca="1" si="202"/>
        <v>3.8</v>
      </c>
    </row>
    <row r="287" spans="1:16" ht="15.75" x14ac:dyDescent="0.25">
      <c r="A287" s="1072"/>
      <c r="B287" s="1066"/>
      <c r="C287" s="527" t="s">
        <v>140</v>
      </c>
      <c r="D287" s="545" t="s">
        <v>137</v>
      </c>
      <c r="E287" s="106">
        <f t="shared" ca="1" si="191"/>
        <v>8.8000000000000007</v>
      </c>
      <c r="F287" s="106">
        <f t="shared" ca="1" si="192"/>
        <v>7.5</v>
      </c>
      <c r="G287" s="106">
        <f t="shared" ca="1" si="193"/>
        <v>6.6</v>
      </c>
      <c r="H287" s="106">
        <f t="shared" ca="1" si="194"/>
        <v>6</v>
      </c>
      <c r="I287" s="281">
        <f t="shared" ca="1" si="195"/>
        <v>8</v>
      </c>
      <c r="J287" s="106">
        <f t="shared" ca="1" si="196"/>
        <v>6.8</v>
      </c>
      <c r="K287" s="106">
        <f t="shared" ca="1" si="197"/>
        <v>6</v>
      </c>
      <c r="L287" s="106">
        <f t="shared" ca="1" si="198"/>
        <v>5.5</v>
      </c>
      <c r="M287" s="281">
        <f t="shared" ca="1" si="199"/>
        <v>7.2</v>
      </c>
      <c r="N287" s="106">
        <f t="shared" ca="1" si="200"/>
        <v>6.1</v>
      </c>
      <c r="O287" s="106">
        <f t="shared" ca="1" si="201"/>
        <v>5.4</v>
      </c>
      <c r="P287" s="106">
        <f t="shared" ca="1" si="202"/>
        <v>4.9000000000000004</v>
      </c>
    </row>
    <row r="288" spans="1:16" ht="15.75" x14ac:dyDescent="0.25">
      <c r="A288" s="1072"/>
      <c r="B288" s="1066"/>
      <c r="C288" s="535" t="s">
        <v>145</v>
      </c>
      <c r="D288" s="540" t="s">
        <v>137</v>
      </c>
      <c r="E288" s="106">
        <f t="shared" ca="1" si="191"/>
        <v>2.2000000000000002</v>
      </c>
      <c r="F288" s="106">
        <f t="shared" ca="1" si="192"/>
        <v>2.2000000000000002</v>
      </c>
      <c r="G288" s="106">
        <f t="shared" ca="1" si="193"/>
        <v>2.2000000000000002</v>
      </c>
      <c r="H288" s="106">
        <f t="shared" ca="1" si="194"/>
        <v>2.2000000000000002</v>
      </c>
      <c r="I288" s="281">
        <f t="shared" ca="1" si="195"/>
        <v>2.2000000000000002</v>
      </c>
      <c r="J288" s="106">
        <f t="shared" ca="1" si="196"/>
        <v>2.2000000000000002</v>
      </c>
      <c r="K288" s="106">
        <f t="shared" ca="1" si="197"/>
        <v>2.2000000000000002</v>
      </c>
      <c r="L288" s="106">
        <f t="shared" ca="1" si="198"/>
        <v>2.2000000000000002</v>
      </c>
      <c r="M288" s="281">
        <f t="shared" ca="1" si="199"/>
        <v>2.2000000000000002</v>
      </c>
      <c r="N288" s="106">
        <f t="shared" ca="1" si="200"/>
        <v>2.2000000000000002</v>
      </c>
      <c r="O288" s="106">
        <f t="shared" ca="1" si="201"/>
        <v>2.2000000000000002</v>
      </c>
      <c r="P288" s="106">
        <f t="shared" ca="1" si="202"/>
        <v>2.2000000000000002</v>
      </c>
    </row>
    <row r="289" spans="1:16" ht="15.75" x14ac:dyDescent="0.25">
      <c r="A289" s="1073"/>
      <c r="B289" s="1067"/>
      <c r="C289" s="532" t="s">
        <v>146</v>
      </c>
      <c r="D289" s="541" t="s">
        <v>137</v>
      </c>
      <c r="E289" s="106">
        <f t="shared" ca="1" si="191"/>
        <v>5.0999999999999996</v>
      </c>
      <c r="F289" s="106">
        <f t="shared" ca="1" si="192"/>
        <v>4.3</v>
      </c>
      <c r="G289" s="106">
        <f t="shared" ca="1" si="193"/>
        <v>3.8</v>
      </c>
      <c r="H289" s="106">
        <f t="shared" ca="1" si="194"/>
        <v>3.5</v>
      </c>
      <c r="I289" s="281">
        <f t="shared" ca="1" si="195"/>
        <v>4.7</v>
      </c>
      <c r="J289" s="106">
        <f t="shared" ca="1" si="196"/>
        <v>4</v>
      </c>
      <c r="K289" s="106">
        <f t="shared" ca="1" si="197"/>
        <v>3.5</v>
      </c>
      <c r="L289" s="106">
        <f t="shared" ca="1" si="198"/>
        <v>3.2</v>
      </c>
      <c r="M289" s="281">
        <f t="shared" ca="1" si="199"/>
        <v>4.2</v>
      </c>
      <c r="N289" s="106">
        <f t="shared" ca="1" si="200"/>
        <v>3.5</v>
      </c>
      <c r="O289" s="106">
        <f t="shared" ca="1" si="201"/>
        <v>3.1</v>
      </c>
      <c r="P289" s="106">
        <f t="shared" ca="1" si="202"/>
        <v>2.8</v>
      </c>
    </row>
    <row r="290" spans="1:16" ht="15.75" x14ac:dyDescent="0.25">
      <c r="A290" s="606"/>
      <c r="B290" s="678" t="s">
        <v>172</v>
      </c>
      <c r="C290" s="526" t="s">
        <v>217</v>
      </c>
      <c r="D290" s="538" t="s">
        <v>173</v>
      </c>
      <c r="E290" s="93">
        <f ca="1">C223</f>
        <v>0.17624944924224445</v>
      </c>
      <c r="F290" s="93">
        <f t="shared" ref="F290:P290" ca="1" si="203">D223</f>
        <v>0.17513861490101618</v>
      </c>
      <c r="G290" s="93">
        <f t="shared" ca="1" si="203"/>
        <v>0.17467221166970212</v>
      </c>
      <c r="H290" s="93">
        <f t="shared" ca="1" si="203"/>
        <v>0.17443388964153667</v>
      </c>
      <c r="I290" s="794">
        <f t="shared" ca="1" si="203"/>
        <v>0.17551919044333272</v>
      </c>
      <c r="J290" s="93">
        <f t="shared" ca="1" si="203"/>
        <v>0.17475995159043137</v>
      </c>
      <c r="K290" s="93">
        <f t="shared" ca="1" si="203"/>
        <v>0.17444169323416092</v>
      </c>
      <c r="L290" s="93">
        <f t="shared" ca="1" si="203"/>
        <v>0.17427918995498926</v>
      </c>
      <c r="M290" s="794">
        <f t="shared" ca="1" si="203"/>
        <v>0.17493502611253575</v>
      </c>
      <c r="N290" s="93">
        <f t="shared" ca="1" si="203"/>
        <v>0.17445767030040443</v>
      </c>
      <c r="O290" s="93">
        <f t="shared" ca="1" si="203"/>
        <v>0.17425783524646155</v>
      </c>
      <c r="P290" s="93">
        <f t="shared" ca="1" si="203"/>
        <v>0.17415585938374523</v>
      </c>
    </row>
    <row r="291" spans="1:16" ht="15.75" x14ac:dyDescent="0.25">
      <c r="A291" s="606"/>
      <c r="B291" s="678" t="s">
        <v>219</v>
      </c>
      <c r="C291" s="524" t="s">
        <v>156</v>
      </c>
      <c r="D291" s="540" t="s">
        <v>218</v>
      </c>
      <c r="E291" s="93">
        <f ca="1">C224</f>
        <v>0.17527052607644972</v>
      </c>
      <c r="F291" s="93">
        <f t="shared" ref="F291:P293" ca="1" si="204">D224</f>
        <v>0.17381425927059765</v>
      </c>
      <c r="G291" s="93">
        <f t="shared" ca="1" si="204"/>
        <v>0.17320349466974858</v>
      </c>
      <c r="H291" s="93">
        <f t="shared" ca="1" si="204"/>
        <v>0.17289156064155045</v>
      </c>
      <c r="I291" s="794">
        <f t="shared" ca="1" si="204"/>
        <v>0.17431292596871756</v>
      </c>
      <c r="J291" s="93">
        <f t="shared" ca="1" si="204"/>
        <v>0.17331836150400359</v>
      </c>
      <c r="K291" s="93">
        <f t="shared" ca="1" si="204"/>
        <v>0.17290177293524819</v>
      </c>
      <c r="L291" s="93">
        <f t="shared" ca="1" si="204"/>
        <v>0.17268913341889786</v>
      </c>
      <c r="M291" s="794">
        <f t="shared" ca="1" si="204"/>
        <v>0.17354760661580287</v>
      </c>
      <c r="N291" s="93">
        <f t="shared" ca="1" si="204"/>
        <v>0.17292268192008009</v>
      </c>
      <c r="O291" s="93">
        <f t="shared" ca="1" si="204"/>
        <v>0.17266119384286763</v>
      </c>
      <c r="P291" s="93">
        <f t="shared" ca="1" si="204"/>
        <v>0.17252778450983086</v>
      </c>
    </row>
    <row r="292" spans="1:16" ht="15.75" x14ac:dyDescent="0.25">
      <c r="A292" s="606"/>
      <c r="B292" s="678" t="s">
        <v>174</v>
      </c>
      <c r="C292" s="524" t="s">
        <v>181</v>
      </c>
      <c r="D292" s="540" t="s">
        <v>218</v>
      </c>
      <c r="E292" s="93">
        <f ca="1">C225</f>
        <v>8.9177510174670155E-2</v>
      </c>
      <c r="F292" s="93">
        <f t="shared" ca="1" si="204"/>
        <v>8.8559263180542691E-2</v>
      </c>
      <c r="G292" s="93">
        <f t="shared" ca="1" si="204"/>
        <v>8.830059895034395E-2</v>
      </c>
      <c r="H292" s="93">
        <f t="shared" ca="1" si="204"/>
        <v>8.8168636030923064E-2</v>
      </c>
      <c r="I292" s="794">
        <f t="shared" ca="1" si="204"/>
        <v>8.8770729572067192E-2</v>
      </c>
      <c r="J292" s="93">
        <f t="shared" ca="1" si="204"/>
        <v>8.8349217593217136E-2</v>
      </c>
      <c r="K292" s="93">
        <f t="shared" ca="1" si="204"/>
        <v>8.8172954775888102E-2</v>
      </c>
      <c r="L292" s="93">
        <f t="shared" ca="1" si="204"/>
        <v>8.8083051755209418E-2</v>
      </c>
      <c r="M292" s="794">
        <f t="shared" ca="1" si="204"/>
        <v>8.8446287534987456E-2</v>
      </c>
      <c r="N292" s="93">
        <f t="shared" ca="1" si="204"/>
        <v>8.8181797441236609E-2</v>
      </c>
      <c r="O292" s="93">
        <f t="shared" ca="1" si="204"/>
        <v>8.8071242390339061E-2</v>
      </c>
      <c r="P292" s="93">
        <f t="shared" ca="1" si="204"/>
        <v>8.8014864341393023E-2</v>
      </c>
    </row>
    <row r="293" spans="1:16" ht="15.75" x14ac:dyDescent="0.25">
      <c r="A293" s="606"/>
      <c r="B293" s="678" t="s">
        <v>221</v>
      </c>
      <c r="C293" s="532" t="s">
        <v>220</v>
      </c>
      <c r="D293" s="541"/>
      <c r="E293" s="106" t="str">
        <f ca="1">C226</f>
        <v>B</v>
      </c>
      <c r="F293" s="106" t="str">
        <f t="shared" ca="1" si="204"/>
        <v>B</v>
      </c>
      <c r="G293" s="106" t="str">
        <f t="shared" ca="1" si="204"/>
        <v>B</v>
      </c>
      <c r="H293" s="106" t="str">
        <f t="shared" ca="1" si="204"/>
        <v>B</v>
      </c>
      <c r="I293" s="281" t="str">
        <f t="shared" ca="1" si="204"/>
        <v>B</v>
      </c>
      <c r="J293" s="106" t="str">
        <f t="shared" ca="1" si="204"/>
        <v>B</v>
      </c>
      <c r="K293" s="106" t="str">
        <f t="shared" ca="1" si="204"/>
        <v>B</v>
      </c>
      <c r="L293" s="106" t="str">
        <f t="shared" ca="1" si="204"/>
        <v>B</v>
      </c>
      <c r="M293" s="281" t="str">
        <f t="shared" ca="1" si="204"/>
        <v>B</v>
      </c>
      <c r="N293" s="106" t="str">
        <f t="shared" ca="1" si="204"/>
        <v>B</v>
      </c>
      <c r="O293" s="106" t="str">
        <f t="shared" ca="1" si="204"/>
        <v>B</v>
      </c>
      <c r="P293" s="106" t="str">
        <f t="shared" ca="1" si="204"/>
        <v>B</v>
      </c>
    </row>
    <row r="294" spans="1:16" ht="15.75" x14ac:dyDescent="0.25">
      <c r="A294" s="831" t="s">
        <v>359</v>
      </c>
      <c r="B294" s="678"/>
      <c r="C294" s="523"/>
      <c r="D294" s="540"/>
      <c r="E294" s="106">
        <f ca="1">C228</f>
        <v>0.5</v>
      </c>
      <c r="F294" s="106">
        <f t="shared" ref="F294:P294" ca="1" si="205">D228</f>
        <v>0.4</v>
      </c>
      <c r="G294" s="106">
        <f t="shared" ca="1" si="205"/>
        <v>0.4</v>
      </c>
      <c r="H294" s="106">
        <f t="shared" ca="1" si="205"/>
        <v>0.4</v>
      </c>
      <c r="I294" s="106">
        <f t="shared" ca="1" si="205"/>
        <v>0.4</v>
      </c>
      <c r="J294" s="106">
        <f t="shared" ca="1" si="205"/>
        <v>0.4</v>
      </c>
      <c r="K294" s="106">
        <f t="shared" ca="1" si="205"/>
        <v>0.4</v>
      </c>
      <c r="L294" s="106">
        <f t="shared" ca="1" si="205"/>
        <v>0.4</v>
      </c>
      <c r="M294" s="106">
        <f t="shared" ca="1" si="205"/>
        <v>0.4</v>
      </c>
      <c r="N294" s="106">
        <f t="shared" ca="1" si="205"/>
        <v>0.4</v>
      </c>
      <c r="O294" s="106">
        <f t="shared" ca="1" si="205"/>
        <v>0.4</v>
      </c>
      <c r="P294" s="106">
        <f t="shared" ca="1" si="205"/>
        <v>0.4</v>
      </c>
    </row>
    <row r="297" spans="1:16" x14ac:dyDescent="0.25">
      <c r="A297" t="s">
        <v>299</v>
      </c>
    </row>
    <row r="298" spans="1:16" ht="18.75" x14ac:dyDescent="0.3">
      <c r="A298" s="519"/>
      <c r="B298" s="690"/>
      <c r="C298" s="533"/>
      <c r="D298" s="534"/>
      <c r="E298">
        <f>E267</f>
        <v>1</v>
      </c>
      <c r="F298">
        <f t="shared" ref="F298:P298" si="206">F267</f>
        <v>2</v>
      </c>
      <c r="G298">
        <f t="shared" si="206"/>
        <v>3</v>
      </c>
      <c r="H298">
        <f t="shared" si="206"/>
        <v>4</v>
      </c>
      <c r="I298">
        <f t="shared" si="206"/>
        <v>5</v>
      </c>
      <c r="J298">
        <f t="shared" si="206"/>
        <v>6</v>
      </c>
      <c r="K298">
        <f t="shared" si="206"/>
        <v>7</v>
      </c>
      <c r="L298">
        <f t="shared" si="206"/>
        <v>8</v>
      </c>
      <c r="M298">
        <f t="shared" si="206"/>
        <v>9</v>
      </c>
      <c r="N298">
        <f t="shared" si="206"/>
        <v>10</v>
      </c>
      <c r="O298">
        <f t="shared" si="206"/>
        <v>11</v>
      </c>
      <c r="P298">
        <f t="shared" si="206"/>
        <v>12</v>
      </c>
    </row>
    <row r="299" spans="1:16" ht="15.75" x14ac:dyDescent="0.25">
      <c r="A299" s="759"/>
      <c r="B299" s="682" t="s">
        <v>144</v>
      </c>
      <c r="C299" s="524" t="s">
        <v>214</v>
      </c>
      <c r="D299" s="540"/>
      <c r="E299">
        <f t="shared" ref="E299:P299" si="207">E268</f>
        <v>1</v>
      </c>
      <c r="F299">
        <f t="shared" si="207"/>
        <v>2</v>
      </c>
      <c r="G299">
        <f t="shared" si="207"/>
        <v>3</v>
      </c>
      <c r="H299">
        <f t="shared" si="207"/>
        <v>4</v>
      </c>
      <c r="I299">
        <f t="shared" si="207"/>
        <v>1</v>
      </c>
      <c r="J299">
        <f t="shared" si="207"/>
        <v>2</v>
      </c>
      <c r="K299">
        <f t="shared" si="207"/>
        <v>3</v>
      </c>
      <c r="L299">
        <f t="shared" si="207"/>
        <v>4</v>
      </c>
      <c r="M299">
        <f t="shared" si="207"/>
        <v>1</v>
      </c>
      <c r="N299">
        <f t="shared" si="207"/>
        <v>2</v>
      </c>
      <c r="O299">
        <f t="shared" si="207"/>
        <v>3</v>
      </c>
      <c r="P299">
        <f t="shared" si="207"/>
        <v>4</v>
      </c>
    </row>
    <row r="300" spans="1:16" ht="15.75" x14ac:dyDescent="0.25">
      <c r="A300" s="1068" t="s">
        <v>250</v>
      </c>
      <c r="B300" s="676" t="s">
        <v>25</v>
      </c>
      <c r="C300" s="522" t="s">
        <v>212</v>
      </c>
      <c r="D300" s="538" t="s">
        <v>26</v>
      </c>
      <c r="E300">
        <f t="shared" ref="E300:P300" si="208">E269</f>
        <v>1000</v>
      </c>
      <c r="F300">
        <f t="shared" si="208"/>
        <v>1000</v>
      </c>
      <c r="G300">
        <f t="shared" si="208"/>
        <v>1000</v>
      </c>
      <c r="H300">
        <f t="shared" si="208"/>
        <v>1000</v>
      </c>
      <c r="I300">
        <f t="shared" si="208"/>
        <v>1200</v>
      </c>
      <c r="J300">
        <f t="shared" si="208"/>
        <v>1200</v>
      </c>
      <c r="K300">
        <f t="shared" si="208"/>
        <v>1200</v>
      </c>
      <c r="L300">
        <f t="shared" si="208"/>
        <v>1200</v>
      </c>
      <c r="M300">
        <f t="shared" si="208"/>
        <v>1500</v>
      </c>
      <c r="N300">
        <f t="shared" si="208"/>
        <v>1500</v>
      </c>
      <c r="O300">
        <f t="shared" si="208"/>
        <v>1500</v>
      </c>
      <c r="P300">
        <f t="shared" si="208"/>
        <v>1500</v>
      </c>
    </row>
    <row r="301" spans="1:16" ht="15.75" x14ac:dyDescent="0.25">
      <c r="A301" s="1069"/>
      <c r="B301" s="682" t="s">
        <v>9</v>
      </c>
      <c r="C301" s="527" t="s">
        <v>215</v>
      </c>
      <c r="D301" s="545" t="s">
        <v>26</v>
      </c>
      <c r="E301">
        <f t="shared" ref="E301:P301" si="209">E270</f>
        <v>101</v>
      </c>
      <c r="F301">
        <f t="shared" si="209"/>
        <v>140</v>
      </c>
      <c r="G301">
        <f t="shared" si="209"/>
        <v>179</v>
      </c>
      <c r="H301">
        <f t="shared" si="209"/>
        <v>218</v>
      </c>
      <c r="I301">
        <f t="shared" si="209"/>
        <v>101</v>
      </c>
      <c r="J301">
        <f t="shared" si="209"/>
        <v>140</v>
      </c>
      <c r="K301">
        <f t="shared" si="209"/>
        <v>179</v>
      </c>
      <c r="L301">
        <f t="shared" si="209"/>
        <v>218</v>
      </c>
      <c r="M301">
        <f t="shared" si="209"/>
        <v>101</v>
      </c>
      <c r="N301">
        <f t="shared" si="209"/>
        <v>140</v>
      </c>
      <c r="O301">
        <f t="shared" si="209"/>
        <v>179</v>
      </c>
      <c r="P301">
        <f t="shared" si="209"/>
        <v>218</v>
      </c>
    </row>
    <row r="302" spans="1:16" ht="15.75" x14ac:dyDescent="0.25">
      <c r="A302" s="1070" t="s">
        <v>8</v>
      </c>
      <c r="B302" s="676" t="s">
        <v>25</v>
      </c>
      <c r="C302" s="523" t="s">
        <v>213</v>
      </c>
      <c r="D302" s="539" t="s">
        <v>26</v>
      </c>
      <c r="E302">
        <f t="shared" ref="E302:P302" si="210">E271</f>
        <v>1052</v>
      </c>
      <c r="F302">
        <f t="shared" si="210"/>
        <v>1052</v>
      </c>
      <c r="G302">
        <f t="shared" si="210"/>
        <v>1052</v>
      </c>
      <c r="H302">
        <f t="shared" si="210"/>
        <v>1052</v>
      </c>
      <c r="I302">
        <f t="shared" si="210"/>
        <v>1252</v>
      </c>
      <c r="J302">
        <f t="shared" si="210"/>
        <v>1252</v>
      </c>
      <c r="K302">
        <f t="shared" si="210"/>
        <v>1252</v>
      </c>
      <c r="L302">
        <f t="shared" si="210"/>
        <v>1252</v>
      </c>
      <c r="M302">
        <f t="shared" si="210"/>
        <v>1552</v>
      </c>
      <c r="N302">
        <f t="shared" si="210"/>
        <v>1552</v>
      </c>
      <c r="O302">
        <f t="shared" si="210"/>
        <v>1552</v>
      </c>
      <c r="P302">
        <f t="shared" si="210"/>
        <v>1552</v>
      </c>
    </row>
    <row r="303" spans="1:16" ht="15.75" x14ac:dyDescent="0.25">
      <c r="A303" s="1069"/>
      <c r="B303" s="679" t="s">
        <v>9</v>
      </c>
      <c r="C303" s="532" t="s">
        <v>216</v>
      </c>
      <c r="D303" s="541" t="s">
        <v>26</v>
      </c>
      <c r="E303">
        <f t="shared" ref="E303:P303" si="211">E272</f>
        <v>134</v>
      </c>
      <c r="F303">
        <f t="shared" si="211"/>
        <v>173</v>
      </c>
      <c r="G303">
        <f t="shared" si="211"/>
        <v>212</v>
      </c>
      <c r="H303">
        <f t="shared" si="211"/>
        <v>251</v>
      </c>
      <c r="I303">
        <f t="shared" si="211"/>
        <v>134</v>
      </c>
      <c r="J303">
        <f t="shared" si="211"/>
        <v>173</v>
      </c>
      <c r="K303">
        <f t="shared" si="211"/>
        <v>212</v>
      </c>
      <c r="L303">
        <f t="shared" si="211"/>
        <v>251</v>
      </c>
      <c r="M303">
        <f t="shared" si="211"/>
        <v>134</v>
      </c>
      <c r="N303">
        <f t="shared" si="211"/>
        <v>173</v>
      </c>
      <c r="O303">
        <f t="shared" si="211"/>
        <v>212</v>
      </c>
      <c r="P303">
        <f t="shared" si="211"/>
        <v>251</v>
      </c>
    </row>
    <row r="304" spans="1:16" ht="15.75" x14ac:dyDescent="0.25">
      <c r="A304" s="519"/>
      <c r="B304" s="522" t="s">
        <v>210</v>
      </c>
      <c r="C304" s="526" t="s">
        <v>22</v>
      </c>
      <c r="D304" s="542" t="s">
        <v>10</v>
      </c>
      <c r="E304">
        <f>ROUND(E273,1)</f>
        <v>13.3</v>
      </c>
      <c r="F304">
        <f t="shared" ref="F304:P304" si="212">ROUND(F273,1)</f>
        <v>6.9</v>
      </c>
      <c r="G304">
        <f t="shared" si="212"/>
        <v>4.2</v>
      </c>
      <c r="H304">
        <f t="shared" si="212"/>
        <v>2.8</v>
      </c>
      <c r="I304">
        <f t="shared" si="212"/>
        <v>9.1</v>
      </c>
      <c r="J304">
        <f t="shared" si="212"/>
        <v>4.7</v>
      </c>
      <c r="K304">
        <f t="shared" si="212"/>
        <v>2.8</v>
      </c>
      <c r="L304">
        <f t="shared" si="212"/>
        <v>1.9</v>
      </c>
      <c r="M304">
        <f t="shared" si="212"/>
        <v>5.7</v>
      </c>
      <c r="N304">
        <f t="shared" si="212"/>
        <v>2.9</v>
      </c>
      <c r="O304">
        <f t="shared" si="212"/>
        <v>1.8</v>
      </c>
      <c r="P304">
        <f t="shared" si="212"/>
        <v>1.2</v>
      </c>
    </row>
    <row r="305" spans="1:16" ht="15.75" x14ac:dyDescent="0.25">
      <c r="A305" s="519"/>
      <c r="B305" s="523" t="s">
        <v>300</v>
      </c>
      <c r="C305" s="524"/>
      <c r="D305" s="539" t="str">
        <f>C4</f>
        <v>L/s</v>
      </c>
      <c r="E305">
        <f>ROUND(E274*$B$6,1)</f>
        <v>49.6</v>
      </c>
      <c r="F305">
        <f t="shared" ref="F305:P305" si="213">ROUND(F274*$B$6,1)</f>
        <v>68.8</v>
      </c>
      <c r="G305">
        <f t="shared" si="213"/>
        <v>88</v>
      </c>
      <c r="H305">
        <f t="shared" si="213"/>
        <v>107.1</v>
      </c>
      <c r="I305">
        <f t="shared" si="213"/>
        <v>60</v>
      </c>
      <c r="J305">
        <f t="shared" si="213"/>
        <v>83.1</v>
      </c>
      <c r="K305">
        <f t="shared" si="213"/>
        <v>106.3</v>
      </c>
      <c r="L305">
        <f t="shared" si="213"/>
        <v>129.5</v>
      </c>
      <c r="M305">
        <f t="shared" si="213"/>
        <v>75.5</v>
      </c>
      <c r="N305">
        <f t="shared" si="213"/>
        <v>104.6</v>
      </c>
      <c r="O305">
        <f t="shared" si="213"/>
        <v>133.80000000000001</v>
      </c>
      <c r="P305">
        <f t="shared" si="213"/>
        <v>162.9</v>
      </c>
    </row>
    <row r="306" spans="1:16" ht="15.75" x14ac:dyDescent="0.25">
      <c r="A306" s="519"/>
      <c r="B306" s="680" t="s">
        <v>142</v>
      </c>
      <c r="C306" s="535" t="s">
        <v>46</v>
      </c>
      <c r="D306" s="543" t="s">
        <v>136</v>
      </c>
      <c r="E306">
        <f t="shared" ref="E306:P306" si="214">ROUND(E275,1)</f>
        <v>32.200000000000003</v>
      </c>
      <c r="F306">
        <f t="shared" si="214"/>
        <v>23.2</v>
      </c>
      <c r="G306">
        <f t="shared" si="214"/>
        <v>16.399999999999999</v>
      </c>
      <c r="H306">
        <f t="shared" si="214"/>
        <v>10.9</v>
      </c>
      <c r="I306">
        <f t="shared" si="214"/>
        <v>27</v>
      </c>
      <c r="J306">
        <f t="shared" si="214"/>
        <v>18</v>
      </c>
      <c r="K306">
        <f t="shared" si="214"/>
        <v>11.2</v>
      </c>
      <c r="L306">
        <f t="shared" si="214"/>
        <v>5.7</v>
      </c>
      <c r="M306">
        <f t="shared" si="214"/>
        <v>20.6</v>
      </c>
      <c r="N306">
        <f t="shared" si="214"/>
        <v>11.6</v>
      </c>
      <c r="O306">
        <f t="shared" si="214"/>
        <v>4.8</v>
      </c>
      <c r="P306">
        <f t="shared" si="214"/>
        <v>-0.6</v>
      </c>
    </row>
    <row r="307" spans="1:16" ht="15.75" x14ac:dyDescent="0.25">
      <c r="A307" s="519"/>
      <c r="B307" s="681" t="s">
        <v>211</v>
      </c>
      <c r="C307" s="527" t="s">
        <v>23</v>
      </c>
      <c r="D307" s="544" t="s">
        <v>11</v>
      </c>
      <c r="E307">
        <f t="shared" ref="E307:P307" si="215">ROUND(E276,1)</f>
        <v>17.2</v>
      </c>
      <c r="F307">
        <f t="shared" si="215"/>
        <v>8.1999999999999993</v>
      </c>
      <c r="G307">
        <f t="shared" si="215"/>
        <v>1.4</v>
      </c>
      <c r="H307">
        <f t="shared" si="215"/>
        <v>-4.0999999999999996</v>
      </c>
      <c r="I307">
        <f t="shared" si="215"/>
        <v>12</v>
      </c>
      <c r="J307">
        <f t="shared" si="215"/>
        <v>3</v>
      </c>
      <c r="K307">
        <f t="shared" si="215"/>
        <v>-3.8</v>
      </c>
      <c r="L307">
        <f t="shared" si="215"/>
        <v>-9.3000000000000007</v>
      </c>
      <c r="M307">
        <f t="shared" si="215"/>
        <v>5.6</v>
      </c>
      <c r="N307">
        <f t="shared" si="215"/>
        <v>-3.4</v>
      </c>
      <c r="O307">
        <f t="shared" si="215"/>
        <v>-10.199999999999999</v>
      </c>
      <c r="P307">
        <f t="shared" si="215"/>
        <v>-15.6</v>
      </c>
    </row>
    <row r="308" spans="1:16" ht="15.75" x14ac:dyDescent="0.25">
      <c r="A308" s="519"/>
      <c r="B308" s="677" t="s">
        <v>143</v>
      </c>
      <c r="C308" s="537" t="s">
        <v>93</v>
      </c>
      <c r="D308" s="540" t="s">
        <v>137</v>
      </c>
      <c r="E308">
        <f t="shared" ref="E308:P308" ca="1" si="216">ROUND(E277,1)</f>
        <v>2.2000000000000002</v>
      </c>
      <c r="F308">
        <f t="shared" ca="1" si="216"/>
        <v>2.2000000000000002</v>
      </c>
      <c r="G308">
        <f t="shared" ca="1" si="216"/>
        <v>2.2000000000000002</v>
      </c>
      <c r="H308">
        <f t="shared" ca="1" si="216"/>
        <v>2.2000000000000002</v>
      </c>
      <c r="I308">
        <f t="shared" ca="1" si="216"/>
        <v>2.2000000000000002</v>
      </c>
      <c r="J308">
        <f t="shared" ca="1" si="216"/>
        <v>2.2000000000000002</v>
      </c>
      <c r="K308">
        <f t="shared" ca="1" si="216"/>
        <v>2.2000000000000002</v>
      </c>
      <c r="L308">
        <f t="shared" ca="1" si="216"/>
        <v>2.2000000000000002</v>
      </c>
      <c r="M308">
        <f t="shared" ca="1" si="216"/>
        <v>2.1</v>
      </c>
      <c r="N308">
        <f t="shared" ca="1" si="216"/>
        <v>2.1</v>
      </c>
      <c r="O308">
        <f t="shared" ca="1" si="216"/>
        <v>2.1</v>
      </c>
      <c r="P308">
        <f t="shared" ca="1" si="216"/>
        <v>2.1</v>
      </c>
    </row>
    <row r="309" spans="1:16" ht="15.75" x14ac:dyDescent="0.25">
      <c r="A309" s="1071" t="s">
        <v>129</v>
      </c>
      <c r="B309" s="1065" t="s">
        <v>130</v>
      </c>
      <c r="C309" s="526" t="s">
        <v>139</v>
      </c>
      <c r="D309" s="538" t="s">
        <v>137</v>
      </c>
      <c r="E309">
        <f t="shared" ref="E309:P309" ca="1" si="217">E278</f>
        <v>2.2999999999999998</v>
      </c>
      <c r="F309">
        <f t="shared" ca="1" si="217"/>
        <v>2.2000000000000002</v>
      </c>
      <c r="G309">
        <f t="shared" ca="1" si="217"/>
        <v>2.2000000000000002</v>
      </c>
      <c r="H309">
        <f t="shared" ca="1" si="217"/>
        <v>2.2000000000000002</v>
      </c>
      <c r="I309">
        <f t="shared" ca="1" si="217"/>
        <v>2.2000000000000002</v>
      </c>
      <c r="J309">
        <f t="shared" ca="1" si="217"/>
        <v>2.2000000000000002</v>
      </c>
      <c r="K309">
        <f t="shared" ca="1" si="217"/>
        <v>2.2000000000000002</v>
      </c>
      <c r="L309">
        <f t="shared" ca="1" si="217"/>
        <v>2.2000000000000002</v>
      </c>
      <c r="M309">
        <f t="shared" ca="1" si="217"/>
        <v>2.2000000000000002</v>
      </c>
      <c r="N309">
        <f t="shared" ca="1" si="217"/>
        <v>2.2000000000000002</v>
      </c>
      <c r="O309">
        <f t="shared" ca="1" si="217"/>
        <v>2.2000000000000002</v>
      </c>
      <c r="P309">
        <f t="shared" ca="1" si="217"/>
        <v>2.2000000000000002</v>
      </c>
    </row>
    <row r="310" spans="1:16" ht="15.75" x14ac:dyDescent="0.25">
      <c r="A310" s="1072"/>
      <c r="B310" s="1066"/>
      <c r="C310" s="527" t="s">
        <v>57</v>
      </c>
      <c r="D310" s="545" t="s">
        <v>137</v>
      </c>
      <c r="E310">
        <f t="shared" ref="E310:P310" ca="1" si="218">E279</f>
        <v>5.0999999999999996</v>
      </c>
      <c r="F310">
        <f t="shared" ca="1" si="218"/>
        <v>4.4000000000000004</v>
      </c>
      <c r="G310">
        <f t="shared" ca="1" si="218"/>
        <v>3.9</v>
      </c>
      <c r="H310">
        <f t="shared" ca="1" si="218"/>
        <v>3.5</v>
      </c>
      <c r="I310">
        <f t="shared" ca="1" si="218"/>
        <v>4.7</v>
      </c>
      <c r="J310">
        <f t="shared" ca="1" si="218"/>
        <v>4</v>
      </c>
      <c r="K310">
        <f t="shared" ca="1" si="218"/>
        <v>3.5</v>
      </c>
      <c r="L310">
        <f t="shared" ca="1" si="218"/>
        <v>3.2</v>
      </c>
      <c r="M310">
        <f t="shared" ca="1" si="218"/>
        <v>4.2</v>
      </c>
      <c r="N310">
        <f t="shared" ca="1" si="218"/>
        <v>3.5</v>
      </c>
      <c r="O310">
        <f t="shared" ca="1" si="218"/>
        <v>3.1</v>
      </c>
      <c r="P310">
        <f t="shared" ca="1" si="218"/>
        <v>2.8</v>
      </c>
    </row>
    <row r="311" spans="1:16" ht="15.75" x14ac:dyDescent="0.25">
      <c r="A311" s="1072"/>
      <c r="B311" s="1066"/>
      <c r="C311" s="535" t="s">
        <v>145</v>
      </c>
      <c r="D311" s="540" t="s">
        <v>137</v>
      </c>
      <c r="E311">
        <f t="shared" ref="E311:P311" ca="1" si="219">E280</f>
        <v>3.9</v>
      </c>
      <c r="F311">
        <f t="shared" ca="1" si="219"/>
        <v>3.9</v>
      </c>
      <c r="G311">
        <f t="shared" ca="1" si="219"/>
        <v>3.9</v>
      </c>
      <c r="H311">
        <f t="shared" ca="1" si="219"/>
        <v>3.9</v>
      </c>
      <c r="I311">
        <f t="shared" ca="1" si="219"/>
        <v>3.9</v>
      </c>
      <c r="J311">
        <f t="shared" ca="1" si="219"/>
        <v>3.9</v>
      </c>
      <c r="K311">
        <f t="shared" ca="1" si="219"/>
        <v>3.9</v>
      </c>
      <c r="L311">
        <f t="shared" ca="1" si="219"/>
        <v>3.9</v>
      </c>
      <c r="M311">
        <f t="shared" ca="1" si="219"/>
        <v>3.9</v>
      </c>
      <c r="N311">
        <f t="shared" ca="1" si="219"/>
        <v>3.9</v>
      </c>
      <c r="O311">
        <f t="shared" ca="1" si="219"/>
        <v>3.9</v>
      </c>
      <c r="P311">
        <f t="shared" ca="1" si="219"/>
        <v>3.9</v>
      </c>
    </row>
    <row r="312" spans="1:16" ht="16.5" thickBot="1" x14ac:dyDescent="0.3">
      <c r="A312" s="1072"/>
      <c r="B312" s="1066"/>
      <c r="C312" s="697" t="s">
        <v>148</v>
      </c>
      <c r="D312" s="698" t="s">
        <v>137</v>
      </c>
      <c r="E312">
        <f t="shared" ref="E312:P312" ca="1" si="220">E281</f>
        <v>8.9</v>
      </c>
      <c r="F312">
        <f t="shared" ca="1" si="220"/>
        <v>7.6</v>
      </c>
      <c r="G312">
        <f t="shared" ca="1" si="220"/>
        <v>6.7</v>
      </c>
      <c r="H312">
        <f t="shared" ca="1" si="220"/>
        <v>6.1</v>
      </c>
      <c r="I312">
        <f t="shared" ca="1" si="220"/>
        <v>8.1</v>
      </c>
      <c r="J312">
        <f t="shared" ca="1" si="220"/>
        <v>6.9</v>
      </c>
      <c r="K312">
        <f t="shared" ca="1" si="220"/>
        <v>6.1</v>
      </c>
      <c r="L312">
        <f t="shared" ca="1" si="220"/>
        <v>5.5</v>
      </c>
      <c r="M312">
        <f t="shared" ca="1" si="220"/>
        <v>7.2</v>
      </c>
      <c r="N312">
        <f t="shared" ca="1" si="220"/>
        <v>6.1</v>
      </c>
      <c r="O312">
        <f t="shared" ca="1" si="220"/>
        <v>5.4</v>
      </c>
      <c r="P312">
        <f t="shared" ca="1" si="220"/>
        <v>4.9000000000000004</v>
      </c>
    </row>
    <row r="313" spans="1:16" ht="15.75" x14ac:dyDescent="0.25">
      <c r="A313" s="1034"/>
      <c r="B313" s="1039" t="s">
        <v>247</v>
      </c>
      <c r="C313" s="699" t="s">
        <v>56</v>
      </c>
      <c r="D313" s="700" t="s">
        <v>137</v>
      </c>
      <c r="E313">
        <f t="shared" ref="E313:P313" ca="1" si="221">E282</f>
        <v>3</v>
      </c>
      <c r="F313">
        <f t="shared" ca="1" si="221"/>
        <v>2.9</v>
      </c>
      <c r="G313">
        <f t="shared" ca="1" si="221"/>
        <v>2.9</v>
      </c>
      <c r="H313">
        <f t="shared" ca="1" si="221"/>
        <v>2.9</v>
      </c>
      <c r="I313">
        <f t="shared" ca="1" si="221"/>
        <v>2.9</v>
      </c>
      <c r="J313">
        <f t="shared" ca="1" si="221"/>
        <v>2.9</v>
      </c>
      <c r="K313">
        <f t="shared" ca="1" si="221"/>
        <v>2.9</v>
      </c>
      <c r="L313">
        <f t="shared" ca="1" si="221"/>
        <v>2.9</v>
      </c>
      <c r="M313">
        <f t="shared" ca="1" si="221"/>
        <v>2.9</v>
      </c>
      <c r="N313">
        <f t="shared" ca="1" si="221"/>
        <v>2.9</v>
      </c>
      <c r="O313">
        <f t="shared" ca="1" si="221"/>
        <v>2.9</v>
      </c>
      <c r="P313">
        <f t="shared" ca="1" si="221"/>
        <v>2.9</v>
      </c>
    </row>
    <row r="314" spans="1:16" ht="15.75" x14ac:dyDescent="0.25">
      <c r="A314" s="1034"/>
      <c r="B314" s="1040"/>
      <c r="C314" s="527" t="s">
        <v>140</v>
      </c>
      <c r="D314" s="545" t="s">
        <v>137</v>
      </c>
      <c r="E314">
        <f t="shared" ref="E314:P314" ca="1" si="222">E283</f>
        <v>6.8</v>
      </c>
      <c r="F314">
        <f t="shared" ca="1" si="222"/>
        <v>5.7</v>
      </c>
      <c r="G314">
        <f t="shared" ca="1" si="222"/>
        <v>5.0999999999999996</v>
      </c>
      <c r="H314">
        <f t="shared" ca="1" si="222"/>
        <v>4.5999999999999996</v>
      </c>
      <c r="I314">
        <f t="shared" ca="1" si="222"/>
        <v>6.2</v>
      </c>
      <c r="J314">
        <f t="shared" ca="1" si="222"/>
        <v>5.2</v>
      </c>
      <c r="K314">
        <f t="shared" ca="1" si="222"/>
        <v>4.5999999999999996</v>
      </c>
      <c r="L314">
        <f t="shared" ca="1" si="222"/>
        <v>4.2</v>
      </c>
      <c r="M314">
        <f t="shared" ca="1" si="222"/>
        <v>5.5</v>
      </c>
      <c r="N314">
        <f t="shared" ca="1" si="222"/>
        <v>4.7</v>
      </c>
      <c r="O314">
        <f t="shared" ca="1" si="222"/>
        <v>4.0999999999999996</v>
      </c>
      <c r="P314">
        <f t="shared" ca="1" si="222"/>
        <v>3.7</v>
      </c>
    </row>
    <row r="315" spans="1:16" ht="15.75" x14ac:dyDescent="0.25">
      <c r="A315" s="1034"/>
      <c r="B315" s="1040"/>
      <c r="C315" s="535" t="s">
        <v>145</v>
      </c>
      <c r="D315" s="540" t="s">
        <v>137</v>
      </c>
      <c r="E315">
        <f t="shared" ref="E315:P315" ca="1" si="223">E284</f>
        <v>3</v>
      </c>
      <c r="F315">
        <f t="shared" ca="1" si="223"/>
        <v>2.9</v>
      </c>
      <c r="G315">
        <f t="shared" ca="1" si="223"/>
        <v>2.9</v>
      </c>
      <c r="H315">
        <f t="shared" ca="1" si="223"/>
        <v>2.9</v>
      </c>
      <c r="I315">
        <f t="shared" ca="1" si="223"/>
        <v>2.9</v>
      </c>
      <c r="J315">
        <f t="shared" ca="1" si="223"/>
        <v>2.9</v>
      </c>
      <c r="K315">
        <f t="shared" ca="1" si="223"/>
        <v>2.9</v>
      </c>
      <c r="L315">
        <f t="shared" ca="1" si="223"/>
        <v>2.9</v>
      </c>
      <c r="M315">
        <f t="shared" ca="1" si="223"/>
        <v>2.9</v>
      </c>
      <c r="N315">
        <f t="shared" ca="1" si="223"/>
        <v>2.9</v>
      </c>
      <c r="O315">
        <f t="shared" ca="1" si="223"/>
        <v>2.9</v>
      </c>
      <c r="P315">
        <f t="shared" ca="1" si="223"/>
        <v>2.9</v>
      </c>
    </row>
    <row r="316" spans="1:16" ht="16.5" thickBot="1" x14ac:dyDescent="0.3">
      <c r="A316" s="1034"/>
      <c r="B316" s="1041"/>
      <c r="C316" s="697" t="s">
        <v>148</v>
      </c>
      <c r="D316" s="698" t="s">
        <v>137</v>
      </c>
      <c r="E316">
        <f t="shared" ref="E316:P316" ca="1" si="224">E285</f>
        <v>6.8</v>
      </c>
      <c r="F316">
        <f t="shared" ca="1" si="224"/>
        <v>5.7</v>
      </c>
      <c r="G316">
        <f t="shared" ca="1" si="224"/>
        <v>5.0999999999999996</v>
      </c>
      <c r="H316">
        <f t="shared" ca="1" si="224"/>
        <v>4.5999999999999996</v>
      </c>
      <c r="I316">
        <f t="shared" ca="1" si="224"/>
        <v>6.2</v>
      </c>
      <c r="J316">
        <f t="shared" ca="1" si="224"/>
        <v>5.2</v>
      </c>
      <c r="K316">
        <f t="shared" ca="1" si="224"/>
        <v>4.5999999999999996</v>
      </c>
      <c r="L316">
        <f t="shared" ca="1" si="224"/>
        <v>4.2</v>
      </c>
      <c r="M316">
        <f t="shared" ca="1" si="224"/>
        <v>5.5</v>
      </c>
      <c r="N316">
        <f t="shared" ca="1" si="224"/>
        <v>4.7</v>
      </c>
      <c r="O316">
        <f t="shared" ca="1" si="224"/>
        <v>4.0999999999999996</v>
      </c>
      <c r="P316">
        <f t="shared" ca="1" si="224"/>
        <v>3.7</v>
      </c>
    </row>
    <row r="317" spans="1:16" ht="15.75" x14ac:dyDescent="0.25">
      <c r="A317" s="1072"/>
      <c r="B317" s="1066" t="s">
        <v>132</v>
      </c>
      <c r="C317" s="524" t="s">
        <v>139</v>
      </c>
      <c r="D317" s="540" t="s">
        <v>137</v>
      </c>
      <c r="E317">
        <f t="shared" ref="E317:P317" ca="1" si="225">E286</f>
        <v>3.9</v>
      </c>
      <c r="F317">
        <f t="shared" ca="1" si="225"/>
        <v>3.8</v>
      </c>
      <c r="G317">
        <f t="shared" ca="1" si="225"/>
        <v>3.8</v>
      </c>
      <c r="H317">
        <f t="shared" ca="1" si="225"/>
        <v>3.8</v>
      </c>
      <c r="I317">
        <f t="shared" ca="1" si="225"/>
        <v>3.9</v>
      </c>
      <c r="J317">
        <f t="shared" ca="1" si="225"/>
        <v>3.8</v>
      </c>
      <c r="K317">
        <f t="shared" ca="1" si="225"/>
        <v>3.8</v>
      </c>
      <c r="L317">
        <f t="shared" ca="1" si="225"/>
        <v>3.8</v>
      </c>
      <c r="M317">
        <f t="shared" ca="1" si="225"/>
        <v>3.8</v>
      </c>
      <c r="N317">
        <f t="shared" ca="1" si="225"/>
        <v>3.8</v>
      </c>
      <c r="O317">
        <f t="shared" ca="1" si="225"/>
        <v>3.8</v>
      </c>
      <c r="P317">
        <f t="shared" ca="1" si="225"/>
        <v>3.8</v>
      </c>
    </row>
    <row r="318" spans="1:16" ht="15.75" x14ac:dyDescent="0.25">
      <c r="A318" s="1072"/>
      <c r="B318" s="1066"/>
      <c r="C318" s="527" t="s">
        <v>140</v>
      </c>
      <c r="D318" s="545" t="s">
        <v>137</v>
      </c>
      <c r="E318">
        <f t="shared" ref="E318:P318" ca="1" si="226">E287</f>
        <v>8.8000000000000007</v>
      </c>
      <c r="F318">
        <f t="shared" ca="1" si="226"/>
        <v>7.5</v>
      </c>
      <c r="G318">
        <f t="shared" ca="1" si="226"/>
        <v>6.6</v>
      </c>
      <c r="H318">
        <f t="shared" ca="1" si="226"/>
        <v>6</v>
      </c>
      <c r="I318">
        <f t="shared" ca="1" si="226"/>
        <v>8</v>
      </c>
      <c r="J318">
        <f t="shared" ca="1" si="226"/>
        <v>6.8</v>
      </c>
      <c r="K318">
        <f t="shared" ca="1" si="226"/>
        <v>6</v>
      </c>
      <c r="L318">
        <f t="shared" ca="1" si="226"/>
        <v>5.5</v>
      </c>
      <c r="M318">
        <f t="shared" ca="1" si="226"/>
        <v>7.2</v>
      </c>
      <c r="N318">
        <f t="shared" ca="1" si="226"/>
        <v>6.1</v>
      </c>
      <c r="O318">
        <f t="shared" ca="1" si="226"/>
        <v>5.4</v>
      </c>
      <c r="P318">
        <f t="shared" ca="1" si="226"/>
        <v>4.9000000000000004</v>
      </c>
    </row>
    <row r="319" spans="1:16" ht="15.75" x14ac:dyDescent="0.25">
      <c r="A319" s="1072"/>
      <c r="B319" s="1066"/>
      <c r="C319" s="535" t="s">
        <v>145</v>
      </c>
      <c r="D319" s="540" t="s">
        <v>137</v>
      </c>
      <c r="E319">
        <f t="shared" ref="E319:P319" ca="1" si="227">E288</f>
        <v>2.2000000000000002</v>
      </c>
      <c r="F319">
        <f t="shared" ca="1" si="227"/>
        <v>2.2000000000000002</v>
      </c>
      <c r="G319">
        <f t="shared" ca="1" si="227"/>
        <v>2.2000000000000002</v>
      </c>
      <c r="H319">
        <f t="shared" ca="1" si="227"/>
        <v>2.2000000000000002</v>
      </c>
      <c r="I319">
        <f t="shared" ca="1" si="227"/>
        <v>2.2000000000000002</v>
      </c>
      <c r="J319">
        <f t="shared" ca="1" si="227"/>
        <v>2.2000000000000002</v>
      </c>
      <c r="K319">
        <f t="shared" ca="1" si="227"/>
        <v>2.2000000000000002</v>
      </c>
      <c r="L319">
        <f t="shared" ca="1" si="227"/>
        <v>2.2000000000000002</v>
      </c>
      <c r="M319">
        <f t="shared" ca="1" si="227"/>
        <v>2.2000000000000002</v>
      </c>
      <c r="N319">
        <f t="shared" ca="1" si="227"/>
        <v>2.2000000000000002</v>
      </c>
      <c r="O319">
        <f t="shared" ca="1" si="227"/>
        <v>2.2000000000000002</v>
      </c>
      <c r="P319">
        <f t="shared" ca="1" si="227"/>
        <v>2.2000000000000002</v>
      </c>
    </row>
    <row r="320" spans="1:16" ht="15.75" x14ac:dyDescent="0.25">
      <c r="A320" s="1073"/>
      <c r="B320" s="1067"/>
      <c r="C320" s="532" t="s">
        <v>146</v>
      </c>
      <c r="D320" s="541" t="s">
        <v>137</v>
      </c>
      <c r="E320">
        <f t="shared" ref="E320:P320" ca="1" si="228">E289</f>
        <v>5.0999999999999996</v>
      </c>
      <c r="F320">
        <f t="shared" ca="1" si="228"/>
        <v>4.3</v>
      </c>
      <c r="G320">
        <f t="shared" ca="1" si="228"/>
        <v>3.8</v>
      </c>
      <c r="H320">
        <f t="shared" ca="1" si="228"/>
        <v>3.5</v>
      </c>
      <c r="I320">
        <f t="shared" ca="1" si="228"/>
        <v>4.7</v>
      </c>
      <c r="J320">
        <f t="shared" ca="1" si="228"/>
        <v>4</v>
      </c>
      <c r="K320">
        <f t="shared" ca="1" si="228"/>
        <v>3.5</v>
      </c>
      <c r="L320">
        <f t="shared" ca="1" si="228"/>
        <v>3.2</v>
      </c>
      <c r="M320">
        <f t="shared" ca="1" si="228"/>
        <v>4.2</v>
      </c>
      <c r="N320">
        <f t="shared" ca="1" si="228"/>
        <v>3.5</v>
      </c>
      <c r="O320">
        <f t="shared" ca="1" si="228"/>
        <v>3.1</v>
      </c>
      <c r="P320">
        <f t="shared" ca="1" si="228"/>
        <v>2.8</v>
      </c>
    </row>
    <row r="321" spans="1:16" ht="15.75" x14ac:dyDescent="0.25">
      <c r="A321" s="619"/>
      <c r="B321" s="678" t="s">
        <v>172</v>
      </c>
      <c r="C321" s="526" t="s">
        <v>217</v>
      </c>
      <c r="D321" s="538" t="s">
        <v>173</v>
      </c>
      <c r="E321" s="93">
        <f ca="1">ROUND(E290,2)</f>
        <v>0.18</v>
      </c>
      <c r="F321" s="93">
        <f t="shared" ref="F321:P321" ca="1" si="229">ROUND(F290,2)</f>
        <v>0.18</v>
      </c>
      <c r="G321" s="93">
        <f t="shared" ca="1" si="229"/>
        <v>0.17</v>
      </c>
      <c r="H321" s="93">
        <f t="shared" ca="1" si="229"/>
        <v>0.17</v>
      </c>
      <c r="I321" s="93">
        <f t="shared" ca="1" si="229"/>
        <v>0.18</v>
      </c>
      <c r="J321" s="93">
        <f t="shared" ca="1" si="229"/>
        <v>0.17</v>
      </c>
      <c r="K321" s="93">
        <f t="shared" ca="1" si="229"/>
        <v>0.17</v>
      </c>
      <c r="L321" s="93">
        <f t="shared" ca="1" si="229"/>
        <v>0.17</v>
      </c>
      <c r="M321" s="93">
        <f t="shared" ca="1" si="229"/>
        <v>0.17</v>
      </c>
      <c r="N321" s="93">
        <f t="shared" ca="1" si="229"/>
        <v>0.17</v>
      </c>
      <c r="O321" s="93">
        <f t="shared" ca="1" si="229"/>
        <v>0.17</v>
      </c>
      <c r="P321" s="93">
        <f t="shared" ca="1" si="229"/>
        <v>0.17</v>
      </c>
    </row>
    <row r="322" spans="1:16" ht="15.75" x14ac:dyDescent="0.25">
      <c r="A322" s="619"/>
      <c r="B322" s="678" t="s">
        <v>219</v>
      </c>
      <c r="C322" s="524" t="s">
        <v>156</v>
      </c>
      <c r="D322" s="540" t="s">
        <v>218</v>
      </c>
      <c r="E322" s="93">
        <f t="shared" ref="E322:P322" ca="1" si="230">ROUND(E291,3)</f>
        <v>0.17499999999999999</v>
      </c>
      <c r="F322" s="93">
        <f t="shared" ca="1" si="230"/>
        <v>0.17399999999999999</v>
      </c>
      <c r="G322" s="93">
        <f t="shared" ca="1" si="230"/>
        <v>0.17299999999999999</v>
      </c>
      <c r="H322" s="93">
        <f t="shared" ca="1" si="230"/>
        <v>0.17299999999999999</v>
      </c>
      <c r="I322" s="93">
        <f t="shared" ca="1" si="230"/>
        <v>0.17399999999999999</v>
      </c>
      <c r="J322" s="93">
        <f t="shared" ca="1" si="230"/>
        <v>0.17299999999999999</v>
      </c>
      <c r="K322" s="93">
        <f t="shared" ca="1" si="230"/>
        <v>0.17299999999999999</v>
      </c>
      <c r="L322" s="93">
        <f t="shared" ca="1" si="230"/>
        <v>0.17299999999999999</v>
      </c>
      <c r="M322" s="93">
        <f t="shared" ca="1" si="230"/>
        <v>0.17399999999999999</v>
      </c>
      <c r="N322" s="93">
        <f t="shared" ca="1" si="230"/>
        <v>0.17299999999999999</v>
      </c>
      <c r="O322" s="93">
        <f t="shared" ca="1" si="230"/>
        <v>0.17299999999999999</v>
      </c>
      <c r="P322" s="93">
        <f t="shared" ca="1" si="230"/>
        <v>0.17299999999999999</v>
      </c>
    </row>
    <row r="323" spans="1:16" ht="15.75" x14ac:dyDescent="0.25">
      <c r="A323" s="619"/>
      <c r="B323" s="678" t="s">
        <v>174</v>
      </c>
      <c r="C323" s="524" t="s">
        <v>181</v>
      </c>
      <c r="D323" s="540" t="s">
        <v>218</v>
      </c>
      <c r="E323" s="93">
        <f t="shared" ref="E323:P323" ca="1" si="231">ROUND(E292,3)</f>
        <v>8.8999999999999996E-2</v>
      </c>
      <c r="F323" s="93">
        <f t="shared" ca="1" si="231"/>
        <v>8.8999999999999996E-2</v>
      </c>
      <c r="G323" s="93">
        <f t="shared" ca="1" si="231"/>
        <v>8.7999999999999995E-2</v>
      </c>
      <c r="H323" s="93">
        <f t="shared" ca="1" si="231"/>
        <v>8.7999999999999995E-2</v>
      </c>
      <c r="I323" s="93">
        <f t="shared" ca="1" si="231"/>
        <v>8.8999999999999996E-2</v>
      </c>
      <c r="J323" s="93">
        <f t="shared" ca="1" si="231"/>
        <v>8.7999999999999995E-2</v>
      </c>
      <c r="K323" s="93">
        <f t="shared" ca="1" si="231"/>
        <v>8.7999999999999995E-2</v>
      </c>
      <c r="L323" s="93">
        <f t="shared" ca="1" si="231"/>
        <v>8.7999999999999995E-2</v>
      </c>
      <c r="M323" s="93">
        <f t="shared" ca="1" si="231"/>
        <v>8.7999999999999995E-2</v>
      </c>
      <c r="N323" s="93">
        <f t="shared" ca="1" si="231"/>
        <v>8.7999999999999995E-2</v>
      </c>
      <c r="O323" s="93">
        <f t="shared" ca="1" si="231"/>
        <v>8.7999999999999995E-2</v>
      </c>
      <c r="P323" s="93">
        <f t="shared" ca="1" si="231"/>
        <v>8.7999999999999995E-2</v>
      </c>
    </row>
    <row r="324" spans="1:16" ht="15.75" x14ac:dyDescent="0.25">
      <c r="A324" s="619"/>
      <c r="B324" s="678" t="s">
        <v>221</v>
      </c>
      <c r="C324" s="532" t="s">
        <v>220</v>
      </c>
      <c r="D324" s="541"/>
      <c r="E324" t="str">
        <f t="shared" ref="E324:P324" ca="1" si="232">E293</f>
        <v>B</v>
      </c>
      <c r="F324" t="str">
        <f t="shared" ca="1" si="232"/>
        <v>B</v>
      </c>
      <c r="G324" t="str">
        <f t="shared" ca="1" si="232"/>
        <v>B</v>
      </c>
      <c r="H324" t="str">
        <f t="shared" ca="1" si="232"/>
        <v>B</v>
      </c>
      <c r="I324" t="str">
        <f t="shared" ca="1" si="232"/>
        <v>B</v>
      </c>
      <c r="J324" t="str">
        <f t="shared" ca="1" si="232"/>
        <v>B</v>
      </c>
      <c r="K324" t="str">
        <f t="shared" ca="1" si="232"/>
        <v>B</v>
      </c>
      <c r="L324" t="str">
        <f t="shared" ca="1" si="232"/>
        <v>B</v>
      </c>
      <c r="M324" t="str">
        <f t="shared" ca="1" si="232"/>
        <v>B</v>
      </c>
      <c r="N324" t="str">
        <f t="shared" ca="1" si="232"/>
        <v>B</v>
      </c>
      <c r="O324" t="str">
        <f t="shared" ca="1" si="232"/>
        <v>B</v>
      </c>
      <c r="P324" t="str">
        <f t="shared" ca="1" si="232"/>
        <v>B</v>
      </c>
    </row>
    <row r="325" spans="1:16" ht="15.75" x14ac:dyDescent="0.25">
      <c r="A325" s="619" t="s">
        <v>359</v>
      </c>
      <c r="B325" s="678"/>
      <c r="C325" s="523"/>
      <c r="D325" s="540"/>
      <c r="E325" t="str">
        <f ca="1">"≤ "&amp;E294</f>
        <v>≤ 0.5</v>
      </c>
      <c r="F325" t="str">
        <f t="shared" ref="F325:P325" ca="1" si="233">"≤ "&amp;F294</f>
        <v>≤ 0.4</v>
      </c>
      <c r="G325" t="str">
        <f t="shared" ca="1" si="233"/>
        <v>≤ 0.4</v>
      </c>
      <c r="H325" t="str">
        <f t="shared" ca="1" si="233"/>
        <v>≤ 0.4</v>
      </c>
      <c r="I325" t="str">
        <f t="shared" ca="1" si="233"/>
        <v>≤ 0.4</v>
      </c>
      <c r="J325" t="str">
        <f t="shared" ca="1" si="233"/>
        <v>≤ 0.4</v>
      </c>
      <c r="K325" t="str">
        <f t="shared" ca="1" si="233"/>
        <v>≤ 0.4</v>
      </c>
      <c r="L325" t="str">
        <f t="shared" ca="1" si="233"/>
        <v>≤ 0.4</v>
      </c>
      <c r="M325" t="str">
        <f t="shared" ca="1" si="233"/>
        <v>≤ 0.4</v>
      </c>
      <c r="N325" t="str">
        <f t="shared" ca="1" si="233"/>
        <v>≤ 0.4</v>
      </c>
      <c r="O325" t="str">
        <f t="shared" ca="1" si="233"/>
        <v>≤ 0.4</v>
      </c>
      <c r="P325" t="str">
        <f t="shared" ca="1" si="233"/>
        <v>≤ 0.4</v>
      </c>
    </row>
    <row r="327" spans="1:16" ht="15.75" thickBot="1" x14ac:dyDescent="0.3"/>
    <row r="328" spans="1:16" x14ac:dyDescent="0.25">
      <c r="A328" s="808" t="s">
        <v>288</v>
      </c>
      <c r="B328" s="137"/>
      <c r="C328" s="137"/>
      <c r="D328" s="137"/>
      <c r="E328" s="137"/>
      <c r="F328" s="137"/>
      <c r="G328" s="137"/>
      <c r="H328" s="137"/>
      <c r="I328" s="137"/>
      <c r="J328" s="137"/>
      <c r="K328" s="137"/>
      <c r="L328" s="137"/>
      <c r="M328" s="137"/>
      <c r="N328" s="137"/>
      <c r="O328" s="137"/>
      <c r="P328" s="809"/>
    </row>
    <row r="329" spans="1:16" ht="18.75" x14ac:dyDescent="0.3">
      <c r="A329" s="810"/>
      <c r="B329" s="690"/>
      <c r="C329" s="533"/>
      <c r="D329" s="534"/>
      <c r="E329">
        <f t="shared" ref="E329:P329" si="234">E298</f>
        <v>1</v>
      </c>
      <c r="F329">
        <f t="shared" si="234"/>
        <v>2</v>
      </c>
      <c r="G329">
        <f t="shared" si="234"/>
        <v>3</v>
      </c>
      <c r="H329">
        <f t="shared" si="234"/>
        <v>4</v>
      </c>
      <c r="I329">
        <f t="shared" si="234"/>
        <v>5</v>
      </c>
      <c r="J329">
        <f t="shared" si="234"/>
        <v>6</v>
      </c>
      <c r="K329">
        <f t="shared" si="234"/>
        <v>7</v>
      </c>
      <c r="L329">
        <f t="shared" si="234"/>
        <v>8</v>
      </c>
      <c r="M329">
        <f t="shared" si="234"/>
        <v>9</v>
      </c>
      <c r="N329">
        <f t="shared" si="234"/>
        <v>10</v>
      </c>
      <c r="O329">
        <f t="shared" si="234"/>
        <v>11</v>
      </c>
      <c r="P329" s="171">
        <f t="shared" si="234"/>
        <v>12</v>
      </c>
    </row>
    <row r="330" spans="1:16" ht="15.75" x14ac:dyDescent="0.25">
      <c r="A330" s="811"/>
      <c r="B330" s="682" t="s">
        <v>144</v>
      </c>
      <c r="C330" s="524" t="s">
        <v>214</v>
      </c>
      <c r="D330" s="540"/>
      <c r="E330">
        <f t="shared" ref="E330:P330" si="235">E299</f>
        <v>1</v>
      </c>
      <c r="F330">
        <f t="shared" si="235"/>
        <v>2</v>
      </c>
      <c r="G330">
        <f t="shared" si="235"/>
        <v>3</v>
      </c>
      <c r="H330">
        <f t="shared" si="235"/>
        <v>4</v>
      </c>
      <c r="I330">
        <f t="shared" si="235"/>
        <v>1</v>
      </c>
      <c r="J330">
        <f t="shared" si="235"/>
        <v>2</v>
      </c>
      <c r="K330">
        <f t="shared" si="235"/>
        <v>3</v>
      </c>
      <c r="L330">
        <f t="shared" si="235"/>
        <v>4</v>
      </c>
      <c r="M330">
        <f t="shared" si="235"/>
        <v>1</v>
      </c>
      <c r="N330">
        <f t="shared" si="235"/>
        <v>2</v>
      </c>
      <c r="O330">
        <f t="shared" si="235"/>
        <v>3</v>
      </c>
      <c r="P330" s="171">
        <f t="shared" si="235"/>
        <v>4</v>
      </c>
    </row>
    <row r="331" spans="1:16" ht="15.75" x14ac:dyDescent="0.25">
      <c r="A331" s="1074" t="s">
        <v>250</v>
      </c>
      <c r="B331" s="676" t="s">
        <v>25</v>
      </c>
      <c r="C331" s="522" t="s">
        <v>212</v>
      </c>
      <c r="D331" s="538" t="s">
        <v>26</v>
      </c>
      <c r="E331">
        <f t="shared" ref="E331:P331" si="236">E300</f>
        <v>1000</v>
      </c>
      <c r="F331">
        <f t="shared" si="236"/>
        <v>1000</v>
      </c>
      <c r="G331">
        <f t="shared" si="236"/>
        <v>1000</v>
      </c>
      <c r="H331">
        <f t="shared" si="236"/>
        <v>1000</v>
      </c>
      <c r="I331">
        <f t="shared" si="236"/>
        <v>1200</v>
      </c>
      <c r="J331">
        <f t="shared" si="236"/>
        <v>1200</v>
      </c>
      <c r="K331">
        <f t="shared" si="236"/>
        <v>1200</v>
      </c>
      <c r="L331">
        <f t="shared" si="236"/>
        <v>1200</v>
      </c>
      <c r="M331">
        <f t="shared" si="236"/>
        <v>1500</v>
      </c>
      <c r="N331">
        <f t="shared" si="236"/>
        <v>1500</v>
      </c>
      <c r="O331">
        <f t="shared" si="236"/>
        <v>1500</v>
      </c>
      <c r="P331" s="171">
        <f t="shared" si="236"/>
        <v>1500</v>
      </c>
    </row>
    <row r="332" spans="1:16" ht="15.75" x14ac:dyDescent="0.25">
      <c r="A332" s="1075"/>
      <c r="B332" s="682" t="s">
        <v>9</v>
      </c>
      <c r="C332" s="527" t="s">
        <v>215</v>
      </c>
      <c r="D332" s="545" t="s">
        <v>26</v>
      </c>
      <c r="E332">
        <f t="shared" ref="E332:P332" si="237">E301</f>
        <v>101</v>
      </c>
      <c r="F332">
        <f t="shared" si="237"/>
        <v>140</v>
      </c>
      <c r="G332">
        <f t="shared" si="237"/>
        <v>179</v>
      </c>
      <c r="H332">
        <f t="shared" si="237"/>
        <v>218</v>
      </c>
      <c r="I332">
        <f t="shared" si="237"/>
        <v>101</v>
      </c>
      <c r="J332">
        <f t="shared" si="237"/>
        <v>140</v>
      </c>
      <c r="K332">
        <f t="shared" si="237"/>
        <v>179</v>
      </c>
      <c r="L332">
        <f t="shared" si="237"/>
        <v>218</v>
      </c>
      <c r="M332">
        <f t="shared" si="237"/>
        <v>101</v>
      </c>
      <c r="N332">
        <f t="shared" si="237"/>
        <v>140</v>
      </c>
      <c r="O332">
        <f t="shared" si="237"/>
        <v>179</v>
      </c>
      <c r="P332" s="171">
        <f t="shared" si="237"/>
        <v>218</v>
      </c>
    </row>
    <row r="333" spans="1:16" ht="15.75" x14ac:dyDescent="0.25">
      <c r="A333" s="1076" t="s">
        <v>8</v>
      </c>
      <c r="B333" s="676" t="s">
        <v>25</v>
      </c>
      <c r="C333" s="523" t="s">
        <v>213</v>
      </c>
      <c r="D333" s="539" t="s">
        <v>26</v>
      </c>
      <c r="E333">
        <f t="shared" ref="E333:P333" si="238">E302</f>
        <v>1052</v>
      </c>
      <c r="F333">
        <f t="shared" si="238"/>
        <v>1052</v>
      </c>
      <c r="G333">
        <f t="shared" si="238"/>
        <v>1052</v>
      </c>
      <c r="H333">
        <f t="shared" si="238"/>
        <v>1052</v>
      </c>
      <c r="I333">
        <f t="shared" si="238"/>
        <v>1252</v>
      </c>
      <c r="J333">
        <f t="shared" si="238"/>
        <v>1252</v>
      </c>
      <c r="K333">
        <f t="shared" si="238"/>
        <v>1252</v>
      </c>
      <c r="L333">
        <f t="shared" si="238"/>
        <v>1252</v>
      </c>
      <c r="M333">
        <f t="shared" si="238"/>
        <v>1552</v>
      </c>
      <c r="N333">
        <f t="shared" si="238"/>
        <v>1552</v>
      </c>
      <c r="O333">
        <f t="shared" si="238"/>
        <v>1552</v>
      </c>
      <c r="P333" s="171">
        <f t="shared" si="238"/>
        <v>1552</v>
      </c>
    </row>
    <row r="334" spans="1:16" ht="15.75" x14ac:dyDescent="0.25">
      <c r="A334" s="1075"/>
      <c r="B334" s="679" t="s">
        <v>9</v>
      </c>
      <c r="C334" s="532" t="s">
        <v>216</v>
      </c>
      <c r="D334" s="541" t="s">
        <v>26</v>
      </c>
      <c r="E334">
        <f t="shared" ref="E334:P334" si="239">E303</f>
        <v>134</v>
      </c>
      <c r="F334">
        <f t="shared" si="239"/>
        <v>173</v>
      </c>
      <c r="G334">
        <f t="shared" si="239"/>
        <v>212</v>
      </c>
      <c r="H334">
        <f t="shared" si="239"/>
        <v>251</v>
      </c>
      <c r="I334">
        <f t="shared" si="239"/>
        <v>134</v>
      </c>
      <c r="J334">
        <f t="shared" si="239"/>
        <v>173</v>
      </c>
      <c r="K334">
        <f t="shared" si="239"/>
        <v>212</v>
      </c>
      <c r="L334">
        <f t="shared" si="239"/>
        <v>251</v>
      </c>
      <c r="M334">
        <f t="shared" si="239"/>
        <v>134</v>
      </c>
      <c r="N334">
        <f t="shared" si="239"/>
        <v>173</v>
      </c>
      <c r="O334">
        <f t="shared" si="239"/>
        <v>212</v>
      </c>
      <c r="P334" s="171">
        <f t="shared" si="239"/>
        <v>251</v>
      </c>
    </row>
    <row r="335" spans="1:16" ht="15.75" x14ac:dyDescent="0.25">
      <c r="A335" s="810"/>
      <c r="B335" s="522" t="s">
        <v>210</v>
      </c>
      <c r="C335" s="526" t="s">
        <v>22</v>
      </c>
      <c r="D335" s="542" t="s">
        <v>10</v>
      </c>
      <c r="E335">
        <f t="shared" ref="E335:P335" si="240">IF(E304&lt;3,"&lt; 3",E304)</f>
        <v>13.3</v>
      </c>
      <c r="F335">
        <f t="shared" si="240"/>
        <v>6.9</v>
      </c>
      <c r="G335">
        <f t="shared" si="240"/>
        <v>4.2</v>
      </c>
      <c r="H335" t="str">
        <f t="shared" si="240"/>
        <v>&lt; 3</v>
      </c>
      <c r="I335">
        <f t="shared" si="240"/>
        <v>9.1</v>
      </c>
      <c r="J335">
        <f t="shared" si="240"/>
        <v>4.7</v>
      </c>
      <c r="K335" t="str">
        <f t="shared" si="240"/>
        <v>&lt; 3</v>
      </c>
      <c r="L335" t="str">
        <f t="shared" si="240"/>
        <v>&lt; 3</v>
      </c>
      <c r="M335">
        <f t="shared" si="240"/>
        <v>5.7</v>
      </c>
      <c r="N335" t="str">
        <f t="shared" si="240"/>
        <v>&lt; 3</v>
      </c>
      <c r="O335" t="str">
        <f t="shared" si="240"/>
        <v>&lt; 3</v>
      </c>
      <c r="P335" t="str">
        <f t="shared" si="240"/>
        <v>&lt; 3</v>
      </c>
    </row>
    <row r="336" spans="1:16" ht="15.75" x14ac:dyDescent="0.25">
      <c r="A336" s="810"/>
      <c r="B336" s="523" t="s">
        <v>298</v>
      </c>
      <c r="C336" s="524"/>
      <c r="D336" s="539"/>
      <c r="E336">
        <f t="shared" ref="E336:P336" si="241">E305</f>
        <v>49.6</v>
      </c>
      <c r="F336">
        <f t="shared" si="241"/>
        <v>68.8</v>
      </c>
      <c r="G336">
        <f t="shared" si="241"/>
        <v>88</v>
      </c>
      <c r="H336">
        <f t="shared" si="241"/>
        <v>107.1</v>
      </c>
      <c r="I336">
        <f t="shared" si="241"/>
        <v>60</v>
      </c>
      <c r="J336">
        <f t="shared" si="241"/>
        <v>83.1</v>
      </c>
      <c r="K336">
        <f t="shared" si="241"/>
        <v>106.3</v>
      </c>
      <c r="L336">
        <f t="shared" si="241"/>
        <v>129.5</v>
      </c>
      <c r="M336">
        <f t="shared" si="241"/>
        <v>75.5</v>
      </c>
      <c r="N336">
        <f t="shared" si="241"/>
        <v>104.6</v>
      </c>
      <c r="O336">
        <f t="shared" si="241"/>
        <v>133.80000000000001</v>
      </c>
      <c r="P336" s="171">
        <f t="shared" si="241"/>
        <v>162.9</v>
      </c>
    </row>
    <row r="337" spans="1:16" ht="15.75" x14ac:dyDescent="0.25">
      <c r="A337" s="810"/>
      <c r="B337" s="680" t="s">
        <v>142</v>
      </c>
      <c r="C337" s="535" t="s">
        <v>46</v>
      </c>
      <c r="D337" s="543" t="s">
        <v>136</v>
      </c>
      <c r="E337">
        <f t="shared" ref="E337:P337" si="242">IF(E306&lt;15,"&lt; 15", E306)</f>
        <v>32.200000000000003</v>
      </c>
      <c r="F337">
        <f t="shared" si="242"/>
        <v>23.2</v>
      </c>
      <c r="G337">
        <f t="shared" si="242"/>
        <v>16.399999999999999</v>
      </c>
      <c r="H337" t="str">
        <f t="shared" si="242"/>
        <v>&lt; 15</v>
      </c>
      <c r="I337">
        <f t="shared" si="242"/>
        <v>27</v>
      </c>
      <c r="J337">
        <f t="shared" si="242"/>
        <v>18</v>
      </c>
      <c r="K337" t="str">
        <f t="shared" si="242"/>
        <v>&lt; 15</v>
      </c>
      <c r="L337" t="str">
        <f t="shared" si="242"/>
        <v>&lt; 15</v>
      </c>
      <c r="M337">
        <f t="shared" si="242"/>
        <v>20.6</v>
      </c>
      <c r="N337" t="str">
        <f t="shared" si="242"/>
        <v>&lt; 15</v>
      </c>
      <c r="O337" t="str">
        <f t="shared" si="242"/>
        <v>&lt; 15</v>
      </c>
      <c r="P337" s="171" t="str">
        <f t="shared" si="242"/>
        <v>&lt; 15</v>
      </c>
    </row>
    <row r="338" spans="1:16" ht="15.75" x14ac:dyDescent="0.25">
      <c r="A338" s="810"/>
      <c r="B338" s="681" t="s">
        <v>211</v>
      </c>
      <c r="C338" s="527" t="s">
        <v>23</v>
      </c>
      <c r="D338" s="544" t="s">
        <v>11</v>
      </c>
      <c r="E338">
        <f t="shared" ref="E338:P338" si="243">IF(E307&lt;5,"&lt; 5", E307)</f>
        <v>17.2</v>
      </c>
      <c r="F338">
        <f t="shared" si="243"/>
        <v>8.1999999999999993</v>
      </c>
      <c r="G338" t="str">
        <f t="shared" si="243"/>
        <v>&lt; 5</v>
      </c>
      <c r="H338" t="str">
        <f t="shared" si="243"/>
        <v>&lt; 5</v>
      </c>
      <c r="I338">
        <f t="shared" si="243"/>
        <v>12</v>
      </c>
      <c r="J338" t="str">
        <f t="shared" si="243"/>
        <v>&lt; 5</v>
      </c>
      <c r="K338" t="str">
        <f t="shared" si="243"/>
        <v>&lt; 5</v>
      </c>
      <c r="L338" t="str">
        <f t="shared" si="243"/>
        <v>&lt; 5</v>
      </c>
      <c r="M338">
        <f t="shared" si="243"/>
        <v>5.6</v>
      </c>
      <c r="N338" t="str">
        <f t="shared" si="243"/>
        <v>&lt; 5</v>
      </c>
      <c r="O338" t="str">
        <f t="shared" si="243"/>
        <v>&lt; 5</v>
      </c>
      <c r="P338" t="str">
        <f t="shared" si="243"/>
        <v>&lt; 5</v>
      </c>
    </row>
    <row r="339" spans="1:16" ht="15.75" x14ac:dyDescent="0.25">
      <c r="A339" s="810"/>
      <c r="B339" s="677" t="s">
        <v>143</v>
      </c>
      <c r="C339" s="537" t="s">
        <v>93</v>
      </c>
      <c r="D339" s="540" t="s">
        <v>137</v>
      </c>
      <c r="E339">
        <f t="shared" ref="E339:P339" ca="1" si="244">E308</f>
        <v>2.2000000000000002</v>
      </c>
      <c r="F339">
        <f t="shared" ca="1" si="244"/>
        <v>2.2000000000000002</v>
      </c>
      <c r="G339">
        <f t="shared" ca="1" si="244"/>
        <v>2.2000000000000002</v>
      </c>
      <c r="H339">
        <f t="shared" ca="1" si="244"/>
        <v>2.2000000000000002</v>
      </c>
      <c r="I339">
        <f t="shared" ca="1" si="244"/>
        <v>2.2000000000000002</v>
      </c>
      <c r="J339">
        <f t="shared" ca="1" si="244"/>
        <v>2.2000000000000002</v>
      </c>
      <c r="K339">
        <f t="shared" ca="1" si="244"/>
        <v>2.2000000000000002</v>
      </c>
      <c r="L339">
        <f t="shared" ca="1" si="244"/>
        <v>2.2000000000000002</v>
      </c>
      <c r="M339">
        <f t="shared" ca="1" si="244"/>
        <v>2.1</v>
      </c>
      <c r="N339">
        <f t="shared" ca="1" si="244"/>
        <v>2.1</v>
      </c>
      <c r="O339">
        <f t="shared" ca="1" si="244"/>
        <v>2.1</v>
      </c>
      <c r="P339" s="171">
        <f t="shared" ca="1" si="244"/>
        <v>2.1</v>
      </c>
    </row>
    <row r="340" spans="1:16" ht="15.75" x14ac:dyDescent="0.25">
      <c r="A340" s="1077" t="s">
        <v>129</v>
      </c>
      <c r="B340" s="1065" t="s">
        <v>130</v>
      </c>
      <c r="C340" s="526" t="s">
        <v>139</v>
      </c>
      <c r="D340" s="538" t="s">
        <v>137</v>
      </c>
      <c r="E340">
        <f t="shared" ref="E340:P340" ca="1" si="245">E309</f>
        <v>2.2999999999999998</v>
      </c>
      <c r="F340">
        <f t="shared" ca="1" si="245"/>
        <v>2.2000000000000002</v>
      </c>
      <c r="G340">
        <f t="shared" ca="1" si="245"/>
        <v>2.2000000000000002</v>
      </c>
      <c r="H340">
        <f t="shared" ca="1" si="245"/>
        <v>2.2000000000000002</v>
      </c>
      <c r="I340">
        <f t="shared" ca="1" si="245"/>
        <v>2.2000000000000002</v>
      </c>
      <c r="J340">
        <f t="shared" ca="1" si="245"/>
        <v>2.2000000000000002</v>
      </c>
      <c r="K340">
        <f t="shared" ca="1" si="245"/>
        <v>2.2000000000000002</v>
      </c>
      <c r="L340">
        <f t="shared" ca="1" si="245"/>
        <v>2.2000000000000002</v>
      </c>
      <c r="M340">
        <f t="shared" ca="1" si="245"/>
        <v>2.2000000000000002</v>
      </c>
      <c r="N340">
        <f t="shared" ca="1" si="245"/>
        <v>2.2000000000000002</v>
      </c>
      <c r="O340">
        <f t="shared" ca="1" si="245"/>
        <v>2.2000000000000002</v>
      </c>
      <c r="P340" s="171">
        <f t="shared" ca="1" si="245"/>
        <v>2.2000000000000002</v>
      </c>
    </row>
    <row r="341" spans="1:16" ht="15.75" x14ac:dyDescent="0.25">
      <c r="A341" s="1078"/>
      <c r="B341" s="1066"/>
      <c r="C341" s="527" t="s">
        <v>57</v>
      </c>
      <c r="D341" s="545" t="s">
        <v>137</v>
      </c>
      <c r="E341">
        <f t="shared" ref="E341:P341" ca="1" si="246">E310</f>
        <v>5.0999999999999996</v>
      </c>
      <c r="F341">
        <f t="shared" ca="1" si="246"/>
        <v>4.4000000000000004</v>
      </c>
      <c r="G341">
        <f t="shared" ca="1" si="246"/>
        <v>3.9</v>
      </c>
      <c r="H341">
        <f t="shared" ca="1" si="246"/>
        <v>3.5</v>
      </c>
      <c r="I341">
        <f t="shared" ca="1" si="246"/>
        <v>4.7</v>
      </c>
      <c r="J341">
        <f t="shared" ca="1" si="246"/>
        <v>4</v>
      </c>
      <c r="K341">
        <f t="shared" ca="1" si="246"/>
        <v>3.5</v>
      </c>
      <c r="L341">
        <f t="shared" ca="1" si="246"/>
        <v>3.2</v>
      </c>
      <c r="M341">
        <f t="shared" ca="1" si="246"/>
        <v>4.2</v>
      </c>
      <c r="N341">
        <f t="shared" ca="1" si="246"/>
        <v>3.5</v>
      </c>
      <c r="O341">
        <f t="shared" ca="1" si="246"/>
        <v>3.1</v>
      </c>
      <c r="P341" s="171">
        <f t="shared" ca="1" si="246"/>
        <v>2.8</v>
      </c>
    </row>
    <row r="342" spans="1:16" ht="15.75" x14ac:dyDescent="0.25">
      <c r="A342" s="1078"/>
      <c r="B342" s="1066"/>
      <c r="C342" s="535" t="s">
        <v>145</v>
      </c>
      <c r="D342" s="540" t="s">
        <v>137</v>
      </c>
      <c r="E342">
        <f t="shared" ref="E342:P342" ca="1" si="247">E311</f>
        <v>3.9</v>
      </c>
      <c r="F342">
        <f t="shared" ca="1" si="247"/>
        <v>3.9</v>
      </c>
      <c r="G342">
        <f t="shared" ca="1" si="247"/>
        <v>3.9</v>
      </c>
      <c r="H342">
        <f t="shared" ca="1" si="247"/>
        <v>3.9</v>
      </c>
      <c r="I342">
        <f t="shared" ca="1" si="247"/>
        <v>3.9</v>
      </c>
      <c r="J342">
        <f t="shared" ca="1" si="247"/>
        <v>3.9</v>
      </c>
      <c r="K342">
        <f t="shared" ca="1" si="247"/>
        <v>3.9</v>
      </c>
      <c r="L342">
        <f t="shared" ca="1" si="247"/>
        <v>3.9</v>
      </c>
      <c r="M342">
        <f t="shared" ca="1" si="247"/>
        <v>3.9</v>
      </c>
      <c r="N342">
        <f t="shared" ca="1" si="247"/>
        <v>3.9</v>
      </c>
      <c r="O342">
        <f t="shared" ca="1" si="247"/>
        <v>3.9</v>
      </c>
      <c r="P342" s="171">
        <f t="shared" ca="1" si="247"/>
        <v>3.9</v>
      </c>
    </row>
    <row r="343" spans="1:16" ht="16.5" thickBot="1" x14ac:dyDescent="0.3">
      <c r="A343" s="1078"/>
      <c r="B343" s="1066"/>
      <c r="C343" s="697" t="s">
        <v>148</v>
      </c>
      <c r="D343" s="698" t="s">
        <v>137</v>
      </c>
      <c r="E343">
        <f t="shared" ref="E343:P343" ca="1" si="248">E312</f>
        <v>8.9</v>
      </c>
      <c r="F343">
        <f t="shared" ca="1" si="248"/>
        <v>7.6</v>
      </c>
      <c r="G343">
        <f t="shared" ca="1" si="248"/>
        <v>6.7</v>
      </c>
      <c r="H343">
        <f t="shared" ca="1" si="248"/>
        <v>6.1</v>
      </c>
      <c r="I343">
        <f t="shared" ca="1" si="248"/>
        <v>8.1</v>
      </c>
      <c r="J343">
        <f t="shared" ca="1" si="248"/>
        <v>6.9</v>
      </c>
      <c r="K343">
        <f t="shared" ca="1" si="248"/>
        <v>6.1</v>
      </c>
      <c r="L343">
        <f t="shared" ca="1" si="248"/>
        <v>5.5</v>
      </c>
      <c r="M343">
        <f t="shared" ca="1" si="248"/>
        <v>7.2</v>
      </c>
      <c r="N343">
        <f t="shared" ca="1" si="248"/>
        <v>6.1</v>
      </c>
      <c r="O343">
        <f t="shared" ca="1" si="248"/>
        <v>5.4</v>
      </c>
      <c r="P343" s="171">
        <f t="shared" ca="1" si="248"/>
        <v>4.9000000000000004</v>
      </c>
    </row>
    <row r="344" spans="1:16" ht="15.75" x14ac:dyDescent="0.25">
      <c r="A344" s="1079"/>
      <c r="B344" s="1039" t="s">
        <v>247</v>
      </c>
      <c r="C344" s="699" t="s">
        <v>56</v>
      </c>
      <c r="D344" s="700" t="s">
        <v>137</v>
      </c>
      <c r="E344">
        <f t="shared" ref="E344:P344" ca="1" si="249">E313</f>
        <v>3</v>
      </c>
      <c r="F344">
        <f t="shared" ca="1" si="249"/>
        <v>2.9</v>
      </c>
      <c r="G344">
        <f t="shared" ca="1" si="249"/>
        <v>2.9</v>
      </c>
      <c r="H344">
        <f t="shared" ca="1" si="249"/>
        <v>2.9</v>
      </c>
      <c r="I344">
        <f t="shared" ca="1" si="249"/>
        <v>2.9</v>
      </c>
      <c r="J344">
        <f t="shared" ca="1" si="249"/>
        <v>2.9</v>
      </c>
      <c r="K344">
        <f t="shared" ca="1" si="249"/>
        <v>2.9</v>
      </c>
      <c r="L344">
        <f t="shared" ca="1" si="249"/>
        <v>2.9</v>
      </c>
      <c r="M344">
        <f t="shared" ca="1" si="249"/>
        <v>2.9</v>
      </c>
      <c r="N344">
        <f t="shared" ca="1" si="249"/>
        <v>2.9</v>
      </c>
      <c r="O344">
        <f t="shared" ca="1" si="249"/>
        <v>2.9</v>
      </c>
      <c r="P344" s="171">
        <f t="shared" ca="1" si="249"/>
        <v>2.9</v>
      </c>
    </row>
    <row r="345" spans="1:16" ht="15.75" x14ac:dyDescent="0.25">
      <c r="A345" s="1079"/>
      <c r="B345" s="1040"/>
      <c r="C345" s="527" t="s">
        <v>140</v>
      </c>
      <c r="D345" s="545" t="s">
        <v>137</v>
      </c>
      <c r="E345">
        <f t="shared" ref="E345:P345" ca="1" si="250">E314</f>
        <v>6.8</v>
      </c>
      <c r="F345">
        <f t="shared" ca="1" si="250"/>
        <v>5.7</v>
      </c>
      <c r="G345">
        <f t="shared" ca="1" si="250"/>
        <v>5.0999999999999996</v>
      </c>
      <c r="H345">
        <f t="shared" ca="1" si="250"/>
        <v>4.5999999999999996</v>
      </c>
      <c r="I345">
        <f t="shared" ca="1" si="250"/>
        <v>6.2</v>
      </c>
      <c r="J345">
        <f t="shared" ca="1" si="250"/>
        <v>5.2</v>
      </c>
      <c r="K345">
        <f t="shared" ca="1" si="250"/>
        <v>4.5999999999999996</v>
      </c>
      <c r="L345">
        <f t="shared" ca="1" si="250"/>
        <v>4.2</v>
      </c>
      <c r="M345">
        <f t="shared" ca="1" si="250"/>
        <v>5.5</v>
      </c>
      <c r="N345">
        <f t="shared" ca="1" si="250"/>
        <v>4.7</v>
      </c>
      <c r="O345">
        <f t="shared" ca="1" si="250"/>
        <v>4.0999999999999996</v>
      </c>
      <c r="P345" s="171">
        <f t="shared" ca="1" si="250"/>
        <v>3.7</v>
      </c>
    </row>
    <row r="346" spans="1:16" ht="15.75" x14ac:dyDescent="0.25">
      <c r="A346" s="1079"/>
      <c r="B346" s="1040"/>
      <c r="C346" s="535" t="s">
        <v>145</v>
      </c>
      <c r="D346" s="540" t="s">
        <v>137</v>
      </c>
      <c r="E346">
        <f t="shared" ref="E346:P346" ca="1" si="251">E315</f>
        <v>3</v>
      </c>
      <c r="F346">
        <f t="shared" ca="1" si="251"/>
        <v>2.9</v>
      </c>
      <c r="G346">
        <f t="shared" ca="1" si="251"/>
        <v>2.9</v>
      </c>
      <c r="H346">
        <f t="shared" ca="1" si="251"/>
        <v>2.9</v>
      </c>
      <c r="I346">
        <f t="shared" ca="1" si="251"/>
        <v>2.9</v>
      </c>
      <c r="J346">
        <f t="shared" ca="1" si="251"/>
        <v>2.9</v>
      </c>
      <c r="K346">
        <f t="shared" ca="1" si="251"/>
        <v>2.9</v>
      </c>
      <c r="L346">
        <f t="shared" ca="1" si="251"/>
        <v>2.9</v>
      </c>
      <c r="M346">
        <f t="shared" ca="1" si="251"/>
        <v>2.9</v>
      </c>
      <c r="N346">
        <f t="shared" ca="1" si="251"/>
        <v>2.9</v>
      </c>
      <c r="O346">
        <f t="shared" ca="1" si="251"/>
        <v>2.9</v>
      </c>
      <c r="P346" s="171">
        <f t="shared" ca="1" si="251"/>
        <v>2.9</v>
      </c>
    </row>
    <row r="347" spans="1:16" ht="16.5" thickBot="1" x14ac:dyDescent="0.3">
      <c r="A347" s="1079"/>
      <c r="B347" s="1041"/>
      <c r="C347" s="697" t="s">
        <v>148</v>
      </c>
      <c r="D347" s="698" t="s">
        <v>137</v>
      </c>
      <c r="E347">
        <f t="shared" ref="E347:P347" ca="1" si="252">E316</f>
        <v>6.8</v>
      </c>
      <c r="F347">
        <f t="shared" ca="1" si="252"/>
        <v>5.7</v>
      </c>
      <c r="G347">
        <f t="shared" ca="1" si="252"/>
        <v>5.0999999999999996</v>
      </c>
      <c r="H347">
        <f t="shared" ca="1" si="252"/>
        <v>4.5999999999999996</v>
      </c>
      <c r="I347">
        <f t="shared" ca="1" si="252"/>
        <v>6.2</v>
      </c>
      <c r="J347">
        <f t="shared" ca="1" si="252"/>
        <v>5.2</v>
      </c>
      <c r="K347">
        <f t="shared" ca="1" si="252"/>
        <v>4.5999999999999996</v>
      </c>
      <c r="L347">
        <f t="shared" ca="1" si="252"/>
        <v>4.2</v>
      </c>
      <c r="M347">
        <f t="shared" ca="1" si="252"/>
        <v>5.5</v>
      </c>
      <c r="N347">
        <f t="shared" ca="1" si="252"/>
        <v>4.7</v>
      </c>
      <c r="O347">
        <f t="shared" ca="1" si="252"/>
        <v>4.0999999999999996</v>
      </c>
      <c r="P347" s="171">
        <f t="shared" ca="1" si="252"/>
        <v>3.7</v>
      </c>
    </row>
    <row r="348" spans="1:16" ht="15.75" x14ac:dyDescent="0.25">
      <c r="A348" s="1078"/>
      <c r="B348" s="1066" t="s">
        <v>132</v>
      </c>
      <c r="C348" s="524" t="s">
        <v>139</v>
      </c>
      <c r="D348" s="540" t="s">
        <v>137</v>
      </c>
      <c r="E348">
        <f t="shared" ref="E348:P348" ca="1" si="253">E317</f>
        <v>3.9</v>
      </c>
      <c r="F348">
        <f t="shared" ca="1" si="253"/>
        <v>3.8</v>
      </c>
      <c r="G348">
        <f t="shared" ca="1" si="253"/>
        <v>3.8</v>
      </c>
      <c r="H348">
        <f t="shared" ca="1" si="253"/>
        <v>3.8</v>
      </c>
      <c r="I348">
        <f t="shared" ca="1" si="253"/>
        <v>3.9</v>
      </c>
      <c r="J348">
        <f t="shared" ca="1" si="253"/>
        <v>3.8</v>
      </c>
      <c r="K348">
        <f t="shared" ca="1" si="253"/>
        <v>3.8</v>
      </c>
      <c r="L348">
        <f t="shared" ca="1" si="253"/>
        <v>3.8</v>
      </c>
      <c r="M348">
        <f t="shared" ca="1" si="253"/>
        <v>3.8</v>
      </c>
      <c r="N348">
        <f t="shared" ca="1" si="253"/>
        <v>3.8</v>
      </c>
      <c r="O348">
        <f t="shared" ca="1" si="253"/>
        <v>3.8</v>
      </c>
      <c r="P348" s="171">
        <f t="shared" ca="1" si="253"/>
        <v>3.8</v>
      </c>
    </row>
    <row r="349" spans="1:16" ht="15.75" x14ac:dyDescent="0.25">
      <c r="A349" s="1078"/>
      <c r="B349" s="1066"/>
      <c r="C349" s="527" t="s">
        <v>140</v>
      </c>
      <c r="D349" s="545" t="s">
        <v>137</v>
      </c>
      <c r="E349">
        <f t="shared" ref="E349:P349" ca="1" si="254">E318</f>
        <v>8.8000000000000007</v>
      </c>
      <c r="F349">
        <f t="shared" ca="1" si="254"/>
        <v>7.5</v>
      </c>
      <c r="G349">
        <f t="shared" ca="1" si="254"/>
        <v>6.6</v>
      </c>
      <c r="H349">
        <f t="shared" ca="1" si="254"/>
        <v>6</v>
      </c>
      <c r="I349">
        <f t="shared" ca="1" si="254"/>
        <v>8</v>
      </c>
      <c r="J349">
        <f t="shared" ca="1" si="254"/>
        <v>6.8</v>
      </c>
      <c r="K349">
        <f t="shared" ca="1" si="254"/>
        <v>6</v>
      </c>
      <c r="L349">
        <f t="shared" ca="1" si="254"/>
        <v>5.5</v>
      </c>
      <c r="M349">
        <f t="shared" ca="1" si="254"/>
        <v>7.2</v>
      </c>
      <c r="N349">
        <f t="shared" ca="1" si="254"/>
        <v>6.1</v>
      </c>
      <c r="O349">
        <f t="shared" ca="1" si="254"/>
        <v>5.4</v>
      </c>
      <c r="P349" s="171">
        <f t="shared" ca="1" si="254"/>
        <v>4.9000000000000004</v>
      </c>
    </row>
    <row r="350" spans="1:16" ht="15.75" x14ac:dyDescent="0.25">
      <c r="A350" s="1078"/>
      <c r="B350" s="1066"/>
      <c r="C350" s="535" t="s">
        <v>145</v>
      </c>
      <c r="D350" s="540" t="s">
        <v>137</v>
      </c>
      <c r="E350">
        <f t="shared" ref="E350:P350" ca="1" si="255">E319</f>
        <v>2.2000000000000002</v>
      </c>
      <c r="F350">
        <f t="shared" ca="1" si="255"/>
        <v>2.2000000000000002</v>
      </c>
      <c r="G350">
        <f t="shared" ca="1" si="255"/>
        <v>2.2000000000000002</v>
      </c>
      <c r="H350">
        <f t="shared" ca="1" si="255"/>
        <v>2.2000000000000002</v>
      </c>
      <c r="I350">
        <f t="shared" ca="1" si="255"/>
        <v>2.2000000000000002</v>
      </c>
      <c r="J350">
        <f t="shared" ca="1" si="255"/>
        <v>2.2000000000000002</v>
      </c>
      <c r="K350">
        <f t="shared" ca="1" si="255"/>
        <v>2.2000000000000002</v>
      </c>
      <c r="L350">
        <f t="shared" ca="1" si="255"/>
        <v>2.2000000000000002</v>
      </c>
      <c r="M350">
        <f t="shared" ca="1" si="255"/>
        <v>2.2000000000000002</v>
      </c>
      <c r="N350">
        <f t="shared" ca="1" si="255"/>
        <v>2.2000000000000002</v>
      </c>
      <c r="O350">
        <f t="shared" ca="1" si="255"/>
        <v>2.2000000000000002</v>
      </c>
      <c r="P350" s="171">
        <f t="shared" ca="1" si="255"/>
        <v>2.2000000000000002</v>
      </c>
    </row>
    <row r="351" spans="1:16" ht="15.75" x14ac:dyDescent="0.25">
      <c r="A351" s="1080"/>
      <c r="B351" s="1067"/>
      <c r="C351" s="532" t="s">
        <v>146</v>
      </c>
      <c r="D351" s="541" t="s">
        <v>137</v>
      </c>
      <c r="E351">
        <f t="shared" ref="E351:P351" ca="1" si="256">E320</f>
        <v>5.0999999999999996</v>
      </c>
      <c r="F351">
        <f t="shared" ca="1" si="256"/>
        <v>4.3</v>
      </c>
      <c r="G351">
        <f t="shared" ca="1" si="256"/>
        <v>3.8</v>
      </c>
      <c r="H351">
        <f t="shared" ca="1" si="256"/>
        <v>3.5</v>
      </c>
      <c r="I351">
        <f t="shared" ca="1" si="256"/>
        <v>4.7</v>
      </c>
      <c r="J351">
        <f t="shared" ca="1" si="256"/>
        <v>4</v>
      </c>
      <c r="K351">
        <f t="shared" ca="1" si="256"/>
        <v>3.5</v>
      </c>
      <c r="L351">
        <f t="shared" ca="1" si="256"/>
        <v>3.2</v>
      </c>
      <c r="M351">
        <f t="shared" ca="1" si="256"/>
        <v>4.2</v>
      </c>
      <c r="N351">
        <f t="shared" ca="1" si="256"/>
        <v>3.5</v>
      </c>
      <c r="O351">
        <f t="shared" ca="1" si="256"/>
        <v>3.1</v>
      </c>
      <c r="P351" s="171">
        <f t="shared" ca="1" si="256"/>
        <v>2.8</v>
      </c>
    </row>
    <row r="352" spans="1:16" ht="15.75" x14ac:dyDescent="0.25">
      <c r="A352" s="812"/>
      <c r="B352" s="678" t="s">
        <v>172</v>
      </c>
      <c r="C352" s="526" t="s">
        <v>217</v>
      </c>
      <c r="D352" s="538" t="s">
        <v>173</v>
      </c>
      <c r="E352">
        <f t="shared" ref="E352:P352" ca="1" si="257">E321</f>
        <v>0.18</v>
      </c>
      <c r="F352">
        <f t="shared" ca="1" si="257"/>
        <v>0.18</v>
      </c>
      <c r="G352">
        <f t="shared" ca="1" si="257"/>
        <v>0.17</v>
      </c>
      <c r="H352">
        <f t="shared" ca="1" si="257"/>
        <v>0.17</v>
      </c>
      <c r="I352">
        <f t="shared" ca="1" si="257"/>
        <v>0.18</v>
      </c>
      <c r="J352">
        <f t="shared" ca="1" si="257"/>
        <v>0.17</v>
      </c>
      <c r="K352">
        <f t="shared" ca="1" si="257"/>
        <v>0.17</v>
      </c>
      <c r="L352">
        <f t="shared" ca="1" si="257"/>
        <v>0.17</v>
      </c>
      <c r="M352">
        <f t="shared" ca="1" si="257"/>
        <v>0.17</v>
      </c>
      <c r="N352">
        <f t="shared" ca="1" si="257"/>
        <v>0.17</v>
      </c>
      <c r="O352">
        <f t="shared" ca="1" si="257"/>
        <v>0.17</v>
      </c>
      <c r="P352" s="171">
        <f t="shared" ca="1" si="257"/>
        <v>0.17</v>
      </c>
    </row>
    <row r="353" spans="1:16" ht="15.75" x14ac:dyDescent="0.25">
      <c r="A353" s="812"/>
      <c r="B353" s="678" t="s">
        <v>219</v>
      </c>
      <c r="C353" s="524" t="s">
        <v>156</v>
      </c>
      <c r="D353" s="540" t="s">
        <v>218</v>
      </c>
      <c r="E353">
        <f t="shared" ref="E353:P353" ca="1" si="258">E322</f>
        <v>0.17499999999999999</v>
      </c>
      <c r="F353">
        <f t="shared" ca="1" si="258"/>
        <v>0.17399999999999999</v>
      </c>
      <c r="G353">
        <f t="shared" ca="1" si="258"/>
        <v>0.17299999999999999</v>
      </c>
      <c r="H353">
        <f t="shared" ca="1" si="258"/>
        <v>0.17299999999999999</v>
      </c>
      <c r="I353">
        <f t="shared" ca="1" si="258"/>
        <v>0.17399999999999999</v>
      </c>
      <c r="J353">
        <f t="shared" ca="1" si="258"/>
        <v>0.17299999999999999</v>
      </c>
      <c r="K353">
        <f t="shared" ca="1" si="258"/>
        <v>0.17299999999999999</v>
      </c>
      <c r="L353">
        <f t="shared" ca="1" si="258"/>
        <v>0.17299999999999999</v>
      </c>
      <c r="M353">
        <f t="shared" ca="1" si="258"/>
        <v>0.17399999999999999</v>
      </c>
      <c r="N353">
        <f t="shared" ca="1" si="258"/>
        <v>0.17299999999999999</v>
      </c>
      <c r="O353">
        <f t="shared" ca="1" si="258"/>
        <v>0.17299999999999999</v>
      </c>
      <c r="P353" s="171">
        <f t="shared" ca="1" si="258"/>
        <v>0.17299999999999999</v>
      </c>
    </row>
    <row r="354" spans="1:16" ht="15.75" x14ac:dyDescent="0.25">
      <c r="A354" s="812"/>
      <c r="B354" s="678" t="s">
        <v>174</v>
      </c>
      <c r="C354" s="524" t="s">
        <v>181</v>
      </c>
      <c r="D354" s="540" t="s">
        <v>218</v>
      </c>
      <c r="E354">
        <f t="shared" ref="E354:P354" ca="1" si="259">E323</f>
        <v>8.8999999999999996E-2</v>
      </c>
      <c r="F354">
        <f t="shared" ca="1" si="259"/>
        <v>8.8999999999999996E-2</v>
      </c>
      <c r="G354">
        <f t="shared" ca="1" si="259"/>
        <v>8.7999999999999995E-2</v>
      </c>
      <c r="H354">
        <f t="shared" ca="1" si="259"/>
        <v>8.7999999999999995E-2</v>
      </c>
      <c r="I354">
        <f t="shared" ca="1" si="259"/>
        <v>8.8999999999999996E-2</v>
      </c>
      <c r="J354">
        <f t="shared" ca="1" si="259"/>
        <v>8.7999999999999995E-2</v>
      </c>
      <c r="K354">
        <f t="shared" ca="1" si="259"/>
        <v>8.7999999999999995E-2</v>
      </c>
      <c r="L354">
        <f t="shared" ca="1" si="259"/>
        <v>8.7999999999999995E-2</v>
      </c>
      <c r="M354">
        <f t="shared" ca="1" si="259"/>
        <v>8.7999999999999995E-2</v>
      </c>
      <c r="N354">
        <f t="shared" ca="1" si="259"/>
        <v>8.7999999999999995E-2</v>
      </c>
      <c r="O354">
        <f t="shared" ca="1" si="259"/>
        <v>8.7999999999999995E-2</v>
      </c>
      <c r="P354" s="171">
        <f t="shared" ca="1" si="259"/>
        <v>8.7999999999999995E-2</v>
      </c>
    </row>
    <row r="355" spans="1:16" ht="15.75" x14ac:dyDescent="0.25">
      <c r="A355" s="812"/>
      <c r="B355" s="678" t="s">
        <v>221</v>
      </c>
      <c r="C355" s="524" t="s">
        <v>220</v>
      </c>
      <c r="D355" s="540"/>
      <c r="E355" t="str">
        <f t="shared" ref="E355:P356" ca="1" si="260">E324</f>
        <v>B</v>
      </c>
      <c r="F355" t="str">
        <f t="shared" ca="1" si="260"/>
        <v>B</v>
      </c>
      <c r="G355" t="str">
        <f t="shared" ca="1" si="260"/>
        <v>B</v>
      </c>
      <c r="H355" t="str">
        <f t="shared" ca="1" si="260"/>
        <v>B</v>
      </c>
      <c r="I355" t="str">
        <f t="shared" ca="1" si="260"/>
        <v>B</v>
      </c>
      <c r="J355" t="str">
        <f t="shared" ca="1" si="260"/>
        <v>B</v>
      </c>
      <c r="K355" t="str">
        <f t="shared" ca="1" si="260"/>
        <v>B</v>
      </c>
      <c r="L355" t="str">
        <f t="shared" ca="1" si="260"/>
        <v>B</v>
      </c>
      <c r="M355" t="str">
        <f t="shared" ca="1" si="260"/>
        <v>B</v>
      </c>
      <c r="N355" t="str">
        <f t="shared" ca="1" si="260"/>
        <v>B</v>
      </c>
      <c r="O355" t="str">
        <f t="shared" ca="1" si="260"/>
        <v>B</v>
      </c>
      <c r="P355" s="171" t="str">
        <f t="shared" ca="1" si="260"/>
        <v>B</v>
      </c>
    </row>
    <row r="356" spans="1:16" ht="16.5" thickBot="1" x14ac:dyDescent="0.3">
      <c r="A356" s="606"/>
      <c r="B356" s="678" t="s">
        <v>358</v>
      </c>
      <c r="C356" s="523"/>
      <c r="D356" s="540"/>
      <c r="E356" s="135" t="str">
        <f t="shared" ca="1" si="260"/>
        <v>≤ 0.5</v>
      </c>
      <c r="F356" s="135" t="str">
        <f t="shared" ca="1" si="260"/>
        <v>≤ 0.4</v>
      </c>
      <c r="G356" s="135" t="str">
        <f t="shared" ca="1" si="260"/>
        <v>≤ 0.4</v>
      </c>
      <c r="H356" s="135" t="str">
        <f t="shared" ca="1" si="260"/>
        <v>≤ 0.4</v>
      </c>
      <c r="I356" s="135" t="str">
        <f t="shared" ca="1" si="260"/>
        <v>≤ 0.4</v>
      </c>
      <c r="J356" s="135" t="str">
        <f t="shared" ca="1" si="260"/>
        <v>≤ 0.4</v>
      </c>
      <c r="K356" s="135" t="str">
        <f t="shared" ca="1" si="260"/>
        <v>≤ 0.4</v>
      </c>
      <c r="L356" s="135" t="str">
        <f t="shared" ca="1" si="260"/>
        <v>≤ 0.4</v>
      </c>
      <c r="M356" s="135" t="str">
        <f t="shared" ca="1" si="260"/>
        <v>≤ 0.4</v>
      </c>
      <c r="N356" s="135" t="str">
        <f t="shared" ca="1" si="260"/>
        <v>≤ 0.4</v>
      </c>
      <c r="O356" s="135" t="str">
        <f t="shared" ca="1" si="260"/>
        <v>≤ 0.4</v>
      </c>
      <c r="P356" s="813" t="str">
        <f t="shared" ca="1" si="260"/>
        <v>≤ 0.4</v>
      </c>
    </row>
  </sheetData>
  <mergeCells count="39">
    <mergeCell ref="A333:A334"/>
    <mergeCell ref="A340:A351"/>
    <mergeCell ref="B340:B343"/>
    <mergeCell ref="B344:B347"/>
    <mergeCell ref="B348:B351"/>
    <mergeCell ref="A309:A320"/>
    <mergeCell ref="B309:B312"/>
    <mergeCell ref="B313:B316"/>
    <mergeCell ref="B317:B320"/>
    <mergeCell ref="A331:A332"/>
    <mergeCell ref="A300:A301"/>
    <mergeCell ref="A302:A303"/>
    <mergeCell ref="A269:A270"/>
    <mergeCell ref="A271:A272"/>
    <mergeCell ref="A278:A289"/>
    <mergeCell ref="B278:B281"/>
    <mergeCell ref="B282:B285"/>
    <mergeCell ref="B286:B289"/>
    <mergeCell ref="A101:A104"/>
    <mergeCell ref="A250:A253"/>
    <mergeCell ref="A254:A257"/>
    <mergeCell ref="A258:A261"/>
    <mergeCell ref="A155:A158"/>
    <mergeCell ref="A151:A154"/>
    <mergeCell ref="A159:A162"/>
    <mergeCell ref="A163:A166"/>
    <mergeCell ref="A167:A170"/>
    <mergeCell ref="A171:A174"/>
    <mergeCell ref="A91:A94"/>
    <mergeCell ref="A81:A84"/>
    <mergeCell ref="A244:A247"/>
    <mergeCell ref="A111:A114"/>
    <mergeCell ref="A121:A124"/>
    <mergeCell ref="A131:A134"/>
    <mergeCell ref="A236:A239"/>
    <mergeCell ref="A240:A243"/>
    <mergeCell ref="A145:A148"/>
    <mergeCell ref="A141:A144"/>
    <mergeCell ref="A137:A140"/>
  </mergeCells>
  <phoneticPr fontId="74" type="noConversion"/>
  <conditionalFormatting sqref="M17:N17">
    <cfRule type="expression" priority="1">
      <formula>NOT($B$25)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I191"/>
  <sheetViews>
    <sheetView topLeftCell="A123" zoomScale="115" zoomScaleNormal="115" workbookViewId="0">
      <selection activeCell="D151" sqref="D151"/>
    </sheetView>
  </sheetViews>
  <sheetFormatPr defaultRowHeight="15" x14ac:dyDescent="0.25"/>
  <cols>
    <col min="1" max="1" width="13.85546875" customWidth="1"/>
    <col min="2" max="2" width="19.28515625" customWidth="1"/>
    <col min="3" max="3" width="17.7109375" customWidth="1"/>
    <col min="5" max="5" width="25" customWidth="1"/>
    <col min="6" max="7" width="21" customWidth="1"/>
  </cols>
  <sheetData>
    <row r="1" spans="1:3" x14ac:dyDescent="0.25">
      <c r="A1" t="s">
        <v>124</v>
      </c>
    </row>
    <row r="2" spans="1:3" x14ac:dyDescent="0.25">
      <c r="A2" s="514">
        <v>0.95</v>
      </c>
    </row>
    <row r="3" spans="1:3" x14ac:dyDescent="0.25">
      <c r="A3" s="514">
        <v>0.9</v>
      </c>
    </row>
    <row r="4" spans="1:3" x14ac:dyDescent="0.25">
      <c r="A4" s="514">
        <v>0.8</v>
      </c>
    </row>
    <row r="5" spans="1:3" x14ac:dyDescent="0.25">
      <c r="A5" s="514">
        <v>0.7</v>
      </c>
    </row>
    <row r="7" spans="1:3" x14ac:dyDescent="0.25">
      <c r="A7" s="2" t="s">
        <v>316</v>
      </c>
    </row>
    <row r="9" spans="1:3" x14ac:dyDescent="0.25">
      <c r="A9" t="s">
        <v>403</v>
      </c>
    </row>
    <row r="10" spans="1:3" x14ac:dyDescent="0.25">
      <c r="A10" t="s">
        <v>408</v>
      </c>
      <c r="B10">
        <v>1</v>
      </c>
    </row>
    <row r="11" spans="1:3" x14ac:dyDescent="0.25">
      <c r="B11" t="s">
        <v>160</v>
      </c>
      <c r="C11" t="s">
        <v>405</v>
      </c>
    </row>
    <row r="12" spans="1:3" x14ac:dyDescent="0.25">
      <c r="A12">
        <v>1</v>
      </c>
      <c r="B12" t="s">
        <v>409</v>
      </c>
      <c r="C12" t="s">
        <v>406</v>
      </c>
    </row>
    <row r="13" spans="1:3" x14ac:dyDescent="0.25">
      <c r="A13" s="131">
        <v>2</v>
      </c>
      <c r="B13" s="131" t="s">
        <v>410</v>
      </c>
      <c r="C13" s="131" t="s">
        <v>404</v>
      </c>
    </row>
    <row r="14" spans="1:3" x14ac:dyDescent="0.25">
      <c r="A14" t="s">
        <v>411</v>
      </c>
      <c r="B14" t="str">
        <f>VLOOKUP($B$10,A12:C13,2,0)</f>
        <v>AD</v>
      </c>
      <c r="C14" t="str">
        <f>VLOOKUP($B$10,A12:C13,3,0)</f>
        <v>supply: adjustable direction</v>
      </c>
    </row>
    <row r="16" spans="1:3" x14ac:dyDescent="0.25">
      <c r="A16" t="s">
        <v>317</v>
      </c>
      <c r="B16">
        <v>0</v>
      </c>
    </row>
    <row r="17" spans="1:3" x14ac:dyDescent="0.25">
      <c r="A17" t="s">
        <v>159</v>
      </c>
      <c r="B17" t="s">
        <v>158</v>
      </c>
      <c r="C17" t="s">
        <v>111</v>
      </c>
    </row>
    <row r="18" spans="1:3" x14ac:dyDescent="0.25">
      <c r="A18">
        <v>0</v>
      </c>
      <c r="B18">
        <v>0</v>
      </c>
      <c r="C18">
        <v>0</v>
      </c>
    </row>
    <row r="19" spans="1:3" x14ac:dyDescent="0.25">
      <c r="A19">
        <v>1</v>
      </c>
      <c r="B19">
        <v>800</v>
      </c>
      <c r="C19">
        <v>1</v>
      </c>
    </row>
    <row r="20" spans="1:3" x14ac:dyDescent="0.25">
      <c r="A20">
        <v>2</v>
      </c>
      <c r="B20">
        <v>800</v>
      </c>
      <c r="C20">
        <v>2</v>
      </c>
    </row>
    <row r="21" spans="1:3" x14ac:dyDescent="0.25">
      <c r="A21">
        <v>3</v>
      </c>
      <c r="B21">
        <v>800</v>
      </c>
      <c r="C21">
        <v>3</v>
      </c>
    </row>
    <row r="22" spans="1:3" x14ac:dyDescent="0.25">
      <c r="A22">
        <v>4</v>
      </c>
      <c r="B22">
        <v>800</v>
      </c>
      <c r="C22">
        <v>4</v>
      </c>
    </row>
    <row r="23" spans="1:3" x14ac:dyDescent="0.25">
      <c r="A23">
        <v>5</v>
      </c>
      <c r="B23">
        <v>1200</v>
      </c>
      <c r="C23">
        <v>1</v>
      </c>
    </row>
    <row r="24" spans="1:3" x14ac:dyDescent="0.25">
      <c r="A24">
        <v>6</v>
      </c>
      <c r="B24">
        <v>1200</v>
      </c>
      <c r="C24">
        <v>2</v>
      </c>
    </row>
    <row r="25" spans="1:3" x14ac:dyDescent="0.25">
      <c r="A25">
        <v>7</v>
      </c>
      <c r="B25">
        <v>1200</v>
      </c>
      <c r="C25">
        <v>3</v>
      </c>
    </row>
    <row r="26" spans="1:3" x14ac:dyDescent="0.25">
      <c r="A26">
        <v>8</v>
      </c>
      <c r="B26">
        <v>1200</v>
      </c>
      <c r="C26">
        <v>4</v>
      </c>
    </row>
    <row r="27" spans="1:3" x14ac:dyDescent="0.25">
      <c r="A27">
        <v>9</v>
      </c>
      <c r="B27">
        <v>1500</v>
      </c>
      <c r="C27">
        <v>1</v>
      </c>
    </row>
    <row r="28" spans="1:3" x14ac:dyDescent="0.25">
      <c r="A28">
        <v>10</v>
      </c>
      <c r="B28">
        <v>1500</v>
      </c>
      <c r="C28">
        <v>2</v>
      </c>
    </row>
    <row r="29" spans="1:3" x14ac:dyDescent="0.25">
      <c r="A29">
        <v>11</v>
      </c>
      <c r="B29">
        <v>1500</v>
      </c>
      <c r="C29">
        <v>3</v>
      </c>
    </row>
    <row r="30" spans="1:3" ht="15.75" thickBot="1" x14ac:dyDescent="0.3">
      <c r="A30" s="823">
        <v>12</v>
      </c>
      <c r="B30" s="823">
        <v>1500</v>
      </c>
      <c r="C30" s="823">
        <v>4</v>
      </c>
    </row>
    <row r="31" spans="1:3" x14ac:dyDescent="0.25">
      <c r="A31" t="s">
        <v>241</v>
      </c>
      <c r="B31">
        <f ca="1">OFFSET(B18,B16,0)</f>
        <v>0</v>
      </c>
      <c r="C31">
        <f ca="1">OFFSET(C18,B16,0)</f>
        <v>0</v>
      </c>
    </row>
    <row r="32" spans="1:3" x14ac:dyDescent="0.25">
      <c r="A32" t="s">
        <v>318</v>
      </c>
      <c r="B32" t="str">
        <f ca="1">"DN" &amp; B31 &amp; "-" &amp;C31</f>
        <v>DN0-0</v>
      </c>
    </row>
    <row r="33" spans="1:3" x14ac:dyDescent="0.25">
      <c r="A33" t="s">
        <v>318</v>
      </c>
      <c r="B33" t="str">
        <f ca="1">"DN"&amp;B31&amp; " with " &amp;C31 &amp; " rows"</f>
        <v>DN0 with 0 rows</v>
      </c>
    </row>
    <row r="34" spans="1:3" x14ac:dyDescent="0.25">
      <c r="A34" t="s">
        <v>371</v>
      </c>
      <c r="B34" t="str">
        <f ca="1">"Neck W" &amp;D106&amp;" mm × H" &amp;D107&amp;" mm" &amp;" "&amp;E106</f>
        <v>Neck W[mm] mm × H[mm] mm (no OBD)</v>
      </c>
    </row>
    <row r="35" spans="1:3" x14ac:dyDescent="0.25">
      <c r="A35" t="s">
        <v>372</v>
      </c>
      <c r="B35" t="str">
        <f ca="1">"Face W"&amp;D108&amp;" mm × H" &amp;D109&amp;" mm"</f>
        <v>Face W[mm] mm × H[mm] mm</v>
      </c>
    </row>
    <row r="39" spans="1:3" x14ac:dyDescent="0.25">
      <c r="A39" s="2" t="s">
        <v>129</v>
      </c>
    </row>
    <row r="40" spans="1:3" x14ac:dyDescent="0.25">
      <c r="A40" t="s">
        <v>319</v>
      </c>
      <c r="B40">
        <v>2</v>
      </c>
    </row>
    <row r="42" spans="1:3" x14ac:dyDescent="0.25">
      <c r="B42" t="s">
        <v>320</v>
      </c>
      <c r="C42" t="s">
        <v>197</v>
      </c>
    </row>
    <row r="43" spans="1:3" x14ac:dyDescent="0.25">
      <c r="A43">
        <v>1</v>
      </c>
      <c r="B43" t="s">
        <v>336</v>
      </c>
      <c r="C43" t="s">
        <v>66</v>
      </c>
    </row>
    <row r="44" spans="1:3" x14ac:dyDescent="0.25">
      <c r="A44">
        <v>2</v>
      </c>
      <c r="B44" t="s">
        <v>337</v>
      </c>
      <c r="C44" t="s">
        <v>59</v>
      </c>
    </row>
    <row r="45" spans="1:3" x14ac:dyDescent="0.25">
      <c r="A45" s="824">
        <v>3</v>
      </c>
      <c r="B45" s="824" t="s">
        <v>338</v>
      </c>
      <c r="C45" s="824" t="s">
        <v>68</v>
      </c>
    </row>
    <row r="46" spans="1:3" x14ac:dyDescent="0.25">
      <c r="A46" t="s">
        <v>321</v>
      </c>
      <c r="B46" t="str">
        <f ca="1">OFFSET(B42,B40,0)</f>
        <v>TM</v>
      </c>
      <c r="C46" t="str">
        <f ca="1">OFFSET(C42,B40,0)</f>
        <v>Medium</v>
      </c>
    </row>
    <row r="48" spans="1:3" x14ac:dyDescent="0.25">
      <c r="A48" s="2" t="s">
        <v>322</v>
      </c>
    </row>
    <row r="49" spans="1:4" x14ac:dyDescent="0.25">
      <c r="A49" t="s">
        <v>328</v>
      </c>
      <c r="B49">
        <v>2</v>
      </c>
    </row>
    <row r="51" spans="1:4" x14ac:dyDescent="0.25">
      <c r="B51" t="s">
        <v>320</v>
      </c>
      <c r="C51" t="s">
        <v>197</v>
      </c>
    </row>
    <row r="52" spans="1:4" x14ac:dyDescent="0.25">
      <c r="A52">
        <v>1</v>
      </c>
      <c r="B52" t="s">
        <v>67</v>
      </c>
      <c r="C52" t="s">
        <v>323</v>
      </c>
    </row>
    <row r="53" spans="1:4" x14ac:dyDescent="0.25">
      <c r="A53">
        <v>2</v>
      </c>
      <c r="B53" t="s">
        <v>324</v>
      </c>
      <c r="C53" t="s">
        <v>326</v>
      </c>
    </row>
    <row r="54" spans="1:4" x14ac:dyDescent="0.25">
      <c r="A54" s="824">
        <v>3</v>
      </c>
      <c r="B54" s="824" t="s">
        <v>325</v>
      </c>
      <c r="C54" s="824" t="s">
        <v>327</v>
      </c>
    </row>
    <row r="55" spans="1:4" x14ac:dyDescent="0.25">
      <c r="A55" t="s">
        <v>321</v>
      </c>
      <c r="B55" t="str">
        <f ca="1">OFFSET(B51,B49,0)</f>
        <v>C</v>
      </c>
      <c r="C55" t="str">
        <f ca="1">OFFSET(C51,B49,0)</f>
        <v>Centre</v>
      </c>
    </row>
    <row r="57" spans="1:4" x14ac:dyDescent="0.25">
      <c r="A57" s="2" t="s">
        <v>481</v>
      </c>
    </row>
    <row r="58" spans="1:4" x14ac:dyDescent="0.25">
      <c r="A58" t="s">
        <v>478</v>
      </c>
      <c r="B58">
        <v>1</v>
      </c>
    </row>
    <row r="60" spans="1:4" x14ac:dyDescent="0.25">
      <c r="B60" t="s">
        <v>320</v>
      </c>
      <c r="C60" t="s">
        <v>197</v>
      </c>
      <c r="D60" t="s">
        <v>508</v>
      </c>
    </row>
    <row r="61" spans="1:4" x14ac:dyDescent="0.25">
      <c r="A61">
        <v>1</v>
      </c>
      <c r="B61" t="s">
        <v>479</v>
      </c>
      <c r="C61" t="s">
        <v>483</v>
      </c>
      <c r="D61" t="s">
        <v>506</v>
      </c>
    </row>
    <row r="62" spans="1:4" x14ac:dyDescent="0.25">
      <c r="A62" s="131">
        <v>2</v>
      </c>
      <c r="B62" s="131" t="s">
        <v>480</v>
      </c>
      <c r="C62" s="131" t="s">
        <v>482</v>
      </c>
      <c r="D62" s="131" t="s">
        <v>507</v>
      </c>
    </row>
    <row r="63" spans="1:4" x14ac:dyDescent="0.25">
      <c r="A63" t="s">
        <v>321</v>
      </c>
      <c r="B63" t="str">
        <f ca="1">OFFSET(B60,B58,0)</f>
        <v>SF</v>
      </c>
      <c r="C63" t="str">
        <f ca="1">OFFSET(C60,B58,0)</f>
        <v>With side flanges</v>
      </c>
      <c r="D63" t="str">
        <f ca="1">OFFSET(D60,B58,0)</f>
        <v>K23</v>
      </c>
    </row>
    <row r="65" spans="1:4" x14ac:dyDescent="0.25">
      <c r="A65" s="2" t="s">
        <v>161</v>
      </c>
    </row>
    <row r="66" spans="1:4" x14ac:dyDescent="0.25">
      <c r="A66" t="s">
        <v>329</v>
      </c>
      <c r="B66">
        <v>1</v>
      </c>
    </row>
    <row r="68" spans="1:4" x14ac:dyDescent="0.25">
      <c r="B68" t="s">
        <v>320</v>
      </c>
      <c r="C68" t="s">
        <v>197</v>
      </c>
    </row>
    <row r="69" spans="1:4" x14ac:dyDescent="0.25">
      <c r="A69">
        <v>1</v>
      </c>
      <c r="B69" t="s">
        <v>330</v>
      </c>
      <c r="C69" t="s">
        <v>332</v>
      </c>
    </row>
    <row r="70" spans="1:4" x14ac:dyDescent="0.25">
      <c r="A70">
        <v>2</v>
      </c>
      <c r="B70" t="s">
        <v>331</v>
      </c>
      <c r="C70" t="s">
        <v>333</v>
      </c>
    </row>
    <row r="71" spans="1:4" x14ac:dyDescent="0.25">
      <c r="A71" s="824">
        <v>3</v>
      </c>
      <c r="B71" s="824" t="s">
        <v>374</v>
      </c>
      <c r="C71" s="824" t="s">
        <v>370</v>
      </c>
    </row>
    <row r="72" spans="1:4" x14ac:dyDescent="0.25">
      <c r="A72" t="s">
        <v>321</v>
      </c>
      <c r="B72" t="str">
        <f ca="1">OFFSET(B68,B66,0)</f>
        <v>RAL9003</v>
      </c>
      <c r="C72" t="str">
        <f ca="1">OFFSET(C68,B66,0)</f>
        <v>Signal White</v>
      </c>
      <c r="D72" t="str">
        <f ca="1">IF(B66=3,C71,C72 &amp; " (" &amp; B72 &amp;")")</f>
        <v>Signal White (RAL9003)</v>
      </c>
    </row>
    <row r="74" spans="1:4" x14ac:dyDescent="0.25">
      <c r="A74" s="2" t="s">
        <v>313</v>
      </c>
    </row>
    <row r="75" spans="1:4" x14ac:dyDescent="0.25">
      <c r="A75" t="s">
        <v>335</v>
      </c>
      <c r="B75">
        <v>1</v>
      </c>
    </row>
    <row r="77" spans="1:4" x14ac:dyDescent="0.25">
      <c r="B77" t="s">
        <v>320</v>
      </c>
      <c r="C77" t="s">
        <v>197</v>
      </c>
    </row>
    <row r="78" spans="1:4" x14ac:dyDescent="0.25">
      <c r="A78">
        <v>1</v>
      </c>
      <c r="B78">
        <v>0</v>
      </c>
      <c r="C78" t="s">
        <v>434</v>
      </c>
    </row>
    <row r="79" spans="1:4" x14ac:dyDescent="0.25">
      <c r="A79">
        <v>2</v>
      </c>
      <c r="B79" t="s">
        <v>34</v>
      </c>
      <c r="C79" t="s">
        <v>314</v>
      </c>
    </row>
    <row r="80" spans="1:4" x14ac:dyDescent="0.25">
      <c r="A80" s="825" t="s">
        <v>321</v>
      </c>
      <c r="B80" s="825">
        <f ca="1">OFFSET(B77,B75,0)</f>
        <v>0</v>
      </c>
      <c r="C80" s="825" t="str">
        <f ca="1">OFFSET(C77,B75,0)</f>
        <v>Diffuser only (no conection box)</v>
      </c>
    </row>
    <row r="82" spans="1:5" x14ac:dyDescent="0.25">
      <c r="A82" t="s">
        <v>400</v>
      </c>
    </row>
    <row r="83" spans="1:5" x14ac:dyDescent="0.25">
      <c r="A83" s="131"/>
      <c r="B83" s="131" t="s">
        <v>402</v>
      </c>
      <c r="C83" s="131" t="s">
        <v>407</v>
      </c>
      <c r="D83" s="131"/>
      <c r="E83" s="131"/>
    </row>
    <row r="84" spans="1:5" x14ac:dyDescent="0.25">
      <c r="A84" t="b">
        <v>0</v>
      </c>
      <c r="B84" t="str">
        <f>IF(A84,B83,"D0")</f>
        <v>D0</v>
      </c>
      <c r="C84" t="str">
        <f>IF(A84,C83,"")</f>
        <v/>
      </c>
    </row>
    <row r="86" spans="1:5" x14ac:dyDescent="0.25">
      <c r="A86" s="2" t="s">
        <v>197</v>
      </c>
    </row>
    <row r="87" spans="1:5" x14ac:dyDescent="0.25">
      <c r="A87" t="str">
        <f ca="1">"Diffuser size DN" &amp; B31 &amp; " with " &amp;C31&amp; " row(s)"</f>
        <v>Diffuser size DN0 with 0 row(s)</v>
      </c>
    </row>
    <row r="88" spans="1:5" x14ac:dyDescent="0.25">
      <c r="A88" t="str">
        <f ca="1">"Throw distance set to " &amp; LOWER(C46)</f>
        <v>Throw distance set to medium</v>
      </c>
    </row>
    <row r="89" spans="1:5" x14ac:dyDescent="0.25">
      <c r="A89" t="str">
        <f ca="1">C55  &amp; " discharge in direction of airstream"</f>
        <v>Centre discharge in direction of airstream</v>
      </c>
    </row>
    <row r="90" spans="1:5" x14ac:dyDescent="0.25">
      <c r="A90" t="str">
        <f ca="1">C63</f>
        <v>With side flanges</v>
      </c>
    </row>
    <row r="91" spans="1:5" x14ac:dyDescent="0.25">
      <c r="A91" t="str">
        <f ca="1">"Face painted to " &amp;D72</f>
        <v>Face painted to Signal White (RAL9003)</v>
      </c>
    </row>
    <row r="92" spans="1:5" x14ac:dyDescent="0.25">
      <c r="A92" t="str">
        <f ca="1">C80&amp;" "&amp;C84</f>
        <v xml:space="preserve">Diffuser only (no conection box) </v>
      </c>
    </row>
    <row r="97" spans="1:9" x14ac:dyDescent="0.25">
      <c r="A97" t="s">
        <v>412</v>
      </c>
      <c r="D97" t="b">
        <f>$B$14="AD"</f>
        <v>1</v>
      </c>
      <c r="E97" t="b">
        <f>$B$14="AD"</f>
        <v>1</v>
      </c>
    </row>
    <row r="98" spans="1:9" x14ac:dyDescent="0.25">
      <c r="B98" t="str">
        <f>B14&amp;"-"</f>
        <v>AD-</v>
      </c>
      <c r="C98" t="str">
        <f ca="1">B32&amp;"-"</f>
        <v>DN0-0-</v>
      </c>
      <c r="D98" t="str">
        <f ca="1">IF(D97,B46&amp;"-","")</f>
        <v>TM-</v>
      </c>
      <c r="E98" t="str">
        <f ca="1">IF(E97,B55&amp;"-","")</f>
        <v>C-</v>
      </c>
      <c r="F98" t="str">
        <f ca="1">B63&amp;"-"</f>
        <v>SF-</v>
      </c>
      <c r="G98" t="str">
        <f ca="1">B72&amp;"-"</f>
        <v>RAL9003-</v>
      </c>
      <c r="H98" t="str">
        <f ca="1">B80&amp;"-"</f>
        <v>0-</v>
      </c>
      <c r="I98" t="str">
        <f>B84</f>
        <v>D0</v>
      </c>
    </row>
    <row r="99" spans="1:9" x14ac:dyDescent="0.25">
      <c r="A99" s="2" t="s">
        <v>334</v>
      </c>
      <c r="B99" s="2" t="str">
        <f>IF(B16=0,"Please select a valid size (Row 59)","SMARTEMP BMW-"&amp;B98&amp;C98&amp;D98&amp;E98&amp;F98&amp;G98&amp;H98&amp;I98)</f>
        <v>Please select a valid size (Row 59)</v>
      </c>
    </row>
    <row r="102" spans="1:9" x14ac:dyDescent="0.25">
      <c r="A102" s="2" t="s">
        <v>133</v>
      </c>
    </row>
    <row r="104" spans="1:9" x14ac:dyDescent="0.25">
      <c r="B104" t="s">
        <v>461</v>
      </c>
    </row>
    <row r="105" spans="1:9" x14ac:dyDescent="0.25">
      <c r="A105">
        <v>1</v>
      </c>
      <c r="B105" t="s">
        <v>144</v>
      </c>
      <c r="D105" s="419">
        <f ca="1">OFFSET(BMW_Std_Eqn!$D$329,'BMW-Std-selection'!A105,'BMW-Std-selection'!$B$16)</f>
        <v>0</v>
      </c>
    </row>
    <row r="106" spans="1:9" x14ac:dyDescent="0.25">
      <c r="A106">
        <v>2</v>
      </c>
      <c r="B106" t="s">
        <v>212</v>
      </c>
      <c r="D106" s="419" t="str">
        <f ca="1">OFFSET(BMW_Std_Eqn!$D$329,'BMW-Std-selection'!A106,'BMW-Std-selection'!$B$16)</f>
        <v>[mm]</v>
      </c>
      <c r="E106" s="903" t="str">
        <f>IF(A84,F106,G106)</f>
        <v>(no OBD)</v>
      </c>
      <c r="F106" s="903" t="s">
        <v>503</v>
      </c>
      <c r="G106" s="903" t="s">
        <v>504</v>
      </c>
    </row>
    <row r="107" spans="1:9" x14ac:dyDescent="0.25">
      <c r="A107">
        <v>3</v>
      </c>
      <c r="B107" t="s">
        <v>215</v>
      </c>
      <c r="D107" s="419" t="str">
        <f ca="1">OFFSET(BMW_Std_Eqn!$D$329,'BMW-Std-selection'!A107,'BMW-Std-selection'!$B$16)</f>
        <v>[mm]</v>
      </c>
    </row>
    <row r="108" spans="1:9" x14ac:dyDescent="0.25">
      <c r="A108">
        <v>4</v>
      </c>
      <c r="B108" t="s">
        <v>213</v>
      </c>
      <c r="D108" s="419" t="str">
        <f ca="1">OFFSET(BMW_Std_Eqn!$D$329,'BMW-Std-selection'!A108,'BMW-Std-selection'!$B$16)</f>
        <v>[mm]</v>
      </c>
    </row>
    <row r="109" spans="1:9" x14ac:dyDescent="0.25">
      <c r="A109">
        <v>5</v>
      </c>
      <c r="B109" t="s">
        <v>216</v>
      </c>
      <c r="D109" s="419" t="str">
        <f ca="1">OFFSET(BMW_Std_Eqn!$D$329,'BMW-Std-selection'!A109,'BMW-Std-selection'!$B$16)</f>
        <v>[mm]</v>
      </c>
    </row>
    <row r="110" spans="1:9" x14ac:dyDescent="0.25">
      <c r="A110">
        <v>6</v>
      </c>
      <c r="B110" t="s">
        <v>210</v>
      </c>
      <c r="D110" s="419" t="str">
        <f ca="1">OFFSET(BMW_Std_Eqn!$D$329,'BMW-Std-selection'!A110,'BMW-Std-selection'!$B$16)</f>
        <v>[Pa]</v>
      </c>
    </row>
    <row r="111" spans="1:9" x14ac:dyDescent="0.25">
      <c r="A111">
        <v>7</v>
      </c>
      <c r="B111" t="s">
        <v>293</v>
      </c>
      <c r="D111" s="419">
        <f ca="1">OFFSET(BMW_Std_Eqn!$D$329,'BMW-Std-selection'!A111,'BMW-Std-selection'!$B$16)</f>
        <v>0</v>
      </c>
    </row>
    <row r="112" spans="1:9" x14ac:dyDescent="0.25">
      <c r="A112">
        <v>8</v>
      </c>
      <c r="B112" t="s">
        <v>142</v>
      </c>
      <c r="D112" s="419" t="str">
        <f ca="1">OFFSET(BMW_Std_Eqn!$D$329,'BMW-Std-selection'!A112,'BMW-Std-selection'!$B$16)</f>
        <v>[dB(A)]</v>
      </c>
    </row>
    <row r="113" spans="1:4" x14ac:dyDescent="0.25">
      <c r="A113">
        <v>9</v>
      </c>
      <c r="B113" t="s">
        <v>286</v>
      </c>
      <c r="D113" s="419" t="str">
        <f ca="1">OFFSET(BMW_Std_Eqn!$D$329,'BMW-Std-selection'!A113,'BMW-Std-selection'!$B$16)</f>
        <v>[NC]</v>
      </c>
    </row>
    <row r="114" spans="1:4" x14ac:dyDescent="0.25">
      <c r="A114">
        <v>10</v>
      </c>
      <c r="B114" t="s">
        <v>285</v>
      </c>
      <c r="D114" s="419" t="str">
        <f ca="1">OFFSET(BMW_Std_Eqn!$D$329,'BMW-Std-selection'!A114,'BMW-Std-selection'!$B$16)</f>
        <v>[m]</v>
      </c>
    </row>
    <row r="115" spans="1:4" x14ac:dyDescent="0.25">
      <c r="A115">
        <v>11</v>
      </c>
      <c r="B115" t="s">
        <v>65</v>
      </c>
      <c r="C115" t="s">
        <v>139</v>
      </c>
      <c r="D115" s="419" t="str">
        <f ca="1">OFFSET(BMW_Std_Eqn!$D$329,'BMW-Std-selection'!A115,'BMW-Std-selection'!$B$16)</f>
        <v>[m]</v>
      </c>
    </row>
    <row r="116" spans="1:4" x14ac:dyDescent="0.25">
      <c r="A116">
        <v>12</v>
      </c>
      <c r="B116" t="s">
        <v>65</v>
      </c>
      <c r="C116" t="s">
        <v>57</v>
      </c>
      <c r="D116" s="419" t="str">
        <f ca="1">OFFSET(BMW_Std_Eqn!$D$329,'BMW-Std-selection'!A116,'BMW-Std-selection'!$B$16)</f>
        <v>[m]</v>
      </c>
    </row>
    <row r="117" spans="1:4" x14ac:dyDescent="0.25">
      <c r="A117">
        <v>13</v>
      </c>
      <c r="B117" t="s">
        <v>65</v>
      </c>
      <c r="C117" t="s">
        <v>145</v>
      </c>
      <c r="D117" s="419" t="str">
        <f ca="1">OFFSET(BMW_Std_Eqn!$D$329,'BMW-Std-selection'!A117,'BMW-Std-selection'!$B$16)</f>
        <v>[m]</v>
      </c>
    </row>
    <row r="118" spans="1:4" x14ac:dyDescent="0.25">
      <c r="A118">
        <v>14</v>
      </c>
      <c r="B118" t="s">
        <v>65</v>
      </c>
      <c r="C118" t="s">
        <v>148</v>
      </c>
      <c r="D118" s="419" t="str">
        <f ca="1">OFFSET(BMW_Std_Eqn!$D$329,'BMW-Std-selection'!A118,'BMW-Std-selection'!$B$16)</f>
        <v>[m]</v>
      </c>
    </row>
    <row r="119" spans="1:4" x14ac:dyDescent="0.25">
      <c r="A119">
        <v>15</v>
      </c>
      <c r="B119" t="s">
        <v>58</v>
      </c>
      <c r="C119" t="s">
        <v>56</v>
      </c>
      <c r="D119" s="419" t="str">
        <f ca="1">OFFSET(BMW_Std_Eqn!$D$329,'BMW-Std-selection'!A119,'BMW-Std-selection'!$B$16)</f>
        <v>[m]</v>
      </c>
    </row>
    <row r="120" spans="1:4" x14ac:dyDescent="0.25">
      <c r="A120">
        <v>16</v>
      </c>
      <c r="B120" t="s">
        <v>58</v>
      </c>
      <c r="C120" t="s">
        <v>140</v>
      </c>
      <c r="D120" s="419" t="str">
        <f ca="1">OFFSET(BMW_Std_Eqn!$D$329,'BMW-Std-selection'!A120,'BMW-Std-selection'!$B$16)</f>
        <v>[m]</v>
      </c>
    </row>
    <row r="121" spans="1:4" x14ac:dyDescent="0.25">
      <c r="A121">
        <v>17</v>
      </c>
      <c r="B121" t="s">
        <v>58</v>
      </c>
      <c r="C121" t="s">
        <v>145</v>
      </c>
      <c r="D121" s="419" t="str">
        <f ca="1">OFFSET(BMW_Std_Eqn!$D$329,'BMW-Std-selection'!A121,'BMW-Std-selection'!$B$16)</f>
        <v>[m]</v>
      </c>
    </row>
    <row r="122" spans="1:4" x14ac:dyDescent="0.25">
      <c r="A122">
        <v>18</v>
      </c>
      <c r="B122" t="s">
        <v>58</v>
      </c>
      <c r="C122" t="s">
        <v>148</v>
      </c>
      <c r="D122" s="419" t="str">
        <f ca="1">OFFSET(BMW_Std_Eqn!$D$329,'BMW-Std-selection'!A122,'BMW-Std-selection'!$B$16)</f>
        <v>[m]</v>
      </c>
    </row>
    <row r="123" spans="1:4" x14ac:dyDescent="0.25">
      <c r="A123">
        <v>19</v>
      </c>
      <c r="B123" t="s">
        <v>67</v>
      </c>
      <c r="C123" t="s">
        <v>139</v>
      </c>
      <c r="D123" s="419" t="str">
        <f ca="1">OFFSET(BMW_Std_Eqn!$D$329,'BMW-Std-selection'!A123,'BMW-Std-selection'!$B$16)</f>
        <v>[m]</v>
      </c>
    </row>
    <row r="124" spans="1:4" x14ac:dyDescent="0.25">
      <c r="A124">
        <v>20</v>
      </c>
      <c r="B124" t="s">
        <v>67</v>
      </c>
      <c r="C124" t="s">
        <v>140</v>
      </c>
      <c r="D124" s="419" t="str">
        <f ca="1">OFFSET(BMW_Std_Eqn!$D$329,'BMW-Std-selection'!A124,'BMW-Std-selection'!$B$16)</f>
        <v>[m]</v>
      </c>
    </row>
    <row r="125" spans="1:4" x14ac:dyDescent="0.25">
      <c r="A125">
        <v>21</v>
      </c>
      <c r="B125" t="s">
        <v>67</v>
      </c>
      <c r="C125" t="s">
        <v>145</v>
      </c>
      <c r="D125" s="419" t="str">
        <f ca="1">OFFSET(BMW_Std_Eqn!$D$329,'BMW-Std-selection'!A125,'BMW-Std-selection'!$B$16)</f>
        <v>[m]</v>
      </c>
    </row>
    <row r="126" spans="1:4" x14ac:dyDescent="0.25">
      <c r="A126">
        <v>22</v>
      </c>
      <c r="B126" t="s">
        <v>67</v>
      </c>
      <c r="C126" t="s">
        <v>146</v>
      </c>
      <c r="D126" s="419" t="str">
        <f ca="1">OFFSET(BMW_Std_Eqn!$D$329,'BMW-Std-selection'!A126,'BMW-Std-selection'!$B$16)</f>
        <v>[m]</v>
      </c>
    </row>
    <row r="127" spans="1:4" x14ac:dyDescent="0.25">
      <c r="A127">
        <v>23</v>
      </c>
      <c r="B127" t="s">
        <v>172</v>
      </c>
      <c r="D127" s="419" t="str">
        <f ca="1">OFFSET(BMW_Std_Eqn!$D$329,'BMW-Std-selection'!A127,'BMW-Std-selection'!$B$16)</f>
        <v>[m/s]</v>
      </c>
    </row>
    <row r="128" spans="1:4" x14ac:dyDescent="0.25">
      <c r="A128">
        <v>24</v>
      </c>
      <c r="B128" t="s">
        <v>219</v>
      </c>
      <c r="D128" s="829" t="str">
        <f ca="1">OFFSET(BMW_Std_Eqn!$D$329,'BMW-Std-selection'!A128,'BMW-Std-selection'!$B$16)</f>
        <v>[%]</v>
      </c>
    </row>
    <row r="129" spans="1:6" x14ac:dyDescent="0.25">
      <c r="A129">
        <v>25</v>
      </c>
      <c r="B129" t="s">
        <v>174</v>
      </c>
      <c r="D129" s="829" t="str">
        <f ca="1">OFFSET(BMW_Std_Eqn!$D$329,'BMW-Std-selection'!A129,'BMW-Std-selection'!$B$16)</f>
        <v>[%]</v>
      </c>
    </row>
    <row r="130" spans="1:6" x14ac:dyDescent="0.25">
      <c r="A130">
        <v>26</v>
      </c>
      <c r="B130" t="s">
        <v>221</v>
      </c>
      <c r="D130" s="419">
        <f ca="1">OFFSET(BMW_Std_Eqn!$D$329,'BMW-Std-selection'!A130,'BMW-Std-selection'!$B$16)</f>
        <v>0</v>
      </c>
      <c r="F130" s="821" t="s">
        <v>349</v>
      </c>
    </row>
    <row r="131" spans="1:6" x14ac:dyDescent="0.25">
      <c r="A131">
        <v>27</v>
      </c>
      <c r="B131" t="s">
        <v>358</v>
      </c>
      <c r="D131" s="419">
        <f ca="1">OFFSET(BMW_Std_Eqn!$D$329,'BMW-Std-selection'!A131,'BMW-Std-selection'!$B$16)</f>
        <v>0</v>
      </c>
    </row>
    <row r="133" spans="1:6" x14ac:dyDescent="0.25">
      <c r="A133" t="s">
        <v>188</v>
      </c>
      <c r="B133">
        <f>BMW_Std_Eqn!B6</f>
        <v>1</v>
      </c>
    </row>
    <row r="135" spans="1:6" x14ac:dyDescent="0.25">
      <c r="A135" s="2" t="s">
        <v>342</v>
      </c>
    </row>
    <row r="136" spans="1:6" x14ac:dyDescent="0.25">
      <c r="A136" s="2" t="s">
        <v>250</v>
      </c>
      <c r="B136" t="str">
        <f ca="1" xml:space="preserve"> "Neck ("&amp;C63&amp;")"</f>
        <v>Neck (With side flanges)</v>
      </c>
    </row>
    <row r="137" spans="1:6" x14ac:dyDescent="0.25">
      <c r="A137" t="s">
        <v>343</v>
      </c>
      <c r="B137">
        <f>'BMW-AD-Std Size Calculator'!E8</f>
        <v>100</v>
      </c>
      <c r="C137" t="str">
        <f>BMW_Std_Eqn!C4</f>
        <v>L/s</v>
      </c>
      <c r="D137" t="str">
        <f>BMW_Std_Eqn!C5</f>
        <v>L/s/m²</v>
      </c>
    </row>
    <row r="138" spans="1:6" x14ac:dyDescent="0.25">
      <c r="A138" t="s">
        <v>346</v>
      </c>
      <c r="B138">
        <f>'BMW-AD-Std Size Calculator'!E10</f>
        <v>100</v>
      </c>
    </row>
    <row r="139" spans="1:6" x14ac:dyDescent="0.25">
      <c r="A139" t="s">
        <v>345</v>
      </c>
      <c r="B139">
        <f>B137*B138/100</f>
        <v>100</v>
      </c>
    </row>
    <row r="140" spans="1:6" x14ac:dyDescent="0.25">
      <c r="A140" t="s">
        <v>348</v>
      </c>
      <c r="B140">
        <f>'BMW-AD-Std Size Calculator'!E16</f>
        <v>-12</v>
      </c>
    </row>
    <row r="141" spans="1:6" x14ac:dyDescent="0.25">
      <c r="A141" t="s">
        <v>179</v>
      </c>
      <c r="B141">
        <f>'BMW-AD-Std Size Calculator'!E14</f>
        <v>2.5</v>
      </c>
    </row>
    <row r="142" spans="1:6" x14ac:dyDescent="0.25">
      <c r="A142" t="s">
        <v>454</v>
      </c>
      <c r="B142">
        <f ca="1">BMW_Std_Eqn!B212</f>
        <v>5.3</v>
      </c>
    </row>
    <row r="143" spans="1:6" x14ac:dyDescent="0.25">
      <c r="A143" t="s">
        <v>505</v>
      </c>
      <c r="B143" t="str">
        <f ca="1">C63&amp; " (selected in cell " &amp;D63&amp;")"</f>
        <v>With side flanges (selected in cell K23)</v>
      </c>
    </row>
    <row r="145" spans="1:4" x14ac:dyDescent="0.25">
      <c r="A145" t="s">
        <v>458</v>
      </c>
      <c r="B145" s="93">
        <f ca="1">ROUND(BMW_Std_Eqn!B188,1)</f>
        <v>4.3</v>
      </c>
    </row>
    <row r="146" spans="1:4" x14ac:dyDescent="0.25">
      <c r="A146" t="s">
        <v>459</v>
      </c>
      <c r="B146" s="93">
        <f ca="1">ROUND(BMW_Std_Eqn!B189,1)</f>
        <v>4.3</v>
      </c>
    </row>
    <row r="147" spans="1:4" x14ac:dyDescent="0.25">
      <c r="A147" t="s">
        <v>453</v>
      </c>
      <c r="B147" t="str">
        <f ca="1">"Nominal Selection: Throw Length/Breadth = " &amp;B145&amp;" m/"&amp;B146&amp;" m ("&amp;BMW_Std_Eqn!B192 &amp; " " &amp;BMW_Std_Eqn!C5&amp;")"</f>
        <v>Nominal Selection: Throw Length/Breadth = 4.3 m/4.3 m (5.3 L/s/m²)</v>
      </c>
    </row>
    <row r="149" spans="1:4" x14ac:dyDescent="0.25">
      <c r="A149" s="2" t="s">
        <v>417</v>
      </c>
    </row>
    <row r="150" spans="1:4" x14ac:dyDescent="0.25">
      <c r="A150" t="s">
        <v>416</v>
      </c>
      <c r="B150" t="str">
        <f>IF(A84,C150,D150)</f>
        <v>+ 8 mm to neck dimensions with optional opposed blade damper (OBD)</v>
      </c>
      <c r="C150" t="s">
        <v>521</v>
      </c>
      <c r="D150" s="902" t="s">
        <v>526</v>
      </c>
    </row>
    <row r="158" spans="1:4" x14ac:dyDescent="0.25">
      <c r="A158" t="s">
        <v>341</v>
      </c>
      <c r="B158" t="str">
        <f ca="1">B137 &amp;" " &amp;C137 &amp; " @ " &amp;D110&amp; " Pa total"</f>
        <v>100 L/s @ [Pa] Pa total</v>
      </c>
    </row>
    <row r="159" spans="1:4" x14ac:dyDescent="0.25">
      <c r="A159" t="s">
        <v>344</v>
      </c>
      <c r="B159" t="str">
        <f>B139&amp; " " &amp; C137 &amp;" (VAV turndown to " &amp;B138&amp;"% )"</f>
        <v>100 L/s (VAV turndown to 100% )</v>
      </c>
    </row>
    <row r="160" spans="1:4" x14ac:dyDescent="0.25">
      <c r="A160" t="s">
        <v>347</v>
      </c>
      <c r="B160" t="str">
        <f ca="1">D111 &amp;" " &amp;C137 &amp; " @ ΔT = "&amp;B140 &amp; " K"</f>
        <v>0 L/s @ ΔT = -12 K</v>
      </c>
    </row>
    <row r="165" spans="1:3" x14ac:dyDescent="0.25">
      <c r="A165" t="s">
        <v>350</v>
      </c>
    </row>
    <row r="166" spans="1:3" x14ac:dyDescent="0.25">
      <c r="A166" t="s">
        <v>351</v>
      </c>
      <c r="B166" t="str">
        <f ca="1">D112 &amp; " dB(A)"</f>
        <v>[dB(A)] dB(A)</v>
      </c>
    </row>
    <row r="167" spans="1:3" x14ac:dyDescent="0.25">
      <c r="A167" t="s">
        <v>352</v>
      </c>
      <c r="B167" t="str">
        <f ca="1">D113 &amp; " NC (based on 10 dB room absorption)"</f>
        <v>[NC] NC (based on 10 dB room absorption)</v>
      </c>
    </row>
    <row r="169" spans="1:3" x14ac:dyDescent="0.25">
      <c r="A169" t="str">
        <f ca="1">"Specific airflow rate = "&amp;B142&amp;" "&amp;D137</f>
        <v>Specific airflow rate = 5.3 L/s/m²</v>
      </c>
    </row>
    <row r="170" spans="1:3" x14ac:dyDescent="0.25">
      <c r="A170" t="s">
        <v>124</v>
      </c>
      <c r="B170" s="514">
        <f>'BMW-AD-Std Size Calculator'!N10</f>
        <v>0.9</v>
      </c>
    </row>
    <row r="171" spans="1:3" x14ac:dyDescent="0.25">
      <c r="A171" t="s">
        <v>355</v>
      </c>
      <c r="B171" t="str">
        <f ca="1">D127&amp; " m/s"</f>
        <v>[m/s] m/s</v>
      </c>
    </row>
    <row r="172" spans="1:3" x14ac:dyDescent="0.25">
      <c r="A172" t="s">
        <v>356</v>
      </c>
      <c r="B172" t="e">
        <f ca="1">D128*100 &amp; "% @ room temperature of "  &amp; 'BMW-AD-Std Size Calculator'!N19 &amp;"°C"</f>
        <v>#VALUE!</v>
      </c>
    </row>
    <row r="173" spans="1:3" x14ac:dyDescent="0.25">
      <c r="A173" t="s">
        <v>357</v>
      </c>
      <c r="B173" s="514" t="str">
        <f ca="1">D129</f>
        <v>[%]</v>
      </c>
    </row>
    <row r="174" spans="1:3" x14ac:dyDescent="0.25">
      <c r="A174" t="s">
        <v>363</v>
      </c>
      <c r="B174" s="514" t="str">
        <f ca="1">"Category " &amp; D130</f>
        <v>Category 0</v>
      </c>
    </row>
    <row r="175" spans="1:3" x14ac:dyDescent="0.25">
      <c r="A175" t="s">
        <v>358</v>
      </c>
      <c r="B175" s="514" t="str">
        <f ca="1">"-"&amp;C175&amp;" ≤ PMV ≤ +" &amp;C175</f>
        <v>-0 ≤ PMV ≤ +0</v>
      </c>
      <c r="C175" t="str">
        <f ca="1">RIGHT(D131,3)</f>
        <v>0</v>
      </c>
    </row>
    <row r="176" spans="1:3" x14ac:dyDescent="0.25">
      <c r="B176" s="514"/>
    </row>
    <row r="177" spans="1:3" x14ac:dyDescent="0.25">
      <c r="A177" s="2" t="s">
        <v>340</v>
      </c>
      <c r="B177" s="514"/>
    </row>
    <row r="178" spans="1:3" x14ac:dyDescent="0.25">
      <c r="A178" t="s">
        <v>450</v>
      </c>
      <c r="B178" s="514" t="str">
        <f>IF(BMW_Std_Eqn!B25=1,"Nominal",IF(BMW_Std_Eqn!B25=2,"Selected","Average"))</f>
        <v>Nominal</v>
      </c>
    </row>
    <row r="179" spans="1:3" x14ac:dyDescent="0.25">
      <c r="A179" t="s">
        <v>396</v>
      </c>
      <c r="B179" s="514" t="str">
        <f ca="1">C46&amp; " throw selected"</f>
        <v>Medium throw selected</v>
      </c>
    </row>
    <row r="180" spans="1:3" x14ac:dyDescent="0.25">
      <c r="A180" t="s">
        <v>397</v>
      </c>
      <c r="B180" t="str">
        <f ca="1">B141 &amp; " m selected install height (" &amp;D114&amp;" m min recommended)"</f>
        <v>2.5 m selected install height ([m] m min recommended)</v>
      </c>
    </row>
    <row r="181" spans="1:3" x14ac:dyDescent="0.25">
      <c r="A181" t="s">
        <v>179</v>
      </c>
      <c r="B181" s="93" t="str">
        <f ca="1">D114&amp;" m minimum recommended height"</f>
        <v>[m] m minimum recommended height</v>
      </c>
    </row>
    <row r="182" spans="1:3" x14ac:dyDescent="0.25">
      <c r="A182" t="s">
        <v>139</v>
      </c>
      <c r="B182" s="93" t="str">
        <f ca="1">TEXT(OFFSET(D115,($B$40-1)*4,),"0.0")</f>
        <v>[m]</v>
      </c>
    </row>
    <row r="183" spans="1:3" x14ac:dyDescent="0.25">
      <c r="A183" t="s">
        <v>57</v>
      </c>
      <c r="B183" s="93" t="str">
        <f ca="1">TEXT(OFFSET(D116,($B$40-1)*4,),"0.0")</f>
        <v>[m]</v>
      </c>
    </row>
    <row r="184" spans="1:3" x14ac:dyDescent="0.25">
      <c r="A184" t="s">
        <v>145</v>
      </c>
      <c r="B184" s="93" t="str">
        <f ca="1">TEXT(OFFSET(D117,($B$40-1)*4,),"0.0")</f>
        <v>[m]</v>
      </c>
    </row>
    <row r="185" spans="1:3" x14ac:dyDescent="0.25">
      <c r="A185" t="s">
        <v>148</v>
      </c>
      <c r="B185" s="93" t="str">
        <f ca="1">TEXT(OFFSET(D118,($B$40-1)*4,),"0.0")</f>
        <v>[m]</v>
      </c>
    </row>
    <row r="187" spans="1:3" x14ac:dyDescent="0.25">
      <c r="A187" t="s">
        <v>67</v>
      </c>
      <c r="B187" s="93" t="str">
        <f ca="1">B182 &amp; " m - " &amp;B183&amp; " m"</f>
        <v>[m] m - [m] m</v>
      </c>
    </row>
    <row r="188" spans="1:3" x14ac:dyDescent="0.25">
      <c r="A188" t="s">
        <v>180</v>
      </c>
      <c r="B188" s="93" t="str">
        <f ca="1">B184 &amp; " m - " &amp;B185&amp; " m"</f>
        <v>[m] m - [m] m</v>
      </c>
    </row>
    <row r="189" spans="1:3" ht="30" x14ac:dyDescent="0.25">
      <c r="A189" t="s">
        <v>67</v>
      </c>
      <c r="B189" t="str">
        <f ca="1">TEXT(BMW_Std_Eqn!B207,"0.0")&amp;" m "&amp;B178</f>
        <v>4.3 m Nominal</v>
      </c>
      <c r="C189" s="903" t="str">
        <f ca="1">B189&amp;CHAR(10)&amp;B187</f>
        <v>4.3 m Nominal
[m] m - [m] m</v>
      </c>
    </row>
    <row r="190" spans="1:3" ht="30" x14ac:dyDescent="0.25">
      <c r="A190" t="s">
        <v>180</v>
      </c>
      <c r="B190" t="str">
        <f ca="1">TEXT(BMW_Std_Eqn!B208,"0.0")&amp;" m "&amp;B178</f>
        <v>4.3 m Nominal</v>
      </c>
      <c r="C190" s="903" t="str">
        <f ca="1">B190&amp;CHAR(10)&amp;B188</f>
        <v>4.3 m Nominal
[m] m - [m] m</v>
      </c>
    </row>
    <row r="191" spans="1:3" x14ac:dyDescent="0.25">
      <c r="A191" t="str">
        <f>"Recommended distances for ≥ " &amp;TEXT('BMW-AD-Std Size Calculator'!N10,"00%")&amp; " ADPI"</f>
        <v>Recommended distances for ≥ 90% ADPI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79998168889431442"/>
  </sheetPr>
  <dimension ref="A1:G46"/>
  <sheetViews>
    <sheetView view="pageLayout" zoomScaleNormal="100" workbookViewId="0">
      <selection activeCell="B3" sqref="B3:E3"/>
    </sheetView>
  </sheetViews>
  <sheetFormatPr defaultColWidth="9.28515625" defaultRowHeight="15" x14ac:dyDescent="0.25"/>
  <cols>
    <col min="1" max="1" width="23.28515625" style="924" customWidth="1"/>
    <col min="2" max="2" width="10.7109375" style="924" customWidth="1"/>
    <col min="3" max="3" width="11.5703125" style="924" customWidth="1"/>
    <col min="4" max="4" width="22.28515625" style="924" customWidth="1"/>
    <col min="5" max="5" width="19.42578125" style="924" customWidth="1"/>
    <col min="6" max="6" width="7.28515625" style="924" customWidth="1"/>
    <col min="7" max="7" width="5.7109375" style="924" customWidth="1"/>
    <col min="8" max="16384" width="9.28515625" style="924"/>
  </cols>
  <sheetData>
    <row r="1" spans="1:7" ht="36.4" customHeight="1" x14ac:dyDescent="0.25">
      <c r="A1" s="922"/>
      <c r="B1" s="923" t="s">
        <v>469</v>
      </c>
    </row>
    <row r="2" spans="1:7" ht="15.4" customHeight="1" x14ac:dyDescent="0.25">
      <c r="A2" s="933"/>
      <c r="B2" s="933"/>
      <c r="C2" s="933"/>
      <c r="D2" s="933"/>
      <c r="E2" s="933"/>
    </row>
    <row r="3" spans="1:7" ht="15.4" customHeight="1" x14ac:dyDescent="0.25">
      <c r="A3" s="934" t="s">
        <v>190</v>
      </c>
      <c r="B3" s="1081" t="str">
        <f>'BMW-AD-Std Size Calculator'!D5</f>
        <v>&lt;Project Name&gt;</v>
      </c>
      <c r="C3" s="1081"/>
      <c r="D3" s="1081"/>
      <c r="E3" s="1081"/>
      <c r="F3" s="929"/>
      <c r="G3" s="929"/>
    </row>
    <row r="4" spans="1:7" ht="15.4" customHeight="1" x14ac:dyDescent="0.25">
      <c r="A4" s="934" t="s">
        <v>191</v>
      </c>
      <c r="B4" s="1081" t="s">
        <v>202</v>
      </c>
      <c r="C4" s="1081"/>
      <c r="D4" s="1081"/>
      <c r="E4" s="1081"/>
      <c r="F4" s="929"/>
      <c r="G4" s="929"/>
    </row>
    <row r="5" spans="1:7" ht="15.4" customHeight="1" x14ac:dyDescent="0.25">
      <c r="A5" s="934" t="s">
        <v>436</v>
      </c>
      <c r="B5" s="1081" t="s">
        <v>202</v>
      </c>
      <c r="C5" s="1081"/>
      <c r="D5" s="1081"/>
      <c r="E5" s="1081"/>
      <c r="F5" s="929"/>
      <c r="G5" s="929"/>
    </row>
    <row r="6" spans="1:7" ht="15.4" customHeight="1" x14ac:dyDescent="0.25">
      <c r="A6" s="935"/>
      <c r="B6" s="933"/>
      <c r="C6" s="933"/>
      <c r="D6" s="933"/>
      <c r="E6" s="933"/>
    </row>
    <row r="7" spans="1:7" ht="15.4" customHeight="1" x14ac:dyDescent="0.25">
      <c r="A7" s="934" t="s">
        <v>192</v>
      </c>
      <c r="B7" s="933" t="s">
        <v>470</v>
      </c>
      <c r="C7" s="933"/>
      <c r="D7" s="933"/>
      <c r="E7" s="933"/>
    </row>
    <row r="8" spans="1:7" ht="15.4" customHeight="1" x14ac:dyDescent="0.25">
      <c r="A8" s="934"/>
      <c r="B8" s="933" t="s">
        <v>472</v>
      </c>
      <c r="C8" s="933"/>
      <c r="D8" s="933"/>
      <c r="E8" s="933"/>
    </row>
    <row r="9" spans="1:7" ht="15.4" customHeight="1" x14ac:dyDescent="0.25">
      <c r="A9" s="934" t="s">
        <v>198</v>
      </c>
      <c r="B9" s="933" t="str">
        <f ca="1">'BMW-Std-selection'!B33</f>
        <v>DN0 with 0 rows</v>
      </c>
      <c r="C9" s="933"/>
      <c r="D9" s="933"/>
      <c r="E9" s="933"/>
    </row>
    <row r="10" spans="1:7" ht="15.4" customHeight="1" x14ac:dyDescent="0.25">
      <c r="A10" s="935"/>
      <c r="B10" s="933"/>
      <c r="C10" s="933"/>
      <c r="D10" s="933"/>
      <c r="E10" s="936"/>
    </row>
    <row r="11" spans="1:7" ht="15.4" customHeight="1" x14ac:dyDescent="0.25">
      <c r="A11" s="937" t="s">
        <v>193</v>
      </c>
      <c r="B11" s="938"/>
      <c r="C11" s="932"/>
      <c r="D11" s="932"/>
      <c r="E11" s="937"/>
      <c r="F11" s="927"/>
      <c r="G11" s="927"/>
    </row>
    <row r="12" spans="1:7" ht="15.4" customHeight="1" x14ac:dyDescent="0.25">
      <c r="A12" s="939" t="s">
        <v>194</v>
      </c>
      <c r="B12" s="940" t="str">
        <f ca="1">'BMW-Std-selection'!B158</f>
        <v>100 L/s @ [Pa] Pa total</v>
      </c>
      <c r="C12" s="932"/>
      <c r="D12" s="932"/>
      <c r="E12" s="932"/>
      <c r="F12" s="930"/>
      <c r="G12" s="927"/>
    </row>
    <row r="13" spans="1:7" ht="15.4" customHeight="1" x14ac:dyDescent="0.25">
      <c r="A13" s="939" t="s">
        <v>353</v>
      </c>
      <c r="B13" s="940" t="str">
        <f>'BMW-Std-selection'!B159</f>
        <v>100 L/s (VAV turndown to 100% )</v>
      </c>
      <c r="C13" s="932"/>
      <c r="D13" s="932"/>
      <c r="E13" s="932"/>
      <c r="F13" s="931"/>
      <c r="G13" s="927"/>
    </row>
    <row r="14" spans="1:7" ht="15.4" customHeight="1" x14ac:dyDescent="0.25">
      <c r="A14" s="939" t="s">
        <v>354</v>
      </c>
      <c r="B14" s="940" t="str">
        <f ca="1">'BMW-Std-selection'!B160</f>
        <v>0 L/s @ ΔT = -12 K</v>
      </c>
      <c r="C14" s="932"/>
      <c r="D14" s="932"/>
      <c r="E14" s="932"/>
      <c r="F14" s="931"/>
      <c r="G14" s="927"/>
    </row>
    <row r="15" spans="1:7" ht="15.4" customHeight="1" x14ac:dyDescent="0.25">
      <c r="A15" s="939"/>
      <c r="B15" s="938"/>
      <c r="C15" s="932"/>
      <c r="D15" s="932"/>
      <c r="E15" s="932"/>
      <c r="F15" s="931"/>
      <c r="G15" s="927"/>
    </row>
    <row r="16" spans="1:7" ht="15.4" customHeight="1" x14ac:dyDescent="0.25">
      <c r="A16" s="937" t="s">
        <v>195</v>
      </c>
      <c r="B16" s="932"/>
      <c r="C16" s="932"/>
      <c r="D16" s="933"/>
      <c r="E16" s="933"/>
    </row>
    <row r="17" spans="1:7" ht="15.4" customHeight="1" x14ac:dyDescent="0.25">
      <c r="A17" s="939" t="s">
        <v>142</v>
      </c>
      <c r="B17" s="941" t="str">
        <f ca="1">'BMW-Std-selection'!B166</f>
        <v>[dB(A)] dB(A)</v>
      </c>
      <c r="C17" s="932"/>
      <c r="D17" s="933"/>
      <c r="E17" s="933"/>
    </row>
    <row r="18" spans="1:7" ht="15.4" customHeight="1" x14ac:dyDescent="0.25">
      <c r="A18" s="939" t="s">
        <v>211</v>
      </c>
      <c r="B18" s="941" t="str">
        <f ca="1">'BMW-Std-selection'!B167</f>
        <v>[NC] NC (based on 10 dB room absorption)</v>
      </c>
      <c r="C18" s="932"/>
      <c r="D18" s="933"/>
      <c r="E18" s="928"/>
    </row>
    <row r="19" spans="1:7" ht="15.4" customHeight="1" x14ac:dyDescent="0.25">
      <c r="A19" s="935"/>
      <c r="B19" s="943"/>
      <c r="C19" s="933"/>
      <c r="D19" s="933"/>
      <c r="E19" s="933"/>
    </row>
    <row r="20" spans="1:7" ht="15.4" customHeight="1" x14ac:dyDescent="0.25">
      <c r="A20" s="937" t="s">
        <v>435</v>
      </c>
      <c r="B20" s="932" t="s">
        <v>437</v>
      </c>
      <c r="C20" s="932"/>
      <c r="D20" s="932"/>
      <c r="E20" s="932"/>
      <c r="F20" s="927"/>
      <c r="G20" s="927"/>
    </row>
    <row r="21" spans="1:7" ht="15.4" customHeight="1" x14ac:dyDescent="0.25">
      <c r="A21" s="939" t="s">
        <v>451</v>
      </c>
      <c r="B21" s="945">
        <f>'BMW-Std-selection'!B170</f>
        <v>0.9</v>
      </c>
      <c r="C21" s="932"/>
      <c r="D21" s="932"/>
      <c r="E21" s="932"/>
    </row>
    <row r="22" spans="1:7" ht="15.4" customHeight="1" x14ac:dyDescent="0.25">
      <c r="A22" s="939" t="s">
        <v>172</v>
      </c>
      <c r="B22" s="947" t="str">
        <f ca="1">'BMW-Std-selection'!B171</f>
        <v>[m/s] m/s</v>
      </c>
      <c r="C22" s="932"/>
      <c r="D22" s="932"/>
      <c r="E22" s="932"/>
      <c r="F22" s="927"/>
      <c r="G22" s="927"/>
    </row>
    <row r="23" spans="1:7" ht="15.4" customHeight="1" x14ac:dyDescent="0.25">
      <c r="A23" s="939" t="s">
        <v>364</v>
      </c>
      <c r="B23" s="947" t="e">
        <f ca="1">'BMW-Std-selection'!B172</f>
        <v>#VALUE!</v>
      </c>
      <c r="C23" s="932"/>
      <c r="D23" s="932"/>
      <c r="E23" s="932"/>
      <c r="F23" s="927"/>
      <c r="G23" s="927"/>
    </row>
    <row r="24" spans="1:7" ht="15.4" customHeight="1" x14ac:dyDescent="0.25">
      <c r="A24" s="939" t="s">
        <v>174</v>
      </c>
      <c r="B24" s="948" t="str">
        <f ca="1">'BMW-Std-selection'!B173</f>
        <v>[%]</v>
      </c>
      <c r="C24" s="932"/>
      <c r="D24" s="932"/>
      <c r="E24" s="932"/>
      <c r="F24" s="927"/>
      <c r="G24" s="927"/>
    </row>
    <row r="25" spans="1:7" ht="15.4" customHeight="1" x14ac:dyDescent="0.25">
      <c r="A25" s="939" t="s">
        <v>196</v>
      </c>
      <c r="B25" s="947" t="str">
        <f ca="1">'BMW-Std-selection'!B174</f>
        <v>Category 0</v>
      </c>
      <c r="C25" s="946"/>
      <c r="D25" s="932"/>
      <c r="E25" s="932"/>
      <c r="F25" s="927"/>
      <c r="G25" s="927"/>
    </row>
    <row r="26" spans="1:7" ht="15.4" customHeight="1" x14ac:dyDescent="0.25">
      <c r="A26" s="939" t="s">
        <v>365</v>
      </c>
      <c r="B26" s="947" t="str">
        <f ca="1">'BMW-Std-selection'!B175</f>
        <v>-0 ≤ PMV ≤ +0</v>
      </c>
      <c r="C26" s="933"/>
      <c r="E26" s="933"/>
      <c r="F26" s="927"/>
      <c r="G26" s="927"/>
    </row>
    <row r="27" spans="1:7" ht="15.4" customHeight="1" x14ac:dyDescent="0.25">
      <c r="A27" s="950" t="s">
        <v>366</v>
      </c>
      <c r="B27" s="944"/>
      <c r="C27" s="941"/>
      <c r="D27" s="932"/>
      <c r="E27" s="932"/>
      <c r="F27" s="927"/>
      <c r="G27" s="927"/>
    </row>
    <row r="28" spans="1:7" ht="15.4" customHeight="1" x14ac:dyDescent="0.25">
      <c r="F28" s="927"/>
    </row>
    <row r="29" spans="1:7" ht="15.4" customHeight="1" x14ac:dyDescent="0.25">
      <c r="A29" s="937" t="str">
        <f>'BMW-Std-selection'!A191</f>
        <v>Recommended distances for ≥ 90% ADPI</v>
      </c>
      <c r="F29" s="927"/>
    </row>
    <row r="30" spans="1:7" ht="15.4" customHeight="1" x14ac:dyDescent="0.25">
      <c r="A30" s="941" t="str">
        <f ca="1">'BMW-Std-selection'!B179</f>
        <v>Medium throw selected</v>
      </c>
      <c r="F30" s="927"/>
    </row>
    <row r="31" spans="1:7" ht="15.4" customHeight="1" x14ac:dyDescent="0.25">
      <c r="A31" s="941" t="str">
        <f ca="1">'BMW-Std-selection'!B180</f>
        <v>2.5 m selected install height ([m] m min recommended)</v>
      </c>
      <c r="F31" s="927"/>
    </row>
    <row r="32" spans="1:7" ht="15.4" customHeight="1" x14ac:dyDescent="0.25">
      <c r="F32" s="927"/>
    </row>
    <row r="33" spans="1:7" ht="15.4" customHeight="1" x14ac:dyDescent="0.25">
      <c r="F33" s="927"/>
    </row>
    <row r="34" spans="1:7" ht="15.4" customHeight="1" x14ac:dyDescent="0.25">
      <c r="A34" s="933"/>
      <c r="B34" s="933"/>
      <c r="C34" s="933"/>
      <c r="D34" s="933"/>
      <c r="E34" s="933"/>
    </row>
    <row r="36" spans="1:7" ht="15.4" customHeight="1" x14ac:dyDescent="0.25">
      <c r="A36" s="937" t="s">
        <v>197</v>
      </c>
      <c r="B36" s="932" t="str">
        <f ca="1">'BMW-Std-selection'!A87</f>
        <v>Diffuser size DN0 with 0 row(s)</v>
      </c>
      <c r="C36" s="932"/>
      <c r="D36" s="932"/>
      <c r="E36" s="932"/>
      <c r="F36" s="926"/>
    </row>
    <row r="37" spans="1:7" ht="15.4" customHeight="1" x14ac:dyDescent="0.25">
      <c r="A37" s="937"/>
      <c r="B37" s="932" t="str">
        <f ca="1">'BMW-Std-selection'!B34</f>
        <v>Neck W[mm] mm × H[mm] mm (no OBD)</v>
      </c>
      <c r="C37" s="932"/>
      <c r="D37" s="932"/>
      <c r="E37" s="932"/>
      <c r="F37" s="927"/>
    </row>
    <row r="38" spans="1:7" ht="15.4" customHeight="1" x14ac:dyDescent="0.25">
      <c r="A38" s="937"/>
      <c r="B38" s="932" t="str">
        <f ca="1">'BMW-Std-selection'!B35</f>
        <v>Face W[mm] mm × H[mm] mm</v>
      </c>
      <c r="C38" s="932"/>
      <c r="D38" s="932"/>
      <c r="E38" s="932"/>
      <c r="F38" s="927"/>
    </row>
    <row r="39" spans="1:7" ht="15.4" customHeight="1" x14ac:dyDescent="0.25">
      <c r="A39" s="937"/>
      <c r="B39" s="932" t="str">
        <f ca="1">'BMW-Std-selection'!A88</f>
        <v>Throw distance set to medium</v>
      </c>
      <c r="C39" s="940"/>
      <c r="D39" s="940"/>
      <c r="E39" s="940"/>
      <c r="F39" s="927"/>
    </row>
    <row r="40" spans="1:7" ht="15.4" customHeight="1" x14ac:dyDescent="0.25">
      <c r="A40" s="939"/>
      <c r="B40" s="932" t="str">
        <f ca="1">'BMW-Std-selection'!A89</f>
        <v>Centre discharge in direction of airstream</v>
      </c>
      <c r="C40" s="932"/>
      <c r="D40" s="932"/>
      <c r="E40" s="932"/>
      <c r="F40" s="927"/>
    </row>
    <row r="41" spans="1:7" ht="15.4" customHeight="1" x14ac:dyDescent="0.25">
      <c r="A41" s="939"/>
      <c r="B41" s="932" t="str">
        <f ca="1">'BMW-Std-selection'!A90</f>
        <v>With side flanges</v>
      </c>
      <c r="C41" s="932"/>
      <c r="D41" s="932"/>
      <c r="E41" s="932"/>
      <c r="F41" s="927"/>
    </row>
    <row r="42" spans="1:7" ht="15.4" customHeight="1" x14ac:dyDescent="0.25">
      <c r="A42" s="939"/>
      <c r="B42" s="932" t="str">
        <f ca="1">'BMW-Std-selection'!A91</f>
        <v>Face painted to Signal White (RAL9003)</v>
      </c>
      <c r="C42" s="932"/>
      <c r="D42" s="932"/>
      <c r="E42" s="932"/>
      <c r="F42" s="925"/>
      <c r="G42" s="925"/>
    </row>
    <row r="43" spans="1:7" ht="15.4" customHeight="1" x14ac:dyDescent="0.25">
      <c r="A43" s="939"/>
      <c r="B43" s="932" t="str">
        <f ca="1">'BMW-Std-selection'!A92</f>
        <v xml:space="preserve">Diffuser only (no conection box) </v>
      </c>
      <c r="C43" s="932"/>
      <c r="D43" s="932"/>
      <c r="E43" s="932"/>
      <c r="F43" s="925"/>
      <c r="G43" s="925"/>
    </row>
    <row r="44" spans="1:7" ht="15.4" customHeight="1" x14ac:dyDescent="0.25">
      <c r="A44" s="933"/>
      <c r="B44" s="933"/>
      <c r="C44" s="932"/>
      <c r="D44" s="932"/>
      <c r="E44" s="932"/>
      <c r="F44" s="925"/>
      <c r="G44" s="925"/>
    </row>
    <row r="45" spans="1:7" ht="15.4" customHeight="1" x14ac:dyDescent="0.25">
      <c r="A45" s="937" t="s">
        <v>168</v>
      </c>
      <c r="B45" s="949" t="str">
        <f>'BMW-Std-selection'!B99</f>
        <v>Please select a valid size (Row 59)</v>
      </c>
      <c r="C45" s="933"/>
      <c r="D45" s="933"/>
      <c r="E45" s="933"/>
      <c r="F45" s="925"/>
      <c r="G45" s="925"/>
    </row>
    <row r="46" spans="1:7" ht="15.4" customHeight="1" x14ac:dyDescent="0.25"/>
  </sheetData>
  <sheetProtection algorithmName="SHA-512" hashValue="5t/Cq5rOtxyDGv9QlneCwNmmhkOtEKwESPib+Vfn3qhMMa/z329Y0uhWVNePLwp66YIvBEvYKVql4Ly8bQsLbw==" saltValue="VhBuXiwXgOmYaJZzxEh1wA==" spinCount="100000" sheet="1" selectLockedCells="1"/>
  <mergeCells count="3">
    <mergeCell ref="B3:E3"/>
    <mergeCell ref="B4:E4"/>
    <mergeCell ref="B5:E5"/>
  </mergeCells>
  <conditionalFormatting sqref="B9:E9">
    <cfRule type="expression" dxfId="1197" priority="1">
      <formula>(LEFT($B$9,1)="p")</formula>
    </cfRule>
  </conditionalFormatting>
  <pageMargins left="0.7" right="0.7" top="0.75" bottom="0.75" header="0.3" footer="0.3"/>
  <pageSetup paperSize="9" orientation="portrait" horizontalDpi="4294967293" verticalDpi="4294967293" r:id="rId1"/>
  <headerFooter>
    <oddFooter>&amp;R&amp;10© 2026 SMARTAIR DIFFUSION</oddFooter>
  </headerFooter>
  <drawing r:id="rId2"/>
  <legacyDrawing r:id="rId3"/>
  <oleObjects>
    <mc:AlternateContent xmlns:mc="http://schemas.openxmlformats.org/markup-compatibility/2006">
      <mc:Choice Requires="x14">
        <oleObject progId="Visio.Drawing.15" shapeId="16388" r:id="rId4">
          <objectPr defaultSize="0" autoPict="0" r:id="rId5">
            <anchor moveWithCells="1">
              <from>
                <xdr:col>3</xdr:col>
                <xdr:colOff>28575</xdr:colOff>
                <xdr:row>25</xdr:row>
                <xdr:rowOff>171450</xdr:rowOff>
              </from>
              <to>
                <xdr:col>4</xdr:col>
                <xdr:colOff>1009650</xdr:colOff>
                <xdr:row>34</xdr:row>
                <xdr:rowOff>28575</xdr:rowOff>
              </to>
            </anchor>
          </objectPr>
        </oleObject>
      </mc:Choice>
      <mc:Fallback>
        <oleObject progId="Visio.Drawing.15" shapeId="16388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>
    <tabColor theme="7" tint="0.79998168889431442"/>
  </sheetPr>
  <dimension ref="B1:V75"/>
  <sheetViews>
    <sheetView zoomScaleNormal="100" workbookViewId="0">
      <selection activeCell="E9" sqref="E9"/>
    </sheetView>
  </sheetViews>
  <sheetFormatPr defaultColWidth="9.28515625" defaultRowHeight="15" x14ac:dyDescent="0.25"/>
  <cols>
    <col min="1" max="1" width="6.28515625" customWidth="1"/>
    <col min="2" max="2" width="8.42578125" customWidth="1"/>
    <col min="3" max="3" width="6.28515625" customWidth="1"/>
    <col min="4" max="4" width="21.140625" customWidth="1"/>
    <col min="5" max="5" width="14.7109375" customWidth="1"/>
    <col min="6" max="6" width="12.28515625" customWidth="1"/>
    <col min="7" max="7" width="8" customWidth="1"/>
    <col min="8" max="8" width="12.7109375" customWidth="1"/>
    <col min="9" max="9" width="9.5703125" bestFit="1" customWidth="1"/>
    <col min="10" max="10" width="9.5703125" customWidth="1"/>
    <col min="11" max="12" width="9.5703125" bestFit="1" customWidth="1"/>
    <col min="13" max="13" width="10.28515625" customWidth="1"/>
    <col min="14" max="14" width="12.28515625" customWidth="1"/>
    <col min="15" max="15" width="9.5703125" bestFit="1" customWidth="1"/>
    <col min="16" max="17" width="7" customWidth="1"/>
    <col min="18" max="20" width="9.7109375" customWidth="1"/>
    <col min="21" max="21" width="12.7109375" customWidth="1"/>
    <col min="22" max="22" width="22.7109375" customWidth="1"/>
  </cols>
  <sheetData>
    <row r="1" spans="2:22" x14ac:dyDescent="0.25">
      <c r="B1" s="585"/>
      <c r="C1" s="587"/>
      <c r="D1" s="586"/>
      <c r="E1" s="587"/>
      <c r="F1" s="587"/>
      <c r="G1" s="587"/>
      <c r="H1" s="587"/>
      <c r="I1" s="587"/>
      <c r="J1" s="587"/>
      <c r="K1" s="587"/>
      <c r="L1" s="587"/>
      <c r="M1" s="587"/>
      <c r="N1" s="587"/>
      <c r="O1" s="587"/>
      <c r="P1" s="587"/>
      <c r="Q1" s="587"/>
      <c r="R1" s="587"/>
      <c r="S1" s="587"/>
      <c r="T1" s="587"/>
      <c r="U1" s="587"/>
      <c r="V1" s="588"/>
    </row>
    <row r="2" spans="2:22" ht="21" x14ac:dyDescent="0.35">
      <c r="B2" s="589"/>
      <c r="C2" s="506"/>
      <c r="D2" s="508" t="s">
        <v>134</v>
      </c>
      <c r="E2" s="508"/>
      <c r="F2" s="506"/>
      <c r="G2" s="506"/>
      <c r="H2" s="506"/>
      <c r="I2" s="509"/>
      <c r="J2" s="509"/>
      <c r="K2" s="509"/>
      <c r="L2" s="509"/>
      <c r="M2" s="506"/>
      <c r="N2" s="509"/>
      <c r="O2" s="509"/>
      <c r="P2" s="509"/>
      <c r="Q2" s="509"/>
      <c r="R2" s="509"/>
      <c r="S2" s="509"/>
      <c r="T2" s="509"/>
      <c r="U2" s="509"/>
      <c r="V2" s="590"/>
    </row>
    <row r="3" spans="2:22" ht="21" x14ac:dyDescent="0.35">
      <c r="B3" s="589"/>
      <c r="C3" s="506"/>
      <c r="D3" s="510" t="s">
        <v>473</v>
      </c>
      <c r="E3" s="510"/>
      <c r="F3" s="506"/>
      <c r="G3" s="506"/>
      <c r="H3" s="506"/>
      <c r="I3" s="509"/>
      <c r="J3" s="509"/>
      <c r="K3" s="509"/>
      <c r="L3" s="509"/>
      <c r="M3" s="506"/>
      <c r="N3" s="509"/>
      <c r="O3" s="509"/>
      <c r="P3" s="509"/>
      <c r="Q3" s="509"/>
      <c r="R3" s="509"/>
      <c r="S3" s="509"/>
      <c r="T3" s="509"/>
      <c r="U3" s="509"/>
      <c r="V3" s="590"/>
    </row>
    <row r="4" spans="2:22" ht="22.5" x14ac:dyDescent="0.3">
      <c r="B4" s="589"/>
      <c r="C4" s="506"/>
      <c r="D4" s="507"/>
      <c r="E4" s="511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91"/>
    </row>
    <row r="5" spans="2:22" ht="24.75" customHeight="1" x14ac:dyDescent="0.3">
      <c r="B5" s="592"/>
      <c r="C5" s="675" t="s">
        <v>203</v>
      </c>
      <c r="D5" s="906" t="s">
        <v>204</v>
      </c>
      <c r="E5" s="906"/>
      <c r="F5" s="906"/>
      <c r="G5" s="906"/>
      <c r="H5" s="906"/>
      <c r="I5" s="906"/>
      <c r="J5" s="519"/>
      <c r="K5" s="519"/>
      <c r="L5" s="519"/>
      <c r="M5" s="519"/>
      <c r="N5" s="519"/>
      <c r="O5" s="519"/>
      <c r="P5" s="519"/>
      <c r="Q5" s="519"/>
      <c r="R5" s="519"/>
      <c r="S5" s="519"/>
      <c r="T5" s="519"/>
      <c r="U5" s="519"/>
      <c r="V5" s="593"/>
    </row>
    <row r="6" spans="2:22" ht="9.75" customHeight="1" x14ac:dyDescent="0.25">
      <c r="B6" s="592"/>
      <c r="C6" s="519"/>
      <c r="D6" s="519"/>
      <c r="E6" s="519"/>
      <c r="F6" s="519"/>
      <c r="G6" s="519"/>
      <c r="H6" s="519"/>
      <c r="I6" s="519"/>
      <c r="J6" s="519"/>
      <c r="K6" s="519"/>
      <c r="L6" s="519"/>
      <c r="M6" s="519"/>
      <c r="N6" s="519"/>
      <c r="O6" s="519"/>
      <c r="P6" s="519"/>
      <c r="Q6" s="519"/>
      <c r="R6" s="519"/>
      <c r="S6" s="519"/>
      <c r="T6" s="519"/>
      <c r="U6" s="519"/>
      <c r="V6" s="593"/>
    </row>
    <row r="7" spans="2:22" ht="20.100000000000001" customHeight="1" thickBot="1" x14ac:dyDescent="0.35">
      <c r="B7" s="592"/>
      <c r="C7" s="519"/>
      <c r="D7" s="1089" t="s">
        <v>120</v>
      </c>
      <c r="E7" s="1089"/>
      <c r="F7" s="512"/>
      <c r="G7" s="519"/>
      <c r="H7" s="519"/>
      <c r="I7" s="519"/>
      <c r="J7" s="519"/>
      <c r="K7" s="573" t="s">
        <v>153</v>
      </c>
      <c r="L7" s="573"/>
      <c r="M7" s="512"/>
      <c r="N7" s="512"/>
      <c r="O7" s="512"/>
      <c r="P7" s="519"/>
      <c r="Q7" s="519"/>
      <c r="R7" s="519"/>
      <c r="S7" s="874"/>
      <c r="T7" s="874"/>
      <c r="U7" s="874"/>
      <c r="V7" s="842" t="str">
        <f>'BMW-AD-Std Size Calculator'!AB6</f>
        <v>v 2.0 [01/2026]</v>
      </c>
    </row>
    <row r="8" spans="2:22" ht="15.75" thickTop="1" x14ac:dyDescent="0.25">
      <c r="B8" s="592"/>
      <c r="C8" s="519"/>
      <c r="D8" s="594"/>
      <c r="E8" s="519"/>
      <c r="F8" s="519"/>
      <c r="G8" s="519"/>
      <c r="H8" s="519"/>
      <c r="I8" s="519"/>
      <c r="J8" s="519"/>
      <c r="K8" s="519"/>
      <c r="L8" s="519"/>
      <c r="M8" s="519"/>
      <c r="N8" s="519"/>
      <c r="O8" s="519"/>
      <c r="P8" s="519"/>
      <c r="Q8" s="876"/>
      <c r="R8" s="519"/>
      <c r="S8" s="519"/>
      <c r="T8" s="519"/>
      <c r="U8" s="519"/>
      <c r="V8" s="593"/>
    </row>
    <row r="9" spans="2:22" ht="15" customHeight="1" thickBot="1" x14ac:dyDescent="0.3">
      <c r="B9" s="592"/>
      <c r="C9" s="519"/>
      <c r="D9" s="515" t="s">
        <v>122</v>
      </c>
      <c r="E9" s="513">
        <v>100</v>
      </c>
      <c r="F9" s="953" t="s">
        <v>15</v>
      </c>
      <c r="G9" s="954" t="s">
        <v>187</v>
      </c>
      <c r="H9" s="598" t="str">
        <f>BMW_Be_Eqn!B11</f>
        <v>9 - 600 L/s</v>
      </c>
      <c r="I9" s="519"/>
      <c r="J9" s="519"/>
      <c r="K9" s="519"/>
      <c r="L9" s="519"/>
      <c r="M9" s="515" t="s">
        <v>517</v>
      </c>
      <c r="N9" s="513">
        <v>600</v>
      </c>
      <c r="O9" s="598" t="s">
        <v>487</v>
      </c>
      <c r="P9" s="609"/>
      <c r="Q9" s="877"/>
      <c r="R9" s="878" t="s">
        <v>491</v>
      </c>
      <c r="S9" s="579"/>
      <c r="T9" s="579"/>
      <c r="U9" s="579"/>
      <c r="V9" s="593"/>
    </row>
    <row r="10" spans="2:22" ht="15" customHeight="1" thickTop="1" x14ac:dyDescent="0.25">
      <c r="B10" s="592"/>
      <c r="C10" s="519"/>
      <c r="D10" s="515"/>
      <c r="E10" s="597"/>
      <c r="F10" s="595"/>
      <c r="G10" s="596"/>
      <c r="H10" s="519"/>
      <c r="I10" s="519"/>
      <c r="J10" s="519"/>
      <c r="K10" s="519"/>
      <c r="L10" s="516"/>
      <c r="M10" s="519"/>
      <c r="N10" s="519"/>
      <c r="O10" s="518"/>
      <c r="P10" s="519"/>
      <c r="Q10" s="877"/>
      <c r="R10" s="1082" t="s">
        <v>228</v>
      </c>
      <c r="S10" s="987" t="s">
        <v>216</v>
      </c>
      <c r="T10" s="988" t="s">
        <v>215</v>
      </c>
      <c r="U10" s="580"/>
      <c r="V10" s="581"/>
    </row>
    <row r="11" spans="2:22" ht="15" customHeight="1" thickBot="1" x14ac:dyDescent="0.3">
      <c r="B11" s="592"/>
      <c r="C11" s="519"/>
      <c r="D11" s="515" t="s">
        <v>375</v>
      </c>
      <c r="E11" s="513">
        <v>100</v>
      </c>
      <c r="F11" s="595" t="s">
        <v>89</v>
      </c>
      <c r="G11" s="694" t="s">
        <v>233</v>
      </c>
      <c r="H11" s="519"/>
      <c r="I11" s="519"/>
      <c r="J11" s="519"/>
      <c r="K11" s="519"/>
      <c r="L11" s="519"/>
      <c r="M11" s="515" t="s">
        <v>225</v>
      </c>
      <c r="N11" s="513">
        <v>2</v>
      </c>
      <c r="O11" s="598" t="s">
        <v>229</v>
      </c>
      <c r="P11" s="519"/>
      <c r="Q11" s="877"/>
      <c r="R11" s="1083"/>
      <c r="S11" s="869" t="s">
        <v>527</v>
      </c>
      <c r="T11" s="583" t="s">
        <v>528</v>
      </c>
      <c r="U11" s="580"/>
      <c r="V11" s="581"/>
    </row>
    <row r="12" spans="2:22" ht="15" customHeight="1" thickTop="1" x14ac:dyDescent="0.25">
      <c r="B12" s="592"/>
      <c r="C12" s="519"/>
      <c r="D12" s="515"/>
      <c r="E12" s="597"/>
      <c r="F12" s="595"/>
      <c r="G12" s="693"/>
      <c r="H12" s="519"/>
      <c r="I12" s="519"/>
      <c r="J12" s="519"/>
      <c r="K12" s="519"/>
      <c r="L12" s="516"/>
      <c r="M12" s="519"/>
      <c r="N12" s="519"/>
      <c r="O12" s="518"/>
      <c r="P12" s="519"/>
      <c r="Q12" s="579"/>
      <c r="R12" s="689">
        <v>1</v>
      </c>
      <c r="S12" s="687">
        <v>134</v>
      </c>
      <c r="T12" s="687">
        <v>101</v>
      </c>
      <c r="U12" s="580"/>
      <c r="V12" s="581"/>
    </row>
    <row r="13" spans="2:22" ht="15" customHeight="1" thickBot="1" x14ac:dyDescent="0.3">
      <c r="B13" s="592"/>
      <c r="C13" s="519"/>
      <c r="D13" s="515" t="s">
        <v>147</v>
      </c>
      <c r="E13" s="513">
        <v>30</v>
      </c>
      <c r="F13" s="595" t="s">
        <v>6</v>
      </c>
      <c r="G13" s="596" t="s">
        <v>183</v>
      </c>
      <c r="H13" s="519"/>
      <c r="I13" s="519"/>
      <c r="J13" s="603"/>
      <c r="K13" s="519"/>
      <c r="L13" s="982" t="s">
        <v>499</v>
      </c>
      <c r="M13" s="515"/>
      <c r="N13" s="515"/>
      <c r="O13" s="515" t="s">
        <v>490</v>
      </c>
      <c r="P13" s="519"/>
      <c r="Q13" s="519"/>
      <c r="R13" s="582">
        <v>2</v>
      </c>
      <c r="S13" s="580">
        <v>173</v>
      </c>
      <c r="T13" s="580">
        <v>140</v>
      </c>
      <c r="U13" s="580"/>
      <c r="V13" s="581"/>
    </row>
    <row r="14" spans="2:22" ht="15" customHeight="1" thickTop="1" x14ac:dyDescent="0.25">
      <c r="B14" s="592"/>
      <c r="C14" s="519"/>
      <c r="D14" s="515"/>
      <c r="E14" s="597"/>
      <c r="F14" s="595"/>
      <c r="G14" s="519"/>
      <c r="H14" s="519"/>
      <c r="I14" s="519"/>
      <c r="J14" s="519"/>
      <c r="K14" s="519"/>
      <c r="L14" s="519"/>
      <c r="M14" s="519"/>
      <c r="N14" s="519"/>
      <c r="O14" s="519"/>
      <c r="P14" s="519"/>
      <c r="Q14" s="519"/>
      <c r="R14" s="582">
        <v>3</v>
      </c>
      <c r="S14" s="580">
        <v>212</v>
      </c>
      <c r="T14" s="580">
        <v>179</v>
      </c>
      <c r="U14" s="580"/>
      <c r="V14" s="581"/>
    </row>
    <row r="15" spans="2:22" ht="15" customHeight="1" thickBot="1" x14ac:dyDescent="0.3">
      <c r="B15" s="592"/>
      <c r="C15" s="519"/>
      <c r="D15" s="515" t="s">
        <v>121</v>
      </c>
      <c r="E15" s="528">
        <v>2.5</v>
      </c>
      <c r="F15" s="595" t="s">
        <v>32</v>
      </c>
      <c r="G15" s="596" t="s">
        <v>395</v>
      </c>
      <c r="H15" s="519"/>
      <c r="I15" s="519"/>
      <c r="J15" s="519"/>
      <c r="K15" s="519"/>
      <c r="L15" s="519"/>
      <c r="M15" s="519"/>
      <c r="N15" s="579"/>
      <c r="O15" s="519"/>
      <c r="P15" s="519"/>
      <c r="Q15" s="519"/>
      <c r="R15" s="582">
        <v>4</v>
      </c>
      <c r="S15" s="580">
        <v>251</v>
      </c>
      <c r="T15" s="580">
        <v>218</v>
      </c>
      <c r="U15" s="519"/>
      <c r="V15" s="581"/>
    </row>
    <row r="16" spans="2:22" ht="15" customHeight="1" thickTop="1" x14ac:dyDescent="0.25">
      <c r="B16" s="592"/>
      <c r="C16" s="519"/>
      <c r="D16" s="515"/>
      <c r="E16" s="597"/>
      <c r="F16" s="595"/>
      <c r="G16" s="519"/>
      <c r="H16" s="519"/>
      <c r="I16" s="519"/>
      <c r="J16" s="519"/>
      <c r="K16" s="519"/>
      <c r="L16" s="519"/>
      <c r="M16" s="519"/>
      <c r="N16" s="687"/>
      <c r="O16" s="517"/>
      <c r="P16" s="519"/>
      <c r="Q16" s="519"/>
      <c r="R16" s="918" t="s">
        <v>432</v>
      </c>
      <c r="S16" s="519"/>
      <c r="T16" s="584" t="s">
        <v>378</v>
      </c>
      <c r="U16" s="519"/>
      <c r="V16" s="581"/>
    </row>
    <row r="17" spans="2:22" ht="15" customHeight="1" thickBot="1" x14ac:dyDescent="0.3">
      <c r="B17" s="592"/>
      <c r="C17" s="519"/>
      <c r="D17" s="599" t="s">
        <v>123</v>
      </c>
      <c r="E17" s="513">
        <v>-12</v>
      </c>
      <c r="F17" s="595" t="s">
        <v>34</v>
      </c>
      <c r="G17" s="596" t="s">
        <v>460</v>
      </c>
      <c r="H17" s="519"/>
      <c r="I17" s="519"/>
      <c r="J17" s="519"/>
      <c r="K17" s="519"/>
      <c r="L17" s="519"/>
      <c r="M17" s="519"/>
      <c r="N17" s="580"/>
      <c r="O17" s="517"/>
      <c r="P17" s="519"/>
      <c r="Q17" s="519"/>
      <c r="R17" s="519"/>
      <c r="S17" s="519"/>
      <c r="T17" s="519"/>
      <c r="U17" s="519"/>
      <c r="V17" s="581"/>
    </row>
    <row r="18" spans="2:22" ht="15" customHeight="1" thickTop="1" x14ac:dyDescent="0.25">
      <c r="B18" s="592"/>
      <c r="C18" s="519"/>
      <c r="D18" s="599"/>
      <c r="E18" s="517"/>
      <c r="F18" s="595"/>
      <c r="G18" s="596"/>
      <c r="H18" s="519"/>
      <c r="I18" s="519"/>
      <c r="J18" s="517"/>
      <c r="K18" s="519"/>
      <c r="L18" s="918"/>
      <c r="M18" s="519"/>
      <c r="N18" s="584"/>
      <c r="O18" s="517"/>
      <c r="P18" s="519"/>
      <c r="Q18" s="519"/>
      <c r="R18" s="519"/>
      <c r="S18" s="519"/>
      <c r="T18" s="519"/>
      <c r="U18" s="519"/>
      <c r="V18" s="581"/>
    </row>
    <row r="19" spans="2:22" ht="24.75" customHeight="1" thickBot="1" x14ac:dyDescent="0.35">
      <c r="B19" s="631"/>
      <c r="C19" s="626"/>
      <c r="D19" s="1084" t="s">
        <v>433</v>
      </c>
      <c r="E19" s="1084"/>
      <c r="F19" s="635"/>
      <c r="G19" s="635"/>
      <c r="H19" s="635"/>
      <c r="I19" s="626"/>
      <c r="J19" s="626"/>
      <c r="K19" s="519"/>
      <c r="L19" s="519"/>
      <c r="M19" s="519"/>
      <c r="N19" s="580"/>
      <c r="O19" s="517"/>
      <c r="P19" s="519"/>
      <c r="Q19" s="519"/>
      <c r="R19" s="519"/>
      <c r="S19" s="519"/>
      <c r="T19" s="519"/>
      <c r="U19" s="519"/>
      <c r="V19" s="581"/>
    </row>
    <row r="20" spans="2:22" ht="20.25" thickTop="1" x14ac:dyDescent="0.3">
      <c r="B20" s="631"/>
      <c r="C20" s="626"/>
      <c r="D20" s="654" t="s">
        <v>489</v>
      </c>
      <c r="E20" s="652"/>
      <c r="F20" s="969"/>
      <c r="G20" s="626"/>
      <c r="H20" s="626"/>
      <c r="I20" s="641"/>
      <c r="J20" s="626"/>
      <c r="K20" s="519"/>
      <c r="L20" s="580"/>
      <c r="M20" s="580"/>
      <c r="N20" s="580"/>
      <c r="O20" s="517"/>
      <c r="P20" s="519"/>
      <c r="Q20" s="519"/>
      <c r="R20" s="519"/>
      <c r="S20" s="519"/>
      <c r="T20" s="918"/>
      <c r="U20" s="519"/>
      <c r="V20" s="581"/>
    </row>
    <row r="21" spans="2:22" x14ac:dyDescent="0.25">
      <c r="B21" s="631"/>
      <c r="C21" s="626"/>
      <c r="D21" s="626"/>
      <c r="E21" s="626"/>
      <c r="F21" s="626"/>
      <c r="G21" s="626"/>
      <c r="H21" s="626"/>
      <c r="I21" s="626"/>
      <c r="J21" s="626"/>
      <c r="K21" s="519"/>
      <c r="L21" s="519"/>
      <c r="M21" s="519"/>
      <c r="N21" s="519"/>
      <c r="O21" s="519"/>
      <c r="P21" s="519"/>
      <c r="Q21" s="519"/>
      <c r="S21" s="519"/>
      <c r="T21" s="519"/>
      <c r="U21" s="519"/>
      <c r="V21" s="581"/>
    </row>
    <row r="22" spans="2:22" ht="15.75" thickBot="1" x14ac:dyDescent="0.3">
      <c r="B22" s="631"/>
      <c r="C22" s="626"/>
      <c r="D22" s="636" t="s">
        <v>125</v>
      </c>
      <c r="E22" s="643">
        <v>0.9</v>
      </c>
      <c r="F22" s="645"/>
      <c r="G22" s="638" t="s">
        <v>126</v>
      </c>
      <c r="H22" s="626"/>
      <c r="I22" s="626"/>
      <c r="J22" s="626"/>
      <c r="K22" s="519"/>
      <c r="L22" s="519"/>
      <c r="M22" s="519"/>
      <c r="N22" s="519"/>
      <c r="O22" s="519"/>
      <c r="P22" s="519"/>
      <c r="Q22" s="519"/>
      <c r="R22" s="519"/>
      <c r="S22" s="519"/>
      <c r="T22" s="519"/>
      <c r="U22" s="519"/>
      <c r="V22" s="593"/>
    </row>
    <row r="23" spans="2:22" ht="17.649999999999999" customHeight="1" thickTop="1" x14ac:dyDescent="0.25">
      <c r="B23" s="631"/>
      <c r="C23" s="626"/>
      <c r="D23" s="626"/>
      <c r="E23" s="626"/>
      <c r="F23" s="626"/>
      <c r="G23" s="626"/>
      <c r="H23" s="626"/>
      <c r="I23" s="626"/>
      <c r="J23" s="626"/>
      <c r="K23" s="519"/>
      <c r="L23" s="519"/>
      <c r="M23" s="519"/>
      <c r="N23" s="519"/>
      <c r="O23" s="519"/>
      <c r="P23" s="519"/>
      <c r="Q23" s="519"/>
      <c r="R23" s="519"/>
      <c r="S23" s="519"/>
      <c r="T23" s="519"/>
      <c r="U23" s="519"/>
      <c r="V23" s="593"/>
    </row>
    <row r="24" spans="2:22" x14ac:dyDescent="0.25">
      <c r="B24" s="631"/>
      <c r="C24" s="626"/>
      <c r="D24" s="807" t="str">
        <f ca="1">'BMW-Be-Selection'!B152</f>
        <v>Nominal Selection: Throw Length/Breadth = 5.2 m/5.2 m (3.7 L/s/m²)</v>
      </c>
      <c r="E24" s="626"/>
      <c r="F24" s="626"/>
      <c r="G24" s="626"/>
      <c r="H24" s="626"/>
      <c r="I24" s="626"/>
      <c r="J24" s="626"/>
      <c r="K24" s="519"/>
      <c r="L24" s="519"/>
      <c r="M24" s="519"/>
      <c r="N24" s="519"/>
      <c r="O24" s="519"/>
      <c r="P24" s="519"/>
      <c r="Q24" s="519"/>
      <c r="R24" s="519"/>
      <c r="S24" s="519"/>
      <c r="T24" s="519"/>
      <c r="U24" s="579"/>
      <c r="V24" s="593"/>
    </row>
    <row r="25" spans="2:22" ht="18" x14ac:dyDescent="0.25">
      <c r="B25" s="631"/>
      <c r="C25" s="626"/>
      <c r="D25" s="683"/>
      <c r="E25" s="626"/>
      <c r="F25" s="626"/>
      <c r="G25" s="626"/>
      <c r="H25" s="626"/>
      <c r="I25" s="626"/>
      <c r="J25" s="626"/>
      <c r="K25" s="517"/>
      <c r="L25" s="518"/>
      <c r="M25" s="519"/>
      <c r="N25" s="519"/>
      <c r="O25" s="519"/>
      <c r="P25" s="519"/>
      <c r="Q25" s="519"/>
      <c r="R25" s="519"/>
      <c r="S25" s="519"/>
      <c r="T25" s="519"/>
      <c r="U25" s="579" t="s">
        <v>383</v>
      </c>
      <c r="V25" s="593"/>
    </row>
    <row r="26" spans="2:22" ht="15.75" thickBot="1" x14ac:dyDescent="0.3">
      <c r="B26" s="631"/>
      <c r="C26" s="626"/>
      <c r="D26" s="659" t="s">
        <v>222</v>
      </c>
      <c r="E26" s="661">
        <v>5</v>
      </c>
      <c r="F26" s="638" t="s">
        <v>32</v>
      </c>
      <c r="G26" s="638"/>
      <c r="H26" s="626"/>
      <c r="I26" s="626"/>
      <c r="J26" s="626"/>
      <c r="K26" s="517"/>
      <c r="L26" s="518"/>
      <c r="M26" s="519"/>
      <c r="N26" s="519"/>
      <c r="O26" s="519"/>
      <c r="P26" s="519"/>
      <c r="Q26" s="519"/>
      <c r="R26" s="519"/>
      <c r="S26" s="519"/>
      <c r="T26" s="519"/>
      <c r="U26" s="579" t="s">
        <v>384</v>
      </c>
      <c r="V26" s="593"/>
    </row>
    <row r="27" spans="2:22" ht="16.5" thickTop="1" thickBot="1" x14ac:dyDescent="0.3">
      <c r="B27" s="631"/>
      <c r="C27" s="626"/>
      <c r="D27" s="659" t="s">
        <v>223</v>
      </c>
      <c r="E27" s="662">
        <v>4</v>
      </c>
      <c r="F27" s="865" t="s">
        <v>32</v>
      </c>
      <c r="G27" s="867" t="str">
        <f>"= specific airflow rate: "&amp;BMW_Be_Eqn!D38&amp;" " &amp;BMW_Be_Eqn!E38</f>
        <v>= specific airflow rate: 5 L/s/m²</v>
      </c>
      <c r="H27" s="626"/>
      <c r="I27" s="626"/>
      <c r="J27" s="626"/>
      <c r="K27" s="517"/>
      <c r="L27" s="518"/>
      <c r="M27" s="519"/>
      <c r="N27" s="519"/>
      <c r="O27" s="519"/>
      <c r="P27" s="519"/>
      <c r="Q27" s="519"/>
      <c r="R27" s="519"/>
      <c r="S27" s="519"/>
      <c r="T27" s="519"/>
      <c r="U27" s="579" t="s">
        <v>385</v>
      </c>
      <c r="V27" s="593"/>
    </row>
    <row r="28" spans="2:22" ht="15.75" thickTop="1" x14ac:dyDescent="0.25">
      <c r="B28" s="631"/>
      <c r="C28" s="626"/>
      <c r="D28" s="864"/>
      <c r="E28" s="626"/>
      <c r="F28" s="866"/>
      <c r="G28" s="638"/>
      <c r="H28" s="626"/>
      <c r="I28" s="626"/>
      <c r="J28" s="626"/>
      <c r="K28" s="517"/>
      <c r="L28" s="518"/>
      <c r="M28" s="519"/>
      <c r="N28" s="519"/>
      <c r="O28" s="519"/>
      <c r="P28" s="519"/>
      <c r="Q28" s="519"/>
      <c r="R28" s="519"/>
      <c r="S28" s="519"/>
      <c r="T28" s="519"/>
      <c r="U28" s="579" t="s">
        <v>386</v>
      </c>
      <c r="V28" s="593"/>
    </row>
    <row r="29" spans="2:22" ht="15.75" thickBot="1" x14ac:dyDescent="0.3">
      <c r="B29" s="631"/>
      <c r="C29" s="626"/>
      <c r="D29" s="659" t="s">
        <v>182</v>
      </c>
      <c r="E29" s="657">
        <v>5</v>
      </c>
      <c r="F29" s="638" t="str">
        <f>BMW_Be_Eqn!C5</f>
        <v>L/s/m²</v>
      </c>
      <c r="G29" s="638" t="str">
        <f>"= floor area: "&amp;BMW_Be_Eqn!D40&amp;" m²"</f>
        <v>= floor area: 20 m²</v>
      </c>
      <c r="H29" s="626"/>
      <c r="I29" s="626"/>
      <c r="J29" s="626"/>
      <c r="K29" s="517"/>
      <c r="L29" s="518"/>
      <c r="M29" s="519"/>
      <c r="N29" s="519"/>
      <c r="O29" s="519"/>
      <c r="P29" s="519"/>
      <c r="Q29" s="519"/>
      <c r="R29" s="519"/>
      <c r="S29" s="519"/>
      <c r="T29" s="519"/>
      <c r="U29" s="519"/>
      <c r="V29" s="593"/>
    </row>
    <row r="30" spans="2:22" ht="15.75" thickTop="1" x14ac:dyDescent="0.25">
      <c r="B30" s="631"/>
      <c r="C30" s="626"/>
      <c r="D30" s="651"/>
      <c r="E30" s="665"/>
      <c r="F30" s="667"/>
      <c r="G30" s="626"/>
      <c r="H30" s="626"/>
      <c r="I30" s="626"/>
      <c r="J30" s="919"/>
      <c r="K30" s="868" t="s">
        <v>127</v>
      </c>
      <c r="L30" s="519"/>
      <c r="M30" s="519"/>
      <c r="N30" s="519"/>
      <c r="O30" s="519"/>
      <c r="P30" s="519"/>
      <c r="Q30" s="519"/>
      <c r="R30" s="519"/>
      <c r="S30" s="872"/>
      <c r="T30" s="872"/>
      <c r="U30" s="871"/>
      <c r="V30" s="593"/>
    </row>
    <row r="31" spans="2:22" ht="15.75" thickBot="1" x14ac:dyDescent="0.3">
      <c r="B31" s="631"/>
      <c r="C31" s="626"/>
      <c r="D31" s="636" t="s">
        <v>224</v>
      </c>
      <c r="E31" s="644">
        <v>23</v>
      </c>
      <c r="F31" s="639" t="s">
        <v>155</v>
      </c>
      <c r="G31" s="638"/>
      <c r="H31" s="642"/>
      <c r="I31" s="626"/>
      <c r="J31" s="920"/>
      <c r="K31" s="873" t="s">
        <v>379</v>
      </c>
      <c r="L31" s="518"/>
      <c r="M31" s="519"/>
      <c r="N31" s="519"/>
      <c r="O31" s="519"/>
      <c r="P31" s="519"/>
      <c r="Q31" s="519"/>
      <c r="R31" s="519"/>
      <c r="S31" s="519"/>
      <c r="T31" s="584"/>
      <c r="U31" s="584"/>
      <c r="V31" s="593"/>
    </row>
    <row r="32" spans="2:22" ht="15.75" thickTop="1" x14ac:dyDescent="0.25">
      <c r="B32" s="631"/>
      <c r="C32" s="626"/>
      <c r="D32" s="626"/>
      <c r="E32" s="626"/>
      <c r="F32" s="626"/>
      <c r="G32" s="626"/>
      <c r="H32" s="626"/>
      <c r="I32" s="626"/>
      <c r="J32" s="920"/>
      <c r="K32" s="873" t="s">
        <v>380</v>
      </c>
      <c r="L32" s="518"/>
      <c r="M32" s="519"/>
      <c r="N32" s="519"/>
      <c r="O32" s="519"/>
      <c r="P32" s="519"/>
      <c r="Q32" s="519"/>
      <c r="R32" s="519"/>
      <c r="S32" s="688"/>
      <c r="T32" s="871"/>
      <c r="U32" s="871"/>
      <c r="V32" s="593"/>
    </row>
    <row r="33" spans="2:22" x14ac:dyDescent="0.25">
      <c r="B33" s="631"/>
      <c r="C33" s="626"/>
      <c r="D33" s="626"/>
      <c r="E33" s="626"/>
      <c r="F33" s="626"/>
      <c r="G33" s="626"/>
      <c r="H33" s="626"/>
      <c r="I33" s="626"/>
      <c r="J33" s="920"/>
      <c r="K33" s="873" t="s">
        <v>381</v>
      </c>
      <c r="L33" s="518"/>
      <c r="M33" s="519"/>
      <c r="N33" s="519"/>
      <c r="O33" s="519"/>
      <c r="P33" s="519"/>
      <c r="Q33" s="519"/>
      <c r="R33" s="519"/>
      <c r="S33" s="519"/>
      <c r="T33" s="871"/>
      <c r="U33" s="871"/>
      <c r="V33" s="593"/>
    </row>
    <row r="34" spans="2:22" x14ac:dyDescent="0.25">
      <c r="B34" s="881"/>
      <c r="C34" s="882"/>
      <c r="D34" s="882"/>
      <c r="E34" s="882"/>
      <c r="F34" s="882"/>
      <c r="G34" s="882"/>
      <c r="H34" s="882"/>
      <c r="I34" s="882"/>
      <c r="J34" s="921"/>
      <c r="K34" s="883" t="s">
        <v>382</v>
      </c>
      <c r="L34" s="885"/>
      <c r="M34" s="884"/>
      <c r="N34" s="884"/>
      <c r="O34" s="884"/>
      <c r="P34" s="884"/>
      <c r="Q34" s="884"/>
      <c r="R34" s="884"/>
      <c r="S34" s="886"/>
      <c r="T34" s="884"/>
      <c r="U34" s="884"/>
      <c r="V34" s="887"/>
    </row>
    <row r="35" spans="2:22" x14ac:dyDescent="0.25">
      <c r="B35" s="592"/>
      <c r="C35" s="519"/>
      <c r="D35" s="519"/>
      <c r="E35" s="519"/>
      <c r="F35" s="519"/>
      <c r="G35" s="519"/>
      <c r="H35" s="519"/>
      <c r="I35" s="519"/>
      <c r="J35" s="519"/>
      <c r="K35" s="519"/>
      <c r="L35" s="517"/>
      <c r="M35" s="518"/>
      <c r="N35" s="519"/>
      <c r="O35" s="519"/>
      <c r="P35" s="519"/>
      <c r="Q35" s="519"/>
      <c r="R35" s="519"/>
      <c r="S35" s="519"/>
      <c r="T35" s="870"/>
      <c r="U35" s="519"/>
      <c r="V35" s="593"/>
    </row>
    <row r="36" spans="2:22" ht="19.5" thickBot="1" x14ac:dyDescent="0.35">
      <c r="B36" s="592"/>
      <c r="C36" s="519"/>
      <c r="D36" s="895" t="s">
        <v>474</v>
      </c>
      <c r="E36" s="895"/>
      <c r="F36" s="521"/>
      <c r="G36" s="521"/>
      <c r="H36" s="858"/>
      <c r="I36" s="531"/>
      <c r="J36" s="529"/>
      <c r="K36" s="519"/>
      <c r="L36" s="519"/>
      <c r="M36" s="519"/>
      <c r="N36" s="519"/>
      <c r="O36" s="519"/>
      <c r="P36" s="519"/>
      <c r="Q36" s="519"/>
      <c r="R36" s="519"/>
      <c r="S36" s="519"/>
      <c r="T36" s="519"/>
      <c r="U36" s="519"/>
      <c r="V36" s="593"/>
    </row>
    <row r="37" spans="2:22" ht="18" customHeight="1" x14ac:dyDescent="0.25">
      <c r="B37" s="592"/>
      <c r="C37" s="519"/>
      <c r="D37" s="862" t="s">
        <v>198</v>
      </c>
      <c r="E37" s="859"/>
      <c r="F37" s="524" t="s">
        <v>502</v>
      </c>
      <c r="G37" s="852"/>
      <c r="H37" s="863" t="str">
        <f>BMW_Be_Eqn!E329</f>
        <v>600 × 2</v>
      </c>
      <c r="I37" s="519"/>
      <c r="J37" s="519"/>
      <c r="K37" s="519"/>
      <c r="L37" s="519"/>
      <c r="M37" s="525"/>
      <c r="N37" s="519"/>
      <c r="O37" s="519"/>
      <c r="P37" s="519"/>
      <c r="Q37" s="519"/>
      <c r="R37" s="519"/>
      <c r="S37" s="519"/>
      <c r="T37" s="519"/>
      <c r="U37" s="519"/>
      <c r="V37" s="593"/>
    </row>
    <row r="38" spans="2:22" ht="18" customHeight="1" x14ac:dyDescent="0.25">
      <c r="B38" s="592"/>
      <c r="C38" s="519"/>
      <c r="D38" s="905" t="s">
        <v>250</v>
      </c>
      <c r="E38" s="676" t="s">
        <v>419</v>
      </c>
      <c r="F38" s="522" t="s">
        <v>212</v>
      </c>
      <c r="G38" s="852" t="s">
        <v>26</v>
      </c>
      <c r="H38" s="970">
        <f>BMW_Be_Eqn!E330</f>
        <v>608</v>
      </c>
      <c r="I38" s="1109" t="s">
        <v>531</v>
      </c>
      <c r="J38" s="1110" t="str">
        <f>'BMW-Be-Selection'!B155</f>
        <v>OBD selected in Cell G66, neck dimensions include additional 8 mm</v>
      </c>
      <c r="K38" s="1111"/>
      <c r="L38" s="1111"/>
      <c r="M38" s="1112"/>
      <c r="N38" s="1112"/>
      <c r="O38" s="525"/>
      <c r="P38" s="525"/>
      <c r="Q38" s="891" t="s">
        <v>149</v>
      </c>
      <c r="R38" s="577" t="s">
        <v>150</v>
      </c>
      <c r="S38" s="578" t="s">
        <v>151</v>
      </c>
      <c r="T38" s="668" t="s">
        <v>152</v>
      </c>
      <c r="U38" s="519"/>
      <c r="V38" s="593"/>
    </row>
    <row r="39" spans="2:22" ht="18" customHeight="1" x14ac:dyDescent="0.25">
      <c r="B39" s="592"/>
      <c r="C39" s="519"/>
      <c r="D39" s="910" t="str">
        <f>'BMW-Be-Selection'!C108</f>
        <v>(with OBD)</v>
      </c>
      <c r="E39" s="682" t="s">
        <v>424</v>
      </c>
      <c r="F39" s="527" t="s">
        <v>215</v>
      </c>
      <c r="G39" s="853" t="s">
        <v>26</v>
      </c>
      <c r="H39" s="971">
        <f>BMW_Be_Eqn!E331</f>
        <v>148</v>
      </c>
      <c r="I39" s="1109" t="s">
        <v>484</v>
      </c>
      <c r="J39" s="1113"/>
      <c r="K39" s="1112"/>
      <c r="L39" s="1112"/>
      <c r="M39" s="1112"/>
      <c r="N39" s="1112"/>
      <c r="O39" s="525"/>
      <c r="P39" s="525"/>
      <c r="Q39" s="879"/>
      <c r="R39" s="880"/>
      <c r="S39" s="519"/>
      <c r="T39" s="519"/>
      <c r="U39" s="525"/>
      <c r="V39" s="593"/>
    </row>
    <row r="40" spans="2:22" ht="18" customHeight="1" x14ac:dyDescent="0.25">
      <c r="B40" s="592"/>
      <c r="C40" s="519"/>
      <c r="D40" s="1031" t="s">
        <v>8</v>
      </c>
      <c r="E40" s="676" t="s">
        <v>25</v>
      </c>
      <c r="F40" s="523" t="s">
        <v>213</v>
      </c>
      <c r="G40" s="854" t="s">
        <v>26</v>
      </c>
      <c r="H40" s="971">
        <f>BMW_Be_Eqn!E332</f>
        <v>652</v>
      </c>
      <c r="I40" s="1109" t="s">
        <v>532</v>
      </c>
      <c r="J40" s="1112"/>
      <c r="K40" s="1112"/>
      <c r="L40" s="1112"/>
      <c r="M40" s="1112"/>
      <c r="N40" s="1114"/>
      <c r="O40" s="525"/>
      <c r="P40" s="525"/>
      <c r="Q40" s="875"/>
      <c r="R40" s="525"/>
      <c r="S40" s="525"/>
      <c r="T40" s="519"/>
      <c r="U40" s="519"/>
      <c r="V40" s="593"/>
    </row>
    <row r="41" spans="2:22" ht="18" customHeight="1" x14ac:dyDescent="0.25">
      <c r="B41" s="592"/>
      <c r="C41" s="519"/>
      <c r="D41" s="1032"/>
      <c r="E41" s="679" t="s">
        <v>9</v>
      </c>
      <c r="F41" s="532" t="s">
        <v>216</v>
      </c>
      <c r="G41" s="855" t="s">
        <v>26</v>
      </c>
      <c r="H41" s="972">
        <f>BMW_Be_Eqn!E333</f>
        <v>173</v>
      </c>
      <c r="I41" s="849"/>
      <c r="J41" s="525"/>
      <c r="K41" s="525"/>
      <c r="L41" s="525"/>
      <c r="M41" s="525"/>
      <c r="N41" s="525"/>
      <c r="O41" s="525"/>
      <c r="P41" s="525"/>
      <c r="Q41" s="525"/>
      <c r="R41" s="890"/>
      <c r="S41" s="525"/>
      <c r="T41" s="519"/>
      <c r="U41" s="519"/>
      <c r="V41" s="593"/>
    </row>
    <row r="42" spans="2:22" ht="18" customHeight="1" x14ac:dyDescent="0.25">
      <c r="B42" s="592"/>
      <c r="C42" s="519"/>
      <c r="D42" s="522" t="s">
        <v>210</v>
      </c>
      <c r="E42" s="522"/>
      <c r="F42" s="526" t="s">
        <v>22</v>
      </c>
      <c r="G42" s="852" t="s">
        <v>10</v>
      </c>
      <c r="H42" s="973">
        <f>BMW_Be_Eqn!E334</f>
        <v>20.5</v>
      </c>
      <c r="I42" s="849"/>
      <c r="J42" s="525"/>
      <c r="K42" s="525"/>
      <c r="L42" s="525"/>
      <c r="M42" s="525"/>
      <c r="N42" s="525"/>
      <c r="O42" s="525"/>
      <c r="P42" s="525"/>
      <c r="Q42" s="525"/>
      <c r="R42" s="525"/>
      <c r="S42" s="525"/>
      <c r="T42" s="519"/>
      <c r="U42" s="519"/>
      <c r="V42" s="593"/>
    </row>
    <row r="43" spans="2:22" ht="18" customHeight="1" x14ac:dyDescent="0.25">
      <c r="B43" s="592"/>
      <c r="C43" s="519"/>
      <c r="D43" s="523" t="s">
        <v>293</v>
      </c>
      <c r="E43" s="523"/>
      <c r="F43" s="524" t="s">
        <v>301</v>
      </c>
      <c r="G43" s="853" t="str">
        <f>BMW_Be_Eqn!D4</f>
        <v>[L/s]</v>
      </c>
      <c r="H43" s="973">
        <f>BMW_Be_Eqn!E335</f>
        <v>40.1</v>
      </c>
      <c r="I43" s="849"/>
      <c r="J43" s="525"/>
      <c r="K43" s="525"/>
      <c r="L43" s="525"/>
      <c r="M43" s="525"/>
      <c r="N43" s="956" t="s">
        <v>392</v>
      </c>
      <c r="O43" s="525"/>
      <c r="P43" s="525"/>
      <c r="Q43" s="525"/>
      <c r="R43" s="525"/>
      <c r="S43" s="525"/>
      <c r="T43" s="519"/>
      <c r="U43" s="519"/>
      <c r="V43" s="593"/>
    </row>
    <row r="44" spans="2:22" ht="18" customHeight="1" x14ac:dyDescent="0.25">
      <c r="B44" s="592"/>
      <c r="C44" s="519"/>
      <c r="D44" s="680" t="s">
        <v>142</v>
      </c>
      <c r="E44" s="860"/>
      <c r="F44" s="535" t="s">
        <v>46</v>
      </c>
      <c r="G44" s="856" t="s">
        <v>136</v>
      </c>
      <c r="H44" s="974">
        <f>BMW_Be_Eqn!E336</f>
        <v>38.1</v>
      </c>
      <c r="I44" s="849"/>
      <c r="J44" s="525"/>
      <c r="K44" s="525"/>
      <c r="L44" s="525"/>
      <c r="M44" s="525"/>
      <c r="N44" s="525"/>
      <c r="O44" s="525"/>
      <c r="P44" s="525"/>
      <c r="Q44" s="519"/>
      <c r="R44" s="519"/>
      <c r="S44" s="525"/>
      <c r="T44" s="519"/>
      <c r="U44" s="519"/>
      <c r="V44" s="593"/>
    </row>
    <row r="45" spans="2:22" ht="18" customHeight="1" x14ac:dyDescent="0.25">
      <c r="B45" s="1088"/>
      <c r="C45" s="606"/>
      <c r="D45" s="681" t="s">
        <v>421</v>
      </c>
      <c r="E45" s="681"/>
      <c r="F45" s="527" t="s">
        <v>287</v>
      </c>
      <c r="G45" s="853" t="s">
        <v>11</v>
      </c>
      <c r="H45" s="973">
        <f>BMW_Be_Eqn!E337</f>
        <v>23.1</v>
      </c>
      <c r="I45" s="849"/>
      <c r="J45" s="525"/>
      <c r="K45" s="525"/>
      <c r="L45" s="525"/>
      <c r="M45" s="525"/>
      <c r="N45" s="525"/>
      <c r="O45" s="525"/>
      <c r="P45" s="525"/>
      <c r="Q45" s="525"/>
      <c r="R45" s="525"/>
      <c r="S45" s="525"/>
      <c r="T45" s="519"/>
      <c r="U45" s="519"/>
      <c r="V45" s="593"/>
    </row>
    <row r="46" spans="2:22" ht="18" customHeight="1" thickBot="1" x14ac:dyDescent="0.3">
      <c r="B46" s="1088"/>
      <c r="C46" s="606"/>
      <c r="D46" s="677" t="s">
        <v>285</v>
      </c>
      <c r="E46" s="1094"/>
      <c r="F46" s="535" t="s">
        <v>93</v>
      </c>
      <c r="G46" s="854" t="s">
        <v>137</v>
      </c>
      <c r="H46" s="974">
        <f ca="1">BMW_Be_Eqn!E338</f>
        <v>2.2999999999999998</v>
      </c>
      <c r="I46" s="849"/>
      <c r="J46" s="525"/>
      <c r="K46" s="525"/>
      <c r="L46" s="525"/>
      <c r="M46" s="525"/>
      <c r="N46" s="525"/>
      <c r="O46" s="525"/>
      <c r="P46" s="525"/>
      <c r="Q46" s="525"/>
      <c r="R46" s="525"/>
      <c r="S46" s="525"/>
      <c r="T46" s="519"/>
      <c r="U46" s="519"/>
      <c r="V46" s="593"/>
    </row>
    <row r="47" spans="2:22" ht="18" customHeight="1" x14ac:dyDescent="0.25">
      <c r="B47" s="1088"/>
      <c r="C47" s="846"/>
      <c r="D47" s="1033" t="s">
        <v>129</v>
      </c>
      <c r="E47" s="1095" t="s">
        <v>130</v>
      </c>
      <c r="F47" s="1096" t="s">
        <v>139</v>
      </c>
      <c r="G47" s="1097" t="s">
        <v>137</v>
      </c>
      <c r="H47" s="1098">
        <f ca="1">BMW_Be_Eqn!E339</f>
        <v>2.2999999999999998</v>
      </c>
      <c r="I47" s="849"/>
      <c r="J47" s="525"/>
      <c r="K47" s="525"/>
      <c r="L47" s="525"/>
      <c r="M47" s="525"/>
      <c r="N47" s="525"/>
      <c r="O47" s="525"/>
      <c r="P47" s="519"/>
      <c r="Q47" s="536"/>
      <c r="R47" s="525"/>
      <c r="S47" s="525"/>
      <c r="T47" s="519"/>
      <c r="U47" s="519"/>
      <c r="V47" s="593"/>
    </row>
    <row r="48" spans="2:22" ht="18" customHeight="1" x14ac:dyDescent="0.25">
      <c r="B48" s="1088"/>
      <c r="C48" s="846"/>
      <c r="D48" s="1034"/>
      <c r="E48" s="1099"/>
      <c r="F48" s="527" t="s">
        <v>57</v>
      </c>
      <c r="G48" s="853" t="s">
        <v>137</v>
      </c>
      <c r="H48" s="1100">
        <f ca="1">BMW_Be_Eqn!E340</f>
        <v>5.6</v>
      </c>
      <c r="I48" s="849"/>
      <c r="J48" s="525"/>
      <c r="K48" s="519"/>
      <c r="L48" s="519"/>
      <c r="M48" s="519"/>
      <c r="N48" s="519"/>
      <c r="O48" s="525"/>
      <c r="P48" s="519"/>
      <c r="Q48" s="525"/>
      <c r="R48" s="525"/>
      <c r="S48" s="525"/>
      <c r="T48" s="525"/>
      <c r="U48" s="525"/>
      <c r="V48" s="593"/>
    </row>
    <row r="49" spans="2:22" ht="18" customHeight="1" x14ac:dyDescent="0.25">
      <c r="B49" s="1088"/>
      <c r="C49" s="846"/>
      <c r="D49" s="1034"/>
      <c r="E49" s="1099"/>
      <c r="F49" s="535" t="s">
        <v>145</v>
      </c>
      <c r="G49" s="854" t="s">
        <v>137</v>
      </c>
      <c r="H49" s="1101">
        <f ca="1">BMW_Be_Eqn!E341</f>
        <v>3.9</v>
      </c>
      <c r="I49" s="849"/>
      <c r="J49" s="525"/>
      <c r="K49" s="519"/>
      <c r="L49" s="519"/>
      <c r="M49" s="519"/>
      <c r="N49" s="519"/>
      <c r="O49" s="519"/>
      <c r="P49" s="519"/>
      <c r="Q49" s="525"/>
      <c r="R49" s="525"/>
      <c r="S49" s="525"/>
      <c r="T49" s="525"/>
      <c r="U49" s="525"/>
      <c r="V49" s="593"/>
    </row>
    <row r="50" spans="2:22" ht="18" customHeight="1" thickBot="1" x14ac:dyDescent="0.3">
      <c r="B50" s="1088"/>
      <c r="C50" s="846"/>
      <c r="D50" s="1034"/>
      <c r="E50" s="1102"/>
      <c r="F50" s="1103" t="s">
        <v>148</v>
      </c>
      <c r="G50" s="1104" t="s">
        <v>137</v>
      </c>
      <c r="H50" s="1105">
        <f ca="1">BMW_Be_Eqn!E342</f>
        <v>9.6999999999999993</v>
      </c>
      <c r="I50" s="849"/>
      <c r="J50" s="525"/>
      <c r="K50" s="519"/>
      <c r="L50" s="519"/>
      <c r="M50" s="519"/>
      <c r="N50" s="519"/>
      <c r="O50" s="519"/>
      <c r="P50" s="525"/>
      <c r="Q50" s="525"/>
      <c r="R50" s="525"/>
      <c r="S50" s="525"/>
      <c r="T50" s="525"/>
      <c r="U50" s="525"/>
      <c r="V50" s="593"/>
    </row>
    <row r="51" spans="2:22" ht="18" customHeight="1" x14ac:dyDescent="0.25">
      <c r="B51" s="1088"/>
      <c r="C51" s="846"/>
      <c r="D51" s="1034"/>
      <c r="E51" s="1086" t="s">
        <v>247</v>
      </c>
      <c r="F51" s="524" t="s">
        <v>56</v>
      </c>
      <c r="G51" s="854" t="s">
        <v>137</v>
      </c>
      <c r="H51" s="975">
        <f ca="1">BMW_Be_Eqn!E343</f>
        <v>3</v>
      </c>
      <c r="I51" s="861"/>
      <c r="J51" s="525"/>
      <c r="K51" s="620"/>
      <c r="L51" s="685"/>
      <c r="M51" s="519"/>
      <c r="N51" s="519"/>
      <c r="O51" s="525"/>
      <c r="P51" s="519"/>
      <c r="Q51" s="525"/>
      <c r="R51" s="525"/>
      <c r="S51" s="525"/>
      <c r="T51" s="519"/>
      <c r="U51" s="519"/>
      <c r="V51" s="593"/>
    </row>
    <row r="52" spans="2:22" ht="18" customHeight="1" x14ac:dyDescent="0.25">
      <c r="B52" s="1088"/>
      <c r="C52" s="846"/>
      <c r="D52" s="1034"/>
      <c r="E52" s="1086"/>
      <c r="F52" s="527" t="s">
        <v>140</v>
      </c>
      <c r="G52" s="853" t="s">
        <v>137</v>
      </c>
      <c r="H52" s="976">
        <f ca="1">BMW_Be_Eqn!E344</f>
        <v>7.4</v>
      </c>
      <c r="I52" s="861"/>
      <c r="J52" s="525"/>
      <c r="K52" s="519"/>
      <c r="L52" s="685"/>
      <c r="M52" s="519"/>
      <c r="N52" s="519"/>
      <c r="O52" s="525"/>
      <c r="P52" s="519"/>
      <c r="Q52" s="525"/>
      <c r="R52" s="525"/>
      <c r="S52" s="525"/>
      <c r="T52" s="519"/>
      <c r="U52" s="519"/>
      <c r="V52" s="593"/>
    </row>
    <row r="53" spans="2:22" ht="18" customHeight="1" x14ac:dyDescent="0.25">
      <c r="B53" s="1088"/>
      <c r="C53" s="846"/>
      <c r="D53" s="1034"/>
      <c r="E53" s="1086"/>
      <c r="F53" s="535" t="s">
        <v>145</v>
      </c>
      <c r="G53" s="856" t="s">
        <v>137</v>
      </c>
      <c r="H53" s="975">
        <f ca="1">BMW_Be_Eqn!E345</f>
        <v>3</v>
      </c>
      <c r="I53" s="861"/>
      <c r="J53" s="525"/>
      <c r="K53" s="525"/>
      <c r="L53" s="685"/>
      <c r="M53" s="525"/>
      <c r="N53" s="525"/>
      <c r="O53" s="525"/>
      <c r="P53" s="519"/>
      <c r="Q53" s="525"/>
      <c r="R53" s="525"/>
      <c r="S53" s="525"/>
      <c r="T53" s="519"/>
      <c r="U53" s="519"/>
      <c r="V53" s="593"/>
    </row>
    <row r="54" spans="2:22" ht="18" customHeight="1" thickBot="1" x14ac:dyDescent="0.3">
      <c r="B54" s="1088"/>
      <c r="C54" s="846"/>
      <c r="D54" s="1034"/>
      <c r="E54" s="1086"/>
      <c r="F54" s="524" t="s">
        <v>148</v>
      </c>
      <c r="G54" s="854" t="s">
        <v>137</v>
      </c>
      <c r="H54" s="975">
        <f ca="1">BMW_Be_Eqn!E346</f>
        <v>7.4</v>
      </c>
      <c r="I54" s="861"/>
      <c r="J54" s="525"/>
      <c r="K54" s="525"/>
      <c r="L54" s="686"/>
      <c r="M54" s="525"/>
      <c r="N54" s="525"/>
      <c r="O54" s="525"/>
      <c r="P54" s="519"/>
      <c r="Q54" s="525"/>
      <c r="R54" s="525"/>
      <c r="S54" s="525"/>
      <c r="T54" s="519"/>
      <c r="U54" s="519"/>
      <c r="V54" s="593"/>
    </row>
    <row r="55" spans="2:22" ht="18" customHeight="1" x14ac:dyDescent="0.25">
      <c r="B55" s="1088"/>
      <c r="C55" s="846"/>
      <c r="D55" s="1034"/>
      <c r="E55" s="1095" t="s">
        <v>132</v>
      </c>
      <c r="F55" s="1096" t="s">
        <v>139</v>
      </c>
      <c r="G55" s="1097" t="s">
        <v>137</v>
      </c>
      <c r="H55" s="1098">
        <f ca="1">BMW_Be_Eqn!E347</f>
        <v>3.9</v>
      </c>
      <c r="I55" s="849"/>
      <c r="J55" s="525"/>
      <c r="K55" s="576"/>
      <c r="L55" s="686"/>
      <c r="M55" s="623"/>
      <c r="N55" s="624"/>
      <c r="O55" s="525"/>
      <c r="P55" s="525"/>
      <c r="Q55" s="525"/>
      <c r="R55" s="525"/>
      <c r="S55" s="525"/>
      <c r="T55" s="519"/>
      <c r="U55" s="519"/>
      <c r="V55" s="593"/>
    </row>
    <row r="56" spans="2:22" ht="18" customHeight="1" x14ac:dyDescent="0.25">
      <c r="B56" s="1088"/>
      <c r="C56" s="846"/>
      <c r="D56" s="1034"/>
      <c r="E56" s="1099"/>
      <c r="F56" s="527" t="s">
        <v>140</v>
      </c>
      <c r="G56" s="853" t="s">
        <v>137</v>
      </c>
      <c r="H56" s="1101">
        <f ca="1">BMW_Be_Eqn!E348</f>
        <v>9.6</v>
      </c>
      <c r="I56" s="849"/>
      <c r="J56" s="525"/>
      <c r="K56" s="604"/>
      <c r="L56" s="686"/>
      <c r="M56" s="525"/>
      <c r="N56" s="525"/>
      <c r="O56" s="525"/>
      <c r="P56" s="525"/>
      <c r="Q56" s="525"/>
      <c r="R56" s="525"/>
      <c r="S56" s="525"/>
      <c r="T56" s="519"/>
      <c r="U56" s="519"/>
      <c r="V56" s="593"/>
    </row>
    <row r="57" spans="2:22" ht="18" customHeight="1" x14ac:dyDescent="0.25">
      <c r="B57" s="633"/>
      <c r="C57" s="846"/>
      <c r="D57" s="1034"/>
      <c r="E57" s="1099"/>
      <c r="F57" s="535" t="s">
        <v>145</v>
      </c>
      <c r="G57" s="854" t="s">
        <v>137</v>
      </c>
      <c r="H57" s="1106">
        <f ca="1">BMW_Be_Eqn!E349</f>
        <v>2.2999999999999998</v>
      </c>
      <c r="I57" s="850"/>
      <c r="J57" s="525"/>
      <c r="K57" s="604"/>
      <c r="L57" s="684"/>
      <c r="M57" s="525"/>
      <c r="N57" s="525"/>
      <c r="O57" s="525"/>
      <c r="P57" s="525"/>
      <c r="Q57" s="525"/>
      <c r="R57" s="525"/>
      <c r="S57" s="525"/>
      <c r="T57" s="519"/>
      <c r="U57" s="519"/>
      <c r="V57" s="593"/>
    </row>
    <row r="58" spans="2:22" ht="18" customHeight="1" thickBot="1" x14ac:dyDescent="0.3">
      <c r="B58" s="633"/>
      <c r="C58" s="846"/>
      <c r="D58" s="1035"/>
      <c r="E58" s="1102"/>
      <c r="F58" s="1103" t="s">
        <v>146</v>
      </c>
      <c r="G58" s="1104" t="s">
        <v>137</v>
      </c>
      <c r="H58" s="1105">
        <f ca="1">BMW_Be_Eqn!E350</f>
        <v>5.6</v>
      </c>
      <c r="I58" s="851"/>
      <c r="J58" s="525"/>
      <c r="K58" s="604"/>
      <c r="L58" s="605"/>
      <c r="M58" s="525"/>
      <c r="N58" s="525"/>
      <c r="O58" s="525"/>
      <c r="P58" s="525"/>
      <c r="Q58" s="525"/>
      <c r="R58" s="525"/>
      <c r="S58" s="525"/>
      <c r="T58" s="519"/>
      <c r="U58" s="519"/>
      <c r="V58" s="593"/>
    </row>
    <row r="59" spans="2:22" ht="18" customHeight="1" x14ac:dyDescent="0.25">
      <c r="B59" s="633"/>
      <c r="C59" s="606"/>
      <c r="D59" s="678" t="s">
        <v>172</v>
      </c>
      <c r="E59" s="678"/>
      <c r="F59" s="524" t="s">
        <v>217</v>
      </c>
      <c r="G59" s="854" t="s">
        <v>173</v>
      </c>
      <c r="H59" s="977">
        <f ca="1">BMW_Be_Eqn!E351</f>
        <v>0.15</v>
      </c>
      <c r="I59" s="851"/>
      <c r="J59" s="525"/>
      <c r="K59" s="604"/>
      <c r="L59" s="605"/>
      <c r="M59" s="525"/>
      <c r="N59" s="525"/>
      <c r="O59" s="525"/>
      <c r="P59" s="525"/>
      <c r="Q59" s="525"/>
      <c r="R59" s="525"/>
      <c r="S59" s="525"/>
      <c r="T59" s="519"/>
      <c r="U59" s="519"/>
      <c r="V59" s="593"/>
    </row>
    <row r="60" spans="2:22" ht="18" customHeight="1" x14ac:dyDescent="0.25">
      <c r="B60" s="592"/>
      <c r="C60" s="519"/>
      <c r="D60" s="678" t="s">
        <v>219</v>
      </c>
      <c r="E60" s="678"/>
      <c r="F60" s="524" t="s">
        <v>156</v>
      </c>
      <c r="G60" s="854" t="s">
        <v>218</v>
      </c>
      <c r="H60" s="978">
        <f ca="1">BMW_Be_Eqn!E352</f>
        <v>0.14099999999999999</v>
      </c>
      <c r="I60" s="851"/>
      <c r="J60" s="519"/>
      <c r="K60" s="519"/>
      <c r="L60" s="519"/>
      <c r="M60" s="519"/>
      <c r="N60" s="519"/>
      <c r="O60" s="519"/>
      <c r="P60" s="519"/>
      <c r="Q60" s="519"/>
      <c r="R60" s="530"/>
      <c r="S60" s="519"/>
      <c r="T60" s="519"/>
      <c r="U60" s="519"/>
      <c r="V60" s="593"/>
    </row>
    <row r="61" spans="2:22" ht="18" customHeight="1" x14ac:dyDescent="0.25">
      <c r="B61" s="592"/>
      <c r="C61" s="519"/>
      <c r="D61" s="678" t="s">
        <v>174</v>
      </c>
      <c r="E61" s="678"/>
      <c r="F61" s="524" t="s">
        <v>181</v>
      </c>
      <c r="G61" s="854" t="s">
        <v>218</v>
      </c>
      <c r="H61" s="978">
        <f ca="1">BMW_Be_Eqn!E353</f>
        <v>7.4999999999999997E-2</v>
      </c>
      <c r="I61" s="519"/>
      <c r="J61" s="519"/>
      <c r="K61" s="519"/>
      <c r="L61" s="519"/>
      <c r="M61" s="519"/>
      <c r="N61" s="519"/>
      <c r="O61" s="519"/>
      <c r="P61" s="519"/>
      <c r="Q61" s="519"/>
      <c r="R61" s="530"/>
      <c r="S61" s="519"/>
      <c r="T61" s="519"/>
      <c r="U61" s="519"/>
      <c r="V61" s="593"/>
    </row>
    <row r="62" spans="2:22" ht="18" customHeight="1" x14ac:dyDescent="0.25">
      <c r="B62" s="592"/>
      <c r="C62" s="519"/>
      <c r="D62" s="678" t="s">
        <v>361</v>
      </c>
      <c r="E62" s="678"/>
      <c r="F62" s="524"/>
      <c r="G62" s="854"/>
      <c r="H62" s="971" t="str">
        <f ca="1">BMW_Be_Eqn!E354</f>
        <v>B</v>
      </c>
      <c r="I62" s="519"/>
      <c r="J62" s="519"/>
      <c r="K62" s="519"/>
      <c r="L62" s="519"/>
      <c r="M62" s="519"/>
      <c r="N62" s="519"/>
      <c r="O62" s="519"/>
      <c r="P62" s="519"/>
      <c r="Q62" s="519"/>
      <c r="R62" s="530"/>
      <c r="S62" s="519"/>
      <c r="T62" s="519"/>
      <c r="U62" s="519"/>
      <c r="V62" s="593"/>
    </row>
    <row r="63" spans="2:22" ht="18" customHeight="1" x14ac:dyDescent="0.25">
      <c r="B63" s="592"/>
      <c r="C63" s="519"/>
      <c r="D63" s="678" t="s">
        <v>362</v>
      </c>
      <c r="E63" s="678"/>
      <c r="F63" s="837"/>
      <c r="G63" s="857"/>
      <c r="H63" s="972" t="str">
        <f ca="1">BMW_Be_Eqn!E355</f>
        <v>≤ 0.4</v>
      </c>
      <c r="I63" s="519"/>
      <c r="J63" s="519"/>
      <c r="K63" s="519"/>
      <c r="L63" s="519"/>
      <c r="M63" s="519"/>
      <c r="N63" s="519"/>
      <c r="O63" s="890"/>
      <c r="P63" s="519"/>
      <c r="Q63" s="519"/>
      <c r="R63" s="530"/>
      <c r="S63" s="519"/>
      <c r="T63" s="519"/>
      <c r="U63" s="519"/>
      <c r="V63" s="593"/>
    </row>
    <row r="64" spans="2:22" ht="18" customHeight="1" x14ac:dyDescent="0.25">
      <c r="B64" s="592"/>
      <c r="C64" s="519"/>
      <c r="D64" s="519"/>
      <c r="E64" s="678"/>
      <c r="F64" s="523"/>
      <c r="G64" s="594"/>
      <c r="H64" s="847"/>
      <c r="I64" s="847"/>
      <c r="J64" s="519"/>
      <c r="K64" s="519"/>
      <c r="L64" s="519"/>
      <c r="M64" s="519"/>
      <c r="N64" s="519"/>
      <c r="O64" s="519"/>
      <c r="P64" s="519"/>
      <c r="Q64" s="519"/>
      <c r="R64" s="530"/>
      <c r="S64" s="519"/>
      <c r="T64" s="519"/>
      <c r="U64" s="519"/>
      <c r="V64" s="593"/>
    </row>
    <row r="65" spans="2:22" ht="5.25" customHeight="1" x14ac:dyDescent="0.25">
      <c r="B65" s="592"/>
      <c r="C65" s="519"/>
      <c r="D65" s="519"/>
      <c r="E65" s="519"/>
      <c r="F65" s="519"/>
      <c r="G65" s="519"/>
      <c r="H65" s="519"/>
      <c r="I65" s="519"/>
      <c r="J65" s="519"/>
      <c r="K65" s="519"/>
      <c r="L65" s="519"/>
      <c r="M65" s="519"/>
      <c r="N65" s="519"/>
      <c r="O65" s="519"/>
      <c r="P65" s="519"/>
      <c r="Q65" s="519"/>
      <c r="R65" s="519"/>
      <c r="S65" s="519"/>
      <c r="T65" s="519"/>
      <c r="U65" s="519"/>
      <c r="V65" s="593"/>
    </row>
    <row r="66" spans="2:22" ht="12.75" customHeight="1" x14ac:dyDescent="0.3">
      <c r="B66" s="631"/>
      <c r="C66" s="626"/>
      <c r="D66" s="627"/>
      <c r="E66" s="626"/>
      <c r="F66" s="626"/>
      <c r="G66" s="626"/>
      <c r="H66" s="626"/>
      <c r="I66" s="626"/>
      <c r="J66" s="626"/>
      <c r="K66" s="626"/>
      <c r="L66" s="626"/>
      <c r="M66" s="626"/>
      <c r="N66" s="626"/>
      <c r="O66" s="626"/>
      <c r="P66" s="626"/>
      <c r="Q66" s="626"/>
      <c r="R66" s="626"/>
      <c r="S66" s="626"/>
      <c r="T66" s="626"/>
      <c r="U66" s="626"/>
      <c r="V66" s="632"/>
    </row>
    <row r="67" spans="2:22" ht="24" customHeight="1" x14ac:dyDescent="0.25">
      <c r="B67" s="631"/>
      <c r="C67" s="626"/>
      <c r="D67" s="898" t="s">
        <v>403</v>
      </c>
      <c r="E67" s="898"/>
      <c r="F67" s="898"/>
      <c r="G67" s="894"/>
      <c r="H67" s="899" t="s">
        <v>427</v>
      </c>
      <c r="I67" s="626"/>
      <c r="J67" s="674"/>
      <c r="K67" s="899"/>
      <c r="L67" s="899" t="s">
        <v>404</v>
      </c>
      <c r="M67" s="626"/>
      <c r="N67" s="674"/>
      <c r="O67" s="916" t="s">
        <v>315</v>
      </c>
      <c r="P67" s="674"/>
      <c r="Q67" s="626"/>
      <c r="R67" s="626"/>
      <c r="S67" s="626"/>
      <c r="T67" s="626"/>
      <c r="U67" s="626"/>
      <c r="V67" s="632"/>
    </row>
    <row r="68" spans="2:22" ht="24" customHeight="1" x14ac:dyDescent="0.25">
      <c r="B68" s="631"/>
      <c r="C68" s="626"/>
      <c r="D68" s="1012" t="s">
        <v>129</v>
      </c>
      <c r="E68" s="1012"/>
      <c r="F68" s="1012"/>
      <c r="G68" s="630"/>
      <c r="H68" s="630" t="s">
        <v>162</v>
      </c>
      <c r="I68" s="630"/>
      <c r="J68" s="630" t="s">
        <v>428</v>
      </c>
      <c r="K68" s="630"/>
      <c r="L68" s="630" t="s">
        <v>163</v>
      </c>
      <c r="M68" s="630"/>
      <c r="N68" s="630"/>
      <c r="O68" s="916" t="s">
        <v>170</v>
      </c>
      <c r="P68" s="630"/>
      <c r="Q68" s="626"/>
      <c r="R68" s="626"/>
      <c r="S68" s="626"/>
      <c r="T68" s="626"/>
      <c r="U68" s="626"/>
      <c r="V68" s="632"/>
    </row>
    <row r="69" spans="2:22" ht="24" customHeight="1" x14ac:dyDescent="0.25">
      <c r="B69" s="631"/>
      <c r="C69" s="626"/>
      <c r="D69" s="1013" t="s">
        <v>169</v>
      </c>
      <c r="E69" s="1013"/>
      <c r="F69" s="1013"/>
      <c r="G69" s="630"/>
      <c r="H69" s="630" t="s">
        <v>164</v>
      </c>
      <c r="I69" s="630"/>
      <c r="J69" s="630" t="s">
        <v>429</v>
      </c>
      <c r="K69" s="630"/>
      <c r="L69" s="630" t="s">
        <v>165</v>
      </c>
      <c r="M69" s="630"/>
      <c r="N69" s="630"/>
      <c r="O69" s="916"/>
      <c r="P69" s="626"/>
      <c r="Q69" s="626"/>
      <c r="R69" s="626"/>
      <c r="S69" s="626"/>
      <c r="T69" s="626"/>
      <c r="U69" s="626"/>
      <c r="V69" s="632"/>
    </row>
    <row r="70" spans="2:22" ht="24" customHeight="1" x14ac:dyDescent="0.25">
      <c r="B70" s="631"/>
      <c r="C70" s="626"/>
      <c r="D70" s="959" t="s">
        <v>477</v>
      </c>
      <c r="E70" s="959"/>
      <c r="F70" s="959"/>
      <c r="G70" s="630"/>
      <c r="H70" s="630"/>
      <c r="I70" s="630"/>
      <c r="J70" s="630"/>
      <c r="K70" s="630"/>
      <c r="L70" s="630"/>
      <c r="M70" s="630"/>
      <c r="N70" s="630"/>
      <c r="O70" s="916"/>
      <c r="P70" s="626"/>
      <c r="Q70" s="626"/>
      <c r="R70" s="626"/>
      <c r="S70" s="626"/>
      <c r="T70" s="626"/>
      <c r="U70" s="626"/>
      <c r="V70" s="632"/>
    </row>
    <row r="71" spans="2:22" ht="24" customHeight="1" x14ac:dyDescent="0.25">
      <c r="B71" s="631"/>
      <c r="C71" s="626"/>
      <c r="D71" s="1012" t="s">
        <v>161</v>
      </c>
      <c r="E71" s="1012"/>
      <c r="F71" s="1012"/>
      <c r="G71" s="630"/>
      <c r="H71" s="630" t="s">
        <v>430</v>
      </c>
      <c r="I71" s="630"/>
      <c r="J71" s="630"/>
      <c r="K71" s="630" t="s">
        <v>167</v>
      </c>
      <c r="L71" s="630"/>
      <c r="M71" s="630"/>
      <c r="N71" s="630" t="s">
        <v>166</v>
      </c>
      <c r="O71" s="916" t="s">
        <v>431</v>
      </c>
      <c r="P71" s="630"/>
      <c r="Q71" s="626"/>
      <c r="R71" s="626"/>
      <c r="S71" s="626"/>
      <c r="T71" s="626"/>
      <c r="U71" s="626"/>
      <c r="V71" s="632"/>
    </row>
    <row r="72" spans="2:22" ht="24" customHeight="1" x14ac:dyDescent="0.25">
      <c r="B72" s="631"/>
      <c r="C72" s="626"/>
      <c r="D72" s="900" t="s">
        <v>313</v>
      </c>
      <c r="E72" s="630"/>
      <c r="F72" s="630"/>
      <c r="G72" s="630"/>
      <c r="H72" s="630" t="s">
        <v>373</v>
      </c>
      <c r="I72" s="630"/>
      <c r="J72" s="888" t="s">
        <v>425</v>
      </c>
      <c r="K72" s="630"/>
      <c r="L72" s="630"/>
      <c r="M72" s="630"/>
      <c r="N72" s="630"/>
      <c r="O72" s="917"/>
      <c r="P72" s="630"/>
      <c r="Q72" s="626"/>
      <c r="R72" s="626"/>
      <c r="S72" s="626"/>
      <c r="T72" s="626"/>
      <c r="U72" s="626"/>
      <c r="V72" s="632"/>
    </row>
    <row r="73" spans="2:22" ht="24" customHeight="1" thickBot="1" x14ac:dyDescent="0.3">
      <c r="B73" s="631"/>
      <c r="C73" s="626"/>
      <c r="D73" s="630"/>
      <c r="E73" s="630"/>
      <c r="F73" s="630"/>
      <c r="G73" s="630"/>
      <c r="H73" s="630" t="s">
        <v>407</v>
      </c>
      <c r="I73" s="630"/>
      <c r="J73" s="630"/>
      <c r="K73" s="630"/>
      <c r="L73" s="630"/>
      <c r="M73" s="630"/>
      <c r="N73" s="630"/>
      <c r="O73" s="916" t="s">
        <v>401</v>
      </c>
      <c r="P73" s="630"/>
      <c r="Q73" s="626"/>
      <c r="R73" s="626"/>
      <c r="S73" s="626"/>
      <c r="T73" s="626"/>
      <c r="U73" s="626"/>
      <c r="V73" s="632"/>
    </row>
    <row r="74" spans="2:22" ht="28.5" customHeight="1" x14ac:dyDescent="0.25">
      <c r="B74" s="631"/>
      <c r="C74" s="626"/>
      <c r="D74" s="1085" t="s">
        <v>168</v>
      </c>
      <c r="E74" s="1085"/>
      <c r="F74" s="1085"/>
      <c r="G74" s="1087" t="str">
        <f ca="1">'BMW-Be-Selection'!B103</f>
        <v>SMARTEMP BMW-AD-BESPOKE-FN600-2-TM-C-SF-RAL9003-0-D1</v>
      </c>
      <c r="H74" s="1087"/>
      <c r="I74" s="1087"/>
      <c r="J74" s="1087"/>
      <c r="K74" s="1087"/>
      <c r="L74" s="1087"/>
      <c r="M74" s="1087"/>
      <c r="N74" s="901"/>
      <c r="O74" s="911"/>
      <c r="P74" s="671"/>
      <c r="Q74" s="626"/>
      <c r="R74" s="626"/>
      <c r="S74" s="626"/>
      <c r="T74" s="626"/>
      <c r="U74" s="626"/>
      <c r="V74" s="632"/>
    </row>
    <row r="75" spans="2:22" ht="15.75" x14ac:dyDescent="0.25">
      <c r="B75" s="600"/>
      <c r="C75" s="601"/>
      <c r="D75" s="601"/>
      <c r="E75" s="601"/>
      <c r="F75" s="601"/>
      <c r="G75" s="601"/>
      <c r="H75" s="1116" t="s">
        <v>135</v>
      </c>
      <c r="I75" s="1116"/>
      <c r="J75" s="1116"/>
      <c r="K75" s="1116"/>
      <c r="L75" s="1116"/>
      <c r="M75" s="601"/>
      <c r="N75" s="602"/>
      <c r="O75" s="602"/>
      <c r="P75" s="1107" t="s">
        <v>530</v>
      </c>
      <c r="Q75" s="1107"/>
      <c r="R75" s="1107"/>
      <c r="S75" s="1107"/>
      <c r="T75" s="1107"/>
      <c r="U75" s="1107"/>
      <c r="V75" s="1108"/>
    </row>
  </sheetData>
  <sheetProtection algorithmName="SHA-512" hashValue="DozU2pe69//9did5Sg0ke/JkJhbnA7KQBPnziJTDuIiWr6ROJGg8zUyQiMlUyjCGZWIq+YR4ytu9dPukjW2f6g==" saltValue="19X6V9TtFUvxh2sbjNdMOg==" spinCount="100000" sheet="1" selectLockedCells="1"/>
  <mergeCells count="16">
    <mergeCell ref="B45:B56"/>
    <mergeCell ref="D68:F68"/>
    <mergeCell ref="D69:F69"/>
    <mergeCell ref="D7:E7"/>
    <mergeCell ref="D40:D41"/>
    <mergeCell ref="D47:D58"/>
    <mergeCell ref="R10:R11"/>
    <mergeCell ref="H75:L75"/>
    <mergeCell ref="P75:V75"/>
    <mergeCell ref="D19:E19"/>
    <mergeCell ref="E47:E50"/>
    <mergeCell ref="D71:F71"/>
    <mergeCell ref="D74:F74"/>
    <mergeCell ref="E51:E54"/>
    <mergeCell ref="E55:E58"/>
    <mergeCell ref="G74:M74"/>
  </mergeCells>
  <dataValidations count="5">
    <dataValidation type="list" allowBlank="1" showInputMessage="1" showErrorMessage="1" sqref="E22" xr:uid="{00000000-0002-0000-0600-000000000000}">
      <formula1>adpi.</formula1>
    </dataValidation>
    <dataValidation type="decimal" allowBlank="1" showInputMessage="1" showErrorMessage="1" errorTitle="Cooling" error="Please enter a value between -12 and -8" sqref="E17" xr:uid="{00000000-0002-0000-0600-000001000000}">
      <formula1>-15</formula1>
      <formula2>0</formula2>
    </dataValidation>
    <dataValidation type="list" allowBlank="1" showInputMessage="1" showErrorMessage="1" errorTitle="Number of Elements High" error="Must be between 1 and 4 elements high" sqref="N11" xr:uid="{00000000-0002-0000-0600-000003000000}">
      <formula1>"1,2,3,4"</formula1>
    </dataValidation>
    <dataValidation type="decimal" allowBlank="1" showInputMessage="1" showErrorMessage="1" errorTitle="Room temperature (for DR)" error="Must be between 20 and 26 degrees Celsius" sqref="E31" xr:uid="{00000000-0002-0000-0600-000004000000}">
      <formula1>20</formula1>
      <formula2>26</formula2>
    </dataValidation>
    <dataValidation type="decimal" allowBlank="1" showInputMessage="1" showErrorMessage="1" sqref="E11" xr:uid="{00000000-0002-0000-0600-000005000000}">
      <formula1>10</formula1>
      <formula2>100</formula2>
    </dataValidation>
  </dataValidations>
  <hyperlinks>
    <hyperlink ref="H75:L75" r:id="rId1" display="click here to see product on smartair.asia" xr:uid="{00000000-0004-0000-0600-000000000000}"/>
  </hyperlinks>
  <pageMargins left="0.7" right="0.7" top="0.75" bottom="0.75" header="0.3" footer="0.3"/>
  <pageSetup paperSize="9" orientation="portrait" r:id="rId2"/>
  <drawing r:id="rId3"/>
  <legacyDrawing r:id="rId4"/>
  <oleObjects>
    <mc:AlternateContent xmlns:mc="http://schemas.openxmlformats.org/markup-compatibility/2006">
      <mc:Choice Requires="x14">
        <oleObject progId="Visio.Drawing.15" shapeId="15399" r:id="rId5">
          <objectPr defaultSize="0" autoPict="0" r:id="rId6">
            <anchor moveWithCells="1">
              <from>
                <xdr:col>8</xdr:col>
                <xdr:colOff>66675</xdr:colOff>
                <xdr:row>40</xdr:row>
                <xdr:rowOff>9525</xdr:rowOff>
              </from>
              <to>
                <xdr:col>15</xdr:col>
                <xdr:colOff>419100</xdr:colOff>
                <xdr:row>63</xdr:row>
                <xdr:rowOff>38100</xdr:rowOff>
              </to>
            </anchor>
          </objectPr>
        </oleObject>
      </mc:Choice>
      <mc:Fallback>
        <oleObject progId="Visio.Drawing.15" shapeId="15399" r:id="rId5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70" r:id="rId7" name="Option Button 10">
              <controlPr defaultSize="0" autoFill="0" autoLine="0" autoPict="0">
                <anchor moveWithCells="1">
                  <from>
                    <xdr:col>6</xdr:col>
                    <xdr:colOff>285750</xdr:colOff>
                    <xdr:row>67</xdr:row>
                    <xdr:rowOff>38100</xdr:rowOff>
                  </from>
                  <to>
                    <xdr:col>7</xdr:col>
                    <xdr:colOff>285750</xdr:colOff>
                    <xdr:row>67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1" r:id="rId8" name="Option Button 11">
              <controlPr defaultSize="0" autoFill="0" autoLine="0" autoPict="0">
                <anchor moveWithCells="1">
                  <from>
                    <xdr:col>8</xdr:col>
                    <xdr:colOff>419100</xdr:colOff>
                    <xdr:row>67</xdr:row>
                    <xdr:rowOff>38100</xdr:rowOff>
                  </from>
                  <to>
                    <xdr:col>9</xdr:col>
                    <xdr:colOff>447675</xdr:colOff>
                    <xdr:row>67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2" r:id="rId9" name="Option Button 12">
              <controlPr defaultSize="0" autoFill="0" autoLine="0" autoPict="0">
                <anchor moveWithCells="1">
                  <from>
                    <xdr:col>10</xdr:col>
                    <xdr:colOff>447675</xdr:colOff>
                    <xdr:row>67</xdr:row>
                    <xdr:rowOff>38100</xdr:rowOff>
                  </from>
                  <to>
                    <xdr:col>11</xdr:col>
                    <xdr:colOff>276225</xdr:colOff>
                    <xdr:row>67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3" r:id="rId10" name="Group Box 13">
              <controlPr defaultSize="0" autoFill="0" autoPict="0">
                <anchor moveWithCells="1">
                  <from>
                    <xdr:col>5</xdr:col>
                    <xdr:colOff>704850</xdr:colOff>
                    <xdr:row>67</xdr:row>
                    <xdr:rowOff>19050</xdr:rowOff>
                  </from>
                  <to>
                    <xdr:col>12</xdr:col>
                    <xdr:colOff>57150</xdr:colOff>
                    <xdr:row>67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4" r:id="rId11" name="Option Button 14">
              <controlPr defaultSize="0" autoFill="0" autoLine="0" autoPict="0">
                <anchor moveWithCells="1">
                  <from>
                    <xdr:col>6</xdr:col>
                    <xdr:colOff>285750</xdr:colOff>
                    <xdr:row>68</xdr:row>
                    <xdr:rowOff>38100</xdr:rowOff>
                  </from>
                  <to>
                    <xdr:col>7</xdr:col>
                    <xdr:colOff>142875</xdr:colOff>
                    <xdr:row>68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5" r:id="rId12" name="Option Button 15">
              <controlPr defaultSize="0" autoFill="0" autoLine="0" autoPict="0">
                <anchor moveWithCells="1">
                  <from>
                    <xdr:col>8</xdr:col>
                    <xdr:colOff>409575</xdr:colOff>
                    <xdr:row>68</xdr:row>
                    <xdr:rowOff>47625</xdr:rowOff>
                  </from>
                  <to>
                    <xdr:col>9</xdr:col>
                    <xdr:colOff>352425</xdr:colOff>
                    <xdr:row>68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6" r:id="rId13" name="Option Button 16">
              <controlPr defaultSize="0" autoFill="0" autoLine="0" autoPict="0">
                <anchor moveWithCells="1">
                  <from>
                    <xdr:col>10</xdr:col>
                    <xdr:colOff>438150</xdr:colOff>
                    <xdr:row>68</xdr:row>
                    <xdr:rowOff>38100</xdr:rowOff>
                  </from>
                  <to>
                    <xdr:col>11</xdr:col>
                    <xdr:colOff>257175</xdr:colOff>
                    <xdr:row>68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7" r:id="rId14" name="Group Box 17">
              <controlPr defaultSize="0" autoFill="0" autoPict="0">
                <anchor moveWithCells="1">
                  <from>
                    <xdr:col>5</xdr:col>
                    <xdr:colOff>704850</xdr:colOff>
                    <xdr:row>68</xdr:row>
                    <xdr:rowOff>9525</xdr:rowOff>
                  </from>
                  <to>
                    <xdr:col>12</xdr:col>
                    <xdr:colOff>47625</xdr:colOff>
                    <xdr:row>68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1" r:id="rId15" name="Option Button 21">
              <controlPr defaultSize="0" autoFill="0" autoLine="0" autoPict="0">
                <anchor moveWithCells="1">
                  <from>
                    <xdr:col>6</xdr:col>
                    <xdr:colOff>276225</xdr:colOff>
                    <xdr:row>70</xdr:row>
                    <xdr:rowOff>38100</xdr:rowOff>
                  </from>
                  <to>
                    <xdr:col>7</xdr:col>
                    <xdr:colOff>419100</xdr:colOff>
                    <xdr:row>70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2" r:id="rId16" name="Option Button 22">
              <controlPr defaultSize="0" autoFill="0" autoLine="0" autoPict="0">
                <anchor moveWithCells="1">
                  <from>
                    <xdr:col>9</xdr:col>
                    <xdr:colOff>428625</xdr:colOff>
                    <xdr:row>70</xdr:row>
                    <xdr:rowOff>57150</xdr:rowOff>
                  </from>
                  <to>
                    <xdr:col>10</xdr:col>
                    <xdr:colOff>485775</xdr:colOff>
                    <xdr:row>70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5" r:id="rId17" name="Group Box 25">
              <controlPr defaultSize="0" autoFill="0" autoPict="0">
                <anchor moveWithCells="1">
                  <from>
                    <xdr:col>5</xdr:col>
                    <xdr:colOff>685800</xdr:colOff>
                    <xdr:row>70</xdr:row>
                    <xdr:rowOff>9525</xdr:rowOff>
                  </from>
                  <to>
                    <xdr:col>15</xdr:col>
                    <xdr:colOff>19050</xdr:colOff>
                    <xdr:row>71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6" r:id="rId18" name="Group Box 26">
              <controlPr defaultSize="0" autoFill="0" autoPict="0">
                <anchor moveWithCells="1">
                  <from>
                    <xdr:col>1</xdr:col>
                    <xdr:colOff>361950</xdr:colOff>
                    <xdr:row>22</xdr:row>
                    <xdr:rowOff>0</xdr:rowOff>
                  </from>
                  <to>
                    <xdr:col>4</xdr:col>
                    <xdr:colOff>285750</xdr:colOff>
                    <xdr:row>29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7" r:id="rId19" name="Option Button 27">
              <controlPr defaultSize="0" autoFill="0" autoLine="0" autoPict="0">
                <anchor moveWithCells="1">
                  <from>
                    <xdr:col>2</xdr:col>
                    <xdr:colOff>152400</xdr:colOff>
                    <xdr:row>22</xdr:row>
                    <xdr:rowOff>171450</xdr:rowOff>
                  </from>
                  <to>
                    <xdr:col>3</xdr:col>
                    <xdr:colOff>447675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8" r:id="rId20" name="Option Button 28">
              <controlPr defaultSize="0" autoFill="0" autoLine="0" autoPict="0">
                <anchor moveWithCells="1">
                  <from>
                    <xdr:col>2</xdr:col>
                    <xdr:colOff>152400</xdr:colOff>
                    <xdr:row>25</xdr:row>
                    <xdr:rowOff>38100</xdr:rowOff>
                  </from>
                  <to>
                    <xdr:col>3</xdr:col>
                    <xdr:colOff>428625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9" r:id="rId21" name="Option Button 29">
              <controlPr defaultSize="0" autoFill="0" autoLine="0" autoPict="0">
                <anchor moveWithCells="1">
                  <from>
                    <xdr:col>2</xdr:col>
                    <xdr:colOff>161925</xdr:colOff>
                    <xdr:row>27</xdr:row>
                    <xdr:rowOff>171450</xdr:rowOff>
                  </from>
                  <to>
                    <xdr:col>3</xdr:col>
                    <xdr:colOff>600075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0" r:id="rId22" name="Group Box 30">
              <controlPr defaultSize="0" autoFill="0" autoPict="0">
                <anchor moveWithCells="1">
                  <from>
                    <xdr:col>4</xdr:col>
                    <xdr:colOff>838200</xdr:colOff>
                    <xdr:row>7</xdr:row>
                    <xdr:rowOff>95250</xdr:rowOff>
                  </from>
                  <to>
                    <xdr:col>7</xdr:col>
                    <xdr:colOff>0</xdr:colOff>
                    <xdr:row>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1" r:id="rId23" name="Option Button 31">
              <controlPr defaultSize="0" autoFill="0" autoLine="0" autoPict="0">
                <anchor moveWithCells="1">
                  <from>
                    <xdr:col>5</xdr:col>
                    <xdr:colOff>104775</xdr:colOff>
                    <xdr:row>7</xdr:row>
                    <xdr:rowOff>200025</xdr:rowOff>
                  </from>
                  <to>
                    <xdr:col>5</xdr:col>
                    <xdr:colOff>523875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2" r:id="rId24" name="Option Button 32">
              <controlPr defaultSize="0" autoFill="0" autoLine="0" autoPict="0">
                <anchor moveWithCells="1">
                  <from>
                    <xdr:col>5</xdr:col>
                    <xdr:colOff>609600</xdr:colOff>
                    <xdr:row>7</xdr:row>
                    <xdr:rowOff>200025</xdr:rowOff>
                  </from>
                  <to>
                    <xdr:col>6</xdr:col>
                    <xdr:colOff>238125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0" r:id="rId25" name="Option Button 40">
              <controlPr defaultSize="0" autoFill="0" autoLine="0" autoPict="0">
                <anchor moveWithCells="1">
                  <from>
                    <xdr:col>12</xdr:col>
                    <xdr:colOff>447675</xdr:colOff>
                    <xdr:row>70</xdr:row>
                    <xdr:rowOff>57150</xdr:rowOff>
                  </from>
                  <to>
                    <xdr:col>13</xdr:col>
                    <xdr:colOff>361950</xdr:colOff>
                    <xdr:row>70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1" r:id="rId26" name="Group Box 41">
              <controlPr defaultSize="0" autoFill="0" autoPict="0">
                <anchor moveWithCells="1">
                  <from>
                    <xdr:col>5</xdr:col>
                    <xdr:colOff>781050</xdr:colOff>
                    <xdr:row>71</xdr:row>
                    <xdr:rowOff>9525</xdr:rowOff>
                  </from>
                  <to>
                    <xdr:col>12</xdr:col>
                    <xdr:colOff>47625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3" r:id="rId27" name="Option Button 43">
              <controlPr defaultSize="0" autoFill="0" autoLine="0" autoPict="0">
                <anchor moveWithCells="1">
                  <from>
                    <xdr:col>6</xdr:col>
                    <xdr:colOff>285750</xdr:colOff>
                    <xdr:row>71</xdr:row>
                    <xdr:rowOff>38100</xdr:rowOff>
                  </from>
                  <to>
                    <xdr:col>7</xdr:col>
                    <xdr:colOff>523875</xdr:colOff>
                    <xdr:row>71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4" r:id="rId28" name="Group Box 44">
              <controlPr defaultSize="0" autoFill="0" autoPict="0">
                <anchor moveWithCells="1">
                  <from>
                    <xdr:col>5</xdr:col>
                    <xdr:colOff>161925</xdr:colOff>
                    <xdr:row>66</xdr:row>
                    <xdr:rowOff>0</xdr:rowOff>
                  </from>
                  <to>
                    <xdr:col>13</xdr:col>
                    <xdr:colOff>400050</xdr:colOff>
                    <xdr:row>66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5" r:id="rId29" name="Option Button 45">
              <controlPr defaultSize="0" autoFill="0" autoLine="0" autoPict="0">
                <anchor moveWithCells="1">
                  <from>
                    <xdr:col>6</xdr:col>
                    <xdr:colOff>295275</xdr:colOff>
                    <xdr:row>66</xdr:row>
                    <xdr:rowOff>76200</xdr:rowOff>
                  </from>
                  <to>
                    <xdr:col>8</xdr:col>
                    <xdr:colOff>514350</xdr:colOff>
                    <xdr:row>66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6" r:id="rId30" name="Option Button 46">
              <controlPr defaultSize="0" autoFill="0" autoLine="0" autoPict="0">
                <anchor moveWithCells="1">
                  <from>
                    <xdr:col>10</xdr:col>
                    <xdr:colOff>295275</xdr:colOff>
                    <xdr:row>66</xdr:row>
                    <xdr:rowOff>57150</xdr:rowOff>
                  </from>
                  <to>
                    <xdr:col>11</xdr:col>
                    <xdr:colOff>371475</xdr:colOff>
                    <xdr:row>66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7" r:id="rId31" name="Option Button 47">
              <controlPr defaultSize="0" autoFill="0" autoLine="0" autoPict="0">
                <anchor moveWithCells="1">
                  <from>
                    <xdr:col>8</xdr:col>
                    <xdr:colOff>409575</xdr:colOff>
                    <xdr:row>71</xdr:row>
                    <xdr:rowOff>38100</xdr:rowOff>
                  </from>
                  <to>
                    <xdr:col>9</xdr:col>
                    <xdr:colOff>581025</xdr:colOff>
                    <xdr:row>71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8" r:id="rId32" name="Check Box 48">
              <controlPr defaultSize="0" autoFill="0" autoLine="0" autoPict="0">
                <anchor moveWithCells="1">
                  <from>
                    <xdr:col>6</xdr:col>
                    <xdr:colOff>285750</xdr:colOff>
                    <xdr:row>72</xdr:row>
                    <xdr:rowOff>47625</xdr:rowOff>
                  </from>
                  <to>
                    <xdr:col>7</xdr:col>
                    <xdr:colOff>733425</xdr:colOff>
                    <xdr:row>72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1" r:id="rId33" name="Group Box 51">
              <controlPr defaultSize="0" autoFill="0" autoPict="0">
                <anchor moveWithCells="1">
                  <from>
                    <xdr:col>10</xdr:col>
                    <xdr:colOff>266700</xdr:colOff>
                    <xdr:row>11</xdr:row>
                    <xdr:rowOff>104775</xdr:rowOff>
                  </from>
                  <to>
                    <xdr:col>15</xdr:col>
                    <xdr:colOff>114300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2" r:id="rId34" name="Option Button 52">
              <controlPr defaultSize="0" autoFill="0" autoLine="0" autoPict="0">
                <anchor moveWithCells="1">
                  <from>
                    <xdr:col>10</xdr:col>
                    <xdr:colOff>438150</xdr:colOff>
                    <xdr:row>11</xdr:row>
                    <xdr:rowOff>171450</xdr:rowOff>
                  </from>
                  <to>
                    <xdr:col>11</xdr:col>
                    <xdr:colOff>542925</xdr:colOff>
                    <xdr:row>12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3" r:id="rId35" name="Option Button 53">
              <controlPr defaultSize="0" autoFill="0" autoLine="0" autoPict="0">
                <anchor moveWithCells="1">
                  <from>
                    <xdr:col>13</xdr:col>
                    <xdr:colOff>695325</xdr:colOff>
                    <xdr:row>11</xdr:row>
                    <xdr:rowOff>180975</xdr:rowOff>
                  </from>
                  <to>
                    <xdr:col>15</xdr:col>
                    <xdr:colOff>47625</xdr:colOff>
                    <xdr:row>12</xdr:row>
                    <xdr:rowOff>180975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6" id="{01C22FE5-59FD-4F6E-8C42-4C4BE109BC31}">
            <xm:f>BMW_Be_Eqn!$B$35=1</xm:f>
            <x14:dxf>
              <font>
                <color theme="1" tint="0.499984740745262"/>
              </font>
            </x14:dxf>
          </x14:cfRule>
          <xm:sqref>D24</xm:sqref>
        </x14:conditionalFormatting>
        <x14:conditionalFormatting xmlns:xm="http://schemas.microsoft.com/office/excel/2006/main">
          <x14:cfRule type="expression" priority="15" id="{5305D60D-BC36-432E-AEAC-AE976CAD51E8}">
            <xm:f>BMW_Be_Eqn!$B$35=2</xm:f>
            <x14:dxf>
              <font>
                <color theme="1" tint="0.499984740745262"/>
              </font>
            </x14:dxf>
          </x14:cfRule>
          <xm:sqref>D26:D27 F26:F27 G27</xm:sqref>
        </x14:conditionalFormatting>
        <x14:conditionalFormatting xmlns:xm="http://schemas.microsoft.com/office/excel/2006/main">
          <x14:cfRule type="expression" priority="13" id="{F375FE71-458D-4575-A894-02C1E67907B0}">
            <xm:f>NOT(BMW_Be_Eqn!$B$35=2)</xm:f>
            <x14:dxf>
              <font>
                <color theme="1" tint="0.34998626667073579"/>
              </font>
              <fill>
                <patternFill>
                  <bgColor theme="0" tint="-0.49998474074526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E26:E27</xm:sqref>
        </x14:conditionalFormatting>
        <x14:conditionalFormatting xmlns:xm="http://schemas.microsoft.com/office/excel/2006/main">
          <x14:cfRule type="expression" priority="12" id="{6D09482B-86AC-43E8-8285-144F2C78ADD7}">
            <xm:f>NOT(BMW_Be_Eqn!$B$35=3)</xm:f>
            <x14:dxf>
              <font>
                <color theme="1" tint="0.34998626667073579"/>
              </font>
              <fill>
                <patternFill>
                  <bgColor theme="0" tint="-0.49998474074526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E29</xm:sqref>
        </x14:conditionalFormatting>
        <x14:conditionalFormatting xmlns:xm="http://schemas.microsoft.com/office/excel/2006/main">
          <x14:cfRule type="expression" priority="1102" id="{C7D8FDA6-705F-456B-A80A-BA52F5698C6C}">
            <xm:f>NOT(BMW_Std_Eqn!#REF!=3)</xm:f>
            <x14:dxf>
              <font>
                <color theme="0" tint="-0.14996795556505021"/>
              </font>
            </x14:dxf>
          </x14:cfRule>
          <xm:sqref>E30:F30</xm:sqref>
        </x14:conditionalFormatting>
        <x14:conditionalFormatting xmlns:xm="http://schemas.microsoft.com/office/excel/2006/main">
          <x14:cfRule type="expression" priority="14" id="{D4EF6728-AC43-4368-A59E-1713D53A1419}">
            <xm:f>BMW_Be_Eqn!$B$35=3</xm:f>
            <x14:dxf>
              <font>
                <color theme="1" tint="0.499984740745262"/>
              </font>
            </x14:dxf>
          </x14:cfRule>
          <xm:sqref>F29:G29</xm:sqref>
        </x14:conditionalFormatting>
        <x14:conditionalFormatting xmlns:xm="http://schemas.microsoft.com/office/excel/2006/main">
          <x14:cfRule type="expression" priority="22" id="{CF3B07B7-5451-495C-B9D1-76ED7D67D3EF}">
            <xm:f>BMW_Be_Eqn!$C$230</xm:f>
            <x14:dxf>
              <fill>
                <patternFill>
                  <bgColor theme="0" tint="-0.14996795556505021"/>
                </patternFill>
              </fill>
            </x14:dxf>
          </x14:cfRule>
          <xm:sqref>H37:H63</xm:sqref>
        </x14:conditionalFormatting>
        <x14:conditionalFormatting xmlns:xm="http://schemas.microsoft.com/office/excel/2006/main">
          <x14:cfRule type="expression" priority="21" id="{53D05F12-9620-405C-A235-461B56EDEA99}">
            <xm:f>BMW_Be_Eqn!$C$232</xm:f>
            <x14:dxf>
              <font>
                <color rgb="FFC00000"/>
              </font>
            </x14:dxf>
          </x14:cfRule>
          <xm:sqref>H42</xm:sqref>
        </x14:conditionalFormatting>
        <x14:conditionalFormatting xmlns:xm="http://schemas.microsoft.com/office/excel/2006/main">
          <x14:cfRule type="expression" priority="20" id="{D2C87227-794B-4DFA-8DCD-1F98619A40B6}">
            <xm:f>BMW_Be_Eqn!$C$233</xm:f>
            <x14:dxf>
              <font>
                <color rgb="FFC00000"/>
              </font>
            </x14:dxf>
          </x14:cfRule>
          <xm:sqref>H43</xm:sqref>
        </x14:conditionalFormatting>
        <x14:conditionalFormatting xmlns:xm="http://schemas.microsoft.com/office/excel/2006/main">
          <x14:cfRule type="expression" priority="19" id="{9AD7169F-61AB-435F-8C40-D9D7D55B258D}">
            <xm:f>BMW_Be_Eqn!$C$234</xm:f>
            <x14:dxf>
              <font>
                <color rgb="FFC00000"/>
              </font>
            </x14:dxf>
          </x14:cfRule>
          <xm:sqref>H46</xm:sqref>
        </x14:conditionalFormatting>
        <x14:conditionalFormatting xmlns:xm="http://schemas.microsoft.com/office/excel/2006/main">
          <x14:cfRule type="expression" priority="17" id="{7AFF5BA0-5A1F-4952-891E-1784AC125749}">
            <xm:f>BMW_Be_Eqn!$C249</xm:f>
            <x14:dxf>
              <fill>
                <patternFill>
                  <bgColor theme="0" tint="-0.14996795556505021"/>
                </patternFill>
              </fill>
            </x14:dxf>
          </x14:cfRule>
          <x14:cfRule type="expression" priority="18" id="{A47AF9AE-2F49-4C95-A097-7EEB9E063042}">
            <xm:f>BMW_Be_Eqn!$C235</xm:f>
            <x14:dxf>
              <font>
                <color rgb="FFC00000"/>
              </font>
            </x14:dxf>
          </x14:cfRule>
          <xm:sqref>H47:H58</xm:sqref>
        </x14:conditionalFormatting>
        <x14:conditionalFormatting xmlns:xm="http://schemas.microsoft.com/office/excel/2006/main">
          <x14:cfRule type="expression" priority="11" id="{C4F4918C-CA00-4527-AF41-8CD1DBB01E91}">
            <xm:f>('BMW-Be-Selection'!$B$31=2)</xm:f>
            <x14:dxf>
              <font>
                <color theme="0" tint="-0.34998626667073579"/>
              </font>
            </x14:dxf>
          </x14:cfRule>
          <xm:sqref>H68:L70</xm:sqref>
        </x14:conditionalFormatting>
        <x14:conditionalFormatting xmlns:xm="http://schemas.microsoft.com/office/excel/2006/main">
          <x14:cfRule type="expression" priority="9" id="{50E6C147-E9E5-459F-963E-F001E0751AD3}">
            <xm:f>NOT('BMW-Be-Selection'!$B$52="TS")</xm:f>
            <x14:dxf>
              <border>
                <left style="thin">
                  <color theme="1" tint="0.24994659260841701"/>
                </left>
                <vertical/>
                <horizontal/>
              </border>
            </x14:dxf>
          </x14:cfRule>
          <xm:sqref>E47:E50</xm:sqref>
        </x14:conditionalFormatting>
        <x14:conditionalFormatting xmlns:xm="http://schemas.microsoft.com/office/excel/2006/main">
          <x14:cfRule type="expression" priority="8" id="{5F40B992-D035-45D4-A013-44D7BBAC2447}">
            <xm:f>NOT('BMW-Be-Selection'!$B$52="TS")</xm:f>
            <x14:dxf>
              <border>
                <right style="thin">
                  <color theme="1" tint="0.24994659260841701"/>
                </right>
                <vertical/>
                <horizontal/>
              </border>
            </x14:dxf>
          </x14:cfRule>
          <xm:sqref>H47:H50</xm:sqref>
        </x14:conditionalFormatting>
        <x14:conditionalFormatting xmlns:xm="http://schemas.microsoft.com/office/excel/2006/main">
          <x14:cfRule type="expression" priority="7" id="{C0F9BC7C-87CD-4AC1-859E-D4541139F12C}">
            <xm:f>NOT('BMW-Be-Selection'!$B$52="TM")</xm:f>
            <x14:dxf>
              <border>
                <left style="thin">
                  <color theme="1" tint="0.24994659260841701"/>
                </left>
                <vertical/>
                <horizontal/>
              </border>
            </x14:dxf>
          </x14:cfRule>
          <xm:sqref>E51:E54</xm:sqref>
        </x14:conditionalFormatting>
        <x14:conditionalFormatting xmlns:xm="http://schemas.microsoft.com/office/excel/2006/main">
          <x14:cfRule type="expression" priority="6" id="{EA0A2124-7609-48E9-AA50-7ECF23D1C67E}">
            <xm:f>NOT('BMW-Be-Selection'!$B$52="TM")</xm:f>
            <x14:dxf>
              <border>
                <right style="thin">
                  <color theme="1" tint="0.24994659260841701"/>
                </right>
                <vertical/>
                <horizontal/>
              </border>
            </x14:dxf>
          </x14:cfRule>
          <xm:sqref>H51:H54</xm:sqref>
        </x14:conditionalFormatting>
        <x14:conditionalFormatting xmlns:xm="http://schemas.microsoft.com/office/excel/2006/main">
          <x14:cfRule type="expression" priority="5" id="{8F672E05-57D4-4634-8863-5B97B63461D6}">
            <xm:f>NOT('BMW-Be-Selection'!$B$52="TL")</xm:f>
            <x14:dxf>
              <border>
                <bottom style="thin">
                  <color theme="1" tint="0.24994659260841701"/>
                </bottom>
                <vertical/>
                <horizontal/>
              </border>
            </x14:dxf>
          </x14:cfRule>
          <xm:sqref>E58:H58</xm:sqref>
        </x14:conditionalFormatting>
        <x14:conditionalFormatting xmlns:xm="http://schemas.microsoft.com/office/excel/2006/main">
          <x14:cfRule type="expression" priority="4" id="{7CBC5EAD-259F-4CC4-BDD5-ED666B75F176}">
            <xm:f>NOT('BMW-Be-Selection'!$B$52="TL")</xm:f>
            <x14:dxf>
              <border>
                <left style="thin">
                  <color theme="1" tint="0.24994659260841701"/>
                </left>
                <vertical/>
                <horizontal/>
              </border>
            </x14:dxf>
          </x14:cfRule>
          <xm:sqref>E55:E58</xm:sqref>
        </x14:conditionalFormatting>
        <x14:conditionalFormatting xmlns:xm="http://schemas.microsoft.com/office/excel/2006/main">
          <x14:cfRule type="expression" priority="3" id="{8B9479A7-51E7-41E9-96F4-C8C7903E68C4}">
            <xm:f>NOT('BMW-Be-Selection'!$B$52="TL")</xm:f>
            <x14:dxf>
              <border>
                <right style="thin">
                  <color theme="1" tint="0.24994659260841701"/>
                </right>
                <vertical/>
                <horizontal/>
              </border>
            </x14:dxf>
          </x14:cfRule>
          <xm:sqref>H55:H58</xm:sqref>
        </x14:conditionalFormatting>
        <x14:conditionalFormatting xmlns:xm="http://schemas.microsoft.com/office/excel/2006/main">
          <x14:cfRule type="expression" priority="10" id="{46497503-8E53-4AEA-940A-05F739670A52}">
            <xm:f>NOT('BMW-Be-Selection'!$B$52="TS")</xm:f>
            <x14:dxf>
              <border>
                <top style="thin">
                  <color theme="1" tint="0.24994659260841701"/>
                </top>
                <vertical/>
                <horizontal/>
              </border>
            </x14:dxf>
          </x14:cfRule>
          <xm:sqref>E47:H47</xm:sqref>
        </x14:conditionalFormatting>
        <x14:conditionalFormatting xmlns:xm="http://schemas.microsoft.com/office/excel/2006/main">
          <x14:cfRule type="expression" priority="2" id="{9B2E85A0-27F9-406C-9567-6DB454C5BFB3}">
            <xm:f>('BMW-Be-Selection'!$B$52="TL")</xm:f>
            <x14:dxf>
              <border>
                <bottom style="thin">
                  <color theme="1" tint="0.24994659260841701"/>
                </bottom>
                <vertical/>
                <horizontal/>
              </border>
            </x14:dxf>
          </x14:cfRule>
          <xm:sqref>E50:H50</xm:sqref>
        </x14:conditionalFormatting>
        <x14:conditionalFormatting xmlns:xm="http://schemas.microsoft.com/office/excel/2006/main">
          <x14:cfRule type="expression" priority="1" id="{DCC2F0D4-18DA-4819-8332-C3B8219F0BB4}">
            <xm:f>('BMW-Be-Selection'!$B$52="TS")</xm:f>
            <x14:dxf>
              <border>
                <top style="thin">
                  <color theme="1" tint="0.24994659260841701"/>
                </top>
                <vertical/>
                <horizontal/>
              </border>
            </x14:dxf>
          </x14:cfRule>
          <xm:sqref>E55:H55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Number of Elements Wide" error="Must be between 2 and 21 elements." xr:uid="{00000000-0002-0000-0600-000002000000}">
          <x14:formula1>
            <xm:f>'BMW-Be-Selection'!$A$8:$A$16</xm:f>
          </x14:formula1>
          <xm:sqref>N9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55"/>
  <sheetViews>
    <sheetView topLeftCell="A43" zoomScaleNormal="100" workbookViewId="0">
      <selection activeCell="F300" sqref="F300"/>
    </sheetView>
  </sheetViews>
  <sheetFormatPr defaultRowHeight="15" x14ac:dyDescent="0.25"/>
  <cols>
    <col min="1" max="1" width="29.28515625" customWidth="1"/>
    <col min="3" max="3" width="15" customWidth="1"/>
  </cols>
  <sheetData>
    <row r="1" spans="1:6" x14ac:dyDescent="0.25">
      <c r="A1" s="2" t="s">
        <v>120</v>
      </c>
      <c r="B1" s="2"/>
      <c r="C1" s="2"/>
    </row>
    <row r="2" spans="1:6" x14ac:dyDescent="0.25">
      <c r="A2" s="2"/>
      <c r="B2" s="2"/>
      <c r="C2" s="2"/>
      <c r="D2" s="821" t="s">
        <v>15</v>
      </c>
      <c r="E2" t="s">
        <v>306</v>
      </c>
    </row>
    <row r="3" spans="1:6" x14ac:dyDescent="0.25">
      <c r="A3" s="2"/>
      <c r="B3" s="2"/>
      <c r="C3" s="2"/>
      <c r="D3" t="s">
        <v>307</v>
      </c>
      <c r="E3" t="s">
        <v>308</v>
      </c>
      <c r="F3" t="s">
        <v>305</v>
      </c>
    </row>
    <row r="4" spans="1:6" x14ac:dyDescent="0.25">
      <c r="A4" t="s">
        <v>239</v>
      </c>
      <c r="B4">
        <f>'BMW-AD Bespoke Calculator'!E9</f>
        <v>100</v>
      </c>
      <c r="C4" t="str">
        <f>IF($B$5=1,D2,E2)</f>
        <v>L/s</v>
      </c>
      <c r="D4" t="str">
        <f>"["&amp;C4&amp;"]"</f>
        <v>[L/s]</v>
      </c>
    </row>
    <row r="5" spans="1:6" x14ac:dyDescent="0.25">
      <c r="A5" t="s">
        <v>241</v>
      </c>
      <c r="B5">
        <v>1</v>
      </c>
      <c r="C5" t="str">
        <f>IF($B$5=1,D3,E3)</f>
        <v>L/s/m²</v>
      </c>
      <c r="D5" t="str">
        <f>"["&amp;C5&amp;"]"</f>
        <v>[L/s/m²]</v>
      </c>
    </row>
    <row r="6" spans="1:6" x14ac:dyDescent="0.25">
      <c r="A6" t="s">
        <v>242</v>
      </c>
      <c r="B6">
        <f>IF(B5=1,1,3.6)</f>
        <v>1</v>
      </c>
    </row>
    <row r="7" spans="1:6" x14ac:dyDescent="0.25">
      <c r="A7" t="s">
        <v>277</v>
      </c>
      <c r="B7">
        <f>'BMW-AD Bespoke Calculator'!E29</f>
        <v>5</v>
      </c>
    </row>
    <row r="9" spans="1:6" x14ac:dyDescent="0.25">
      <c r="A9" t="s">
        <v>298</v>
      </c>
      <c r="B9">
        <f>9*B6</f>
        <v>9</v>
      </c>
    </row>
    <row r="10" spans="1:6" x14ac:dyDescent="0.25">
      <c r="A10" t="s">
        <v>377</v>
      </c>
      <c r="B10">
        <f>600*B6</f>
        <v>600</v>
      </c>
    </row>
    <row r="11" spans="1:6" x14ac:dyDescent="0.25">
      <c r="A11" t="s">
        <v>318</v>
      </c>
      <c r="B11" t="str">
        <f>B9&amp;" - "&amp;B10&amp;" "&amp;C4</f>
        <v>9 - 600 L/s</v>
      </c>
    </row>
    <row r="13" spans="1:6" x14ac:dyDescent="0.25">
      <c r="A13" s="2" t="s">
        <v>120</v>
      </c>
    </row>
    <row r="14" spans="1:6" x14ac:dyDescent="0.25">
      <c r="A14" t="s">
        <v>240</v>
      </c>
      <c r="B14">
        <f>B4/B6</f>
        <v>100</v>
      </c>
    </row>
    <row r="15" spans="1:6" x14ac:dyDescent="0.25">
      <c r="A15" t="s">
        <v>243</v>
      </c>
      <c r="B15">
        <f>'BMW-AD Bespoke Calculator'!E11/100</f>
        <v>1</v>
      </c>
    </row>
    <row r="16" spans="1:6" x14ac:dyDescent="0.25">
      <c r="A16" t="s">
        <v>236</v>
      </c>
      <c r="B16">
        <f>'BMW-AD Bespoke Calculator'!E13</f>
        <v>30</v>
      </c>
    </row>
    <row r="17" spans="1:5" x14ac:dyDescent="0.25">
      <c r="A17" t="s">
        <v>9</v>
      </c>
      <c r="B17">
        <f>'BMW-AD Bespoke Calculator'!E15</f>
        <v>2.5</v>
      </c>
    </row>
    <row r="18" spans="1:5" x14ac:dyDescent="0.25">
      <c r="A18" t="s">
        <v>244</v>
      </c>
      <c r="B18">
        <f>ABS('BMW-AD Bespoke Calculator'!E17)</f>
        <v>12</v>
      </c>
    </row>
    <row r="19" spans="1:5" x14ac:dyDescent="0.25">
      <c r="A19" t="s">
        <v>124</v>
      </c>
      <c r="B19" s="514">
        <f>'BMW-AD Bespoke Calculator'!E22</f>
        <v>0.9</v>
      </c>
    </row>
    <row r="20" spans="1:5" x14ac:dyDescent="0.25">
      <c r="B20" s="514"/>
    </row>
    <row r="21" spans="1:5" x14ac:dyDescent="0.25">
      <c r="A21" s="2" t="s">
        <v>399</v>
      </c>
      <c r="B21" s="514"/>
    </row>
    <row r="22" spans="1:5" x14ac:dyDescent="0.25">
      <c r="A22" t="s">
        <v>280</v>
      </c>
      <c r="B22">
        <f>B14*B15</f>
        <v>100</v>
      </c>
    </row>
    <row r="23" spans="1:5" x14ac:dyDescent="0.25">
      <c r="A23" t="s">
        <v>244</v>
      </c>
      <c r="B23">
        <f>MAX(B18,8)</f>
        <v>12</v>
      </c>
      <c r="C23" t="s">
        <v>312</v>
      </c>
    </row>
    <row r="24" spans="1:5" x14ac:dyDescent="0.25">
      <c r="B24" s="514"/>
    </row>
    <row r="25" spans="1:5" x14ac:dyDescent="0.25">
      <c r="B25" s="514"/>
    </row>
    <row r="26" spans="1:5" x14ac:dyDescent="0.25">
      <c r="B26" s="514"/>
    </row>
    <row r="27" spans="1:5" x14ac:dyDescent="0.25">
      <c r="B27" s="514"/>
    </row>
    <row r="28" spans="1:5" x14ac:dyDescent="0.25">
      <c r="A28" t="s">
        <v>263</v>
      </c>
      <c r="B28" s="514"/>
    </row>
    <row r="29" spans="1:5" x14ac:dyDescent="0.25">
      <c r="A29" s="514">
        <v>0.95</v>
      </c>
      <c r="B29" s="93">
        <v>0.2</v>
      </c>
      <c r="E29" s="785"/>
    </row>
    <row r="30" spans="1:5" x14ac:dyDescent="0.25">
      <c r="A30" s="514">
        <v>0.9</v>
      </c>
      <c r="B30" s="93">
        <v>0.25</v>
      </c>
    </row>
    <row r="31" spans="1:5" x14ac:dyDescent="0.25">
      <c r="A31" s="514">
        <v>0.8</v>
      </c>
      <c r="B31" s="93">
        <v>0.28999999999999998</v>
      </c>
    </row>
    <row r="32" spans="1:5" x14ac:dyDescent="0.25">
      <c r="A32" s="514">
        <v>0.7</v>
      </c>
      <c r="B32" s="93">
        <v>0.33</v>
      </c>
      <c r="E32" s="785"/>
    </row>
    <row r="33" spans="1:5" x14ac:dyDescent="0.25">
      <c r="A33" s="514" t="s">
        <v>264</v>
      </c>
      <c r="B33" s="93">
        <f ca="1">OFFSET(B29,MATCH(B19,A29:A32,0)-1,0)</f>
        <v>0.25</v>
      </c>
      <c r="C33" t="s">
        <v>199</v>
      </c>
    </row>
    <row r="34" spans="1:5" x14ac:dyDescent="0.25">
      <c r="B34" s="514"/>
    </row>
    <row r="35" spans="1:5" x14ac:dyDescent="0.25">
      <c r="A35" t="s">
        <v>258</v>
      </c>
      <c r="B35" s="1">
        <v>1</v>
      </c>
    </row>
    <row r="36" spans="1:5" x14ac:dyDescent="0.25">
      <c r="A36" t="s">
        <v>275</v>
      </c>
      <c r="B36" s="106">
        <f>'BMW-AD Bespoke Calculator'!E26</f>
        <v>5</v>
      </c>
    </row>
    <row r="37" spans="1:5" x14ac:dyDescent="0.25">
      <c r="A37" t="s">
        <v>274</v>
      </c>
      <c r="B37" s="106">
        <f>'BMW-AD Bespoke Calculator'!E27</f>
        <v>4</v>
      </c>
    </row>
    <row r="38" spans="1:5" x14ac:dyDescent="0.25">
      <c r="A38" t="s">
        <v>276</v>
      </c>
      <c r="B38">
        <f>B36*B37</f>
        <v>20</v>
      </c>
      <c r="C38" t="s">
        <v>311</v>
      </c>
      <c r="D38">
        <f>ROUND(B14/B38*B6,1)</f>
        <v>5</v>
      </c>
      <c r="E38" t="str">
        <f>C5</f>
        <v>L/s/m²</v>
      </c>
    </row>
    <row r="39" spans="1:5" x14ac:dyDescent="0.25">
      <c r="A39" t="s">
        <v>259</v>
      </c>
      <c r="B39">
        <f>B7/B6</f>
        <v>5</v>
      </c>
    </row>
    <row r="40" spans="1:5" x14ac:dyDescent="0.25">
      <c r="A40" t="s">
        <v>260</v>
      </c>
      <c r="B40">
        <f>B14/B39</f>
        <v>20</v>
      </c>
      <c r="C40" t="s">
        <v>310</v>
      </c>
      <c r="D40">
        <f>ROUND(B40,1)</f>
        <v>20</v>
      </c>
    </row>
    <row r="42" spans="1:5" x14ac:dyDescent="0.25">
      <c r="A42" t="s">
        <v>273</v>
      </c>
      <c r="B42">
        <f>'BMW-AD Bespoke Calculator'!E31</f>
        <v>23</v>
      </c>
    </row>
    <row r="44" spans="1:5" x14ac:dyDescent="0.25">
      <c r="A44" s="2" t="s">
        <v>245</v>
      </c>
    </row>
    <row r="45" spans="1:5" x14ac:dyDescent="0.25">
      <c r="A45" s="43" t="s">
        <v>69</v>
      </c>
      <c r="B45" s="785">
        <v>7</v>
      </c>
      <c r="C45" s="260"/>
    </row>
    <row r="46" spans="1:5" x14ac:dyDescent="0.25">
      <c r="A46" s="43" t="s">
        <v>70</v>
      </c>
      <c r="B46" s="785">
        <v>21</v>
      </c>
      <c r="C46" s="260"/>
    </row>
    <row r="47" spans="1:5" x14ac:dyDescent="0.25">
      <c r="A47" s="43" t="s">
        <v>78</v>
      </c>
      <c r="B47" s="785">
        <f>SQRT(12/B23)</f>
        <v>1</v>
      </c>
      <c r="C47" s="260" t="s">
        <v>85</v>
      </c>
    </row>
    <row r="48" spans="1:5" x14ac:dyDescent="0.25">
      <c r="A48" s="43" t="s">
        <v>81</v>
      </c>
      <c r="B48" s="785">
        <f>SQRT(1.209*B17^-0.199)</f>
        <v>1.0037328076321883</v>
      </c>
      <c r="C48" s="260" t="s">
        <v>86</v>
      </c>
    </row>
    <row r="49" spans="1:4" x14ac:dyDescent="0.25">
      <c r="A49" s="43" t="s">
        <v>82</v>
      </c>
      <c r="B49" s="785">
        <f>SQRT(2.5/B17)</f>
        <v>1</v>
      </c>
      <c r="C49" s="260" t="s">
        <v>87</v>
      </c>
    </row>
    <row r="50" spans="1:4" x14ac:dyDescent="0.25">
      <c r="A50" s="43" t="s">
        <v>83</v>
      </c>
      <c r="B50" s="785">
        <f>SQRT(195/145)</f>
        <v>1.1596670152276025</v>
      </c>
      <c r="C50" s="260" t="s">
        <v>84</v>
      </c>
    </row>
    <row r="51" spans="1:4" x14ac:dyDescent="0.25">
      <c r="A51" s="43" t="s">
        <v>52</v>
      </c>
      <c r="B51" s="785">
        <f ca="1">B33</f>
        <v>0.25</v>
      </c>
      <c r="C51" s="260" t="s">
        <v>90</v>
      </c>
    </row>
    <row r="52" spans="1:4" x14ac:dyDescent="0.25">
      <c r="A52" s="43" t="s">
        <v>91</v>
      </c>
      <c r="B52" s="801">
        <f ca="1">SQRT(19.92*B51^2.153)</f>
        <v>1.0035224355789787</v>
      </c>
      <c r="C52" s="260" t="s">
        <v>92</v>
      </c>
    </row>
    <row r="53" spans="1:4" x14ac:dyDescent="0.25">
      <c r="A53" s="43" t="s">
        <v>94</v>
      </c>
      <c r="B53" s="785">
        <v>1.9</v>
      </c>
    </row>
    <row r="54" spans="1:4" x14ac:dyDescent="0.25">
      <c r="A54" s="43" t="s">
        <v>464</v>
      </c>
      <c r="B54" s="785">
        <v>1.07</v>
      </c>
    </row>
    <row r="55" spans="1:4" x14ac:dyDescent="0.25">
      <c r="A55" s="43"/>
      <c r="B55" s="785"/>
    </row>
    <row r="56" spans="1:4" x14ac:dyDescent="0.25">
      <c r="A56" t="s">
        <v>265</v>
      </c>
    </row>
    <row r="57" spans="1:4" x14ac:dyDescent="0.25">
      <c r="A57" t="s">
        <v>176</v>
      </c>
      <c r="B57" t="s">
        <v>177</v>
      </c>
      <c r="C57" t="s">
        <v>178</v>
      </c>
      <c r="D57" t="s">
        <v>262</v>
      </c>
    </row>
    <row r="58" spans="1:4" x14ac:dyDescent="0.25">
      <c r="A58">
        <v>2.7</v>
      </c>
      <c r="B58">
        <v>2876.0549137605672</v>
      </c>
      <c r="C58">
        <v>2.1519259737465033</v>
      </c>
      <c r="D58">
        <f ca="1">B58*$B$33^C58</f>
        <v>145.61584705502079</v>
      </c>
    </row>
    <row r="59" spans="1:4" x14ac:dyDescent="0.25">
      <c r="A59">
        <v>4</v>
      </c>
      <c r="B59">
        <v>2647.6464560127733</v>
      </c>
      <c r="C59">
        <v>2.1753317380900588</v>
      </c>
      <c r="D59">
        <f t="shared" ref="D59:D60" ca="1" si="0">B59*$B$33^C59</f>
        <v>129.77163767195657</v>
      </c>
    </row>
    <row r="60" spans="1:4" x14ac:dyDescent="0.25">
      <c r="A60" s="131">
        <v>10</v>
      </c>
      <c r="B60" s="131">
        <v>2313.9064511709307</v>
      </c>
      <c r="C60" s="131">
        <v>2.1944261575597981</v>
      </c>
      <c r="D60">
        <f t="shared" ca="1" si="0"/>
        <v>110.4509876070708</v>
      </c>
    </row>
    <row r="61" spans="1:4" x14ac:dyDescent="0.25">
      <c r="A61">
        <f>B17</f>
        <v>2.5</v>
      </c>
      <c r="B61">
        <f ca="1">EXP(INDEX(LINEST(LN(D58:D60),LN(A58:A60),,),1,2))</f>
        <v>175.94818606365365</v>
      </c>
      <c r="C61">
        <f ca="1">INDEX(LINEST(LN(D58:D60),LN(A58:A60),,),1)</f>
        <v>-0.2048743409754559</v>
      </c>
      <c r="D61" s="52">
        <f ca="1">B61*B17^C61</f>
        <v>145.83343211575402</v>
      </c>
    </row>
    <row r="63" spans="1:4" x14ac:dyDescent="0.25">
      <c r="A63" t="s">
        <v>268</v>
      </c>
    </row>
    <row r="64" spans="1:4" x14ac:dyDescent="0.25">
      <c r="A64" t="s">
        <v>176</v>
      </c>
      <c r="B64" t="s">
        <v>266</v>
      </c>
      <c r="C64" t="s">
        <v>267</v>
      </c>
    </row>
    <row r="65" spans="1:5" x14ac:dyDescent="0.25">
      <c r="A65">
        <v>2.7</v>
      </c>
      <c r="B65">
        <v>2.47E-2</v>
      </c>
      <c r="C65">
        <v>0.4647</v>
      </c>
    </row>
    <row r="66" spans="1:5" x14ac:dyDescent="0.25">
      <c r="A66">
        <v>4</v>
      </c>
      <c r="B66">
        <v>2.6700000000000002E-2</v>
      </c>
      <c r="C66">
        <v>0.4597</v>
      </c>
    </row>
    <row r="67" spans="1:5" x14ac:dyDescent="0.25">
      <c r="A67">
        <v>10</v>
      </c>
      <c r="B67">
        <v>2.93E-2</v>
      </c>
      <c r="C67">
        <v>0.45569999999999999</v>
      </c>
    </row>
    <row r="69" spans="1:5" x14ac:dyDescent="0.25">
      <c r="A69" s="2" t="s">
        <v>525</v>
      </c>
    </row>
    <row r="70" spans="1:5" x14ac:dyDescent="0.25">
      <c r="A70" s="986" t="s">
        <v>522</v>
      </c>
      <c r="B70" s="986">
        <v>1</v>
      </c>
      <c r="C70" s="986">
        <v>2</v>
      </c>
      <c r="D70" s="986">
        <v>3</v>
      </c>
      <c r="E70" s="986">
        <v>4</v>
      </c>
    </row>
    <row r="71" spans="1:5" x14ac:dyDescent="0.25">
      <c r="A71" s="986" t="s">
        <v>523</v>
      </c>
      <c r="B71" s="986">
        <v>101</v>
      </c>
      <c r="C71" s="986">
        <v>140</v>
      </c>
      <c r="D71" s="986">
        <v>179</v>
      </c>
      <c r="E71" s="986">
        <v>218</v>
      </c>
    </row>
    <row r="72" spans="1:5" x14ac:dyDescent="0.25">
      <c r="A72" s="986" t="s">
        <v>524</v>
      </c>
      <c r="B72" s="986">
        <v>134</v>
      </c>
      <c r="C72" s="986">
        <v>173</v>
      </c>
      <c r="D72" s="986">
        <v>212</v>
      </c>
      <c r="E72" s="986">
        <v>251</v>
      </c>
    </row>
    <row r="74" spans="1:5" x14ac:dyDescent="0.25">
      <c r="C74" s="718" t="s">
        <v>246</v>
      </c>
    </row>
    <row r="75" spans="1:5" x14ac:dyDescent="0.25">
      <c r="A75" t="s">
        <v>518</v>
      </c>
      <c r="B75" t="s">
        <v>213</v>
      </c>
      <c r="C75" s="840">
        <f>'BMW-AD Bespoke Calculator'!N9</f>
        <v>600</v>
      </c>
    </row>
    <row r="76" spans="1:5" ht="15.75" x14ac:dyDescent="0.25">
      <c r="A76" s="702" t="s">
        <v>144</v>
      </c>
      <c r="B76" s="704" t="s">
        <v>214</v>
      </c>
      <c r="C76" s="840">
        <f>'BMW-AD Bespoke Calculator'!N11</f>
        <v>2</v>
      </c>
    </row>
    <row r="77" spans="1:5" ht="15.75" x14ac:dyDescent="0.25">
      <c r="A77" s="702" t="s">
        <v>141</v>
      </c>
      <c r="B77" s="703" t="s">
        <v>212</v>
      </c>
      <c r="C77">
        <f>C75</f>
        <v>600</v>
      </c>
    </row>
    <row r="78" spans="1:5" ht="15.75" x14ac:dyDescent="0.25">
      <c r="A78" s="983" t="s">
        <v>492</v>
      </c>
      <c r="B78" s="984"/>
      <c r="C78" s="985">
        <f>C75-40</f>
        <v>560</v>
      </c>
    </row>
    <row r="79" spans="1:5" ht="15.75" x14ac:dyDescent="0.25">
      <c r="A79" s="702" t="s">
        <v>208</v>
      </c>
      <c r="B79" s="704" t="s">
        <v>215</v>
      </c>
      <c r="C79">
        <f>_xlfn.XLOOKUP($C$76,$B$70:$E$70,$B$71:$E$71)</f>
        <v>140</v>
      </c>
    </row>
    <row r="80" spans="1:5" ht="15.75" x14ac:dyDescent="0.25">
      <c r="A80" s="702" t="s">
        <v>520</v>
      </c>
      <c r="B80" s="703"/>
      <c r="C80">
        <f>C75+52</f>
        <v>652</v>
      </c>
    </row>
    <row r="81" spans="1:3" ht="15.75" x14ac:dyDescent="0.25">
      <c r="A81" s="702" t="s">
        <v>519</v>
      </c>
      <c r="B81" s="703"/>
      <c r="C81">
        <f>C75</f>
        <v>600</v>
      </c>
    </row>
    <row r="82" spans="1:3" ht="15.75" x14ac:dyDescent="0.25">
      <c r="A82" s="702" t="s">
        <v>138</v>
      </c>
      <c r="B82" s="703" t="s">
        <v>213</v>
      </c>
      <c r="C82">
        <f>IF('BMW-Be-Selection'!B64=1,BMW_Be_Eqn!C80,BMW_Be_Eqn!C81)</f>
        <v>652</v>
      </c>
    </row>
    <row r="83" spans="1:3" ht="15.75" x14ac:dyDescent="0.25">
      <c r="A83" s="705" t="s">
        <v>209</v>
      </c>
      <c r="B83" s="706" t="s">
        <v>216</v>
      </c>
      <c r="C83">
        <f>_xlfn.XLOOKUP($C$76,$B$70:$E$70,$B$72:$E$72)</f>
        <v>173</v>
      </c>
    </row>
    <row r="84" spans="1:3" ht="15.75" x14ac:dyDescent="0.25">
      <c r="A84" s="703" t="s">
        <v>237</v>
      </c>
      <c r="B84" s="704" t="s">
        <v>22</v>
      </c>
      <c r="C84">
        <f>(1.359*10^-3*($B$14/(C78*10^-3*C79*10^-3)*(0.507*0.171))^2.0302)*$B$54</f>
        <v>20.497392920511803</v>
      </c>
    </row>
    <row r="85" spans="1:3" ht="15.75" x14ac:dyDescent="0.25">
      <c r="A85" s="703" t="s">
        <v>462</v>
      </c>
      <c r="B85" s="704" t="s">
        <v>468</v>
      </c>
      <c r="C85" s="93">
        <f>1.359*10^-3*($B$14/(C78*10^-3*C79*10^-3)*(0.507*0.171))^2.0302</f>
        <v>19.156441981786731</v>
      </c>
    </row>
    <row r="86" spans="1:3" ht="15.75" x14ac:dyDescent="0.25">
      <c r="A86" s="703" t="s">
        <v>295</v>
      </c>
      <c r="B86" s="704" t="s">
        <v>294</v>
      </c>
      <c r="C86" s="93">
        <f>C78*10^-3*C79*10^-3/(0.507*0.171)*(3/(1.359*10^-3))^0.4926</f>
        <v>40.134514951443713</v>
      </c>
    </row>
    <row r="87" spans="1:3" ht="15.75" x14ac:dyDescent="0.25">
      <c r="A87" s="703" t="s">
        <v>296</v>
      </c>
      <c r="B87" s="704"/>
      <c r="C87" s="93">
        <f>C86/$B$47</f>
        <v>40.134514951443713</v>
      </c>
    </row>
    <row r="88" spans="1:3" ht="15.75" x14ac:dyDescent="0.25">
      <c r="A88" s="707" t="s">
        <v>142</v>
      </c>
      <c r="B88" s="708" t="s">
        <v>46</v>
      </c>
      <c r="C88" s="93">
        <f>-114.08+32.01*LN($B$14/(C78*C79)*(507*171))+10*LOG(C78*C79/(507*171))+2</f>
        <v>38.114674856776837</v>
      </c>
    </row>
    <row r="89" spans="1:3" ht="15.75" x14ac:dyDescent="0.25">
      <c r="A89" s="709" t="s">
        <v>211</v>
      </c>
      <c r="B89" s="710" t="s">
        <v>23</v>
      </c>
      <c r="C89" s="93">
        <f>C88-15</f>
        <v>23.114674856776837</v>
      </c>
    </row>
    <row r="90" spans="1:3" ht="15.75" x14ac:dyDescent="0.25">
      <c r="A90" s="744" t="s">
        <v>238</v>
      </c>
      <c r="B90" s="711" t="s">
        <v>93</v>
      </c>
      <c r="C90">
        <f ca="1">2+($B$14/C78*$B$53/$B$52^3)</f>
        <v>2.3357254887985643</v>
      </c>
    </row>
    <row r="91" spans="1:3" ht="15.75" x14ac:dyDescent="0.25">
      <c r="A91" s="799"/>
      <c r="B91" s="800"/>
      <c r="C91" s="115"/>
    </row>
    <row r="92" spans="1:3" ht="15.75" x14ac:dyDescent="0.25">
      <c r="A92" s="678" t="s">
        <v>278</v>
      </c>
      <c r="B92" s="703"/>
      <c r="C92" s="115"/>
    </row>
    <row r="93" spans="1:3" x14ac:dyDescent="0.25">
      <c r="A93" s="775" t="s">
        <v>75</v>
      </c>
      <c r="B93" s="776"/>
      <c r="C93" s="777">
        <f ca="1">(0.2529+2.7683*10^-4*C85)*SQRT($B$14)/$B$47*$B$48*$B$50/$B$52</f>
        <v>2.9949236310722123</v>
      </c>
    </row>
    <row r="94" spans="1:3" x14ac:dyDescent="0.25">
      <c r="A94" s="775" t="s">
        <v>76</v>
      </c>
      <c r="B94" s="776"/>
      <c r="C94" s="777">
        <f ca="1">(0.675+9.273*10^-3*C85)*SQRT($B$14)*$B$47*$B$49/$B$50*$B$52</f>
        <v>7.3783339233122121</v>
      </c>
    </row>
    <row r="95" spans="1:3" ht="15.75" thickBot="1" x14ac:dyDescent="0.3">
      <c r="A95" s="779" t="s">
        <v>77</v>
      </c>
      <c r="B95" s="780"/>
      <c r="C95" s="781">
        <f ca="1">MIN(($B$46*($B$14*10^-3)/SQRT(C$78*10^-3*C$79*10^-3)*$B$47/$B$49^2*$B$52),(4*$B$17*$B$52))</f>
        <v>7.5264182668423398</v>
      </c>
    </row>
    <row r="96" spans="1:3" ht="15.75" x14ac:dyDescent="0.25">
      <c r="A96" s="1056" t="s">
        <v>131</v>
      </c>
      <c r="B96" s="713" t="s">
        <v>56</v>
      </c>
      <c r="C96" s="115">
        <f ca="1">C93</f>
        <v>2.9949236310722123</v>
      </c>
    </row>
    <row r="97" spans="1:3" ht="15.75" x14ac:dyDescent="0.25">
      <c r="A97" s="1057"/>
      <c r="B97" s="710" t="s">
        <v>140</v>
      </c>
      <c r="C97" s="115">
        <f t="shared" ref="C97" ca="1" si="1">MIN(C94,C95)</f>
        <v>7.3783339233122121</v>
      </c>
    </row>
    <row r="98" spans="1:3" ht="15.75" x14ac:dyDescent="0.25">
      <c r="A98" s="1057"/>
      <c r="B98" s="708" t="s">
        <v>145</v>
      </c>
      <c r="C98" s="115">
        <f t="shared" ref="C98" ca="1" si="2">C93</f>
        <v>2.9949236310722123</v>
      </c>
    </row>
    <row r="99" spans="1:3" ht="16.5" thickBot="1" x14ac:dyDescent="0.3">
      <c r="A99" s="1058"/>
      <c r="B99" s="712" t="s">
        <v>148</v>
      </c>
      <c r="C99" s="118">
        <f t="shared" ref="C99" ca="1" si="3">MIN(C94,C95)</f>
        <v>7.3783339233122121</v>
      </c>
    </row>
    <row r="100" spans="1:3" x14ac:dyDescent="0.25">
      <c r="A100" s="775" t="s">
        <v>71</v>
      </c>
      <c r="B100" s="776"/>
      <c r="C100" s="777">
        <f t="shared" ref="C100:C102" ca="1" si="4">1.075*0.707*C93</f>
        <v>2.276216832705658</v>
      </c>
    </row>
    <row r="101" spans="1:3" x14ac:dyDescent="0.25">
      <c r="A101" s="775" t="s">
        <v>72</v>
      </c>
      <c r="B101" s="776"/>
      <c r="C101" s="777">
        <f t="shared" ca="1" si="4"/>
        <v>5.6077182400653633</v>
      </c>
    </row>
    <row r="102" spans="1:3" x14ac:dyDescent="0.25">
      <c r="A102" s="779" t="s">
        <v>79</v>
      </c>
      <c r="B102" s="780"/>
      <c r="C102" s="781">
        <f t="shared" ca="1" si="4"/>
        <v>5.7202660432568493</v>
      </c>
    </row>
    <row r="103" spans="1:3" x14ac:dyDescent="0.25">
      <c r="A103" s="775" t="s">
        <v>73</v>
      </c>
      <c r="B103" s="776"/>
      <c r="C103" s="777">
        <f t="shared" ref="C103:C105" ca="1" si="5">1.075*1.225*C93</f>
        <v>3.9439400566682195</v>
      </c>
    </row>
    <row r="104" spans="1:3" x14ac:dyDescent="0.25">
      <c r="A104" s="775" t="s">
        <v>74</v>
      </c>
      <c r="B104" s="776"/>
      <c r="C104" s="777">
        <f t="shared" ca="1" si="5"/>
        <v>9.7163434852617687</v>
      </c>
    </row>
    <row r="105" spans="1:3" x14ac:dyDescent="0.25">
      <c r="A105" s="779" t="s">
        <v>80</v>
      </c>
      <c r="B105" s="780"/>
      <c r="C105" s="781">
        <f t="shared" ca="1" si="5"/>
        <v>9.9113520551480061</v>
      </c>
    </row>
    <row r="106" spans="1:3" ht="15.75" x14ac:dyDescent="0.25">
      <c r="A106" s="1055" t="s">
        <v>130</v>
      </c>
      <c r="B106" s="704" t="s">
        <v>139</v>
      </c>
      <c r="C106" s="115">
        <f ca="1">C100</f>
        <v>2.276216832705658</v>
      </c>
    </row>
    <row r="107" spans="1:3" ht="15.75" x14ac:dyDescent="0.25">
      <c r="A107" s="1055"/>
      <c r="B107" s="710" t="s">
        <v>57</v>
      </c>
      <c r="C107" s="115">
        <f ca="1">MIN(C101,C102)</f>
        <v>5.6077182400653633</v>
      </c>
    </row>
    <row r="108" spans="1:3" ht="15.75" x14ac:dyDescent="0.25">
      <c r="A108" s="1055"/>
      <c r="B108" s="708" t="s">
        <v>145</v>
      </c>
      <c r="C108" s="115">
        <f ca="1">C103</f>
        <v>3.9439400566682195</v>
      </c>
    </row>
    <row r="109" spans="1:3" ht="16.5" thickBot="1" x14ac:dyDescent="0.3">
      <c r="A109" s="1055"/>
      <c r="B109" s="712" t="s">
        <v>148</v>
      </c>
      <c r="C109" s="118">
        <f ca="1">MIN(C104,C105)</f>
        <v>9.7163434852617687</v>
      </c>
    </row>
    <row r="110" spans="1:3" x14ac:dyDescent="0.25">
      <c r="A110" s="775" t="s">
        <v>71</v>
      </c>
      <c r="B110" s="776"/>
      <c r="C110" s="777">
        <f t="shared" ref="C110:C112" ca="1" si="6">1.07*1.22*C93</f>
        <v>3.9095733080016664</v>
      </c>
    </row>
    <row r="111" spans="1:3" x14ac:dyDescent="0.25">
      <c r="A111" s="775" t="s">
        <v>72</v>
      </c>
      <c r="B111" s="776"/>
      <c r="C111" s="777">
        <f t="shared" ca="1" si="6"/>
        <v>9.6316771034917625</v>
      </c>
    </row>
    <row r="112" spans="1:3" x14ac:dyDescent="0.25">
      <c r="A112" s="779" t="s">
        <v>79</v>
      </c>
      <c r="B112" s="780"/>
      <c r="C112" s="781">
        <f t="shared" ca="1" si="6"/>
        <v>9.8249864055359915</v>
      </c>
    </row>
    <row r="113" spans="1:3" x14ac:dyDescent="0.25">
      <c r="A113" s="775" t="s">
        <v>73</v>
      </c>
      <c r="B113" s="776"/>
      <c r="C113" s="777">
        <f t="shared" ref="C113:C115" ca="1" si="7">1.07*0.707*C93</f>
        <v>2.265629777669818</v>
      </c>
    </row>
    <row r="114" spans="1:3" x14ac:dyDescent="0.25">
      <c r="A114" s="775" t="s">
        <v>74</v>
      </c>
      <c r="B114" s="776"/>
      <c r="C114" s="777">
        <f t="shared" ca="1" si="7"/>
        <v>5.581635829646455</v>
      </c>
    </row>
    <row r="115" spans="1:3" x14ac:dyDescent="0.25">
      <c r="A115" s="775" t="s">
        <v>80</v>
      </c>
      <c r="B115" s="776"/>
      <c r="C115" s="777">
        <f t="shared" ca="1" si="7"/>
        <v>5.6936601546835615</v>
      </c>
    </row>
    <row r="116" spans="1:3" ht="15.75" x14ac:dyDescent="0.25">
      <c r="A116" s="1055" t="s">
        <v>132</v>
      </c>
      <c r="B116" s="704" t="s">
        <v>139</v>
      </c>
      <c r="C116" s="115">
        <f ca="1">C110</f>
        <v>3.9095733080016664</v>
      </c>
    </row>
    <row r="117" spans="1:3" ht="15.75" x14ac:dyDescent="0.25">
      <c r="A117" s="1055"/>
      <c r="B117" s="710" t="s">
        <v>140</v>
      </c>
      <c r="C117" s="115">
        <f ca="1">MIN(C111,C112)</f>
        <v>9.6316771034917625</v>
      </c>
    </row>
    <row r="118" spans="1:3" ht="15.75" x14ac:dyDescent="0.25">
      <c r="A118" s="1055"/>
      <c r="B118" s="708" t="s">
        <v>145</v>
      </c>
      <c r="C118" s="115">
        <f ca="1">C113</f>
        <v>2.265629777669818</v>
      </c>
    </row>
    <row r="119" spans="1:3" ht="15.75" x14ac:dyDescent="0.25">
      <c r="A119" s="1061"/>
      <c r="B119" s="706" t="s">
        <v>146</v>
      </c>
      <c r="C119" s="118">
        <f ca="1">MIN(C114,C115)</f>
        <v>5.581635829646455</v>
      </c>
    </row>
    <row r="121" spans="1:3" ht="15.75" x14ac:dyDescent="0.25">
      <c r="A121" s="798" t="s">
        <v>279</v>
      </c>
    </row>
    <row r="122" spans="1:3" ht="15.75" x14ac:dyDescent="0.25">
      <c r="A122" s="798" t="s">
        <v>281</v>
      </c>
      <c r="C122" s="93">
        <f>1.359*10^-3*($B$22/(C78*10^-3*C79*10^-3)*(0.507*0.171))^2.0302</f>
        <v>19.156441981786731</v>
      </c>
    </row>
    <row r="123" spans="1:3" x14ac:dyDescent="0.25">
      <c r="A123" s="775" t="s">
        <v>75</v>
      </c>
      <c r="B123" s="776"/>
      <c r="C123" s="777">
        <f ca="1">(0.2529+2.7683*10^-4*C122)*SQRT($B$22)/$B$47*$B$48*$B$50/$B$52</f>
        <v>2.9949236310722123</v>
      </c>
    </row>
    <row r="124" spans="1:3" x14ac:dyDescent="0.25">
      <c r="A124" s="775" t="s">
        <v>76</v>
      </c>
      <c r="B124" s="776"/>
      <c r="C124" s="777">
        <f ca="1">(0.675+9.273*10^-3*C122)*SQRT($B$22)*$B$47*$B$49/$B$50*$B$52</f>
        <v>7.3783339233122121</v>
      </c>
    </row>
    <row r="125" spans="1:3" ht="15.75" thickBot="1" x14ac:dyDescent="0.3">
      <c r="A125" s="779" t="s">
        <v>77</v>
      </c>
      <c r="B125" s="780"/>
      <c r="C125" s="781">
        <f ca="1">MIN(($B$46*($B$22*10^-3)/SQRT(C$78*10^-3*C$79*10^-3)*$B$47/$B$49^2*$B$52),(4*$B$17*$B$52))</f>
        <v>7.5264182668423398</v>
      </c>
    </row>
    <row r="126" spans="1:3" ht="15.75" x14ac:dyDescent="0.25">
      <c r="A126" s="1056" t="s">
        <v>131</v>
      </c>
      <c r="B126" s="713" t="s">
        <v>56</v>
      </c>
      <c r="C126" s="115">
        <f t="shared" ref="C126" ca="1" si="8">C123</f>
        <v>2.9949236310722123</v>
      </c>
    </row>
    <row r="127" spans="1:3" ht="15.75" x14ac:dyDescent="0.25">
      <c r="A127" s="1057"/>
      <c r="B127" s="710" t="s">
        <v>140</v>
      </c>
      <c r="C127" s="115">
        <f t="shared" ref="C127" ca="1" si="9">MIN(C124,C125)</f>
        <v>7.3783339233122121</v>
      </c>
    </row>
    <row r="128" spans="1:3" ht="15.75" x14ac:dyDescent="0.25">
      <c r="A128" s="1057"/>
      <c r="B128" s="708" t="s">
        <v>145</v>
      </c>
      <c r="C128" s="115">
        <f t="shared" ref="C128" ca="1" si="10">C123</f>
        <v>2.9949236310722123</v>
      </c>
    </row>
    <row r="129" spans="1:3" ht="16.5" thickBot="1" x14ac:dyDescent="0.3">
      <c r="A129" s="1058"/>
      <c r="B129" s="712" t="s">
        <v>148</v>
      </c>
      <c r="C129" s="118">
        <f t="shared" ref="C129" ca="1" si="11">MIN(C124,C125)</f>
        <v>7.3783339233122121</v>
      </c>
    </row>
    <row r="130" spans="1:3" x14ac:dyDescent="0.25">
      <c r="A130" s="775" t="s">
        <v>71</v>
      </c>
      <c r="B130" s="776"/>
      <c r="C130" s="777">
        <f t="shared" ref="C130:C131" ca="1" si="12">1.075*0.707*C123</f>
        <v>2.276216832705658</v>
      </c>
    </row>
    <row r="131" spans="1:3" x14ac:dyDescent="0.25">
      <c r="A131" s="775" t="s">
        <v>72</v>
      </c>
      <c r="B131" s="776"/>
      <c r="C131" s="777">
        <f t="shared" ca="1" si="12"/>
        <v>5.6077182400653633</v>
      </c>
    </row>
    <row r="132" spans="1:3" x14ac:dyDescent="0.25">
      <c r="A132" s="779" t="s">
        <v>79</v>
      </c>
      <c r="B132" s="780"/>
      <c r="C132" s="781">
        <f ca="1">1.075*0.707*C125</f>
        <v>5.7202660432568493</v>
      </c>
    </row>
    <row r="133" spans="1:3" x14ac:dyDescent="0.25">
      <c r="A133" s="775" t="s">
        <v>73</v>
      </c>
      <c r="B133" s="776"/>
      <c r="C133" s="777">
        <f t="shared" ref="C133:C135" ca="1" si="13">1.075*1.225*C123</f>
        <v>3.9439400566682195</v>
      </c>
    </row>
    <row r="134" spans="1:3" x14ac:dyDescent="0.25">
      <c r="A134" s="775" t="s">
        <v>74</v>
      </c>
      <c r="B134" s="776"/>
      <c r="C134" s="777">
        <f t="shared" ca="1" si="13"/>
        <v>9.7163434852617687</v>
      </c>
    </row>
    <row r="135" spans="1:3" x14ac:dyDescent="0.25">
      <c r="A135" s="779" t="s">
        <v>80</v>
      </c>
      <c r="B135" s="780"/>
      <c r="C135" s="781">
        <f t="shared" ca="1" si="13"/>
        <v>9.9113520551480061</v>
      </c>
    </row>
    <row r="136" spans="1:3" ht="15.75" x14ac:dyDescent="0.25">
      <c r="A136" s="1055" t="s">
        <v>130</v>
      </c>
      <c r="B136" s="704" t="s">
        <v>139</v>
      </c>
      <c r="C136" s="115">
        <f ca="1">C130</f>
        <v>2.276216832705658</v>
      </c>
    </row>
    <row r="137" spans="1:3" ht="15.75" x14ac:dyDescent="0.25">
      <c r="A137" s="1055"/>
      <c r="B137" s="710" t="s">
        <v>57</v>
      </c>
      <c r="C137" s="115">
        <f ca="1">MIN(C131,C132)</f>
        <v>5.6077182400653633</v>
      </c>
    </row>
    <row r="138" spans="1:3" ht="15.75" x14ac:dyDescent="0.25">
      <c r="A138" s="1055"/>
      <c r="B138" s="708" t="s">
        <v>145</v>
      </c>
      <c r="C138" s="115">
        <f ca="1">C133</f>
        <v>3.9439400566682195</v>
      </c>
    </row>
    <row r="139" spans="1:3" ht="16.5" thickBot="1" x14ac:dyDescent="0.3">
      <c r="A139" s="1055"/>
      <c r="B139" s="712" t="s">
        <v>148</v>
      </c>
      <c r="C139" s="118">
        <f ca="1">MIN(C134,C135)</f>
        <v>9.7163434852617687</v>
      </c>
    </row>
    <row r="140" spans="1:3" hidden="1" x14ac:dyDescent="0.25">
      <c r="A140" s="775" t="s">
        <v>71</v>
      </c>
      <c r="B140" s="776"/>
      <c r="C140" s="777">
        <f t="shared" ref="C140:C142" ca="1" si="14">1.07*1.22*C123</f>
        <v>3.9095733080016664</v>
      </c>
    </row>
    <row r="141" spans="1:3" hidden="1" x14ac:dyDescent="0.25">
      <c r="A141" s="775" t="s">
        <v>72</v>
      </c>
      <c r="B141" s="776"/>
      <c r="C141" s="777">
        <f t="shared" ca="1" si="14"/>
        <v>9.6316771034917625</v>
      </c>
    </row>
    <row r="142" spans="1:3" hidden="1" x14ac:dyDescent="0.25">
      <c r="A142" s="779" t="s">
        <v>79</v>
      </c>
      <c r="B142" s="780"/>
      <c r="C142" s="781">
        <f t="shared" ca="1" si="14"/>
        <v>9.8249864055359915</v>
      </c>
    </row>
    <row r="143" spans="1:3" hidden="1" x14ac:dyDescent="0.25">
      <c r="A143" s="775" t="s">
        <v>73</v>
      </c>
      <c r="B143" s="776"/>
      <c r="C143" s="777">
        <f t="shared" ref="C143:C145" ca="1" si="15">1.07*0.707*C123</f>
        <v>2.265629777669818</v>
      </c>
    </row>
    <row r="144" spans="1:3" hidden="1" x14ac:dyDescent="0.25">
      <c r="A144" s="775" t="s">
        <v>74</v>
      </c>
      <c r="B144" s="776"/>
      <c r="C144" s="777">
        <f t="shared" ca="1" si="15"/>
        <v>5.581635829646455</v>
      </c>
    </row>
    <row r="145" spans="1:3" hidden="1" x14ac:dyDescent="0.25">
      <c r="A145" s="775" t="s">
        <v>80</v>
      </c>
      <c r="B145" s="776"/>
      <c r="C145" s="777">
        <f t="shared" ca="1" si="15"/>
        <v>5.6936601546835615</v>
      </c>
    </row>
    <row r="146" spans="1:3" ht="15.75" x14ac:dyDescent="0.25">
      <c r="A146" s="1055" t="s">
        <v>132</v>
      </c>
      <c r="B146" s="704" t="s">
        <v>139</v>
      </c>
      <c r="C146" s="115">
        <f t="shared" ref="C146" ca="1" si="16">C140</f>
        <v>3.9095733080016664</v>
      </c>
    </row>
    <row r="147" spans="1:3" ht="15.75" x14ac:dyDescent="0.25">
      <c r="A147" s="1055"/>
      <c r="B147" s="710" t="s">
        <v>140</v>
      </c>
      <c r="C147" s="115">
        <f t="shared" ref="C147" ca="1" si="17">MIN(C141,C142)</f>
        <v>9.6316771034917625</v>
      </c>
    </row>
    <row r="148" spans="1:3" ht="15.75" x14ac:dyDescent="0.25">
      <c r="A148" s="1055"/>
      <c r="B148" s="708" t="s">
        <v>145</v>
      </c>
      <c r="C148" s="115">
        <f t="shared" ref="C148" ca="1" si="18">C143</f>
        <v>2.265629777669818</v>
      </c>
    </row>
    <row r="149" spans="1:3" ht="15.75" x14ac:dyDescent="0.25">
      <c r="A149" s="1061"/>
      <c r="B149" s="706" t="s">
        <v>146</v>
      </c>
      <c r="C149" s="118">
        <f t="shared" ref="C149" ca="1" si="19">MIN(C144,C145)</f>
        <v>5.581635829646455</v>
      </c>
    </row>
    <row r="151" spans="1:3" ht="15.75" x14ac:dyDescent="0.25">
      <c r="A151" s="804" t="s">
        <v>284</v>
      </c>
    </row>
    <row r="152" spans="1:3" ht="15.75" x14ac:dyDescent="0.25">
      <c r="A152" s="1064" t="s">
        <v>130</v>
      </c>
      <c r="B152" s="753" t="s">
        <v>139</v>
      </c>
      <c r="C152" s="795">
        <f ca="1">ROUND(MAX(C106,C136),1)</f>
        <v>2.2999999999999998</v>
      </c>
    </row>
    <row r="153" spans="1:3" ht="15.75" x14ac:dyDescent="0.25">
      <c r="A153" s="1059"/>
      <c r="B153" s="754" t="s">
        <v>57</v>
      </c>
      <c r="C153" s="281">
        <f ca="1">ROUND(MIN(C107,C137),1)</f>
        <v>5.6</v>
      </c>
    </row>
    <row r="154" spans="1:3" ht="15.75" x14ac:dyDescent="0.25">
      <c r="A154" s="1059"/>
      <c r="B154" s="755" t="s">
        <v>145</v>
      </c>
      <c r="C154" s="106">
        <f ca="1">ROUND(MAX(C108,C138),1)</f>
        <v>3.9</v>
      </c>
    </row>
    <row r="155" spans="1:3" ht="16.5" thickBot="1" x14ac:dyDescent="0.3">
      <c r="A155" s="1059"/>
      <c r="B155" s="756" t="s">
        <v>148</v>
      </c>
      <c r="C155" s="106">
        <f ca="1">ROUND(MIN(C109,C139),1)</f>
        <v>9.6999999999999993</v>
      </c>
    </row>
    <row r="156" spans="1:3" ht="15.75" x14ac:dyDescent="0.25">
      <c r="A156" s="1062" t="s">
        <v>131</v>
      </c>
      <c r="B156" s="757" t="s">
        <v>56</v>
      </c>
      <c r="C156" s="795">
        <f ca="1">ROUND(MAX(C96,C126),1)</f>
        <v>3</v>
      </c>
    </row>
    <row r="157" spans="1:3" ht="15.75" x14ac:dyDescent="0.25">
      <c r="A157" s="1059"/>
      <c r="B157" s="754" t="s">
        <v>140</v>
      </c>
      <c r="C157" s="281">
        <f ca="1">ROUND(MIN(C97,C127),1)</f>
        <v>7.4</v>
      </c>
    </row>
    <row r="158" spans="1:3" ht="15.75" x14ac:dyDescent="0.25">
      <c r="A158" s="1059"/>
      <c r="B158" s="755" t="s">
        <v>145</v>
      </c>
      <c r="C158" s="106">
        <f ca="1">ROUND(MAX(C98,C128),1)</f>
        <v>3</v>
      </c>
    </row>
    <row r="159" spans="1:3" ht="16.5" thickBot="1" x14ac:dyDescent="0.3">
      <c r="A159" s="1063"/>
      <c r="B159" s="756" t="s">
        <v>148</v>
      </c>
      <c r="C159" s="106">
        <f ca="1">ROUND(MIN(C99,C129),1)</f>
        <v>7.4</v>
      </c>
    </row>
    <row r="160" spans="1:3" ht="15.75" x14ac:dyDescent="0.25">
      <c r="A160" s="1059" t="s">
        <v>132</v>
      </c>
      <c r="B160" s="758" t="s">
        <v>139</v>
      </c>
      <c r="C160" s="795">
        <f ca="1">ROUND(MAX(C116,C146),1)</f>
        <v>3.9</v>
      </c>
    </row>
    <row r="161" spans="1:3" ht="15.75" x14ac:dyDescent="0.25">
      <c r="A161" s="1059"/>
      <c r="B161" s="754" t="s">
        <v>140</v>
      </c>
      <c r="C161" s="281">
        <f ca="1">ROUND(MIN(C117,C147),1)</f>
        <v>9.6</v>
      </c>
    </row>
    <row r="162" spans="1:3" ht="15.75" x14ac:dyDescent="0.25">
      <c r="A162" s="1059"/>
      <c r="B162" s="755" t="s">
        <v>145</v>
      </c>
      <c r="C162" s="106">
        <f ca="1">ROUND(MAX(C118,C148),1)</f>
        <v>2.2999999999999998</v>
      </c>
    </row>
    <row r="163" spans="1:3" ht="16.5" thickBot="1" x14ac:dyDescent="0.3">
      <c r="A163" s="1060"/>
      <c r="B163" s="774" t="s">
        <v>146</v>
      </c>
      <c r="C163" s="797">
        <f ca="1">ROUND(MIN(C119,C149),1)</f>
        <v>5.6</v>
      </c>
    </row>
    <row r="164" spans="1:3" x14ac:dyDescent="0.25">
      <c r="C164" s="93"/>
    </row>
    <row r="165" spans="1:3" ht="15" customHeight="1" x14ac:dyDescent="0.25">
      <c r="A165" s="1064" t="s">
        <v>130</v>
      </c>
      <c r="B165" s="753" t="s">
        <v>139</v>
      </c>
      <c r="C165" s="93"/>
    </row>
    <row r="166" spans="1:3" ht="15" customHeight="1" x14ac:dyDescent="0.25">
      <c r="A166" s="1059"/>
      <c r="B166" s="754" t="s">
        <v>57</v>
      </c>
      <c r="C166" s="93">
        <f ca="1">AVERAGE(C152:C153)</f>
        <v>3.9499999999999997</v>
      </c>
    </row>
    <row r="167" spans="1:3" ht="15" customHeight="1" x14ac:dyDescent="0.25">
      <c r="A167" s="1059"/>
      <c r="B167" s="755" t="s">
        <v>145</v>
      </c>
      <c r="C167" s="93">
        <f ca="1">AVERAGE(C154:C155)</f>
        <v>6.8</v>
      </c>
    </row>
    <row r="168" spans="1:3" ht="15.75" customHeight="1" thickBot="1" x14ac:dyDescent="0.3">
      <c r="A168" s="1059"/>
      <c r="B168" s="756" t="s">
        <v>148</v>
      </c>
      <c r="C168" s="93"/>
    </row>
    <row r="169" spans="1:3" ht="15" customHeight="1" x14ac:dyDescent="0.25">
      <c r="A169" s="1062" t="s">
        <v>131</v>
      </c>
      <c r="B169" s="757" t="s">
        <v>56</v>
      </c>
      <c r="C169" s="93"/>
    </row>
    <row r="170" spans="1:3" ht="15" customHeight="1" x14ac:dyDescent="0.25">
      <c r="A170" s="1059"/>
      <c r="B170" s="754" t="s">
        <v>140</v>
      </c>
      <c r="C170" s="93">
        <f ca="1">AVERAGE(C156:C157)</f>
        <v>5.2</v>
      </c>
    </row>
    <row r="171" spans="1:3" ht="15" customHeight="1" x14ac:dyDescent="0.25">
      <c r="A171" s="1059"/>
      <c r="B171" s="755" t="s">
        <v>145</v>
      </c>
      <c r="C171" s="93">
        <f ca="1">AVERAGE(C158:C159)</f>
        <v>5.2</v>
      </c>
    </row>
    <row r="172" spans="1:3" ht="15.75" customHeight="1" thickBot="1" x14ac:dyDescent="0.3">
      <c r="A172" s="1063"/>
      <c r="B172" s="756" t="s">
        <v>148</v>
      </c>
      <c r="C172" s="93"/>
    </row>
    <row r="173" spans="1:3" ht="15" customHeight="1" x14ac:dyDescent="0.25">
      <c r="A173" s="1059" t="s">
        <v>132</v>
      </c>
      <c r="B173" s="758" t="s">
        <v>139</v>
      </c>
      <c r="C173" s="93"/>
    </row>
    <row r="174" spans="1:3" ht="15" customHeight="1" x14ac:dyDescent="0.25">
      <c r="A174" s="1059"/>
      <c r="B174" s="754" t="s">
        <v>140</v>
      </c>
      <c r="C174" s="93">
        <f ca="1">AVERAGE(C160:C161)</f>
        <v>6.75</v>
      </c>
    </row>
    <row r="175" spans="1:3" ht="15" customHeight="1" x14ac:dyDescent="0.25">
      <c r="A175" s="1059"/>
      <c r="B175" s="755" t="s">
        <v>145</v>
      </c>
      <c r="C175" s="93">
        <f ca="1">AVERAGE(C162:C163)</f>
        <v>3.9499999999999997</v>
      </c>
    </row>
    <row r="176" spans="1:3" ht="15" customHeight="1" thickBot="1" x14ac:dyDescent="0.3">
      <c r="A176" s="1060"/>
      <c r="B176" s="774" t="s">
        <v>146</v>
      </c>
      <c r="C176" s="93"/>
    </row>
    <row r="177" spans="1:5" ht="15" customHeight="1" x14ac:dyDescent="0.25">
      <c r="E177" s="93"/>
    </row>
    <row r="178" spans="1:5" ht="15" customHeight="1" x14ac:dyDescent="0.25">
      <c r="A178" t="s">
        <v>446</v>
      </c>
      <c r="E178" s="93"/>
    </row>
    <row r="179" spans="1:5" ht="15" customHeight="1" x14ac:dyDescent="0.25">
      <c r="A179" s="952" t="s">
        <v>116</v>
      </c>
      <c r="B179">
        <f ca="1">OFFSET(C166,4*('BMW-Be-Selection'!$B$46-1),0)</f>
        <v>5.2</v>
      </c>
      <c r="E179" s="93"/>
    </row>
    <row r="180" spans="1:5" ht="15" customHeight="1" x14ac:dyDescent="0.25">
      <c r="A180" s="952" t="s">
        <v>447</v>
      </c>
      <c r="B180">
        <f ca="1">OFFSET(C167,4*('BMW-Be-Selection'!$B$46-1),0)</f>
        <v>5.2</v>
      </c>
      <c r="E180" s="93"/>
    </row>
    <row r="181" spans="1:5" ht="15" customHeight="1" x14ac:dyDescent="0.25">
      <c r="A181" s="952" t="s">
        <v>448</v>
      </c>
      <c r="B181">
        <f ca="1">B180*B179</f>
        <v>27.040000000000003</v>
      </c>
      <c r="E181" s="93"/>
    </row>
    <row r="182" spans="1:5" ht="15" customHeight="1" x14ac:dyDescent="0.25">
      <c r="A182" s="952" t="s">
        <v>455</v>
      </c>
      <c r="B182">
        <f ca="1">$B$14/B181</f>
        <v>3.6982248520710055</v>
      </c>
      <c r="C182" t="s">
        <v>457</v>
      </c>
      <c r="E182" s="93"/>
    </row>
    <row r="183" spans="1:5" ht="15" customHeight="1" x14ac:dyDescent="0.25">
      <c r="A183" s="952" t="s">
        <v>456</v>
      </c>
      <c r="B183">
        <f ca="1">ROUND(B182*$B$6,1)</f>
        <v>3.7</v>
      </c>
      <c r="C183" t="str">
        <f>C5</f>
        <v>L/s/m²</v>
      </c>
      <c r="E183" s="93"/>
    </row>
    <row r="184" spans="1:5" ht="15" customHeight="1" x14ac:dyDescent="0.25">
      <c r="A184" t="s">
        <v>445</v>
      </c>
      <c r="E184" s="93"/>
    </row>
    <row r="185" spans="1:5" ht="15" customHeight="1" x14ac:dyDescent="0.25">
      <c r="A185" s="952" t="s">
        <v>116</v>
      </c>
      <c r="B185" s="106">
        <f>B36</f>
        <v>5</v>
      </c>
      <c r="E185" s="93"/>
    </row>
    <row r="186" spans="1:5" ht="15" customHeight="1" x14ac:dyDescent="0.25">
      <c r="A186" s="952" t="s">
        <v>447</v>
      </c>
      <c r="B186" s="106">
        <f>B37</f>
        <v>4</v>
      </c>
      <c r="E186" s="93"/>
    </row>
    <row r="187" spans="1:5" ht="15" customHeight="1" x14ac:dyDescent="0.25">
      <c r="A187" s="952" t="s">
        <v>448</v>
      </c>
      <c r="B187" s="106">
        <f>B38</f>
        <v>20</v>
      </c>
      <c r="E187" s="93"/>
    </row>
    <row r="188" spans="1:5" ht="15" customHeight="1" x14ac:dyDescent="0.25">
      <c r="A188" t="s">
        <v>444</v>
      </c>
      <c r="E188" s="93"/>
    </row>
    <row r="189" spans="1:5" ht="15" customHeight="1" x14ac:dyDescent="0.25">
      <c r="A189" s="952" t="s">
        <v>116</v>
      </c>
      <c r="B189">
        <f>SQRT(B191)</f>
        <v>4.4721359549995796</v>
      </c>
      <c r="E189" s="93"/>
    </row>
    <row r="190" spans="1:5" ht="15" customHeight="1" x14ac:dyDescent="0.25">
      <c r="A190" s="952" t="s">
        <v>447</v>
      </c>
      <c r="B190">
        <f>B189</f>
        <v>4.4721359549995796</v>
      </c>
      <c r="E190" s="93"/>
    </row>
    <row r="191" spans="1:5" ht="15" customHeight="1" x14ac:dyDescent="0.25">
      <c r="A191" s="952" t="s">
        <v>448</v>
      </c>
      <c r="B191">
        <f>B40</f>
        <v>20</v>
      </c>
      <c r="E191" s="93"/>
    </row>
    <row r="192" spans="1:5" ht="15" customHeight="1" x14ac:dyDescent="0.25">
      <c r="E192" s="93"/>
    </row>
    <row r="193" spans="1:5" ht="15" customHeight="1" x14ac:dyDescent="0.25">
      <c r="A193" t="s">
        <v>441</v>
      </c>
      <c r="E193" s="93"/>
    </row>
    <row r="194" spans="1:5" ht="15" customHeight="1" x14ac:dyDescent="0.25">
      <c r="A194" t="s">
        <v>442</v>
      </c>
      <c r="B194" s="93">
        <f ca="1">IF($B$35=1,B179,IF($B$35=2,B185,B189))</f>
        <v>5.2</v>
      </c>
      <c r="E194" s="93"/>
    </row>
    <row r="195" spans="1:5" ht="15" customHeight="1" x14ac:dyDescent="0.25">
      <c r="A195" t="s">
        <v>443</v>
      </c>
      <c r="B195" s="93">
        <f t="shared" ref="B195" ca="1" si="20">IF($B$35=1,B180,IF($B$35=2,B186,B190))</f>
        <v>5.2</v>
      </c>
      <c r="E195" s="93"/>
    </row>
    <row r="196" spans="1:5" ht="15" customHeight="1" x14ac:dyDescent="0.25">
      <c r="A196" t="s">
        <v>175</v>
      </c>
      <c r="B196">
        <f ca="1">IF($B$35=1,B181,IF($B$35=2,B187,B191))</f>
        <v>27.040000000000003</v>
      </c>
      <c r="E196" s="93"/>
    </row>
    <row r="197" spans="1:5" ht="15" customHeight="1" x14ac:dyDescent="0.25">
      <c r="A197" t="s">
        <v>261</v>
      </c>
      <c r="B197">
        <f ca="1">IF(B35=3,B39,B14/B196)</f>
        <v>3.6982248520710055</v>
      </c>
      <c r="E197" s="93"/>
    </row>
    <row r="198" spans="1:5" ht="15" customHeight="1" x14ac:dyDescent="0.25">
      <c r="E198" s="93"/>
    </row>
    <row r="199" spans="1:5" ht="15" customHeight="1" x14ac:dyDescent="0.25">
      <c r="A199" t="s">
        <v>449</v>
      </c>
      <c r="B199">
        <f ca="1">ROUND(B197*$B$6,1)</f>
        <v>3.7</v>
      </c>
      <c r="C199" t="str">
        <f>D5</f>
        <v>[L/s/m²]</v>
      </c>
      <c r="E199" s="93"/>
    </row>
    <row r="200" spans="1:5" ht="15" customHeight="1" x14ac:dyDescent="0.25">
      <c r="E200" s="93"/>
    </row>
    <row r="201" spans="1:5" ht="15" customHeight="1" x14ac:dyDescent="0.25">
      <c r="E201" s="93"/>
    </row>
    <row r="202" spans="1:5" ht="15" customHeight="1" x14ac:dyDescent="0.25">
      <c r="C202" s="93"/>
    </row>
    <row r="203" spans="1:5" ht="15.75" x14ac:dyDescent="0.25">
      <c r="B203" s="703" t="s">
        <v>251</v>
      </c>
      <c r="C203" s="93">
        <f ca="1">C152*C154</f>
        <v>8.9699999999999989</v>
      </c>
    </row>
    <row r="204" spans="1:5" ht="15.75" x14ac:dyDescent="0.25">
      <c r="B204" s="703" t="s">
        <v>252</v>
      </c>
      <c r="C204" s="93">
        <f ca="1">C153*C155</f>
        <v>54.319999999999993</v>
      </c>
    </row>
    <row r="205" spans="1:5" ht="15.75" x14ac:dyDescent="0.25">
      <c r="A205" s="131" t="s">
        <v>66</v>
      </c>
      <c r="B205" s="783" t="s">
        <v>253</v>
      </c>
      <c r="C205" s="784">
        <f ca="1">AVERAGE(C152*C154,C153*C155)</f>
        <v>31.644999999999996</v>
      </c>
    </row>
    <row r="206" spans="1:5" ht="15.75" x14ac:dyDescent="0.25">
      <c r="B206" s="703" t="s">
        <v>251</v>
      </c>
      <c r="C206" s="93">
        <f ca="1">C156*C158</f>
        <v>9</v>
      </c>
    </row>
    <row r="207" spans="1:5" ht="15.75" x14ac:dyDescent="0.25">
      <c r="B207" s="703" t="s">
        <v>252</v>
      </c>
      <c r="C207" s="93">
        <f ca="1">C157*C159</f>
        <v>54.760000000000005</v>
      </c>
    </row>
    <row r="208" spans="1:5" ht="15.75" x14ac:dyDescent="0.25">
      <c r="A208" s="131" t="s">
        <v>248</v>
      </c>
      <c r="B208" s="783" t="s">
        <v>253</v>
      </c>
      <c r="C208" s="784">
        <f ca="1">AVERAGE(C156*C158,C157*C159)</f>
        <v>31.880000000000003</v>
      </c>
    </row>
    <row r="209" spans="1:6" ht="15.75" x14ac:dyDescent="0.25">
      <c r="B209" s="703" t="s">
        <v>251</v>
      </c>
      <c r="C209" s="93">
        <f ca="1">C160*C162</f>
        <v>8.9699999999999989</v>
      </c>
    </row>
    <row r="210" spans="1:6" ht="15.75" x14ac:dyDescent="0.25">
      <c r="B210" s="703" t="s">
        <v>252</v>
      </c>
      <c r="C210" s="93">
        <f ca="1">C161*C163</f>
        <v>53.76</v>
      </c>
    </row>
    <row r="211" spans="1:6" ht="15.75" x14ac:dyDescent="0.25">
      <c r="A211" t="s">
        <v>249</v>
      </c>
      <c r="B211" s="703" t="s">
        <v>253</v>
      </c>
      <c r="C211" s="93">
        <f ca="1">AVERAGE(C160*C162,C161*C163)</f>
        <v>31.364999999999998</v>
      </c>
    </row>
    <row r="213" spans="1:6" x14ac:dyDescent="0.25">
      <c r="A213" t="s">
        <v>270</v>
      </c>
      <c r="C213">
        <v>1.1154999999999999</v>
      </c>
    </row>
    <row r="214" spans="1:6" x14ac:dyDescent="0.25">
      <c r="A214" t="s">
        <v>271</v>
      </c>
      <c r="C214">
        <f>0.00241*C85+1.0444</f>
        <v>1.0905670251761059</v>
      </c>
    </row>
    <row r="216" spans="1:6" x14ac:dyDescent="0.25">
      <c r="A216" t="s">
        <v>269</v>
      </c>
      <c r="C216">
        <f ca="1">$B$14*$B$23/B196*C214</f>
        <v>48.397944904265053</v>
      </c>
    </row>
    <row r="217" spans="1:6" x14ac:dyDescent="0.25">
      <c r="B217" s="656">
        <v>2.7</v>
      </c>
      <c r="C217" s="656">
        <f ca="1">$B65*C216^$C65</f>
        <v>0.14984284954177271</v>
      </c>
    </row>
    <row r="218" spans="1:6" x14ac:dyDescent="0.25">
      <c r="B218" s="656">
        <v>4</v>
      </c>
      <c r="C218" s="656">
        <f ca="1">$B66*C216^$C66</f>
        <v>0.15886425734486181</v>
      </c>
      <c r="E218">
        <v>145</v>
      </c>
      <c r="F218">
        <v>195</v>
      </c>
    </row>
    <row r="219" spans="1:6" x14ac:dyDescent="0.25">
      <c r="B219" s="656">
        <v>10</v>
      </c>
      <c r="C219" s="656">
        <f ca="1">$B67*C216^$C67</f>
        <v>0.17164977882930721</v>
      </c>
      <c r="E219">
        <f>B4*B18/E218</f>
        <v>8.2758620689655178</v>
      </c>
      <c r="F219">
        <f>B14*B18/F218</f>
        <v>6.1538461538461542</v>
      </c>
    </row>
    <row r="220" spans="1:6" x14ac:dyDescent="0.25">
      <c r="B220" s="786" t="s">
        <v>177</v>
      </c>
      <c r="C220" s="656">
        <f ca="1">EXP(INDEX(LINEST(LN(C217:C219),LN($B217:$B219),,),1,2))</f>
        <v>0.1366933304702502</v>
      </c>
      <c r="E220">
        <f>SQRT(E219)</f>
        <v>2.8767798089123051</v>
      </c>
      <c r="F220">
        <f>SQRT(F219)</f>
        <v>2.4806946917841692</v>
      </c>
    </row>
    <row r="221" spans="1:6" x14ac:dyDescent="0.25">
      <c r="B221" s="787" t="s">
        <v>180</v>
      </c>
      <c r="C221" s="788">
        <f ca="1">INDEX(LINEST(LN(C217:C219),LN($B217:$B219),,),1)</f>
        <v>0.1003546323216174</v>
      </c>
    </row>
    <row r="222" spans="1:6" ht="15.75" x14ac:dyDescent="0.25">
      <c r="A222" s="791" t="s">
        <v>172</v>
      </c>
      <c r="B222">
        <f>B17</f>
        <v>2.5</v>
      </c>
      <c r="C222">
        <f ca="1">C220*$B$17^C221</f>
        <v>0.14985886819608327</v>
      </c>
    </row>
    <row r="223" spans="1:6" ht="15.75" x14ac:dyDescent="0.25">
      <c r="A223" s="792" t="s">
        <v>219</v>
      </c>
      <c r="B223" s="758" t="s">
        <v>156</v>
      </c>
      <c r="C223">
        <f ca="1">(34-$B$42)*(C222-0.05)^0.62*(0.37*C222*40+3.14)/100</f>
        <v>0.14125632951454481</v>
      </c>
    </row>
    <row r="224" spans="1:6" ht="15.75" x14ac:dyDescent="0.25">
      <c r="A224" s="792" t="s">
        <v>174</v>
      </c>
      <c r="B224" s="758" t="s">
        <v>181</v>
      </c>
      <c r="C224">
        <f ca="1">0.5*C223^2+0.25*C223+0.03</f>
        <v>7.5290757692597035E-2</v>
      </c>
    </row>
    <row r="225" spans="1:3" ht="15.75" x14ac:dyDescent="0.25">
      <c r="A225" s="793" t="s">
        <v>221</v>
      </c>
      <c r="B225" s="790" t="s">
        <v>220</v>
      </c>
      <c r="C225" t="str">
        <f ca="1">IF(C223&lt;10%,"A",IF(C223&lt;20%,"B",IF(C223&lt;30%,"C","-")))</f>
        <v>B</v>
      </c>
    </row>
    <row r="226" spans="1:3" ht="15.75" x14ac:dyDescent="0.25">
      <c r="A226" s="828" t="s">
        <v>358</v>
      </c>
      <c r="B226" s="703"/>
      <c r="C226">
        <f ca="1">ABS(0.4527*LN(C223)+1.2387)</f>
        <v>0.35268502177535743</v>
      </c>
    </row>
    <row r="227" spans="1:3" ht="15.75" x14ac:dyDescent="0.25">
      <c r="A227" s="828" t="s">
        <v>360</v>
      </c>
      <c r="C227">
        <f ca="1">IFERROR(MAX(ROUND(C226,1),0.2),0.2)</f>
        <v>0.4</v>
      </c>
    </row>
    <row r="229" spans="1:3" x14ac:dyDescent="0.25">
      <c r="A229" s="2" t="s">
        <v>255</v>
      </c>
      <c r="B229" s="2" t="s">
        <v>256</v>
      </c>
    </row>
    <row r="230" spans="1:3" x14ac:dyDescent="0.25">
      <c r="A230" t="s">
        <v>289</v>
      </c>
      <c r="B230" s="2"/>
      <c r="C230" t="b">
        <f>OR(C232,C233)</f>
        <v>0</v>
      </c>
    </row>
    <row r="231" spans="1:3" x14ac:dyDescent="0.25">
      <c r="A231" s="131" t="s">
        <v>290</v>
      </c>
      <c r="B231" s="815"/>
      <c r="C231" s="131"/>
    </row>
    <row r="232" spans="1:3" x14ac:dyDescent="0.25">
      <c r="A232" s="131" t="s">
        <v>257</v>
      </c>
      <c r="B232" s="131"/>
      <c r="C232" s="131" t="b">
        <f>OR(C85&gt;$B$16,C85&lt;3)</f>
        <v>0</v>
      </c>
    </row>
    <row r="233" spans="1:3" x14ac:dyDescent="0.25">
      <c r="A233" s="819" t="s">
        <v>298</v>
      </c>
      <c r="B233" s="819"/>
      <c r="C233" s="819" t="b">
        <f>$B$22&lt;C87</f>
        <v>0</v>
      </c>
    </row>
    <row r="234" spans="1:3" x14ac:dyDescent="0.25">
      <c r="A234" s="819" t="s">
        <v>93</v>
      </c>
      <c r="B234" s="819"/>
      <c r="C234" s="819" t="b">
        <f ca="1">$B$17&lt;E338</f>
        <v>0</v>
      </c>
    </row>
    <row r="235" spans="1:3" ht="15.75" x14ac:dyDescent="0.25">
      <c r="A235" s="1059" t="s">
        <v>130</v>
      </c>
      <c r="B235" s="758" t="s">
        <v>139</v>
      </c>
      <c r="C235" t="b">
        <f ca="1">OR(AND($B$35=2,$B$36&lt;C152),AND($B$35=3,OR($B$196&lt;C$203,$B$196&gt;C$204)),OR(C152&gt;C153,C154&gt;C155))</f>
        <v>0</v>
      </c>
    </row>
    <row r="236" spans="1:3" ht="15.75" x14ac:dyDescent="0.25">
      <c r="A236" s="1059"/>
      <c r="B236" s="754" t="s">
        <v>57</v>
      </c>
      <c r="C236" t="b">
        <f ca="1">OR(AND($B$35=2,$B$36&gt;C153),AND($B$35=3,OR($B$196&lt;C$203,$B$196&gt;C$204)),OR(C152&gt;C153,C154&gt;C155))</f>
        <v>0</v>
      </c>
    </row>
    <row r="237" spans="1:3" ht="15.75" x14ac:dyDescent="0.25">
      <c r="A237" s="1059"/>
      <c r="B237" s="755" t="s">
        <v>145</v>
      </c>
      <c r="C237" t="b">
        <f ca="1">OR(AND($B$35=2,$B$37&lt;C154),AND($B$35=3,OR($B$196&lt;C$203,$B$196&gt;C$204)),OR(C152&gt;C153,C154&gt;C155))</f>
        <v>0</v>
      </c>
    </row>
    <row r="238" spans="1:3" ht="16.5" thickBot="1" x14ac:dyDescent="0.3">
      <c r="A238" s="1059"/>
      <c r="B238" s="756" t="s">
        <v>148</v>
      </c>
      <c r="C238" s="802" t="b">
        <f ca="1">OR(AND($B$35=2,$B$37&gt;C155),AND($B$35=3,OR($B$196&lt;C$203,$B$196&gt;C$204)),OR(C152&gt;C153,C154&gt;C155))</f>
        <v>0</v>
      </c>
    </row>
    <row r="239" spans="1:3" ht="15.75" x14ac:dyDescent="0.25">
      <c r="A239" s="1062" t="s">
        <v>131</v>
      </c>
      <c r="B239" s="757" t="s">
        <v>56</v>
      </c>
      <c r="C239" t="b">
        <f ca="1">OR(AND($B$35=2,$B$36&lt;C156),AND($B$35=3,OR($B$196&lt;C$206,$B$196&gt;C$207)),OR(C156&gt;C157,C158&gt;C159))</f>
        <v>0</v>
      </c>
    </row>
    <row r="240" spans="1:3" ht="15.75" x14ac:dyDescent="0.25">
      <c r="A240" s="1059"/>
      <c r="B240" s="754" t="s">
        <v>140</v>
      </c>
      <c r="C240" t="b">
        <f ca="1">OR(AND($B$35=2,$B$36&gt;C157),AND($B$35=3,OR($B$196&lt;C$206,$B$196&gt;C$207)),OR(C156&gt;C157,C158&gt;C159))</f>
        <v>0</v>
      </c>
    </row>
    <row r="241" spans="1:3" ht="15.75" x14ac:dyDescent="0.25">
      <c r="A241" s="1059"/>
      <c r="B241" s="755" t="s">
        <v>145</v>
      </c>
      <c r="C241" t="b">
        <f ca="1">OR(AND($B$35=2,$B$37&lt;C158),AND($B$35=3,OR($B$196&lt;C$206,$B$196&gt;C$207)),OR(C156&gt;C157,C158&gt;C159))</f>
        <v>0</v>
      </c>
    </row>
    <row r="242" spans="1:3" ht="16.5" thickBot="1" x14ac:dyDescent="0.3">
      <c r="A242" s="1063"/>
      <c r="B242" s="756" t="s">
        <v>148</v>
      </c>
      <c r="C242" s="802" t="b">
        <f ca="1">OR(AND($B$35=2,$B$37&gt;C159),AND($B$35=3,OR($B$196&lt;C$206,$B$196&gt;C$207)),OR(C156&gt;C157,C158&gt;C159))</f>
        <v>0</v>
      </c>
    </row>
    <row r="243" spans="1:3" ht="15.75" x14ac:dyDescent="0.25">
      <c r="A243" s="1059" t="s">
        <v>132</v>
      </c>
      <c r="B243" s="758" t="s">
        <v>139</v>
      </c>
      <c r="C243" t="b">
        <f ca="1">OR(AND($B$35=2,$B$36&lt;C160),AND($B$35=3,OR($B$196&lt;C$209,$B$196&gt;C$210)),OR(C160&gt;C161,C162&gt;C163))</f>
        <v>0</v>
      </c>
    </row>
    <row r="244" spans="1:3" ht="15.75" x14ac:dyDescent="0.25">
      <c r="A244" s="1059"/>
      <c r="B244" s="754" t="s">
        <v>140</v>
      </c>
      <c r="C244" t="b">
        <f ca="1">OR(AND($B$35=2,$B$36&gt;C161),AND($B$35=3,OR($B$196&lt;C$209,$B$196&gt;C$210)),OR(C160&gt;C161,C162&gt;C163))</f>
        <v>0</v>
      </c>
    </row>
    <row r="245" spans="1:3" ht="15.75" x14ac:dyDescent="0.25">
      <c r="A245" s="1059"/>
      <c r="B245" s="755" t="s">
        <v>145</v>
      </c>
      <c r="C245" t="b">
        <f ca="1">OR(AND($B$35=2,$B$37&lt;C162),AND($B$35=3,OR($B$196&lt;C$209,$B$196&gt;C$210)),OR(C160&gt;C161,C162&gt;C163))</f>
        <v>0</v>
      </c>
    </row>
    <row r="246" spans="1:3" ht="16.5" thickBot="1" x14ac:dyDescent="0.3">
      <c r="A246" s="1060"/>
      <c r="B246" s="774" t="s">
        <v>146</v>
      </c>
      <c r="C246" s="802" t="b">
        <f ca="1">OR(AND($B$35=2,$B$37&gt;C163),AND($B$35=3,OR($B$196&lt;C$209,$B$196&gt;C$210)),OR(C160&gt;C161,C162&gt;C163))</f>
        <v>0</v>
      </c>
    </row>
    <row r="247" spans="1:3" x14ac:dyDescent="0.25">
      <c r="A247" s="519"/>
      <c r="B247" s="519"/>
      <c r="C247" s="803"/>
    </row>
    <row r="248" spans="1:3" x14ac:dyDescent="0.25">
      <c r="A248" s="519" t="s">
        <v>292</v>
      </c>
      <c r="B248" s="519"/>
    </row>
    <row r="249" spans="1:3" ht="15.75" x14ac:dyDescent="0.25">
      <c r="A249" s="1059" t="s">
        <v>291</v>
      </c>
      <c r="B249" s="758"/>
      <c r="C249" t="b">
        <f ca="1">OR(C235:C236)</f>
        <v>0</v>
      </c>
    </row>
    <row r="250" spans="1:3" ht="15.75" x14ac:dyDescent="0.25">
      <c r="A250" s="1059"/>
      <c r="B250" s="754"/>
      <c r="C250" t="b">
        <f ca="1">C249</f>
        <v>0</v>
      </c>
    </row>
    <row r="251" spans="1:3" ht="15.75" x14ac:dyDescent="0.25">
      <c r="A251" s="1059"/>
      <c r="B251" s="755"/>
      <c r="C251" t="b">
        <f ca="1">OR(C237:C238)</f>
        <v>0</v>
      </c>
    </row>
    <row r="252" spans="1:3" ht="16.5" thickBot="1" x14ac:dyDescent="0.3">
      <c r="A252" s="1059"/>
      <c r="B252" s="756"/>
      <c r="C252" t="b">
        <f ca="1">C251</f>
        <v>0</v>
      </c>
    </row>
    <row r="253" spans="1:3" ht="15.75" x14ac:dyDescent="0.25">
      <c r="A253" s="1062" t="s">
        <v>131</v>
      </c>
      <c r="B253" s="757"/>
      <c r="C253" t="b">
        <f ca="1">OR(C239:C240)</f>
        <v>0</v>
      </c>
    </row>
    <row r="254" spans="1:3" ht="15.75" x14ac:dyDescent="0.25">
      <c r="A254" s="1059"/>
      <c r="B254" s="754"/>
      <c r="C254" t="b">
        <f ca="1">C253</f>
        <v>0</v>
      </c>
    </row>
    <row r="255" spans="1:3" ht="15.75" x14ac:dyDescent="0.25">
      <c r="A255" s="1059"/>
      <c r="B255" s="755"/>
      <c r="C255" t="b">
        <f ca="1">OR(C241:C242)</f>
        <v>0</v>
      </c>
    </row>
    <row r="256" spans="1:3" ht="16.5" thickBot="1" x14ac:dyDescent="0.3">
      <c r="A256" s="1063"/>
      <c r="B256" s="756"/>
      <c r="C256" t="b">
        <f ca="1">C255</f>
        <v>0</v>
      </c>
    </row>
    <row r="257" spans="1:5" ht="15.75" x14ac:dyDescent="0.25">
      <c r="A257" s="1059" t="s">
        <v>132</v>
      </c>
      <c r="B257" s="758"/>
      <c r="C257" t="b">
        <f ca="1">OR(C243:C244)</f>
        <v>0</v>
      </c>
    </row>
    <row r="258" spans="1:5" ht="15.75" x14ac:dyDescent="0.25">
      <c r="A258" s="1059"/>
      <c r="B258" s="754"/>
      <c r="C258" t="b">
        <f ca="1">C257</f>
        <v>0</v>
      </c>
    </row>
    <row r="259" spans="1:5" ht="15.75" x14ac:dyDescent="0.25">
      <c r="A259" s="1059"/>
      <c r="B259" s="755"/>
      <c r="C259" t="b">
        <f ca="1">OR(C245:C246)</f>
        <v>0</v>
      </c>
    </row>
    <row r="260" spans="1:5" ht="16.5" thickBot="1" x14ac:dyDescent="0.3">
      <c r="A260" s="1060"/>
      <c r="B260" s="774"/>
      <c r="C260" t="b">
        <f ca="1">C259</f>
        <v>0</v>
      </c>
    </row>
    <row r="263" spans="1:5" ht="21" x14ac:dyDescent="0.35">
      <c r="A263" s="814" t="s">
        <v>283</v>
      </c>
    </row>
    <row r="265" spans="1:5" x14ac:dyDescent="0.25">
      <c r="A265" t="s">
        <v>309</v>
      </c>
    </row>
    <row r="266" spans="1:5" ht="18.75" x14ac:dyDescent="0.3">
      <c r="A266" s="519"/>
      <c r="B266" s="690"/>
      <c r="C266" s="533"/>
      <c r="D266" s="534"/>
      <c r="E266" s="802">
        <v>1</v>
      </c>
    </row>
    <row r="267" spans="1:5" ht="18.75" x14ac:dyDescent="0.3">
      <c r="A267" s="818" t="s">
        <v>198</v>
      </c>
      <c r="B267" s="690"/>
      <c r="C267" s="848"/>
      <c r="D267" s="529"/>
      <c r="E267" t="str">
        <f>C75 &amp;" × "&amp;C76</f>
        <v>600 × 2</v>
      </c>
    </row>
    <row r="268" spans="1:5" ht="15.75" x14ac:dyDescent="0.25">
      <c r="A268" s="1068" t="s">
        <v>250</v>
      </c>
      <c r="B268" s="676" t="s">
        <v>25</v>
      </c>
      <c r="C268" s="522" t="s">
        <v>212</v>
      </c>
      <c r="D268" s="538" t="s">
        <v>26</v>
      </c>
      <c r="E268">
        <f>C77</f>
        <v>600</v>
      </c>
    </row>
    <row r="269" spans="1:5" ht="15.75" x14ac:dyDescent="0.25">
      <c r="A269" s="1069"/>
      <c r="B269" s="682" t="s">
        <v>9</v>
      </c>
      <c r="C269" s="527" t="s">
        <v>215</v>
      </c>
      <c r="D269" s="545" t="s">
        <v>26</v>
      </c>
      <c r="E269">
        <f>C79</f>
        <v>140</v>
      </c>
    </row>
    <row r="270" spans="1:5" ht="15.75" x14ac:dyDescent="0.25">
      <c r="A270" s="1070" t="s">
        <v>8</v>
      </c>
      <c r="B270" s="676" t="s">
        <v>25</v>
      </c>
      <c r="C270" s="523" t="s">
        <v>213</v>
      </c>
      <c r="D270" s="539" t="s">
        <v>26</v>
      </c>
      <c r="E270">
        <f>C82</f>
        <v>652</v>
      </c>
    </row>
    <row r="271" spans="1:5" ht="15.75" x14ac:dyDescent="0.25">
      <c r="A271" s="1069"/>
      <c r="B271" s="679" t="s">
        <v>9</v>
      </c>
      <c r="C271" s="532" t="s">
        <v>216</v>
      </c>
      <c r="D271" s="541" t="s">
        <v>26</v>
      </c>
      <c r="E271">
        <f>C83</f>
        <v>173</v>
      </c>
    </row>
    <row r="272" spans="1:5" ht="15.75" x14ac:dyDescent="0.25">
      <c r="A272" s="519"/>
      <c r="B272" s="522" t="s">
        <v>210</v>
      </c>
      <c r="C272" s="526" t="s">
        <v>22</v>
      </c>
      <c r="D272" s="542" t="s">
        <v>10</v>
      </c>
      <c r="E272">
        <f>C84</f>
        <v>20.497392920511803</v>
      </c>
    </row>
    <row r="273" spans="1:5" ht="15.75" x14ac:dyDescent="0.25">
      <c r="A273" s="818" t="s">
        <v>298</v>
      </c>
      <c r="B273" s="523"/>
      <c r="C273" s="524"/>
      <c r="D273" s="539" t="s">
        <v>15</v>
      </c>
      <c r="E273" s="93">
        <f>C87</f>
        <v>40.134514951443713</v>
      </c>
    </row>
    <row r="274" spans="1:5" ht="15.75" x14ac:dyDescent="0.25">
      <c r="A274" s="519"/>
      <c r="B274" s="680" t="s">
        <v>142</v>
      </c>
      <c r="C274" s="535" t="s">
        <v>46</v>
      </c>
      <c r="D274" s="543" t="s">
        <v>136</v>
      </c>
      <c r="E274">
        <f>C88</f>
        <v>38.114674856776837</v>
      </c>
    </row>
    <row r="275" spans="1:5" ht="15.75" x14ac:dyDescent="0.25">
      <c r="A275" s="519"/>
      <c r="B275" s="681" t="s">
        <v>211</v>
      </c>
      <c r="C275" s="527" t="s">
        <v>23</v>
      </c>
      <c r="D275" s="544" t="s">
        <v>11</v>
      </c>
      <c r="E275">
        <f>C89</f>
        <v>23.114674856776837</v>
      </c>
    </row>
    <row r="276" spans="1:5" ht="15.75" x14ac:dyDescent="0.25">
      <c r="A276" s="519"/>
      <c r="B276" s="677" t="s">
        <v>143</v>
      </c>
      <c r="C276" s="537" t="s">
        <v>93</v>
      </c>
      <c r="D276" s="540" t="s">
        <v>137</v>
      </c>
      <c r="E276">
        <f ca="1">C90</f>
        <v>2.3357254887985643</v>
      </c>
    </row>
    <row r="277" spans="1:5" ht="15.75" x14ac:dyDescent="0.25">
      <c r="A277" s="1071" t="s">
        <v>129</v>
      </c>
      <c r="B277" s="1065" t="s">
        <v>130</v>
      </c>
      <c r="C277" s="526" t="s">
        <v>139</v>
      </c>
      <c r="D277" s="538" t="s">
        <v>137</v>
      </c>
      <c r="E277" s="106">
        <f t="shared" ref="E277:E288" ca="1" si="21">C152</f>
        <v>2.2999999999999998</v>
      </c>
    </row>
    <row r="278" spans="1:5" ht="15.75" x14ac:dyDescent="0.25">
      <c r="A278" s="1072"/>
      <c r="B278" s="1066"/>
      <c r="C278" s="527" t="s">
        <v>57</v>
      </c>
      <c r="D278" s="545" t="s">
        <v>137</v>
      </c>
      <c r="E278" s="106">
        <f t="shared" ca="1" si="21"/>
        <v>5.6</v>
      </c>
    </row>
    <row r="279" spans="1:5" ht="15.75" x14ac:dyDescent="0.25">
      <c r="A279" s="1072"/>
      <c r="B279" s="1066"/>
      <c r="C279" s="535" t="s">
        <v>145</v>
      </c>
      <c r="D279" s="540" t="s">
        <v>137</v>
      </c>
      <c r="E279" s="106">
        <f t="shared" ca="1" si="21"/>
        <v>3.9</v>
      </c>
    </row>
    <row r="280" spans="1:5" ht="16.5" thickBot="1" x14ac:dyDescent="0.3">
      <c r="A280" s="1072"/>
      <c r="B280" s="1066"/>
      <c r="C280" s="697" t="s">
        <v>148</v>
      </c>
      <c r="D280" s="698" t="s">
        <v>137</v>
      </c>
      <c r="E280" s="106">
        <f t="shared" ca="1" si="21"/>
        <v>9.6999999999999993</v>
      </c>
    </row>
    <row r="281" spans="1:5" ht="15.75" x14ac:dyDescent="0.25">
      <c r="A281" s="1034"/>
      <c r="B281" s="1039" t="s">
        <v>247</v>
      </c>
      <c r="C281" s="699" t="s">
        <v>56</v>
      </c>
      <c r="D281" s="700" t="s">
        <v>137</v>
      </c>
      <c r="E281" s="106">
        <f t="shared" ca="1" si="21"/>
        <v>3</v>
      </c>
    </row>
    <row r="282" spans="1:5" ht="15.75" x14ac:dyDescent="0.25">
      <c r="A282" s="1034"/>
      <c r="B282" s="1040"/>
      <c r="C282" s="527" t="s">
        <v>140</v>
      </c>
      <c r="D282" s="545" t="s">
        <v>137</v>
      </c>
      <c r="E282" s="106">
        <f t="shared" ca="1" si="21"/>
        <v>7.4</v>
      </c>
    </row>
    <row r="283" spans="1:5" ht="15.75" x14ac:dyDescent="0.25">
      <c r="A283" s="1034"/>
      <c r="B283" s="1040"/>
      <c r="C283" s="535" t="s">
        <v>145</v>
      </c>
      <c r="D283" s="540" t="s">
        <v>137</v>
      </c>
      <c r="E283" s="106">
        <f t="shared" ca="1" si="21"/>
        <v>3</v>
      </c>
    </row>
    <row r="284" spans="1:5" ht="16.5" thickBot="1" x14ac:dyDescent="0.3">
      <c r="A284" s="1034"/>
      <c r="B284" s="1041"/>
      <c r="C284" s="697" t="s">
        <v>148</v>
      </c>
      <c r="D284" s="698" t="s">
        <v>137</v>
      </c>
      <c r="E284" s="106">
        <f t="shared" ca="1" si="21"/>
        <v>7.4</v>
      </c>
    </row>
    <row r="285" spans="1:5" ht="15.75" x14ac:dyDescent="0.25">
      <c r="A285" s="1072"/>
      <c r="B285" s="1066" t="s">
        <v>132</v>
      </c>
      <c r="C285" s="524" t="s">
        <v>139</v>
      </c>
      <c r="D285" s="540" t="s">
        <v>137</v>
      </c>
      <c r="E285" s="106">
        <f t="shared" ca="1" si="21"/>
        <v>3.9</v>
      </c>
    </row>
    <row r="286" spans="1:5" ht="15.75" x14ac:dyDescent="0.25">
      <c r="A286" s="1072"/>
      <c r="B286" s="1066"/>
      <c r="C286" s="527" t="s">
        <v>140</v>
      </c>
      <c r="D286" s="545" t="s">
        <v>137</v>
      </c>
      <c r="E286" s="106">
        <f t="shared" ca="1" si="21"/>
        <v>9.6</v>
      </c>
    </row>
    <row r="287" spans="1:5" ht="15.75" x14ac:dyDescent="0.25">
      <c r="A287" s="1072"/>
      <c r="B287" s="1066"/>
      <c r="C287" s="535" t="s">
        <v>145</v>
      </c>
      <c r="D287" s="540" t="s">
        <v>137</v>
      </c>
      <c r="E287" s="106">
        <f t="shared" ca="1" si="21"/>
        <v>2.2999999999999998</v>
      </c>
    </row>
    <row r="288" spans="1:5" ht="15.75" x14ac:dyDescent="0.25">
      <c r="A288" s="1073"/>
      <c r="B288" s="1067"/>
      <c r="C288" s="532" t="s">
        <v>146</v>
      </c>
      <c r="D288" s="541" t="s">
        <v>137</v>
      </c>
      <c r="E288" s="106">
        <f t="shared" ca="1" si="21"/>
        <v>5.6</v>
      </c>
    </row>
    <row r="289" spans="1:6" ht="15.75" x14ac:dyDescent="0.25">
      <c r="A289" s="606"/>
      <c r="B289" s="678" t="s">
        <v>172</v>
      </c>
      <c r="C289" s="526" t="s">
        <v>217</v>
      </c>
      <c r="D289" s="538" t="s">
        <v>173</v>
      </c>
      <c r="E289" s="93">
        <f ca="1">C222</f>
        <v>0.14985886819608327</v>
      </c>
    </row>
    <row r="290" spans="1:6" ht="15.75" x14ac:dyDescent="0.25">
      <c r="A290" s="606"/>
      <c r="B290" s="678" t="s">
        <v>219</v>
      </c>
      <c r="C290" s="524" t="s">
        <v>156</v>
      </c>
      <c r="D290" s="540" t="s">
        <v>218</v>
      </c>
      <c r="E290" s="93">
        <f ca="1">C223</f>
        <v>0.14125632951454481</v>
      </c>
    </row>
    <row r="291" spans="1:6" ht="15.75" x14ac:dyDescent="0.25">
      <c r="A291" s="606"/>
      <c r="B291" s="678" t="s">
        <v>174</v>
      </c>
      <c r="C291" s="524" t="s">
        <v>181</v>
      </c>
      <c r="D291" s="540" t="s">
        <v>218</v>
      </c>
      <c r="E291" s="93">
        <f ca="1">C224</f>
        <v>7.5290757692597035E-2</v>
      </c>
    </row>
    <row r="292" spans="1:6" ht="15.75" x14ac:dyDescent="0.25">
      <c r="A292" s="606"/>
      <c r="B292" s="678" t="s">
        <v>221</v>
      </c>
      <c r="C292" s="532" t="s">
        <v>220</v>
      </c>
      <c r="D292" s="541"/>
      <c r="E292" s="106" t="str">
        <f ca="1">C225</f>
        <v>B</v>
      </c>
    </row>
    <row r="293" spans="1:6" ht="15.75" x14ac:dyDescent="0.25">
      <c r="A293" s="831" t="s">
        <v>359</v>
      </c>
      <c r="B293" s="678"/>
      <c r="C293" s="523"/>
      <c r="D293" s="540"/>
      <c r="E293" s="106">
        <f ca="1">C227</f>
        <v>0.4</v>
      </c>
    </row>
    <row r="296" spans="1:6" x14ac:dyDescent="0.25">
      <c r="A296" t="s">
        <v>299</v>
      </c>
    </row>
    <row r="297" spans="1:6" ht="18.75" x14ac:dyDescent="0.3">
      <c r="A297" s="519"/>
      <c r="B297" s="690"/>
      <c r="C297" s="533"/>
      <c r="D297" s="534"/>
      <c r="E297">
        <f>E266</f>
        <v>1</v>
      </c>
    </row>
    <row r="298" spans="1:6" ht="15.75" x14ac:dyDescent="0.25">
      <c r="A298" s="759"/>
      <c r="B298" s="682" t="s">
        <v>144</v>
      </c>
      <c r="C298" s="524" t="s">
        <v>214</v>
      </c>
      <c r="D298" s="540"/>
      <c r="E298" t="str">
        <f>E267</f>
        <v>600 × 2</v>
      </c>
      <c r="F298" t="s">
        <v>423</v>
      </c>
    </row>
    <row r="299" spans="1:6" ht="15.75" x14ac:dyDescent="0.25">
      <c r="A299" s="1068" t="s">
        <v>250</v>
      </c>
      <c r="B299" s="676" t="s">
        <v>25</v>
      </c>
      <c r="C299" s="522" t="s">
        <v>212</v>
      </c>
      <c r="D299" s="538" t="s">
        <v>26</v>
      </c>
      <c r="E299">
        <f>ROUND(E268,0)+F299</f>
        <v>608</v>
      </c>
      <c r="F299">
        <f>IF('BMW-Be-Selection'!A90,8,0)</f>
        <v>8</v>
      </c>
    </row>
    <row r="300" spans="1:6" ht="15.75" x14ac:dyDescent="0.25">
      <c r="A300" s="1069"/>
      <c r="B300" s="682" t="s">
        <v>9</v>
      </c>
      <c r="C300" s="527" t="s">
        <v>215</v>
      </c>
      <c r="D300" s="545" t="s">
        <v>26</v>
      </c>
      <c r="E300">
        <f>ROUND(E269,0)+F299</f>
        <v>148</v>
      </c>
    </row>
    <row r="301" spans="1:6" ht="15.75" x14ac:dyDescent="0.25">
      <c r="A301" s="1070" t="s">
        <v>8</v>
      </c>
      <c r="B301" s="676" t="s">
        <v>25</v>
      </c>
      <c r="C301" s="523" t="s">
        <v>213</v>
      </c>
      <c r="D301" s="539" t="s">
        <v>26</v>
      </c>
      <c r="E301">
        <f>ROUND(E270,0)</f>
        <v>652</v>
      </c>
    </row>
    <row r="302" spans="1:6" ht="15.75" x14ac:dyDescent="0.25">
      <c r="A302" s="1069"/>
      <c r="B302" s="679" t="s">
        <v>9</v>
      </c>
      <c r="C302" s="532" t="s">
        <v>216</v>
      </c>
      <c r="D302" s="541" t="s">
        <v>26</v>
      </c>
      <c r="E302">
        <f>ROUND(E271,0)</f>
        <v>173</v>
      </c>
    </row>
    <row r="303" spans="1:6" ht="15.75" x14ac:dyDescent="0.25">
      <c r="A303" s="519"/>
      <c r="B303" s="522" t="s">
        <v>210</v>
      </c>
      <c r="C303" s="526" t="s">
        <v>22</v>
      </c>
      <c r="D303" s="542" t="s">
        <v>10</v>
      </c>
      <c r="E303">
        <f>ROUND(E272,1)</f>
        <v>20.5</v>
      </c>
    </row>
    <row r="304" spans="1:6" ht="15.75" x14ac:dyDescent="0.25">
      <c r="A304" s="519"/>
      <c r="B304" s="523" t="s">
        <v>300</v>
      </c>
      <c r="C304" s="524"/>
      <c r="D304" s="539" t="str">
        <f>C4</f>
        <v>L/s</v>
      </c>
      <c r="E304">
        <f>ROUND(E273*$B$6,1)</f>
        <v>40.1</v>
      </c>
    </row>
    <row r="305" spans="1:5" ht="15.75" x14ac:dyDescent="0.25">
      <c r="A305" s="519"/>
      <c r="B305" s="680" t="s">
        <v>142</v>
      </c>
      <c r="C305" s="535" t="s">
        <v>46</v>
      </c>
      <c r="D305" s="543" t="s">
        <v>136</v>
      </c>
      <c r="E305">
        <f>ROUND(E274,1)</f>
        <v>38.1</v>
      </c>
    </row>
    <row r="306" spans="1:5" ht="15.75" x14ac:dyDescent="0.25">
      <c r="A306" s="519"/>
      <c r="B306" s="681" t="s">
        <v>211</v>
      </c>
      <c r="C306" s="527" t="s">
        <v>23</v>
      </c>
      <c r="D306" s="544" t="s">
        <v>11</v>
      </c>
      <c r="E306">
        <f>ROUND(E275,1)</f>
        <v>23.1</v>
      </c>
    </row>
    <row r="307" spans="1:5" ht="15.75" x14ac:dyDescent="0.25">
      <c r="A307" s="519"/>
      <c r="B307" s="677" t="s">
        <v>143</v>
      </c>
      <c r="C307" s="537" t="s">
        <v>93</v>
      </c>
      <c r="D307" s="540" t="s">
        <v>137</v>
      </c>
      <c r="E307">
        <f ca="1">ROUND(E276,1)</f>
        <v>2.2999999999999998</v>
      </c>
    </row>
    <row r="308" spans="1:5" ht="15.75" x14ac:dyDescent="0.25">
      <c r="A308" s="1071" t="s">
        <v>129</v>
      </c>
      <c r="B308" s="1065" t="s">
        <v>130</v>
      </c>
      <c r="C308" s="526" t="s">
        <v>139</v>
      </c>
      <c r="D308" s="538" t="s">
        <v>137</v>
      </c>
      <c r="E308">
        <f t="shared" ref="E308:E319" ca="1" si="22">E277</f>
        <v>2.2999999999999998</v>
      </c>
    </row>
    <row r="309" spans="1:5" ht="15.75" x14ac:dyDescent="0.25">
      <c r="A309" s="1072"/>
      <c r="B309" s="1066"/>
      <c r="C309" s="527" t="s">
        <v>57</v>
      </c>
      <c r="D309" s="545" t="s">
        <v>137</v>
      </c>
      <c r="E309">
        <f t="shared" ca="1" si="22"/>
        <v>5.6</v>
      </c>
    </row>
    <row r="310" spans="1:5" ht="15.75" x14ac:dyDescent="0.25">
      <c r="A310" s="1072"/>
      <c r="B310" s="1066"/>
      <c r="C310" s="535" t="s">
        <v>145</v>
      </c>
      <c r="D310" s="540" t="s">
        <v>137</v>
      </c>
      <c r="E310">
        <f t="shared" ca="1" si="22"/>
        <v>3.9</v>
      </c>
    </row>
    <row r="311" spans="1:5" ht="16.5" thickBot="1" x14ac:dyDescent="0.3">
      <c r="A311" s="1072"/>
      <c r="B311" s="1066"/>
      <c r="C311" s="697" t="s">
        <v>148</v>
      </c>
      <c r="D311" s="698" t="s">
        <v>137</v>
      </c>
      <c r="E311">
        <f t="shared" ca="1" si="22"/>
        <v>9.6999999999999993</v>
      </c>
    </row>
    <row r="312" spans="1:5" ht="15.75" x14ac:dyDescent="0.25">
      <c r="A312" s="1034"/>
      <c r="B312" s="1039" t="s">
        <v>247</v>
      </c>
      <c r="C312" s="699" t="s">
        <v>56</v>
      </c>
      <c r="D312" s="700" t="s">
        <v>137</v>
      </c>
      <c r="E312">
        <f t="shared" ca="1" si="22"/>
        <v>3</v>
      </c>
    </row>
    <row r="313" spans="1:5" ht="15.75" x14ac:dyDescent="0.25">
      <c r="A313" s="1034"/>
      <c r="B313" s="1040"/>
      <c r="C313" s="527" t="s">
        <v>140</v>
      </c>
      <c r="D313" s="545" t="s">
        <v>137</v>
      </c>
      <c r="E313">
        <f t="shared" ca="1" si="22"/>
        <v>7.4</v>
      </c>
    </row>
    <row r="314" spans="1:5" ht="15.75" x14ac:dyDescent="0.25">
      <c r="A314" s="1034"/>
      <c r="B314" s="1040"/>
      <c r="C314" s="535" t="s">
        <v>145</v>
      </c>
      <c r="D314" s="540" t="s">
        <v>137</v>
      </c>
      <c r="E314">
        <f t="shared" ca="1" si="22"/>
        <v>3</v>
      </c>
    </row>
    <row r="315" spans="1:5" ht="16.5" thickBot="1" x14ac:dyDescent="0.3">
      <c r="A315" s="1034"/>
      <c r="B315" s="1041"/>
      <c r="C315" s="697" t="s">
        <v>148</v>
      </c>
      <c r="D315" s="698" t="s">
        <v>137</v>
      </c>
      <c r="E315">
        <f t="shared" ca="1" si="22"/>
        <v>7.4</v>
      </c>
    </row>
    <row r="316" spans="1:5" ht="15.75" x14ac:dyDescent="0.25">
      <c r="A316" s="1072"/>
      <c r="B316" s="1066" t="s">
        <v>132</v>
      </c>
      <c r="C316" s="524" t="s">
        <v>139</v>
      </c>
      <c r="D316" s="540" t="s">
        <v>137</v>
      </c>
      <c r="E316">
        <f t="shared" ca="1" si="22"/>
        <v>3.9</v>
      </c>
    </row>
    <row r="317" spans="1:5" ht="15.75" x14ac:dyDescent="0.25">
      <c r="A317" s="1072"/>
      <c r="B317" s="1066"/>
      <c r="C317" s="527" t="s">
        <v>140</v>
      </c>
      <c r="D317" s="545" t="s">
        <v>137</v>
      </c>
      <c r="E317">
        <f t="shared" ca="1" si="22"/>
        <v>9.6</v>
      </c>
    </row>
    <row r="318" spans="1:5" ht="15.75" x14ac:dyDescent="0.25">
      <c r="A318" s="1072"/>
      <c r="B318" s="1066"/>
      <c r="C318" s="535" t="s">
        <v>145</v>
      </c>
      <c r="D318" s="540" t="s">
        <v>137</v>
      </c>
      <c r="E318">
        <f t="shared" ca="1" si="22"/>
        <v>2.2999999999999998</v>
      </c>
    </row>
    <row r="319" spans="1:5" ht="15.75" x14ac:dyDescent="0.25">
      <c r="A319" s="1073"/>
      <c r="B319" s="1067"/>
      <c r="C319" s="532" t="s">
        <v>146</v>
      </c>
      <c r="D319" s="541" t="s">
        <v>137</v>
      </c>
      <c r="E319">
        <f t="shared" ca="1" si="22"/>
        <v>5.6</v>
      </c>
    </row>
    <row r="320" spans="1:5" ht="15.75" x14ac:dyDescent="0.25">
      <c r="A320" s="619"/>
      <c r="B320" s="678" t="s">
        <v>172</v>
      </c>
      <c r="C320" s="526" t="s">
        <v>217</v>
      </c>
      <c r="D320" s="538" t="s">
        <v>173</v>
      </c>
      <c r="E320" s="93">
        <f ca="1">ROUND(E289,2)</f>
        <v>0.15</v>
      </c>
    </row>
    <row r="321" spans="1:5" ht="15.75" x14ac:dyDescent="0.25">
      <c r="A321" s="619"/>
      <c r="B321" s="678" t="s">
        <v>219</v>
      </c>
      <c r="C321" s="524" t="s">
        <v>156</v>
      </c>
      <c r="D321" s="540" t="s">
        <v>218</v>
      </c>
      <c r="E321" s="93">
        <f ca="1">ROUND(E290,3)</f>
        <v>0.14099999999999999</v>
      </c>
    </row>
    <row r="322" spans="1:5" ht="15.75" x14ac:dyDescent="0.25">
      <c r="A322" s="619"/>
      <c r="B322" s="678" t="s">
        <v>174</v>
      </c>
      <c r="C322" s="524" t="s">
        <v>181</v>
      </c>
      <c r="D322" s="540" t="s">
        <v>218</v>
      </c>
      <c r="E322" s="93">
        <f ca="1">ROUND(E291,3)</f>
        <v>7.4999999999999997E-2</v>
      </c>
    </row>
    <row r="323" spans="1:5" ht="15.75" x14ac:dyDescent="0.25">
      <c r="A323" s="619"/>
      <c r="B323" s="678" t="s">
        <v>221</v>
      </c>
      <c r="C323" s="532" t="s">
        <v>220</v>
      </c>
      <c r="D323" s="541"/>
      <c r="E323" t="str">
        <f ca="1">E292</f>
        <v>B</v>
      </c>
    </row>
    <row r="324" spans="1:5" ht="15.75" x14ac:dyDescent="0.25">
      <c r="A324" s="619" t="s">
        <v>359</v>
      </c>
      <c r="B324" s="678"/>
      <c r="C324" s="523"/>
      <c r="D324" s="540"/>
      <c r="E324" t="str">
        <f ca="1">"≤ "&amp;E293</f>
        <v>≤ 0.4</v>
      </c>
    </row>
    <row r="326" spans="1:5" ht="15.75" thickBot="1" x14ac:dyDescent="0.3"/>
    <row r="327" spans="1:5" x14ac:dyDescent="0.25">
      <c r="A327" s="808" t="s">
        <v>288</v>
      </c>
      <c r="B327" s="137"/>
      <c r="C327" s="137"/>
      <c r="D327" s="137"/>
      <c r="E327" s="137"/>
    </row>
    <row r="328" spans="1:5" ht="18.75" x14ac:dyDescent="0.3">
      <c r="A328" s="810"/>
      <c r="B328" s="690"/>
      <c r="C328" s="533"/>
      <c r="D328" s="534"/>
      <c r="E328">
        <f>E297</f>
        <v>1</v>
      </c>
    </row>
    <row r="329" spans="1:5" ht="15.75" x14ac:dyDescent="0.25">
      <c r="A329" s="811"/>
      <c r="B329" s="682" t="s">
        <v>144</v>
      </c>
      <c r="C329" s="524" t="s">
        <v>214</v>
      </c>
      <c r="D329" s="540"/>
      <c r="E329" t="str">
        <f>E298</f>
        <v>600 × 2</v>
      </c>
    </row>
    <row r="330" spans="1:5" ht="15.75" x14ac:dyDescent="0.25">
      <c r="A330" s="1074" t="s">
        <v>250</v>
      </c>
      <c r="B330" s="676" t="s">
        <v>25</v>
      </c>
      <c r="C330" s="522" t="s">
        <v>212</v>
      </c>
      <c r="D330" s="538" t="s">
        <v>26</v>
      </c>
      <c r="E330">
        <f t="shared" ref="E330:E333" si="23">E299</f>
        <v>608</v>
      </c>
    </row>
    <row r="331" spans="1:5" ht="15.75" x14ac:dyDescent="0.25">
      <c r="A331" s="1075"/>
      <c r="B331" s="682" t="s">
        <v>9</v>
      </c>
      <c r="C331" s="527" t="s">
        <v>215</v>
      </c>
      <c r="D331" s="545" t="s">
        <v>26</v>
      </c>
      <c r="E331">
        <f t="shared" si="23"/>
        <v>148</v>
      </c>
    </row>
    <row r="332" spans="1:5" ht="15.75" x14ac:dyDescent="0.25">
      <c r="A332" s="1076" t="s">
        <v>8</v>
      </c>
      <c r="B332" s="676" t="s">
        <v>25</v>
      </c>
      <c r="C332" s="523" t="s">
        <v>213</v>
      </c>
      <c r="D332" s="539" t="s">
        <v>26</v>
      </c>
      <c r="E332">
        <f t="shared" si="23"/>
        <v>652</v>
      </c>
    </row>
    <row r="333" spans="1:5" ht="15.75" x14ac:dyDescent="0.25">
      <c r="A333" s="1075"/>
      <c r="B333" s="679" t="s">
        <v>9</v>
      </c>
      <c r="C333" s="532" t="s">
        <v>216</v>
      </c>
      <c r="D333" s="541" t="s">
        <v>26</v>
      </c>
      <c r="E333">
        <f t="shared" si="23"/>
        <v>173</v>
      </c>
    </row>
    <row r="334" spans="1:5" ht="15.75" x14ac:dyDescent="0.25">
      <c r="A334" s="810"/>
      <c r="B334" s="522" t="s">
        <v>210</v>
      </c>
      <c r="C334" s="526" t="s">
        <v>22</v>
      </c>
      <c r="D334" s="542" t="s">
        <v>10</v>
      </c>
      <c r="E334">
        <f t="shared" ref="E334" si="24">IF(E303&lt;3,"&lt; 3",E303)</f>
        <v>20.5</v>
      </c>
    </row>
    <row r="335" spans="1:5" ht="15.75" x14ac:dyDescent="0.25">
      <c r="A335" s="810"/>
      <c r="B335" s="523" t="s">
        <v>298</v>
      </c>
      <c r="C335" s="524"/>
      <c r="D335" s="539"/>
      <c r="E335">
        <f t="shared" ref="E335" si="25">E304</f>
        <v>40.1</v>
      </c>
    </row>
    <row r="336" spans="1:5" ht="15.75" x14ac:dyDescent="0.25">
      <c r="A336" s="810"/>
      <c r="B336" s="680" t="s">
        <v>142</v>
      </c>
      <c r="C336" s="535" t="s">
        <v>46</v>
      </c>
      <c r="D336" s="543" t="s">
        <v>136</v>
      </c>
      <c r="E336">
        <f t="shared" ref="E336" si="26">IF(E305&lt;15,"&lt; 15", E305)</f>
        <v>38.1</v>
      </c>
    </row>
    <row r="337" spans="1:5" ht="15.75" x14ac:dyDescent="0.25">
      <c r="A337" s="810"/>
      <c r="B337" s="681" t="s">
        <v>211</v>
      </c>
      <c r="C337" s="527" t="s">
        <v>23</v>
      </c>
      <c r="D337" s="544" t="s">
        <v>11</v>
      </c>
      <c r="E337">
        <f t="shared" ref="E337" si="27">IF(E306&lt;5,"&lt; 5", E306)</f>
        <v>23.1</v>
      </c>
    </row>
    <row r="338" spans="1:5" ht="15.75" x14ac:dyDescent="0.25">
      <c r="A338" s="810"/>
      <c r="B338" s="677" t="s">
        <v>143</v>
      </c>
      <c r="C338" s="537" t="s">
        <v>93</v>
      </c>
      <c r="D338" s="540" t="s">
        <v>137</v>
      </c>
      <c r="E338">
        <f t="shared" ref="E338:E353" ca="1" si="28">E307</f>
        <v>2.2999999999999998</v>
      </c>
    </row>
    <row r="339" spans="1:5" ht="15.75" x14ac:dyDescent="0.25">
      <c r="A339" s="1077" t="s">
        <v>129</v>
      </c>
      <c r="B339" s="1065" t="s">
        <v>130</v>
      </c>
      <c r="C339" s="526" t="s">
        <v>139</v>
      </c>
      <c r="D339" s="538" t="s">
        <v>137</v>
      </c>
      <c r="E339">
        <f t="shared" ca="1" si="28"/>
        <v>2.2999999999999998</v>
      </c>
    </row>
    <row r="340" spans="1:5" ht="15.75" x14ac:dyDescent="0.25">
      <c r="A340" s="1078"/>
      <c r="B340" s="1066"/>
      <c r="C340" s="527" t="s">
        <v>57</v>
      </c>
      <c r="D340" s="545" t="s">
        <v>137</v>
      </c>
      <c r="E340">
        <f t="shared" ca="1" si="28"/>
        <v>5.6</v>
      </c>
    </row>
    <row r="341" spans="1:5" ht="15.75" x14ac:dyDescent="0.25">
      <c r="A341" s="1078"/>
      <c r="B341" s="1066"/>
      <c r="C341" s="535" t="s">
        <v>145</v>
      </c>
      <c r="D341" s="540" t="s">
        <v>137</v>
      </c>
      <c r="E341">
        <f t="shared" ca="1" si="28"/>
        <v>3.9</v>
      </c>
    </row>
    <row r="342" spans="1:5" ht="16.5" thickBot="1" x14ac:dyDescent="0.3">
      <c r="A342" s="1078"/>
      <c r="B342" s="1066"/>
      <c r="C342" s="697" t="s">
        <v>148</v>
      </c>
      <c r="D342" s="698" t="s">
        <v>137</v>
      </c>
      <c r="E342">
        <f t="shared" ca="1" si="28"/>
        <v>9.6999999999999993</v>
      </c>
    </row>
    <row r="343" spans="1:5" ht="15.75" x14ac:dyDescent="0.25">
      <c r="A343" s="1079"/>
      <c r="B343" s="1039" t="s">
        <v>247</v>
      </c>
      <c r="C343" s="699" t="s">
        <v>56</v>
      </c>
      <c r="D343" s="700" t="s">
        <v>137</v>
      </c>
      <c r="E343">
        <f t="shared" ca="1" si="28"/>
        <v>3</v>
      </c>
    </row>
    <row r="344" spans="1:5" ht="15.75" x14ac:dyDescent="0.25">
      <c r="A344" s="1079"/>
      <c r="B344" s="1040"/>
      <c r="C344" s="527" t="s">
        <v>140</v>
      </c>
      <c r="D344" s="545" t="s">
        <v>137</v>
      </c>
      <c r="E344">
        <f t="shared" ca="1" si="28"/>
        <v>7.4</v>
      </c>
    </row>
    <row r="345" spans="1:5" ht="15.75" x14ac:dyDescent="0.25">
      <c r="A345" s="1079"/>
      <c r="B345" s="1040"/>
      <c r="C345" s="535" t="s">
        <v>145</v>
      </c>
      <c r="D345" s="540" t="s">
        <v>137</v>
      </c>
      <c r="E345">
        <f t="shared" ca="1" si="28"/>
        <v>3</v>
      </c>
    </row>
    <row r="346" spans="1:5" ht="16.5" thickBot="1" x14ac:dyDescent="0.3">
      <c r="A346" s="1079"/>
      <c r="B346" s="1041"/>
      <c r="C346" s="697" t="s">
        <v>148</v>
      </c>
      <c r="D346" s="698" t="s">
        <v>137</v>
      </c>
      <c r="E346">
        <f t="shared" ca="1" si="28"/>
        <v>7.4</v>
      </c>
    </row>
    <row r="347" spans="1:5" ht="15.75" x14ac:dyDescent="0.25">
      <c r="A347" s="1078"/>
      <c r="B347" s="1066" t="s">
        <v>132</v>
      </c>
      <c r="C347" s="524" t="s">
        <v>139</v>
      </c>
      <c r="D347" s="540" t="s">
        <v>137</v>
      </c>
      <c r="E347">
        <f t="shared" ca="1" si="28"/>
        <v>3.9</v>
      </c>
    </row>
    <row r="348" spans="1:5" ht="15.75" x14ac:dyDescent="0.25">
      <c r="A348" s="1078"/>
      <c r="B348" s="1066"/>
      <c r="C348" s="527" t="s">
        <v>140</v>
      </c>
      <c r="D348" s="545" t="s">
        <v>137</v>
      </c>
      <c r="E348">
        <f t="shared" ca="1" si="28"/>
        <v>9.6</v>
      </c>
    </row>
    <row r="349" spans="1:5" ht="15.75" x14ac:dyDescent="0.25">
      <c r="A349" s="1078"/>
      <c r="B349" s="1066"/>
      <c r="C349" s="535" t="s">
        <v>145</v>
      </c>
      <c r="D349" s="540" t="s">
        <v>137</v>
      </c>
      <c r="E349">
        <f t="shared" ca="1" si="28"/>
        <v>2.2999999999999998</v>
      </c>
    </row>
    <row r="350" spans="1:5" ht="15.75" x14ac:dyDescent="0.25">
      <c r="A350" s="1080"/>
      <c r="B350" s="1067"/>
      <c r="C350" s="532" t="s">
        <v>146</v>
      </c>
      <c r="D350" s="541" t="s">
        <v>137</v>
      </c>
      <c r="E350">
        <f t="shared" ca="1" si="28"/>
        <v>5.6</v>
      </c>
    </row>
    <row r="351" spans="1:5" ht="15.75" x14ac:dyDescent="0.25">
      <c r="A351" s="812"/>
      <c r="B351" s="678" t="s">
        <v>172</v>
      </c>
      <c r="C351" s="526" t="s">
        <v>217</v>
      </c>
      <c r="D351" s="538" t="s">
        <v>173</v>
      </c>
      <c r="E351">
        <f t="shared" ca="1" si="28"/>
        <v>0.15</v>
      </c>
    </row>
    <row r="352" spans="1:5" ht="15.75" x14ac:dyDescent="0.25">
      <c r="A352" s="812"/>
      <c r="B352" s="678" t="s">
        <v>219</v>
      </c>
      <c r="C352" s="524" t="s">
        <v>156</v>
      </c>
      <c r="D352" s="540" t="s">
        <v>218</v>
      </c>
      <c r="E352">
        <f t="shared" ca="1" si="28"/>
        <v>0.14099999999999999</v>
      </c>
    </row>
    <row r="353" spans="1:5" ht="15.75" x14ac:dyDescent="0.25">
      <c r="A353" s="812"/>
      <c r="B353" s="678" t="s">
        <v>174</v>
      </c>
      <c r="C353" s="524" t="s">
        <v>181</v>
      </c>
      <c r="D353" s="540" t="s">
        <v>218</v>
      </c>
      <c r="E353">
        <f t="shared" ca="1" si="28"/>
        <v>7.4999999999999997E-2</v>
      </c>
    </row>
    <row r="354" spans="1:5" ht="15.75" x14ac:dyDescent="0.25">
      <c r="A354" s="812"/>
      <c r="B354" s="678" t="s">
        <v>221</v>
      </c>
      <c r="C354" s="524" t="s">
        <v>220</v>
      </c>
      <c r="D354" s="540"/>
      <c r="E354" t="str">
        <f t="shared" ref="E354:E355" ca="1" si="29">E323</f>
        <v>B</v>
      </c>
    </row>
    <row r="355" spans="1:5" ht="16.5" thickBot="1" x14ac:dyDescent="0.3">
      <c r="A355" s="606"/>
      <c r="B355" s="678" t="s">
        <v>358</v>
      </c>
      <c r="C355" s="523"/>
      <c r="D355" s="540"/>
      <c r="E355" s="135" t="str">
        <f t="shared" ca="1" si="29"/>
        <v>≤ 0.4</v>
      </c>
    </row>
  </sheetData>
  <mergeCells count="36">
    <mergeCell ref="A243:A246"/>
    <mergeCell ref="A96:A99"/>
    <mergeCell ref="A106:A109"/>
    <mergeCell ref="A116:A119"/>
    <mergeCell ref="A126:A129"/>
    <mergeCell ref="A136:A139"/>
    <mergeCell ref="A146:A149"/>
    <mergeCell ref="A152:A155"/>
    <mergeCell ref="A156:A159"/>
    <mergeCell ref="A160:A163"/>
    <mergeCell ref="A235:A238"/>
    <mergeCell ref="A239:A242"/>
    <mergeCell ref="A165:A168"/>
    <mergeCell ref="A169:A172"/>
    <mergeCell ref="A173:A176"/>
    <mergeCell ref="A308:A319"/>
    <mergeCell ref="B308:B311"/>
    <mergeCell ref="B312:B315"/>
    <mergeCell ref="B316:B319"/>
    <mergeCell ref="A249:A252"/>
    <mergeCell ref="A253:A256"/>
    <mergeCell ref="A257:A260"/>
    <mergeCell ref="A268:A269"/>
    <mergeCell ref="A270:A271"/>
    <mergeCell ref="A277:A288"/>
    <mergeCell ref="B277:B280"/>
    <mergeCell ref="B281:B284"/>
    <mergeCell ref="B285:B288"/>
    <mergeCell ref="A299:A300"/>
    <mergeCell ref="A301:A302"/>
    <mergeCell ref="A330:A331"/>
    <mergeCell ref="A332:A333"/>
    <mergeCell ref="A339:A350"/>
    <mergeCell ref="B339:B342"/>
    <mergeCell ref="B343:B346"/>
    <mergeCell ref="B347:B35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I185"/>
  <sheetViews>
    <sheetView topLeftCell="A109" workbookViewId="0">
      <selection activeCell="K131" sqref="K131"/>
    </sheetView>
  </sheetViews>
  <sheetFormatPr defaultRowHeight="15" x14ac:dyDescent="0.25"/>
  <cols>
    <col min="1" max="1" width="11.7109375" customWidth="1"/>
    <col min="2" max="2" width="32.28515625" customWidth="1"/>
    <col min="3" max="3" width="17.42578125" customWidth="1"/>
  </cols>
  <sheetData>
    <row r="2" spans="1:2" x14ac:dyDescent="0.25">
      <c r="A2" s="2" t="s">
        <v>391</v>
      </c>
    </row>
    <row r="3" spans="1:2" x14ac:dyDescent="0.25">
      <c r="A3" s="2" t="s">
        <v>227</v>
      </c>
      <c r="B3">
        <f>'BMW-AD Bespoke Calculator'!N9</f>
        <v>600</v>
      </c>
    </row>
    <row r="4" spans="1:2" x14ac:dyDescent="0.25">
      <c r="A4" s="2" t="s">
        <v>214</v>
      </c>
      <c r="B4">
        <f>'BMW-AD Bespoke Calculator'!N11</f>
        <v>2</v>
      </c>
    </row>
    <row r="5" spans="1:2" x14ac:dyDescent="0.25">
      <c r="A5" s="2"/>
    </row>
    <row r="6" spans="1:2" x14ac:dyDescent="0.25">
      <c r="A6" s="2"/>
    </row>
    <row r="7" spans="1:2" x14ac:dyDescent="0.25">
      <c r="A7" s="2" t="s">
        <v>372</v>
      </c>
      <c r="B7" s="2" t="s">
        <v>486</v>
      </c>
    </row>
    <row r="8" spans="1:2" x14ac:dyDescent="0.25">
      <c r="A8">
        <v>200</v>
      </c>
      <c r="B8">
        <f>A8-25.6*2</f>
        <v>148.80000000000001</v>
      </c>
    </row>
    <row r="9" spans="1:2" x14ac:dyDescent="0.25">
      <c r="A9">
        <v>400</v>
      </c>
      <c r="B9">
        <f t="shared" ref="B9:B16" si="0">A9-25.6*2</f>
        <v>348.8</v>
      </c>
    </row>
    <row r="10" spans="1:2" x14ac:dyDescent="0.25">
      <c r="A10">
        <v>600</v>
      </c>
      <c r="B10">
        <f t="shared" si="0"/>
        <v>548.79999999999995</v>
      </c>
    </row>
    <row r="11" spans="1:2" x14ac:dyDescent="0.25">
      <c r="A11">
        <v>800</v>
      </c>
      <c r="B11">
        <f t="shared" si="0"/>
        <v>748.8</v>
      </c>
    </row>
    <row r="12" spans="1:2" x14ac:dyDescent="0.25">
      <c r="A12">
        <v>1000</v>
      </c>
      <c r="B12">
        <f t="shared" si="0"/>
        <v>948.8</v>
      </c>
    </row>
    <row r="13" spans="1:2" x14ac:dyDescent="0.25">
      <c r="A13">
        <v>1200</v>
      </c>
      <c r="B13">
        <f t="shared" si="0"/>
        <v>1148.8</v>
      </c>
    </row>
    <row r="14" spans="1:2" x14ac:dyDescent="0.25">
      <c r="A14">
        <v>1400</v>
      </c>
      <c r="B14">
        <f t="shared" si="0"/>
        <v>1348.8</v>
      </c>
    </row>
    <row r="15" spans="1:2" x14ac:dyDescent="0.25">
      <c r="A15">
        <v>1500</v>
      </c>
      <c r="B15">
        <f t="shared" si="0"/>
        <v>1448.8</v>
      </c>
    </row>
    <row r="16" spans="1:2" x14ac:dyDescent="0.25">
      <c r="A16">
        <v>1600</v>
      </c>
      <c r="B16">
        <f t="shared" si="0"/>
        <v>1548.8</v>
      </c>
    </row>
    <row r="17" spans="1:3" x14ac:dyDescent="0.25">
      <c r="A17" s="2"/>
    </row>
    <row r="18" spans="1:3" x14ac:dyDescent="0.25">
      <c r="A18" s="2"/>
    </row>
    <row r="19" spans="1:3" x14ac:dyDescent="0.25">
      <c r="A19" s="2"/>
    </row>
    <row r="20" spans="1:3" x14ac:dyDescent="0.25">
      <c r="A20" s="2"/>
    </row>
    <row r="21" spans="1:3" x14ac:dyDescent="0.25">
      <c r="A21" s="2"/>
    </row>
    <row r="22" spans="1:3" x14ac:dyDescent="0.25">
      <c r="A22" s="2"/>
    </row>
    <row r="23" spans="1:3" x14ac:dyDescent="0.25">
      <c r="A23" s="2"/>
    </row>
    <row r="24" spans="1:3" x14ac:dyDescent="0.25">
      <c r="A24" s="2"/>
    </row>
    <row r="25" spans="1:3" x14ac:dyDescent="0.25">
      <c r="A25" s="2"/>
    </row>
    <row r="26" spans="1:3" x14ac:dyDescent="0.25">
      <c r="A26" s="2"/>
    </row>
    <row r="27" spans="1:3" x14ac:dyDescent="0.25">
      <c r="A27" s="2"/>
    </row>
    <row r="28" spans="1:3" x14ac:dyDescent="0.25">
      <c r="A28" s="2"/>
    </row>
    <row r="30" spans="1:3" x14ac:dyDescent="0.25">
      <c r="A30" s="2" t="s">
        <v>413</v>
      </c>
    </row>
    <row r="31" spans="1:3" x14ac:dyDescent="0.25">
      <c r="A31" t="s">
        <v>241</v>
      </c>
      <c r="B31">
        <v>1</v>
      </c>
    </row>
    <row r="32" spans="1:3" x14ac:dyDescent="0.25">
      <c r="B32" t="s">
        <v>160</v>
      </c>
      <c r="C32" t="s">
        <v>405</v>
      </c>
    </row>
    <row r="33" spans="1:3" x14ac:dyDescent="0.25">
      <c r="A33">
        <v>1</v>
      </c>
      <c r="B33" t="s">
        <v>409</v>
      </c>
      <c r="C33" t="s">
        <v>406</v>
      </c>
    </row>
    <row r="34" spans="1:3" x14ac:dyDescent="0.25">
      <c r="A34" s="131">
        <v>2</v>
      </c>
      <c r="B34" s="131" t="s">
        <v>410</v>
      </c>
      <c r="C34" s="131" t="s">
        <v>404</v>
      </c>
    </row>
    <row r="35" spans="1:3" x14ac:dyDescent="0.25">
      <c r="A35" t="s">
        <v>411</v>
      </c>
      <c r="B35" t="str">
        <f>VLOOKUP($B$31,A33:C34,2,0)</f>
        <v>AD</v>
      </c>
      <c r="C35" t="str">
        <f>VLOOKUP($B$31,A33:C34,3,0)</f>
        <v>supply: adjustable direction</v>
      </c>
    </row>
    <row r="38" spans="1:3" x14ac:dyDescent="0.25">
      <c r="A38" s="2" t="s">
        <v>387</v>
      </c>
      <c r="B38" t="s">
        <v>389</v>
      </c>
    </row>
    <row r="39" spans="1:3" x14ac:dyDescent="0.25">
      <c r="A39" s="2" t="s">
        <v>227</v>
      </c>
      <c r="B39" s="2" t="s">
        <v>388</v>
      </c>
    </row>
    <row r="40" spans="1:3" x14ac:dyDescent="0.25">
      <c r="A40" t="s">
        <v>318</v>
      </c>
      <c r="B40" t="str">
        <f>"FN"&amp;B3&amp;"-"&amp;B4</f>
        <v>FN600-2</v>
      </c>
      <c r="C40" t="str">
        <f>IF(ISERROR(#REF!),"SMARTEMP BMW-"&amp;B35&amp;"-BESPOKE","SMARTEMP BMW-")</f>
        <v>SMARTEMP BMW-AD-BESPOKE</v>
      </c>
    </row>
    <row r="41" spans="1:3" x14ac:dyDescent="0.25">
      <c r="A41" t="s">
        <v>371</v>
      </c>
      <c r="B41" t="str">
        <f>"Neck " &amp;B108&amp;" mm × " &amp;B109&amp;" mm "&amp;C108</f>
        <v>Neck 608 mm × 148 mm (with OBD)</v>
      </c>
    </row>
    <row r="42" spans="1:3" x14ac:dyDescent="0.25">
      <c r="A42" t="s">
        <v>372</v>
      </c>
      <c r="B42" t="str">
        <f>"Face "&amp;B110&amp;" mm × " &amp;B111&amp;" mm"</f>
        <v>Face 652 mm × 173 mm</v>
      </c>
    </row>
    <row r="45" spans="1:3" x14ac:dyDescent="0.25">
      <c r="A45" s="2" t="s">
        <v>129</v>
      </c>
    </row>
    <row r="46" spans="1:3" x14ac:dyDescent="0.25">
      <c r="A46" t="s">
        <v>241</v>
      </c>
      <c r="B46">
        <v>2</v>
      </c>
    </row>
    <row r="48" spans="1:3" x14ac:dyDescent="0.25">
      <c r="B48" t="s">
        <v>320</v>
      </c>
      <c r="C48" t="s">
        <v>197</v>
      </c>
    </row>
    <row r="49" spans="1:3" x14ac:dyDescent="0.25">
      <c r="A49">
        <v>1</v>
      </c>
      <c r="B49" t="s">
        <v>336</v>
      </c>
      <c r="C49" t="s">
        <v>66</v>
      </c>
    </row>
    <row r="50" spans="1:3" x14ac:dyDescent="0.25">
      <c r="A50">
        <v>2</v>
      </c>
      <c r="B50" t="s">
        <v>337</v>
      </c>
      <c r="C50" t="s">
        <v>59</v>
      </c>
    </row>
    <row r="51" spans="1:3" x14ac:dyDescent="0.25">
      <c r="A51" s="824">
        <v>3</v>
      </c>
      <c r="B51" s="824" t="s">
        <v>338</v>
      </c>
      <c r="C51" s="824" t="s">
        <v>68</v>
      </c>
    </row>
    <row r="52" spans="1:3" x14ac:dyDescent="0.25">
      <c r="A52" t="s">
        <v>321</v>
      </c>
      <c r="B52" t="str">
        <f ca="1">OFFSET(B48,B46,0)</f>
        <v>TM</v>
      </c>
      <c r="C52" t="str">
        <f ca="1">OFFSET(C48,B46,0)</f>
        <v>Medium</v>
      </c>
    </row>
    <row r="54" spans="1:3" x14ac:dyDescent="0.25">
      <c r="A54" s="2" t="s">
        <v>322</v>
      </c>
    </row>
    <row r="55" spans="1:3" x14ac:dyDescent="0.25">
      <c r="A55" t="s">
        <v>328</v>
      </c>
      <c r="B55">
        <v>2</v>
      </c>
    </row>
    <row r="57" spans="1:3" x14ac:dyDescent="0.25">
      <c r="B57" t="s">
        <v>320</v>
      </c>
      <c r="C57" t="s">
        <v>197</v>
      </c>
    </row>
    <row r="58" spans="1:3" x14ac:dyDescent="0.25">
      <c r="A58">
        <v>1</v>
      </c>
      <c r="B58" t="s">
        <v>67</v>
      </c>
      <c r="C58" t="s">
        <v>323</v>
      </c>
    </row>
    <row r="59" spans="1:3" x14ac:dyDescent="0.25">
      <c r="A59">
        <v>2</v>
      </c>
      <c r="B59" t="s">
        <v>324</v>
      </c>
      <c r="C59" t="s">
        <v>326</v>
      </c>
    </row>
    <row r="60" spans="1:3" x14ac:dyDescent="0.25">
      <c r="A60" s="824">
        <v>3</v>
      </c>
      <c r="B60" s="824" t="s">
        <v>325</v>
      </c>
      <c r="C60" s="824" t="s">
        <v>327</v>
      </c>
    </row>
    <row r="61" spans="1:3" x14ac:dyDescent="0.25">
      <c r="A61" t="s">
        <v>321</v>
      </c>
      <c r="B61" t="str">
        <f ca="1">OFFSET(B57,B55,0)</f>
        <v>C</v>
      </c>
      <c r="C61" t="str">
        <f ca="1">OFFSET(C57,B55,0)</f>
        <v>Centre</v>
      </c>
    </row>
    <row r="63" spans="1:3" x14ac:dyDescent="0.25">
      <c r="A63" s="2" t="s">
        <v>481</v>
      </c>
    </row>
    <row r="64" spans="1:3" x14ac:dyDescent="0.25">
      <c r="A64" t="s">
        <v>478</v>
      </c>
      <c r="B64">
        <v>1</v>
      </c>
    </row>
    <row r="66" spans="1:4" x14ac:dyDescent="0.25">
      <c r="B66" t="s">
        <v>320</v>
      </c>
      <c r="C66" t="s">
        <v>197</v>
      </c>
      <c r="D66" t="s">
        <v>509</v>
      </c>
    </row>
    <row r="67" spans="1:4" x14ac:dyDescent="0.25">
      <c r="A67">
        <v>1</v>
      </c>
      <c r="B67" t="s">
        <v>479</v>
      </c>
      <c r="C67" t="s">
        <v>483</v>
      </c>
      <c r="D67" t="s">
        <v>510</v>
      </c>
    </row>
    <row r="68" spans="1:4" x14ac:dyDescent="0.25">
      <c r="A68" s="131">
        <v>2</v>
      </c>
      <c r="B68" s="131" t="s">
        <v>480</v>
      </c>
      <c r="C68" s="131" t="s">
        <v>482</v>
      </c>
      <c r="D68" s="131" t="s">
        <v>511</v>
      </c>
    </row>
    <row r="69" spans="1:4" x14ac:dyDescent="0.25">
      <c r="A69" t="s">
        <v>321</v>
      </c>
      <c r="B69" t="str">
        <f ca="1">OFFSET(B66,B64,0)</f>
        <v>SF</v>
      </c>
      <c r="C69" t="str">
        <f ca="1">OFFSET(C66,B64,0)</f>
        <v>With side flanges</v>
      </c>
      <c r="D69" t="str">
        <f ca="1">OFFSET(D66,B64,0)</f>
        <v>L13</v>
      </c>
    </row>
    <row r="71" spans="1:4" x14ac:dyDescent="0.25">
      <c r="A71" s="2" t="s">
        <v>161</v>
      </c>
    </row>
    <row r="72" spans="1:4" x14ac:dyDescent="0.25">
      <c r="A72" t="s">
        <v>329</v>
      </c>
      <c r="B72">
        <v>1</v>
      </c>
    </row>
    <row r="74" spans="1:4" x14ac:dyDescent="0.25">
      <c r="B74" t="s">
        <v>320</v>
      </c>
      <c r="C74" t="s">
        <v>197</v>
      </c>
    </row>
    <row r="75" spans="1:4" x14ac:dyDescent="0.25">
      <c r="A75">
        <v>1</v>
      </c>
      <c r="B75" t="s">
        <v>330</v>
      </c>
      <c r="C75" t="s">
        <v>332</v>
      </c>
    </row>
    <row r="76" spans="1:4" x14ac:dyDescent="0.25">
      <c r="A76">
        <v>2</v>
      </c>
      <c r="B76" t="s">
        <v>331</v>
      </c>
      <c r="C76" t="s">
        <v>333</v>
      </c>
    </row>
    <row r="77" spans="1:4" x14ac:dyDescent="0.25">
      <c r="A77" s="824">
        <v>3</v>
      </c>
      <c r="B77" s="824" t="s">
        <v>374</v>
      </c>
      <c r="C77" s="824" t="s">
        <v>370</v>
      </c>
    </row>
    <row r="78" spans="1:4" x14ac:dyDescent="0.25">
      <c r="A78" t="s">
        <v>321</v>
      </c>
      <c r="B78" t="str">
        <f ca="1">OFFSET(B74,B72,0)</f>
        <v>RAL9003</v>
      </c>
      <c r="C78" t="str">
        <f ca="1">OFFSET(C74,B72,0)</f>
        <v>Signal White</v>
      </c>
      <c r="D78" t="str">
        <f ca="1">IF(B72=3,C77,C78 &amp; " (" &amp; B78 &amp;")")</f>
        <v>Signal White (RAL9003)</v>
      </c>
    </row>
    <row r="80" spans="1:4" x14ac:dyDescent="0.25">
      <c r="A80" s="2" t="s">
        <v>313</v>
      </c>
    </row>
    <row r="81" spans="1:4" x14ac:dyDescent="0.25">
      <c r="A81" t="s">
        <v>335</v>
      </c>
      <c r="B81">
        <v>1</v>
      </c>
    </row>
    <row r="83" spans="1:4" x14ac:dyDescent="0.25">
      <c r="B83" t="s">
        <v>320</v>
      </c>
      <c r="C83" t="s">
        <v>197</v>
      </c>
    </row>
    <row r="84" spans="1:4" x14ac:dyDescent="0.25">
      <c r="A84">
        <v>1</v>
      </c>
      <c r="B84">
        <v>0</v>
      </c>
      <c r="C84" t="s">
        <v>339</v>
      </c>
    </row>
    <row r="85" spans="1:4" x14ac:dyDescent="0.25">
      <c r="A85">
        <v>2</v>
      </c>
      <c r="B85" t="s">
        <v>34</v>
      </c>
      <c r="C85" t="s">
        <v>390</v>
      </c>
    </row>
    <row r="86" spans="1:4" x14ac:dyDescent="0.25">
      <c r="A86" s="825" t="s">
        <v>321</v>
      </c>
      <c r="B86" s="825">
        <f ca="1">OFFSET(B83,B81,0)</f>
        <v>0</v>
      </c>
      <c r="C86" s="825" t="str">
        <f ca="1">OFFSET(C83,B81,0)</f>
        <v>Diffuser only (no accessories)</v>
      </c>
    </row>
    <row r="88" spans="1:4" x14ac:dyDescent="0.25">
      <c r="A88" s="2" t="s">
        <v>400</v>
      </c>
    </row>
    <row r="89" spans="1:4" x14ac:dyDescent="0.25">
      <c r="A89" s="131"/>
      <c r="B89" s="131" t="s">
        <v>402</v>
      </c>
      <c r="C89" s="131" t="s">
        <v>407</v>
      </c>
      <c r="D89" s="131"/>
    </row>
    <row r="90" spans="1:4" x14ac:dyDescent="0.25">
      <c r="A90" t="b">
        <v>1</v>
      </c>
      <c r="B90" t="str">
        <f>IF(A90,B89,"D0")</f>
        <v>D1</v>
      </c>
      <c r="C90" t="str">
        <f>IF(A90,C89,"")</f>
        <v>with integrated OBD</v>
      </c>
    </row>
    <row r="91" spans="1:4" x14ac:dyDescent="0.25">
      <c r="A91" t="s">
        <v>414</v>
      </c>
      <c r="B91" s="902" t="str">
        <f>IF(A90,"","+ 8 mm to neck dimensions with optional OBD")</f>
        <v/>
      </c>
    </row>
    <row r="93" spans="1:4" x14ac:dyDescent="0.25">
      <c r="A93" s="2" t="s">
        <v>197</v>
      </c>
    </row>
    <row r="94" spans="1:4" x14ac:dyDescent="0.25">
      <c r="A94" t="str">
        <f>"Bespoke BMW-AD: "&amp;B41</f>
        <v>Bespoke BMW-AD: Neck 608 mm × 148 mm (with OBD)</v>
      </c>
    </row>
    <row r="95" spans="1:4" x14ac:dyDescent="0.25">
      <c r="A95" t="str">
        <f ca="1">B42&amp;"; "&amp;C69</f>
        <v>Face 652 mm × 173 mm; With side flanges</v>
      </c>
    </row>
    <row r="96" spans="1:4" x14ac:dyDescent="0.25">
      <c r="A96" t="str">
        <f ca="1">"Throw distance set to " &amp; LOWER(C52)</f>
        <v>Throw distance set to medium</v>
      </c>
    </row>
    <row r="97" spans="1:9" x14ac:dyDescent="0.25">
      <c r="A97" t="str">
        <f ca="1">C61  &amp; " discharge in direction of airstream"</f>
        <v>Centre discharge in direction of airstream</v>
      </c>
    </row>
    <row r="98" spans="1:9" x14ac:dyDescent="0.25">
      <c r="A98" t="str">
        <f ca="1">"Face painted to " &amp;D78</f>
        <v>Face painted to Signal White (RAL9003)</v>
      </c>
    </row>
    <row r="99" spans="1:9" x14ac:dyDescent="0.25">
      <c r="A99" t="str">
        <f ca="1">C86&amp;" "&amp;C90</f>
        <v>Diffuser only (no accessories) with integrated OBD</v>
      </c>
    </row>
    <row r="101" spans="1:9" x14ac:dyDescent="0.25">
      <c r="A101" t="s">
        <v>412</v>
      </c>
      <c r="D101" t="b">
        <f>$B$35="AD"</f>
        <v>1</v>
      </c>
      <c r="E101" t="b">
        <f>$B$35 ="AD"</f>
        <v>1</v>
      </c>
    </row>
    <row r="102" spans="1:9" x14ac:dyDescent="0.25">
      <c r="B102" t="str">
        <f>C40&amp;"-"</f>
        <v>SMARTEMP BMW-AD-BESPOKE-</v>
      </c>
      <c r="C102" t="str">
        <f>B40&amp;"-"</f>
        <v>FN600-2-</v>
      </c>
      <c r="D102" t="str">
        <f ca="1">IF(D101,B52&amp;"-","")</f>
        <v>TM-</v>
      </c>
      <c r="E102" t="str">
        <f ca="1">IF(E101,B61&amp;"-","")</f>
        <v>C-</v>
      </c>
      <c r="F102" t="str">
        <f ca="1">B69&amp;"-"</f>
        <v>SF-</v>
      </c>
      <c r="G102" t="str">
        <f ca="1">B78&amp;"-"</f>
        <v>RAL9003-</v>
      </c>
      <c r="H102" t="str">
        <f ca="1">B86&amp;"-"</f>
        <v>0-</v>
      </c>
      <c r="I102" t="str">
        <f>B90</f>
        <v>D1</v>
      </c>
    </row>
    <row r="103" spans="1:9" x14ac:dyDescent="0.25">
      <c r="A103" s="2" t="s">
        <v>334</v>
      </c>
      <c r="B103" s="2" t="str">
        <f ca="1">B102&amp;C102&amp;D102&amp;E102&amp;F102&amp;G102&amp;H102&amp;I102</f>
        <v>SMARTEMP BMW-AD-BESPOKE-FN600-2-TM-C-SF-RAL9003-0-D1</v>
      </c>
    </row>
    <row r="106" spans="1:9" x14ac:dyDescent="0.25">
      <c r="A106" s="2" t="s">
        <v>133</v>
      </c>
    </row>
    <row r="107" spans="1:9" ht="15.75" x14ac:dyDescent="0.25">
      <c r="A107" s="524" t="s">
        <v>198</v>
      </c>
      <c r="B107" s="418" t="str">
        <f>BMW_Be_Eqn!E329</f>
        <v>600 × 2</v>
      </c>
    </row>
    <row r="108" spans="1:9" ht="30" x14ac:dyDescent="0.25">
      <c r="A108" s="522" t="s">
        <v>212</v>
      </c>
      <c r="B108" s="418">
        <f>BMW_Be_Eqn!E330</f>
        <v>608</v>
      </c>
      <c r="C108" s="903" t="str">
        <f>IF(A90,D108,E108)</f>
        <v>(with OBD)</v>
      </c>
      <c r="D108" s="903" t="s">
        <v>503</v>
      </c>
      <c r="E108" s="903" t="s">
        <v>504</v>
      </c>
    </row>
    <row r="109" spans="1:9" ht="15.75" x14ac:dyDescent="0.25">
      <c r="A109" s="527" t="s">
        <v>215</v>
      </c>
      <c r="B109" s="418">
        <f>BMW_Be_Eqn!E331</f>
        <v>148</v>
      </c>
    </row>
    <row r="110" spans="1:9" ht="15.75" x14ac:dyDescent="0.25">
      <c r="A110" s="523" t="s">
        <v>213</v>
      </c>
      <c r="B110" s="418">
        <f>BMW_Be_Eqn!E332</f>
        <v>652</v>
      </c>
    </row>
    <row r="111" spans="1:9" ht="15.75" x14ac:dyDescent="0.25">
      <c r="A111" s="532" t="s">
        <v>216</v>
      </c>
      <c r="B111" s="418">
        <f>BMW_Be_Eqn!E333</f>
        <v>173</v>
      </c>
    </row>
    <row r="112" spans="1:9" ht="15.75" x14ac:dyDescent="0.25">
      <c r="A112" s="526" t="s">
        <v>22</v>
      </c>
      <c r="B112" s="418">
        <f>BMW_Be_Eqn!E334</f>
        <v>20.5</v>
      </c>
    </row>
    <row r="113" spans="1:2" ht="15.75" x14ac:dyDescent="0.25">
      <c r="A113" s="524" t="s">
        <v>301</v>
      </c>
      <c r="B113" s="418">
        <f>BMW_Be_Eqn!E335</f>
        <v>40.1</v>
      </c>
    </row>
    <row r="114" spans="1:2" ht="15.75" x14ac:dyDescent="0.25">
      <c r="A114" s="535" t="s">
        <v>46</v>
      </c>
      <c r="B114" s="418">
        <f>BMW_Be_Eqn!E336</f>
        <v>38.1</v>
      </c>
    </row>
    <row r="115" spans="1:2" ht="15.75" x14ac:dyDescent="0.25">
      <c r="A115" s="527" t="s">
        <v>23</v>
      </c>
      <c r="B115" s="418">
        <f>BMW_Be_Eqn!E337</f>
        <v>23.1</v>
      </c>
    </row>
    <row r="116" spans="1:2" ht="15.75" x14ac:dyDescent="0.25">
      <c r="A116" s="537" t="s">
        <v>93</v>
      </c>
      <c r="B116" s="418">
        <f ca="1">BMW_Be_Eqn!E338</f>
        <v>2.2999999999999998</v>
      </c>
    </row>
    <row r="117" spans="1:2" ht="15.75" x14ac:dyDescent="0.25">
      <c r="A117" s="526" t="s">
        <v>139</v>
      </c>
      <c r="B117" s="418">
        <f ca="1">BMW_Be_Eqn!E339</f>
        <v>2.2999999999999998</v>
      </c>
    </row>
    <row r="118" spans="1:2" ht="15.75" x14ac:dyDescent="0.25">
      <c r="A118" s="527" t="s">
        <v>57</v>
      </c>
      <c r="B118" s="418">
        <f ca="1">BMW_Be_Eqn!E340</f>
        <v>5.6</v>
      </c>
    </row>
    <row r="119" spans="1:2" ht="15.75" x14ac:dyDescent="0.25">
      <c r="A119" s="535" t="s">
        <v>145</v>
      </c>
      <c r="B119" s="418">
        <f ca="1">BMW_Be_Eqn!E341</f>
        <v>3.9</v>
      </c>
    </row>
    <row r="120" spans="1:2" ht="16.5" thickBot="1" x14ac:dyDescent="0.3">
      <c r="A120" s="697" t="s">
        <v>148</v>
      </c>
      <c r="B120" s="418">
        <f ca="1">BMW_Be_Eqn!E342</f>
        <v>9.6999999999999993</v>
      </c>
    </row>
    <row r="121" spans="1:2" ht="15.75" x14ac:dyDescent="0.25">
      <c r="A121" s="699" t="s">
        <v>56</v>
      </c>
      <c r="B121" s="418">
        <f ca="1">BMW_Be_Eqn!E343</f>
        <v>3</v>
      </c>
    </row>
    <row r="122" spans="1:2" ht="15.75" x14ac:dyDescent="0.25">
      <c r="A122" s="527" t="s">
        <v>140</v>
      </c>
      <c r="B122" s="418">
        <f ca="1">BMW_Be_Eqn!E344</f>
        <v>7.4</v>
      </c>
    </row>
    <row r="123" spans="1:2" ht="15.75" x14ac:dyDescent="0.25">
      <c r="A123" s="535" t="s">
        <v>145</v>
      </c>
      <c r="B123" s="418">
        <f ca="1">BMW_Be_Eqn!E345</f>
        <v>3</v>
      </c>
    </row>
    <row r="124" spans="1:2" ht="16.5" thickBot="1" x14ac:dyDescent="0.3">
      <c r="A124" s="697" t="s">
        <v>148</v>
      </c>
      <c r="B124" s="418">
        <f ca="1">BMW_Be_Eqn!E346</f>
        <v>7.4</v>
      </c>
    </row>
    <row r="125" spans="1:2" ht="15.75" x14ac:dyDescent="0.25">
      <c r="A125" s="524" t="s">
        <v>139</v>
      </c>
      <c r="B125" s="418">
        <f ca="1">BMW_Be_Eqn!E347</f>
        <v>3.9</v>
      </c>
    </row>
    <row r="126" spans="1:2" ht="15.75" x14ac:dyDescent="0.25">
      <c r="A126" s="527" t="s">
        <v>140</v>
      </c>
      <c r="B126" s="418">
        <f ca="1">BMW_Be_Eqn!E348</f>
        <v>9.6</v>
      </c>
    </row>
    <row r="127" spans="1:2" ht="15.75" x14ac:dyDescent="0.25">
      <c r="A127" s="535" t="s">
        <v>145</v>
      </c>
      <c r="B127" s="418">
        <f ca="1">BMW_Be_Eqn!E349</f>
        <v>2.2999999999999998</v>
      </c>
    </row>
    <row r="128" spans="1:2" ht="15.75" x14ac:dyDescent="0.25">
      <c r="A128" s="532" t="s">
        <v>146</v>
      </c>
      <c r="B128" s="418">
        <f ca="1">BMW_Be_Eqn!E350</f>
        <v>5.6</v>
      </c>
    </row>
    <row r="129" spans="1:4" ht="15.75" x14ac:dyDescent="0.25">
      <c r="A129" s="526" t="s">
        <v>217</v>
      </c>
      <c r="B129" s="418">
        <f ca="1">BMW_Be_Eqn!E351</f>
        <v>0.15</v>
      </c>
    </row>
    <row r="130" spans="1:4" ht="15.75" x14ac:dyDescent="0.25">
      <c r="A130" s="524" t="s">
        <v>156</v>
      </c>
      <c r="B130" s="418">
        <f ca="1">BMW_Be_Eqn!E352</f>
        <v>0.14099999999999999</v>
      </c>
    </row>
    <row r="131" spans="1:4" ht="15.75" x14ac:dyDescent="0.25">
      <c r="A131" s="524" t="s">
        <v>181</v>
      </c>
      <c r="B131" s="418">
        <f ca="1">BMW_Be_Eqn!E353</f>
        <v>7.4999999999999997E-2</v>
      </c>
    </row>
    <row r="132" spans="1:4" ht="15.75" x14ac:dyDescent="0.25">
      <c r="A132" s="524" t="s">
        <v>220</v>
      </c>
      <c r="B132" s="418" t="str">
        <f ca="1">BMW_Be_Eqn!E354</f>
        <v>B</v>
      </c>
    </row>
    <row r="133" spans="1:4" ht="15.75" x14ac:dyDescent="0.25">
      <c r="A133" s="678" t="s">
        <v>358</v>
      </c>
      <c r="B133" s="418" t="str">
        <f ca="1">BMW_Be_Eqn!E355</f>
        <v>≤ 0.4</v>
      </c>
    </row>
    <row r="135" spans="1:4" x14ac:dyDescent="0.25">
      <c r="A135" t="s">
        <v>188</v>
      </c>
      <c r="B135">
        <f>BMW_Be_Eqn!B6</f>
        <v>1</v>
      </c>
    </row>
    <row r="137" spans="1:4" x14ac:dyDescent="0.25">
      <c r="A137" s="2" t="s">
        <v>342</v>
      </c>
    </row>
    <row r="138" spans="1:4" x14ac:dyDescent="0.25">
      <c r="A138" t="s">
        <v>343</v>
      </c>
      <c r="B138">
        <f>'BMW-AD Bespoke Calculator'!$E$9</f>
        <v>100</v>
      </c>
      <c r="C138" t="str">
        <f>BMW_Be_Eqn!C4</f>
        <v>L/s</v>
      </c>
      <c r="D138" t="str">
        <f>BMW_Be_Eqn!C5</f>
        <v>L/s/m²</v>
      </c>
    </row>
    <row r="139" spans="1:4" x14ac:dyDescent="0.25">
      <c r="A139" t="s">
        <v>346</v>
      </c>
      <c r="B139" s="889">
        <f>'BMW-AD Bespoke Calculator'!$E$11/100</f>
        <v>1</v>
      </c>
    </row>
    <row r="140" spans="1:4" x14ac:dyDescent="0.25">
      <c r="A140" t="s">
        <v>345</v>
      </c>
      <c r="B140">
        <f>B138*B139</f>
        <v>100</v>
      </c>
    </row>
    <row r="141" spans="1:4" x14ac:dyDescent="0.25">
      <c r="A141" t="s">
        <v>348</v>
      </c>
      <c r="B141">
        <f>'BMW-AD Bespoke Calculator'!$E$17</f>
        <v>-12</v>
      </c>
    </row>
    <row r="142" spans="1:4" x14ac:dyDescent="0.25">
      <c r="A142" t="s">
        <v>179</v>
      </c>
      <c r="B142">
        <f>'BMW-AD Bespoke Calculator'!E15</f>
        <v>2.5</v>
      </c>
    </row>
    <row r="143" spans="1:4" x14ac:dyDescent="0.25">
      <c r="A143" t="s">
        <v>369</v>
      </c>
      <c r="B143">
        <f ca="1">BMW_Be_Eqn!B199</f>
        <v>3.7</v>
      </c>
    </row>
    <row r="144" spans="1:4" x14ac:dyDescent="0.25">
      <c r="A144" t="s">
        <v>512</v>
      </c>
      <c r="B144" t="str">
        <f ca="1">C69&amp; " (selected in cell " &amp;D69&amp;")"</f>
        <v>With side flanges (selected in cell L13)</v>
      </c>
    </row>
    <row r="146" spans="1:4" x14ac:dyDescent="0.25">
      <c r="A146" t="s">
        <v>341</v>
      </c>
      <c r="B146" t="str">
        <f>B138 &amp;" " &amp;C138 &amp; " @ " &amp;B112&amp; " Pa total"</f>
        <v>100 L/s @ 20.5 Pa total</v>
      </c>
    </row>
    <row r="147" spans="1:4" x14ac:dyDescent="0.25">
      <c r="A147" t="s">
        <v>344</v>
      </c>
      <c r="B147" t="str">
        <f>B140&amp; " " &amp; C138 &amp;" (VAV turndown to " &amp;B139*100&amp;"% )"</f>
        <v>100 L/s (VAV turndown to 100% )</v>
      </c>
    </row>
    <row r="148" spans="1:4" x14ac:dyDescent="0.25">
      <c r="A148" t="s">
        <v>347</v>
      </c>
      <c r="B148" t="str">
        <f>B113 &amp;" " &amp;C138 &amp; " @ ΔT = "&amp;B141 &amp; " K"</f>
        <v>40.1 L/s @ ΔT = -12 K</v>
      </c>
    </row>
    <row r="150" spans="1:4" x14ac:dyDescent="0.25">
      <c r="A150" t="s">
        <v>458</v>
      </c>
      <c r="B150" s="93">
        <f ca="1">ROUND(BMW_Be_Eqn!B179,1)</f>
        <v>5.2</v>
      </c>
    </row>
    <row r="151" spans="1:4" x14ac:dyDescent="0.25">
      <c r="A151" t="s">
        <v>459</v>
      </c>
      <c r="B151" s="93">
        <f ca="1">ROUND(BMW_Be_Eqn!B180,1)</f>
        <v>5.2</v>
      </c>
    </row>
    <row r="152" spans="1:4" x14ac:dyDescent="0.25">
      <c r="A152" t="s">
        <v>453</v>
      </c>
      <c r="B152" t="str">
        <f ca="1">"Nominal Selection: Throw Length/Breadth = " &amp;B150&amp;" m/"&amp;B151&amp;" m ("&amp;BMW_Be_Eqn!B183 &amp; " " &amp;BMW_Be_Eqn!C183&amp;")"</f>
        <v>Nominal Selection: Throw Length/Breadth = 5.2 m/5.2 m (3.7 L/s/m²)</v>
      </c>
    </row>
    <row r="154" spans="1:4" x14ac:dyDescent="0.25">
      <c r="A154" s="2" t="s">
        <v>417</v>
      </c>
    </row>
    <row r="155" spans="1:4" x14ac:dyDescent="0.25">
      <c r="A155" t="s">
        <v>416</v>
      </c>
      <c r="B155" t="str">
        <f>IF(A90,C155,D155)</f>
        <v>OBD selected in Cell G66, neck dimensions include additional 8 mm</v>
      </c>
      <c r="C155" t="s">
        <v>521</v>
      </c>
      <c r="D155" s="902" t="s">
        <v>526</v>
      </c>
    </row>
    <row r="159" spans="1:4" x14ac:dyDescent="0.25">
      <c r="A159" t="s">
        <v>350</v>
      </c>
    </row>
    <row r="160" spans="1:4" x14ac:dyDescent="0.25">
      <c r="A160" t="s">
        <v>351</v>
      </c>
      <c r="B160" t="str">
        <f>B114 &amp; " dB(A)"</f>
        <v>38.1 dB(A)</v>
      </c>
    </row>
    <row r="161" spans="1:3" x14ac:dyDescent="0.25">
      <c r="A161" t="s">
        <v>352</v>
      </c>
      <c r="B161" t="str">
        <f>B115 &amp; " NC (based on 10 dB room absorption)"</f>
        <v>23.1 NC (based on 10 dB room absorption)</v>
      </c>
    </row>
    <row r="163" spans="1:3" x14ac:dyDescent="0.25">
      <c r="A163" t="str">
        <f ca="1">"Specific airflow rate "&amp;B143&amp;" "&amp;D138</f>
        <v>Specific airflow rate 3.7 L/s/m²</v>
      </c>
    </row>
    <row r="164" spans="1:3" x14ac:dyDescent="0.25">
      <c r="A164" t="s">
        <v>124</v>
      </c>
      <c r="B164" s="514">
        <f>'BMW-AD Bespoke Calculator'!E22</f>
        <v>0.9</v>
      </c>
    </row>
    <row r="165" spans="1:3" x14ac:dyDescent="0.25">
      <c r="A165" t="s">
        <v>355</v>
      </c>
      <c r="B165" t="str">
        <f ca="1">B129&amp; " m/s"</f>
        <v>0.15 m/s</v>
      </c>
    </row>
    <row r="166" spans="1:3" x14ac:dyDescent="0.25">
      <c r="A166" t="s">
        <v>356</v>
      </c>
      <c r="B166" t="str">
        <f ca="1">B130*100 &amp; "% @ room temperature of "  &amp; 'BMW-AD Bespoke Calculator'!E31 &amp;"°C"</f>
        <v>14.1% @ room temperature of 23°C</v>
      </c>
    </row>
    <row r="167" spans="1:3" x14ac:dyDescent="0.25">
      <c r="A167" t="s">
        <v>357</v>
      </c>
      <c r="B167" s="514">
        <f ca="1">B131</f>
        <v>7.4999999999999997E-2</v>
      </c>
    </row>
    <row r="168" spans="1:3" x14ac:dyDescent="0.25">
      <c r="A168" t="s">
        <v>363</v>
      </c>
      <c r="B168" s="514" t="str">
        <f ca="1">"Category " &amp; B132</f>
        <v>Category B</v>
      </c>
    </row>
    <row r="169" spans="1:3" x14ac:dyDescent="0.25">
      <c r="A169" t="s">
        <v>358</v>
      </c>
      <c r="B169" s="514" t="str">
        <f ca="1">"-"&amp;C169&amp;" ≤ PMV ≤ +" &amp;C169</f>
        <v>-0.4 ≤ PMV ≤ +0.4</v>
      </c>
      <c r="C169" t="str">
        <f ca="1">RIGHT(B133,3)</f>
        <v>0.4</v>
      </c>
    </row>
    <row r="170" spans="1:3" x14ac:dyDescent="0.25">
      <c r="B170" s="514"/>
    </row>
    <row r="171" spans="1:3" x14ac:dyDescent="0.25">
      <c r="A171" t="s">
        <v>340</v>
      </c>
      <c r="B171" s="514"/>
    </row>
    <row r="172" spans="1:3" x14ac:dyDescent="0.25">
      <c r="A172" t="s">
        <v>452</v>
      </c>
      <c r="B172" t="str">
        <f>"Recommended Layout for "&amp;B164&amp; " ADPI"</f>
        <v>Recommended Layout for 0.9 ADPI</v>
      </c>
    </row>
    <row r="173" spans="1:3" x14ac:dyDescent="0.25">
      <c r="A173" t="s">
        <v>186</v>
      </c>
      <c r="B173" s="514" t="str">
        <f>IF(BMW_Be_Eqn!B35=1,"Nominal",IF(BMW_Be_Eqn!B35=2,"Selected","Average"))</f>
        <v>Nominal</v>
      </c>
    </row>
    <row r="174" spans="1:3" x14ac:dyDescent="0.25">
      <c r="A174" t="s">
        <v>368</v>
      </c>
      <c r="B174" s="514" t="str">
        <f ca="1">C52&amp; " throw selected"</f>
        <v>Medium throw selected</v>
      </c>
    </row>
    <row r="175" spans="1:3" x14ac:dyDescent="0.25">
      <c r="A175" t="s">
        <v>397</v>
      </c>
      <c r="B175" s="514" t="str">
        <f ca="1">B142 &amp; " m selected install height (" &amp; B116&amp;" m min recommended)"</f>
        <v>2.5 m selected install height (2.3 m min recommended)</v>
      </c>
    </row>
    <row r="176" spans="1:3" x14ac:dyDescent="0.25">
      <c r="A176" t="s">
        <v>139</v>
      </c>
      <c r="B176" s="277" t="str">
        <f ca="1">TEXT(OFFSET(B117,($B$46-1)*4,),"0.0")</f>
        <v>3.0</v>
      </c>
    </row>
    <row r="177" spans="1:3" x14ac:dyDescent="0.25">
      <c r="A177" t="s">
        <v>57</v>
      </c>
      <c r="B177" s="277" t="str">
        <f ca="1">TEXT(OFFSET(B118,($B$46-1)*4,),"0.0")</f>
        <v>7.4</v>
      </c>
    </row>
    <row r="178" spans="1:3" x14ac:dyDescent="0.25">
      <c r="A178" t="s">
        <v>145</v>
      </c>
      <c r="B178" s="277" t="str">
        <f ca="1">TEXT(OFFSET(B119,($B$46-1)*4,),"0.0")</f>
        <v>3.0</v>
      </c>
    </row>
    <row r="179" spans="1:3" x14ac:dyDescent="0.25">
      <c r="A179" t="s">
        <v>148</v>
      </c>
      <c r="B179" s="277" t="str">
        <f ca="1">TEXT(OFFSET(B120,($B$46-1)*4,),"0.0")</f>
        <v>7.4</v>
      </c>
    </row>
    <row r="181" spans="1:3" x14ac:dyDescent="0.25">
      <c r="A181" t="s">
        <v>67</v>
      </c>
      <c r="B181" s="93" t="str">
        <f ca="1">B176 &amp; " m - " &amp;B177&amp; " m"</f>
        <v>3.0 m - 7.4 m</v>
      </c>
    </row>
    <row r="182" spans="1:3" x14ac:dyDescent="0.25">
      <c r="A182" t="s">
        <v>180</v>
      </c>
      <c r="B182" s="93" t="str">
        <f ca="1">B178 &amp; " m - " &amp;B179&amp; " m"</f>
        <v>3.0 m - 7.4 m</v>
      </c>
    </row>
    <row r="183" spans="1:3" ht="30" x14ac:dyDescent="0.25">
      <c r="A183" t="s">
        <v>67</v>
      </c>
      <c r="B183" t="str">
        <f ca="1">TEXT(BMW_Be_Eqn!B194,"0.0")&amp;" m "&amp;B173</f>
        <v>5.2 m Nominal</v>
      </c>
      <c r="C183" s="903" t="str">
        <f ca="1">B183&amp;CHAR(10)&amp;B181</f>
        <v>5.2 m Nominal
3.0 m - 7.4 m</v>
      </c>
    </row>
    <row r="184" spans="1:3" ht="30" x14ac:dyDescent="0.25">
      <c r="A184" t="s">
        <v>180</v>
      </c>
      <c r="B184" t="str">
        <f ca="1">TEXT(BMW_Be_Eqn!B195,"0.0")&amp;" m "&amp;B173</f>
        <v>5.2 m Nominal</v>
      </c>
      <c r="C184" s="903" t="str">
        <f ca="1">B184&amp;CHAR(10)&amp;B182</f>
        <v>5.2 m Nominal
3.0 m - 7.4 m</v>
      </c>
    </row>
    <row r="185" spans="1:3" x14ac:dyDescent="0.25">
      <c r="A185" t="str">
        <f>"Recommended distances for ≥ " &amp;TEXT('BMW-AD Bespoke Calculator'!E22,"00%")&amp; " ADPI"</f>
        <v>Recommended distances for ≥ 90% ADPI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7" tint="0.79998168889431442"/>
  </sheetPr>
  <dimension ref="A1:E51"/>
  <sheetViews>
    <sheetView view="pageLayout" zoomScaleNormal="100" workbookViewId="0">
      <selection activeCell="B3" sqref="B3:E3"/>
    </sheetView>
  </sheetViews>
  <sheetFormatPr defaultColWidth="9.28515625" defaultRowHeight="15" x14ac:dyDescent="0.25"/>
  <cols>
    <col min="1" max="1" width="21.28515625" style="924" customWidth="1"/>
    <col min="2" max="2" width="10.7109375" style="924" customWidth="1"/>
    <col min="3" max="3" width="11.5703125" style="924" customWidth="1"/>
    <col min="4" max="4" width="22.28515625" style="924" customWidth="1"/>
    <col min="5" max="5" width="19.28515625" style="924" customWidth="1"/>
    <col min="6" max="6" width="7.28515625" style="924" customWidth="1"/>
    <col min="7" max="7" width="5.7109375" style="924" customWidth="1"/>
    <col min="8" max="16384" width="9.28515625" style="924"/>
  </cols>
  <sheetData>
    <row r="1" spans="1:5" ht="36.6" customHeight="1" x14ac:dyDescent="0.25">
      <c r="A1" s="922"/>
      <c r="B1" s="923" t="s">
        <v>469</v>
      </c>
    </row>
    <row r="2" spans="1:5" ht="15" customHeight="1" x14ac:dyDescent="0.25">
      <c r="B2" s="925"/>
      <c r="C2" s="925"/>
      <c r="D2" s="925"/>
      <c r="E2" s="925"/>
    </row>
    <row r="3" spans="1:5" ht="15" customHeight="1" x14ac:dyDescent="0.25">
      <c r="A3" s="934" t="s">
        <v>190</v>
      </c>
      <c r="B3" s="1090" t="str">
        <f>'BMW-AD Bespoke Calculator'!D5</f>
        <v>&lt;Project Name&gt;</v>
      </c>
      <c r="C3" s="1090"/>
      <c r="D3" s="1090"/>
      <c r="E3" s="1090"/>
    </row>
    <row r="4" spans="1:5" ht="15" customHeight="1" x14ac:dyDescent="0.25">
      <c r="A4" s="934" t="s">
        <v>191</v>
      </c>
      <c r="B4" s="1090" t="s">
        <v>202</v>
      </c>
      <c r="C4" s="1090"/>
      <c r="D4" s="1090"/>
      <c r="E4" s="1090"/>
    </row>
    <row r="5" spans="1:5" ht="15" customHeight="1" x14ac:dyDescent="0.25">
      <c r="A5" s="934" t="s">
        <v>436</v>
      </c>
      <c r="B5" s="1081" t="s">
        <v>202</v>
      </c>
      <c r="C5" s="1081"/>
      <c r="D5" s="1081"/>
      <c r="E5" s="1081"/>
    </row>
    <row r="6" spans="1:5" ht="15" customHeight="1" x14ac:dyDescent="0.25">
      <c r="A6" s="935"/>
      <c r="B6" s="933"/>
      <c r="C6" s="933"/>
      <c r="D6" s="933"/>
      <c r="E6" s="933"/>
    </row>
    <row r="7" spans="1:5" ht="15" customHeight="1" x14ac:dyDescent="0.25">
      <c r="A7" s="934" t="s">
        <v>192</v>
      </c>
      <c r="B7" s="933" t="s">
        <v>475</v>
      </c>
      <c r="C7" s="933"/>
      <c r="D7" s="933"/>
      <c r="E7" s="933"/>
    </row>
    <row r="8" spans="1:5" ht="15" customHeight="1" x14ac:dyDescent="0.25">
      <c r="A8" s="934"/>
      <c r="B8" s="933" t="s">
        <v>472</v>
      </c>
      <c r="C8" s="933"/>
      <c r="D8" s="933"/>
      <c r="E8" s="933"/>
    </row>
    <row r="9" spans="1:5" ht="15" customHeight="1" x14ac:dyDescent="0.25">
      <c r="A9" s="934" t="s">
        <v>198</v>
      </c>
      <c r="B9" s="933" t="str">
        <f>'BMW-Be-Selection'!B41</f>
        <v>Neck 608 mm × 148 mm (with OBD)</v>
      </c>
      <c r="C9" s="933"/>
      <c r="D9" s="933"/>
      <c r="E9" s="933"/>
    </row>
    <row r="10" spans="1:5" ht="15" customHeight="1" x14ac:dyDescent="0.25">
      <c r="A10" s="935"/>
      <c r="B10" s="933" t="str">
        <f>'BMW-Be-Selection'!B42</f>
        <v>Face 652 mm × 173 mm</v>
      </c>
      <c r="C10" s="933"/>
      <c r="D10" s="933"/>
      <c r="E10" s="936"/>
    </row>
    <row r="11" spans="1:5" ht="15" customHeight="1" x14ac:dyDescent="0.25">
      <c r="A11" s="935"/>
      <c r="B11" s="933"/>
      <c r="C11" s="933"/>
      <c r="D11" s="933"/>
      <c r="E11" s="936"/>
    </row>
    <row r="12" spans="1:5" ht="15" customHeight="1" x14ac:dyDescent="0.25">
      <c r="A12" s="937" t="s">
        <v>193</v>
      </c>
      <c r="B12" s="938"/>
      <c r="C12" s="933"/>
      <c r="D12" s="933"/>
      <c r="E12" s="933"/>
    </row>
    <row r="13" spans="1:5" ht="15" customHeight="1" x14ac:dyDescent="0.25">
      <c r="A13" s="939" t="s">
        <v>194</v>
      </c>
      <c r="B13" s="940" t="str">
        <f>'BMW-Be-Selection'!B146</f>
        <v>100 L/s @ 20.5 Pa total</v>
      </c>
      <c r="C13" s="933"/>
      <c r="D13" s="933"/>
      <c r="E13" s="933"/>
    </row>
    <row r="14" spans="1:5" ht="15" customHeight="1" x14ac:dyDescent="0.25">
      <c r="A14" s="939" t="s">
        <v>353</v>
      </c>
      <c r="B14" s="940" t="str">
        <f>'BMW-Be-Selection'!B147</f>
        <v>100 L/s (VAV turndown to 100% )</v>
      </c>
      <c r="C14" s="933"/>
      <c r="D14" s="933"/>
      <c r="E14" s="933"/>
    </row>
    <row r="15" spans="1:5" ht="15" customHeight="1" x14ac:dyDescent="0.25">
      <c r="A15" s="939" t="s">
        <v>354</v>
      </c>
      <c r="B15" s="940" t="str">
        <f>'BMW-Be-Selection'!B148</f>
        <v>40.1 L/s @ ΔT = -12 K</v>
      </c>
      <c r="C15" s="932"/>
      <c r="D15" s="932"/>
      <c r="E15" s="937"/>
    </row>
    <row r="16" spans="1:5" ht="15" customHeight="1" x14ac:dyDescent="0.25">
      <c r="A16" s="939"/>
      <c r="B16" s="938"/>
      <c r="C16" s="932"/>
      <c r="D16" s="932"/>
      <c r="E16" s="932"/>
    </row>
    <row r="17" spans="1:5" ht="15" customHeight="1" x14ac:dyDescent="0.25">
      <c r="A17" s="937" t="s">
        <v>195</v>
      </c>
      <c r="B17" s="932"/>
      <c r="C17" s="932"/>
      <c r="D17" s="932"/>
      <c r="E17" s="932"/>
    </row>
    <row r="18" spans="1:5" ht="15" customHeight="1" x14ac:dyDescent="0.25">
      <c r="A18" s="939" t="s">
        <v>142</v>
      </c>
      <c r="B18" s="941" t="str">
        <f>'BMW-Be-Selection'!B160</f>
        <v>38.1 dB(A)</v>
      </c>
      <c r="C18" s="932"/>
      <c r="D18" s="932"/>
      <c r="E18" s="932"/>
    </row>
    <row r="19" spans="1:5" ht="15" customHeight="1" x14ac:dyDescent="0.25">
      <c r="A19" s="939" t="s">
        <v>211</v>
      </c>
      <c r="B19" s="941" t="str">
        <f>'BMW-Be-Selection'!B161</f>
        <v>23.1 NC (based on 10 dB room absorption)</v>
      </c>
      <c r="C19" s="932"/>
      <c r="D19" s="932"/>
      <c r="E19" s="932"/>
    </row>
    <row r="20" spans="1:5" ht="15" customHeight="1" x14ac:dyDescent="0.25">
      <c r="A20" s="939"/>
      <c r="B20" s="942"/>
      <c r="C20" s="932"/>
      <c r="D20" s="932"/>
      <c r="E20" s="932"/>
    </row>
    <row r="21" spans="1:5" ht="15" customHeight="1" x14ac:dyDescent="0.25">
      <c r="A21" s="937" t="s">
        <v>435</v>
      </c>
      <c r="B21" s="932" t="s">
        <v>437</v>
      </c>
      <c r="C21" s="932"/>
      <c r="D21" s="932"/>
      <c r="E21" s="932"/>
    </row>
    <row r="22" spans="1:5" ht="15" customHeight="1" x14ac:dyDescent="0.25">
      <c r="A22" s="939" t="s">
        <v>451</v>
      </c>
      <c r="B22" s="945">
        <f>'BMW-Be-Selection'!B164</f>
        <v>0.9</v>
      </c>
      <c r="C22" s="932"/>
      <c r="D22" s="932"/>
      <c r="E22" s="932"/>
    </row>
    <row r="23" spans="1:5" ht="15" customHeight="1" x14ac:dyDescent="0.25">
      <c r="A23" s="939" t="s">
        <v>172</v>
      </c>
      <c r="B23" s="945" t="str">
        <f ca="1">'BMW-Be-Selection'!B165</f>
        <v>0.15 m/s</v>
      </c>
      <c r="C23" s="932"/>
      <c r="D23" s="932"/>
      <c r="E23" s="932"/>
    </row>
    <row r="24" spans="1:5" ht="15" customHeight="1" x14ac:dyDescent="0.25">
      <c r="A24" s="939" t="s">
        <v>364</v>
      </c>
      <c r="B24" s="945" t="str">
        <f ca="1">'BMW-Be-Selection'!B166</f>
        <v>14.1% @ room temperature of 23°C</v>
      </c>
      <c r="C24" s="932"/>
      <c r="D24" s="932"/>
      <c r="E24" s="932"/>
    </row>
    <row r="25" spans="1:5" ht="15" customHeight="1" x14ac:dyDescent="0.25">
      <c r="A25" s="939" t="s">
        <v>174</v>
      </c>
      <c r="B25" s="945">
        <f ca="1">'BMW-Be-Selection'!B167</f>
        <v>7.4999999999999997E-2</v>
      </c>
      <c r="C25" s="932"/>
      <c r="D25" s="932"/>
      <c r="E25" s="932"/>
    </row>
    <row r="26" spans="1:5" ht="15" customHeight="1" x14ac:dyDescent="0.25">
      <c r="A26" s="939" t="s">
        <v>196</v>
      </c>
      <c r="B26" s="945" t="str">
        <f ca="1">'BMW-Be-Selection'!B168</f>
        <v>Category B</v>
      </c>
      <c r="C26" s="946"/>
      <c r="D26" s="932"/>
      <c r="E26" s="932"/>
    </row>
    <row r="27" spans="1:5" ht="15" customHeight="1" x14ac:dyDescent="0.25">
      <c r="A27" s="939" t="s">
        <v>365</v>
      </c>
      <c r="B27" s="945" t="str">
        <f ca="1">'BMW-Be-Selection'!B169</f>
        <v>-0.4 ≤ PMV ≤ +0.4</v>
      </c>
      <c r="C27" s="932"/>
      <c r="D27" s="955" t="s">
        <v>366</v>
      </c>
      <c r="E27" s="933"/>
    </row>
    <row r="28" spans="1:5" ht="15" customHeight="1" x14ac:dyDescent="0.25">
      <c r="B28" s="944"/>
      <c r="C28" s="932"/>
      <c r="D28" s="932"/>
      <c r="E28" s="932"/>
    </row>
    <row r="29" spans="1:5" ht="15" customHeight="1" x14ac:dyDescent="0.25">
      <c r="A29" s="937" t="s">
        <v>367</v>
      </c>
      <c r="B29" s="944"/>
      <c r="C29" s="941"/>
      <c r="D29" s="932"/>
      <c r="E29" s="932"/>
    </row>
    <row r="30" spans="1:5" ht="15" customHeight="1" x14ac:dyDescent="0.25">
      <c r="A30" s="941" t="str">
        <f ca="1">'BMW-Be-Selection'!B174</f>
        <v>Medium throw selected</v>
      </c>
    </row>
    <row r="31" spans="1:5" ht="15" customHeight="1" x14ac:dyDescent="0.25">
      <c r="A31" s="941" t="str">
        <f ca="1">'BMW-Be-Selection'!B175</f>
        <v>2.5 m selected install height (2.3 m min recommended)</v>
      </c>
    </row>
    <row r="32" spans="1:5" ht="15" customHeight="1" x14ac:dyDescent="0.25"/>
    <row r="33" spans="1:5" ht="15" customHeight="1" x14ac:dyDescent="0.25"/>
    <row r="34" spans="1:5" ht="15" customHeight="1" x14ac:dyDescent="0.25"/>
    <row r="35" spans="1:5" ht="15" customHeight="1" x14ac:dyDescent="0.25"/>
    <row r="36" spans="1:5" ht="15" customHeight="1" x14ac:dyDescent="0.25"/>
    <row r="37" spans="1:5" ht="15" customHeight="1" x14ac:dyDescent="0.25"/>
    <row r="38" spans="1:5" ht="15" customHeight="1" x14ac:dyDescent="0.25"/>
    <row r="39" spans="1:5" ht="15" customHeight="1" x14ac:dyDescent="0.25"/>
    <row r="40" spans="1:5" ht="15" customHeight="1" x14ac:dyDescent="0.25">
      <c r="A40" s="937" t="s">
        <v>197</v>
      </c>
      <c r="B40" s="932" t="str">
        <f>'BMW-Be-Selection'!A94</f>
        <v>Bespoke BMW-AD: Neck 608 mm × 148 mm (with OBD)</v>
      </c>
      <c r="C40" s="932"/>
      <c r="D40" s="932"/>
      <c r="E40" s="932"/>
    </row>
    <row r="41" spans="1:5" ht="15" customHeight="1" x14ac:dyDescent="0.25">
      <c r="A41" s="937"/>
      <c r="B41" s="932" t="str">
        <f ca="1">'BMW-Be-Selection'!A95</f>
        <v>Face 652 mm × 173 mm; With side flanges</v>
      </c>
      <c r="C41" s="932"/>
      <c r="D41" s="932"/>
      <c r="E41" s="932"/>
    </row>
    <row r="42" spans="1:5" ht="15" customHeight="1" x14ac:dyDescent="0.25">
      <c r="A42" s="937"/>
      <c r="B42" s="932" t="str">
        <f ca="1">'BMW-Be-Selection'!A96</f>
        <v>Throw distance set to medium</v>
      </c>
      <c r="C42" s="932"/>
      <c r="D42" s="932"/>
      <c r="E42" s="932"/>
    </row>
    <row r="43" spans="1:5" ht="15" customHeight="1" x14ac:dyDescent="0.25">
      <c r="A43" s="939"/>
      <c r="B43" s="932" t="str">
        <f ca="1">'BMW-Be-Selection'!A97</f>
        <v>Centre discharge in direction of airstream</v>
      </c>
      <c r="C43" s="932"/>
      <c r="D43" s="932"/>
      <c r="E43" s="932"/>
    </row>
    <row r="44" spans="1:5" ht="15" customHeight="1" x14ac:dyDescent="0.25">
      <c r="A44" s="939"/>
      <c r="B44" s="932" t="str">
        <f ca="1">'BMW-Be-Selection'!A98</f>
        <v>Face painted to Signal White (RAL9003)</v>
      </c>
      <c r="C44" s="932"/>
      <c r="D44" s="932"/>
      <c r="E44" s="932"/>
    </row>
    <row r="45" spans="1:5" ht="15" customHeight="1" x14ac:dyDescent="0.25">
      <c r="A45" s="939"/>
      <c r="B45" s="932" t="str">
        <f ca="1">'BMW-Be-Selection'!A99</f>
        <v>Diffuser only (no accessories) with integrated OBD</v>
      </c>
      <c r="C45" s="932"/>
      <c r="D45" s="932"/>
      <c r="E45" s="932"/>
    </row>
    <row r="46" spans="1:5" ht="15" customHeight="1" x14ac:dyDescent="0.25">
      <c r="A46" s="939"/>
      <c r="B46" s="932"/>
      <c r="C46" s="933"/>
      <c r="D46" s="933"/>
      <c r="E46" s="933"/>
    </row>
    <row r="47" spans="1:5" ht="15" customHeight="1" x14ac:dyDescent="0.25">
      <c r="A47" s="937" t="s">
        <v>168</v>
      </c>
      <c r="B47" s="1091" t="str">
        <f ca="1">'BMW-Be-Selection'!B103</f>
        <v>SMARTEMP BMW-AD-BESPOKE-FN600-2-TM-C-SF-RAL9003-0-D1</v>
      </c>
      <c r="C47" s="1091"/>
      <c r="D47" s="1091"/>
      <c r="E47" s="1091"/>
    </row>
    <row r="48" spans="1:5" ht="15" customHeight="1" x14ac:dyDescent="0.25">
      <c r="A48" s="933"/>
      <c r="B48" s="933"/>
      <c r="C48" s="933"/>
      <c r="D48" s="933"/>
      <c r="E48" s="933"/>
    </row>
    <row r="49" spans="1:5" ht="15" customHeight="1" x14ac:dyDescent="0.25">
      <c r="A49" s="933"/>
      <c r="B49" s="933"/>
      <c r="C49" s="933"/>
      <c r="D49" s="933"/>
      <c r="E49" s="933"/>
    </row>
    <row r="50" spans="1:5" ht="15" customHeight="1" x14ac:dyDescent="0.25">
      <c r="A50" s="933"/>
      <c r="B50" s="933"/>
      <c r="C50" s="933"/>
      <c r="D50" s="933"/>
      <c r="E50" s="933"/>
    </row>
    <row r="51" spans="1:5" x14ac:dyDescent="0.25">
      <c r="A51" s="933"/>
      <c r="B51" s="933"/>
      <c r="C51" s="933"/>
      <c r="D51" s="933"/>
      <c r="E51" s="933"/>
    </row>
  </sheetData>
  <sheetProtection algorithmName="SHA-512" hashValue="0TVnRb6+Q6MM6epAAFjjvcpdHsbj3lmFi6r19G+EDHtkykoaTqxVVN66cu7hmlc67jZY69RhtHT8b8K7kXDZfQ==" saltValue="zTU8yR61LeAMNNV1bQDI7w==" spinCount="100000" sheet="1" selectLockedCells="1"/>
  <mergeCells count="4">
    <mergeCell ref="B3:E3"/>
    <mergeCell ref="B4:E4"/>
    <mergeCell ref="B5:E5"/>
    <mergeCell ref="B47:E47"/>
  </mergeCells>
  <conditionalFormatting sqref="B9">
    <cfRule type="expression" dxfId="1173" priority="1">
      <formula>(LEFT($B$9,1)="p")</formula>
    </cfRule>
  </conditionalFormatting>
  <pageMargins left="0.7" right="0.7" top="0.75" bottom="0.75" header="0.3" footer="0.3"/>
  <pageSetup paperSize="9" orientation="portrait" horizontalDpi="4294967293" verticalDpi="4294967293" r:id="rId1"/>
  <headerFooter>
    <oddFooter>&amp;R&amp;10© 2026 SMARTAIR DIFFUSION</oddFooter>
  </headerFooter>
  <drawing r:id="rId2"/>
  <legacyDrawing r:id="rId3"/>
  <oleObjects>
    <mc:AlternateContent xmlns:mc="http://schemas.openxmlformats.org/markup-compatibility/2006">
      <mc:Choice Requires="x14">
        <oleObject progId="Visio.Drawing.15" shapeId="19459" r:id="rId4">
          <objectPr defaultSize="0" autoPict="0" r:id="rId5">
            <anchor moveWithCells="1">
              <from>
                <xdr:col>3</xdr:col>
                <xdr:colOff>257175</xdr:colOff>
                <xdr:row>29</xdr:row>
                <xdr:rowOff>0</xdr:rowOff>
              </from>
              <to>
                <xdr:col>4</xdr:col>
                <xdr:colOff>1104900</xdr:colOff>
                <xdr:row>36</xdr:row>
                <xdr:rowOff>142875</xdr:rowOff>
              </to>
            </anchor>
          </objectPr>
        </oleObject>
      </mc:Choice>
      <mc:Fallback>
        <oleObject progId="Visio.Drawing.15" shapeId="19459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AU56"/>
  <sheetViews>
    <sheetView workbookViewId="0">
      <selection activeCell="L19" sqref="L19"/>
    </sheetView>
  </sheetViews>
  <sheetFormatPr defaultRowHeight="15" x14ac:dyDescent="0.25"/>
  <cols>
    <col min="1" max="1" width="3.7109375" customWidth="1"/>
    <col min="2" max="2" width="6.5703125" style="2" customWidth="1"/>
    <col min="3" max="3" width="5.28515625" style="2" customWidth="1"/>
    <col min="4" max="4" width="8.28515625" style="115" bestFit="1" customWidth="1"/>
    <col min="5" max="5" width="20.28515625" style="1" customWidth="1"/>
    <col min="6" max="6" width="4.5703125" style="13" customWidth="1"/>
    <col min="7" max="7" width="4.5703125" style="3" bestFit="1" customWidth="1"/>
    <col min="8" max="8" width="5.5703125" style="3" bestFit="1" customWidth="1"/>
    <col min="9" max="13" width="4.5703125" style="3" bestFit="1" customWidth="1"/>
    <col min="14" max="32" width="5.5703125" style="3" bestFit="1" customWidth="1"/>
    <col min="33" max="33" width="5.7109375" style="3" customWidth="1"/>
    <col min="34" max="41" width="5.5703125" style="3" bestFit="1" customWidth="1"/>
    <col min="42" max="43" width="5.5703125" style="2" bestFit="1" customWidth="1"/>
    <col min="44" max="44" width="9.28515625" style="2"/>
    <col min="45" max="45" width="4.5703125" customWidth="1"/>
  </cols>
  <sheetData>
    <row r="1" spans="2:47" x14ac:dyDescent="0.25">
      <c r="G1" s="3" t="s">
        <v>29</v>
      </c>
      <c r="H1" s="102">
        <v>1.4999999999999999E-2</v>
      </c>
    </row>
    <row r="2" spans="2:47" ht="15.75" thickBot="1" x14ac:dyDescent="0.3">
      <c r="B2" s="2" t="s">
        <v>27</v>
      </c>
      <c r="E2" s="1" t="s">
        <v>8</v>
      </c>
      <c r="G2" s="3" t="s">
        <v>30</v>
      </c>
      <c r="H2" s="102">
        <v>2</v>
      </c>
      <c r="AT2" s="80" t="s">
        <v>28</v>
      </c>
    </row>
    <row r="3" spans="2:47" ht="16.5" thickTop="1" thickBot="1" x14ac:dyDescent="0.3">
      <c r="B3" s="87" t="s">
        <v>25</v>
      </c>
      <c r="C3" s="82">
        <f>E3+40</f>
        <v>613</v>
      </c>
      <c r="D3" s="116" t="s">
        <v>26</v>
      </c>
      <c r="E3" s="14">
        <v>573</v>
      </c>
      <c r="F3" s="39"/>
      <c r="G3" s="22">
        <v>30</v>
      </c>
      <c r="H3" s="22">
        <v>40</v>
      </c>
      <c r="I3" s="22">
        <v>50</v>
      </c>
      <c r="J3" s="22">
        <v>60</v>
      </c>
      <c r="K3" s="22">
        <v>70</v>
      </c>
      <c r="L3" s="22">
        <v>80</v>
      </c>
      <c r="M3" s="22">
        <v>90</v>
      </c>
      <c r="N3" s="22">
        <v>100</v>
      </c>
      <c r="O3" s="22">
        <v>110</v>
      </c>
      <c r="P3" s="22">
        <v>120</v>
      </c>
      <c r="Q3" s="22">
        <v>130</v>
      </c>
      <c r="R3" s="22">
        <v>140</v>
      </c>
      <c r="S3" s="22">
        <v>150</v>
      </c>
      <c r="T3" s="22">
        <v>160</v>
      </c>
      <c r="U3" s="22">
        <v>170</v>
      </c>
      <c r="V3" s="22">
        <v>180</v>
      </c>
      <c r="W3" s="22">
        <v>190</v>
      </c>
      <c r="X3" s="22">
        <v>200</v>
      </c>
      <c r="Y3" s="22">
        <v>210</v>
      </c>
      <c r="Z3" s="22">
        <v>220</v>
      </c>
      <c r="AA3" s="22">
        <v>230</v>
      </c>
      <c r="AB3" s="22">
        <v>240</v>
      </c>
      <c r="AC3" s="22">
        <v>250</v>
      </c>
      <c r="AD3" s="22">
        <v>260</v>
      </c>
      <c r="AE3" s="22">
        <v>270</v>
      </c>
      <c r="AF3" s="22">
        <v>280</v>
      </c>
      <c r="AG3" s="22">
        <v>290</v>
      </c>
      <c r="AH3" s="22">
        <v>300</v>
      </c>
      <c r="AI3" s="22">
        <v>310</v>
      </c>
      <c r="AJ3" s="22">
        <v>320</v>
      </c>
      <c r="AK3" s="22">
        <v>330</v>
      </c>
      <c r="AL3" s="22">
        <v>340</v>
      </c>
      <c r="AM3" s="22">
        <v>350</v>
      </c>
      <c r="AN3" s="22">
        <v>360</v>
      </c>
      <c r="AO3" s="22">
        <v>370</v>
      </c>
      <c r="AP3" s="22">
        <v>380</v>
      </c>
      <c r="AQ3" s="22">
        <v>390</v>
      </c>
      <c r="AR3" s="40" t="s">
        <v>4</v>
      </c>
      <c r="AT3" s="81">
        <v>70</v>
      </c>
      <c r="AU3" s="79" t="s">
        <v>15</v>
      </c>
    </row>
    <row r="4" spans="2:47" s="106" customFormat="1" ht="15.75" thickBot="1" x14ac:dyDescent="0.3">
      <c r="B4" s="104"/>
      <c r="C4" s="105"/>
      <c r="D4" s="117"/>
      <c r="E4" s="106" t="s">
        <v>31</v>
      </c>
      <c r="F4" s="107"/>
      <c r="G4" s="108">
        <v>2.1</v>
      </c>
      <c r="H4" s="108"/>
      <c r="I4" s="108"/>
      <c r="J4" s="108"/>
      <c r="K4" s="108"/>
      <c r="L4" s="108"/>
      <c r="M4" s="108"/>
      <c r="N4" s="108">
        <v>2.1</v>
      </c>
      <c r="O4" s="108"/>
      <c r="P4" s="108"/>
      <c r="Q4" s="108"/>
      <c r="R4" s="108"/>
      <c r="S4" s="108">
        <v>2.1</v>
      </c>
      <c r="T4" s="108"/>
      <c r="U4" s="108"/>
      <c r="V4" s="108"/>
      <c r="W4" s="108"/>
      <c r="X4" s="108"/>
      <c r="Y4" s="108"/>
      <c r="Z4" s="108"/>
      <c r="AA4" s="108"/>
      <c r="AB4" s="108"/>
      <c r="AC4" s="108">
        <v>2.5</v>
      </c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9"/>
      <c r="AT4" s="110"/>
      <c r="AU4" s="109"/>
    </row>
    <row r="5" spans="2:47" ht="15.75" thickBot="1" x14ac:dyDescent="0.3">
      <c r="B5" s="88"/>
      <c r="C5" s="83">
        <f>E5+40</f>
        <v>134</v>
      </c>
      <c r="D5" s="115" t="s">
        <v>0</v>
      </c>
      <c r="E5" s="1">
        <v>94</v>
      </c>
      <c r="F5" s="24" t="s">
        <v>22</v>
      </c>
      <c r="G5" s="4">
        <f t="shared" ref="G5:O5" si="0">1.359*10^-3*(G$3/($E$3*10^-3*$E5*10^-3)*(0.507*0.171))^2.0302</f>
        <v>3.5625191581302142</v>
      </c>
      <c r="H5" s="4">
        <f t="shared" si="0"/>
        <v>6.3886313983802205</v>
      </c>
      <c r="I5" s="4">
        <f t="shared" si="0"/>
        <v>10.049733378702005</v>
      </c>
      <c r="J5" s="4">
        <f t="shared" si="0"/>
        <v>14.551518162998079</v>
      </c>
      <c r="K5" s="4">
        <f t="shared" si="0"/>
        <v>19.898652969393904</v>
      </c>
      <c r="L5" s="5">
        <f t="shared" si="0"/>
        <v>26.095097795634548</v>
      </c>
      <c r="M5" s="6">
        <f t="shared" si="0"/>
        <v>33.144294551372838</v>
      </c>
      <c r="N5" s="7">
        <f t="shared" si="0"/>
        <v>41.049288804449162</v>
      </c>
      <c r="O5" s="7">
        <f t="shared" si="0"/>
        <v>49.812812879864971</v>
      </c>
      <c r="AO5" s="38"/>
      <c r="AR5" s="50" t="s">
        <v>10</v>
      </c>
      <c r="AT5" s="73">
        <f>1.359*10^-3*(AT$3/($E$3*10^-3*$E5*10^-3)*(0.507*0.171))^2.0302</f>
        <v>19.898652969393904</v>
      </c>
      <c r="AU5" s="50" t="s">
        <v>6</v>
      </c>
    </row>
    <row r="6" spans="2:47" x14ac:dyDescent="0.25">
      <c r="B6" s="88"/>
      <c r="C6" s="84"/>
      <c r="D6" s="118">
        <v>5.3999999999999999E-2</v>
      </c>
      <c r="E6" s="44"/>
      <c r="F6" s="45" t="s">
        <v>23</v>
      </c>
      <c r="G6" s="46" t="s">
        <v>12</v>
      </c>
      <c r="H6" s="46" t="s">
        <v>12</v>
      </c>
      <c r="I6" s="46">
        <f t="shared" ref="I6:O6" si="1">-15-114.08+32.01*LN(I$3/($E$3*$E5)*(507*171))+10*LOG($E$3*$E5/(507*171))</f>
        <v>9.3132103582732366</v>
      </c>
      <c r="J6" s="46">
        <f t="shared" si="1"/>
        <v>15.149323391247718</v>
      </c>
      <c r="K6" s="46">
        <f t="shared" si="1"/>
        <v>20.083686652518253</v>
      </c>
      <c r="L6" s="46">
        <f t="shared" si="1"/>
        <v>24.358026530429214</v>
      </c>
      <c r="M6" s="47">
        <f t="shared" si="1"/>
        <v>28.128261501790064</v>
      </c>
      <c r="N6" s="48">
        <f t="shared" si="1"/>
        <v>31.500851607997078</v>
      </c>
      <c r="O6" s="48">
        <f t="shared" si="1"/>
        <v>34.551730463533517</v>
      </c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27"/>
      <c r="AG6" s="28" t="s">
        <v>13</v>
      </c>
      <c r="AH6" s="28"/>
      <c r="AI6" s="29"/>
      <c r="AJ6" s="29"/>
      <c r="AK6" s="29"/>
      <c r="AL6" s="29"/>
      <c r="AM6" s="29"/>
      <c r="AN6" s="30"/>
      <c r="AO6" s="49"/>
      <c r="AR6" s="51" t="s">
        <v>11</v>
      </c>
      <c r="AT6" s="74">
        <f>-15-114.08+32.01*LN(AT$3/($E$3*$E5)*(507*171))+10*LOG($E$3*$E5/(507*171))</f>
        <v>20.083686652518253</v>
      </c>
      <c r="AU6" s="51" t="s">
        <v>5</v>
      </c>
    </row>
    <row r="7" spans="2:47" x14ac:dyDescent="0.25">
      <c r="B7" s="88"/>
      <c r="C7" s="83"/>
      <c r="F7" s="25"/>
      <c r="G7" s="96">
        <f>(1.033-29.43*10^-3*($E3/$E5))*$H$1*G$3/SQRT($D6)</f>
        <v>1.6529936183661271</v>
      </c>
      <c r="H7" s="96">
        <f t="shared" ref="H7:O7" si="2">(1.033-29.43*10^-3*($E3/$E5))*$H$1*H$3/SQRT($D6)</f>
        <v>2.2039914911548362</v>
      </c>
      <c r="I7" s="96">
        <f t="shared" si="2"/>
        <v>2.7549893639435452</v>
      </c>
      <c r="J7" s="96">
        <f t="shared" si="2"/>
        <v>3.3059872367322543</v>
      </c>
      <c r="K7" s="96">
        <f t="shared" si="2"/>
        <v>3.8569851095209633</v>
      </c>
      <c r="L7" s="96">
        <f t="shared" si="2"/>
        <v>4.4079829823096723</v>
      </c>
      <c r="M7" s="97">
        <f t="shared" si="2"/>
        <v>4.9589808550983809</v>
      </c>
      <c r="N7" s="98">
        <f t="shared" si="2"/>
        <v>5.5099787278870904</v>
      </c>
      <c r="O7" s="98">
        <f t="shared" si="2"/>
        <v>6.060976600675799</v>
      </c>
      <c r="AF7" s="31"/>
      <c r="AG7" s="12"/>
      <c r="AH7" s="12"/>
      <c r="AN7" s="32"/>
      <c r="AR7" s="41"/>
      <c r="AT7" s="71"/>
      <c r="AU7" s="41"/>
    </row>
    <row r="8" spans="2:47" x14ac:dyDescent="0.25">
      <c r="B8" s="88"/>
      <c r="C8" s="83"/>
      <c r="F8" s="25"/>
      <c r="G8" s="96">
        <f>$H$2*G7</f>
        <v>3.3059872367322543</v>
      </c>
      <c r="H8" s="96">
        <f t="shared" ref="H8:O8" si="3">$H$2*H7</f>
        <v>4.4079829823096723</v>
      </c>
      <c r="I8" s="96">
        <f t="shared" si="3"/>
        <v>5.5099787278870904</v>
      </c>
      <c r="J8" s="96">
        <f t="shared" si="3"/>
        <v>6.6119744734645085</v>
      </c>
      <c r="K8" s="96">
        <f t="shared" si="3"/>
        <v>7.7139702190419266</v>
      </c>
      <c r="L8" s="96">
        <f t="shared" si="3"/>
        <v>8.8159659646193447</v>
      </c>
      <c r="M8" s="97">
        <f t="shared" si="3"/>
        <v>9.9179617101967619</v>
      </c>
      <c r="N8" s="98">
        <f t="shared" si="3"/>
        <v>11.019957455774181</v>
      </c>
      <c r="O8" s="98">
        <f t="shared" si="3"/>
        <v>12.121953201351598</v>
      </c>
      <c r="AF8" s="31"/>
      <c r="AG8" s="12"/>
      <c r="AH8" s="12"/>
      <c r="AN8" s="32"/>
      <c r="AR8" s="41"/>
      <c r="AT8" s="71"/>
      <c r="AU8" s="41"/>
    </row>
    <row r="9" spans="2:47" x14ac:dyDescent="0.25">
      <c r="B9" s="88"/>
      <c r="C9" s="83">
        <f>E9+40</f>
        <v>173</v>
      </c>
      <c r="D9" s="115" t="s">
        <v>1</v>
      </c>
      <c r="E9" s="1">
        <v>133</v>
      </c>
      <c r="F9" s="25" t="s">
        <v>22</v>
      </c>
      <c r="I9" s="4">
        <f t="shared" ref="I9:S9" si="4">1.359*10^-3*(I$3/($E$3*10^-3*$E9*10^-3)*(0.507*0.171))^2.0302</f>
        <v>4.9676970948160273</v>
      </c>
      <c r="J9" s="4">
        <f t="shared" si="4"/>
        <v>7.1929803288795844</v>
      </c>
      <c r="K9" s="4">
        <f t="shared" si="4"/>
        <v>9.8361296585539542</v>
      </c>
      <c r="L9" s="4">
        <f t="shared" si="4"/>
        <v>12.899102555599999</v>
      </c>
      <c r="M9" s="4">
        <f t="shared" si="4"/>
        <v>16.383600394963651</v>
      </c>
      <c r="N9" s="4">
        <f t="shared" si="4"/>
        <v>20.291128635341366</v>
      </c>
      <c r="O9" s="5">
        <f t="shared" si="4"/>
        <v>24.623037895944677</v>
      </c>
      <c r="P9" s="5">
        <f t="shared" si="4"/>
        <v>29.380553270263533</v>
      </c>
      <c r="Q9" s="6">
        <f t="shared" si="4"/>
        <v>34.564795991647209</v>
      </c>
      <c r="R9" s="6">
        <f t="shared" si="4"/>
        <v>40.17679990671936</v>
      </c>
      <c r="S9" s="7">
        <f t="shared" si="4"/>
        <v>46.217524297889923</v>
      </c>
      <c r="AE9" s="32"/>
      <c r="AF9" s="31"/>
      <c r="AG9" s="8" t="s">
        <v>14</v>
      </c>
      <c r="AH9" s="9" t="s">
        <v>20</v>
      </c>
      <c r="AI9" s="10" t="s">
        <v>21</v>
      </c>
      <c r="AJ9" s="11" t="s">
        <v>18</v>
      </c>
      <c r="AK9" s="12" t="s">
        <v>6</v>
      </c>
      <c r="AN9" s="32"/>
      <c r="AO9" s="31"/>
      <c r="AR9" s="41" t="s">
        <v>10</v>
      </c>
      <c r="AT9" s="71">
        <f>1.359*10^-3*(AT$3/($E$3*10^-3*$E9*10^-3)*(0.507*0.171))^2.0302</f>
        <v>9.8361296585539542</v>
      </c>
      <c r="AU9" s="41" t="s">
        <v>6</v>
      </c>
    </row>
    <row r="10" spans="2:47" x14ac:dyDescent="0.25">
      <c r="B10" s="88" t="s">
        <v>9</v>
      </c>
      <c r="C10" s="83"/>
      <c r="D10" s="115">
        <v>7.5999999999999998E-2</v>
      </c>
      <c r="F10" s="25" t="s">
        <v>23</v>
      </c>
      <c r="I10" s="4" t="s">
        <v>12</v>
      </c>
      <c r="J10" s="4">
        <f t="shared" ref="J10:S10" si="5">-15-114.08+32.01*LN(J$3/($E$3*$E9)*(507*171))+10*LOG($E$3*$E9/(507*171))</f>
        <v>5.5473516510060783</v>
      </c>
      <c r="K10" s="4">
        <f t="shared" si="5"/>
        <v>10.481714912276612</v>
      </c>
      <c r="L10" s="4">
        <f t="shared" si="5"/>
        <v>14.756054790187573</v>
      </c>
      <c r="M10" s="4">
        <f t="shared" si="5"/>
        <v>18.526289761548423</v>
      </c>
      <c r="N10" s="4">
        <f t="shared" si="5"/>
        <v>21.898879867755436</v>
      </c>
      <c r="O10" s="4">
        <f t="shared" si="5"/>
        <v>24.949758723291875</v>
      </c>
      <c r="P10" s="5">
        <f t="shared" si="5"/>
        <v>27.734992900729917</v>
      </c>
      <c r="Q10" s="5">
        <f t="shared" si="5"/>
        <v>30.297159973359822</v>
      </c>
      <c r="R10" s="6">
        <f t="shared" si="5"/>
        <v>32.669356162000454</v>
      </c>
      <c r="S10" s="6">
        <f t="shared" si="5"/>
        <v>34.877817978297784</v>
      </c>
      <c r="AE10" s="32"/>
      <c r="AF10" s="31"/>
      <c r="AG10" s="8" t="s">
        <v>16</v>
      </c>
      <c r="AH10" s="9" t="s">
        <v>20</v>
      </c>
      <c r="AI10" s="10" t="s">
        <v>17</v>
      </c>
      <c r="AJ10" s="11" t="s">
        <v>19</v>
      </c>
      <c r="AK10" s="12" t="s">
        <v>5</v>
      </c>
      <c r="AN10" s="32"/>
      <c r="AO10" s="31"/>
      <c r="AR10" s="41" t="s">
        <v>11</v>
      </c>
      <c r="AT10" s="71">
        <f>-15-114.08+32.01*LN(AT$3/($E$3*$E9)*(507*171))+10*LOG($E$3*$E9/(507*171))</f>
        <v>10.481714912276612</v>
      </c>
      <c r="AU10" s="41" t="s">
        <v>5</v>
      </c>
    </row>
    <row r="11" spans="2:47" x14ac:dyDescent="0.25">
      <c r="B11" s="88"/>
      <c r="C11" s="83"/>
      <c r="F11" s="25"/>
      <c r="I11" s="96">
        <f>(1.033-29.43*10^-3*($E3/$E5))*$H$1*I$3/SQRT($D10)</f>
        <v>2.3222555543952001</v>
      </c>
      <c r="J11" s="96">
        <f t="shared" ref="J11:S11" si="6">(1.033-29.43*10^-3*($E3/$E5))*$H$1*J$3/SQRT($D10)</f>
        <v>2.7867066652742398</v>
      </c>
      <c r="K11" s="96">
        <f t="shared" si="6"/>
        <v>3.2511577761532799</v>
      </c>
      <c r="L11" s="96">
        <f t="shared" si="6"/>
        <v>3.7156088870323196</v>
      </c>
      <c r="M11" s="96">
        <f t="shared" si="6"/>
        <v>4.1800599979113597</v>
      </c>
      <c r="N11" s="96">
        <f t="shared" si="6"/>
        <v>4.6445111087904003</v>
      </c>
      <c r="O11" s="96">
        <f t="shared" si="6"/>
        <v>5.1089622196694391</v>
      </c>
      <c r="P11" s="97">
        <f t="shared" si="6"/>
        <v>5.5734133305484796</v>
      </c>
      <c r="Q11" s="97">
        <f t="shared" si="6"/>
        <v>6.0378644414275193</v>
      </c>
      <c r="R11" s="98">
        <f t="shared" si="6"/>
        <v>6.5023155523065599</v>
      </c>
      <c r="S11" s="98">
        <f t="shared" si="6"/>
        <v>6.9667666631855996</v>
      </c>
      <c r="AF11" s="31"/>
      <c r="AG11" s="111">
        <v>3</v>
      </c>
      <c r="AH11" s="112">
        <v>3.5</v>
      </c>
      <c r="AI11" s="113">
        <v>4</v>
      </c>
      <c r="AJ11" s="114">
        <v>4.5</v>
      </c>
      <c r="AK11" s="12" t="s">
        <v>32</v>
      </c>
      <c r="AN11" s="32"/>
      <c r="AR11" s="41"/>
      <c r="AT11" s="71"/>
      <c r="AU11" s="41"/>
    </row>
    <row r="12" spans="2:47" x14ac:dyDescent="0.25">
      <c r="B12" s="88"/>
      <c r="C12" s="83"/>
      <c r="F12" s="25"/>
      <c r="I12" s="96">
        <f>$H$2*I11</f>
        <v>4.6445111087904003</v>
      </c>
      <c r="J12" s="96">
        <f t="shared" ref="J12:S12" si="7">$H$2*J11</f>
        <v>5.5734133305484796</v>
      </c>
      <c r="K12" s="96">
        <f t="shared" si="7"/>
        <v>6.5023155523065599</v>
      </c>
      <c r="L12" s="96">
        <f t="shared" si="7"/>
        <v>7.4312177740646392</v>
      </c>
      <c r="M12" s="96">
        <f t="shared" si="7"/>
        <v>8.3601199958227195</v>
      </c>
      <c r="N12" s="96">
        <f t="shared" si="7"/>
        <v>9.2890222175808006</v>
      </c>
      <c r="O12" s="96">
        <f t="shared" si="7"/>
        <v>10.217924439338878</v>
      </c>
      <c r="P12" s="97">
        <f t="shared" si="7"/>
        <v>11.146826661096959</v>
      </c>
      <c r="Q12" s="97">
        <f t="shared" si="7"/>
        <v>12.075728882855039</v>
      </c>
      <c r="R12" s="98">
        <f t="shared" si="7"/>
        <v>13.00463110461312</v>
      </c>
      <c r="S12" s="98">
        <f t="shared" si="7"/>
        <v>13.933533326371199</v>
      </c>
      <c r="AF12" s="31"/>
      <c r="AG12" s="111">
        <v>6</v>
      </c>
      <c r="AH12" s="112">
        <v>7</v>
      </c>
      <c r="AI12" s="113">
        <v>8</v>
      </c>
      <c r="AJ12" s="114">
        <v>9</v>
      </c>
      <c r="AK12" s="12" t="s">
        <v>32</v>
      </c>
      <c r="AN12" s="32"/>
      <c r="AR12" s="41"/>
      <c r="AT12" s="71"/>
      <c r="AU12" s="41"/>
    </row>
    <row r="13" spans="2:47" ht="15.75" thickBot="1" x14ac:dyDescent="0.3">
      <c r="B13" s="15" t="s">
        <v>26</v>
      </c>
      <c r="C13" s="85">
        <f>E13+40</f>
        <v>212</v>
      </c>
      <c r="D13" s="119" t="s">
        <v>2</v>
      </c>
      <c r="E13" s="53">
        <v>172</v>
      </c>
      <c r="F13" s="54" t="s">
        <v>22</v>
      </c>
      <c r="G13" s="55"/>
      <c r="H13" s="55"/>
      <c r="I13" s="55"/>
      <c r="J13" s="56">
        <f t="shared" ref="J13:X13" si="8">1.359*10^-3*(J$3/($E$3*10^-3*$E13*10^-3)*(0.507*0.171))^2.0302</f>
        <v>4.267589335607787</v>
      </c>
      <c r="K13" s="56">
        <f t="shared" si="8"/>
        <v>5.8357676672582794</v>
      </c>
      <c r="L13" s="56">
        <f t="shared" si="8"/>
        <v>7.653026977450982</v>
      </c>
      <c r="M13" s="56">
        <f t="shared" si="8"/>
        <v>9.720376690547285</v>
      </c>
      <c r="N13" s="56">
        <f t="shared" si="8"/>
        <v>12.038709993958365</v>
      </c>
      <c r="O13" s="56">
        <f t="shared" si="8"/>
        <v>14.608828208955751</v>
      </c>
      <c r="P13" s="56">
        <f t="shared" si="8"/>
        <v>17.431458182503274</v>
      </c>
      <c r="Q13" s="57">
        <f t="shared" si="8"/>
        <v>20.507265141428348</v>
      </c>
      <c r="R13" s="57">
        <f t="shared" si="8"/>
        <v>23.836862466085826</v>
      </c>
      <c r="S13" s="57">
        <f t="shared" si="8"/>
        <v>27.420819297943375</v>
      </c>
      <c r="T13" s="58">
        <f t="shared" si="8"/>
        <v>31.259666578955581</v>
      </c>
      <c r="U13" s="58">
        <f t="shared" si="8"/>
        <v>35.353901927227959</v>
      </c>
      <c r="V13" s="58">
        <f t="shared" si="8"/>
        <v>39.703993630709327</v>
      </c>
      <c r="W13" s="59">
        <f t="shared" si="8"/>
        <v>44.310383960099507</v>
      </c>
      <c r="X13" s="59">
        <f t="shared" si="8"/>
        <v>49.173491947786523</v>
      </c>
      <c r="Y13" s="55"/>
      <c r="Z13" s="55"/>
      <c r="AA13" s="55"/>
      <c r="AB13" s="55"/>
      <c r="AC13" s="55"/>
      <c r="AD13" s="55"/>
      <c r="AE13" s="55"/>
      <c r="AF13" s="33"/>
      <c r="AG13" s="34" t="s">
        <v>24</v>
      </c>
      <c r="AH13" s="35"/>
      <c r="AI13" s="36"/>
      <c r="AJ13" s="36"/>
      <c r="AK13" s="36"/>
      <c r="AL13" s="36"/>
      <c r="AM13" s="36"/>
      <c r="AN13" s="37"/>
      <c r="AO13" s="62"/>
      <c r="AR13" s="63" t="s">
        <v>10</v>
      </c>
      <c r="AT13" s="76">
        <f>1.359*10^-3*(AT$3/($E$3*10^-3*$E13*10^-3)*(0.507*0.171))^2.0302</f>
        <v>5.8357676672582794</v>
      </c>
      <c r="AU13" s="68" t="s">
        <v>6</v>
      </c>
    </row>
    <row r="14" spans="2:47" x14ac:dyDescent="0.25">
      <c r="B14" s="88"/>
      <c r="C14" s="84"/>
      <c r="D14" s="118">
        <v>9.8000000000000004E-2</v>
      </c>
      <c r="E14" s="44"/>
      <c r="F14" s="45" t="s">
        <v>23</v>
      </c>
      <c r="G14" s="49"/>
      <c r="H14" s="49"/>
      <c r="I14" s="49"/>
      <c r="J14" s="46" t="s">
        <v>12</v>
      </c>
      <c r="K14" s="46">
        <f t="shared" ref="K14:X14" si="9">-15-114.08+32.01*LN(K$3/($E$3*$E13)*(507*171))+10*LOG($E$3*$E13/(507*171))</f>
        <v>3.367260363260947</v>
      </c>
      <c r="L14" s="46">
        <f t="shared" si="9"/>
        <v>7.641600241171937</v>
      </c>
      <c r="M14" s="46">
        <f t="shared" si="9"/>
        <v>11.411835212532758</v>
      </c>
      <c r="N14" s="46">
        <f t="shared" si="9"/>
        <v>14.784425318739771</v>
      </c>
      <c r="O14" s="46">
        <f t="shared" si="9"/>
        <v>17.83530417427621</v>
      </c>
      <c r="P14" s="46">
        <f t="shared" si="9"/>
        <v>20.620538351714252</v>
      </c>
      <c r="Q14" s="46">
        <f t="shared" si="9"/>
        <v>23.182705424344157</v>
      </c>
      <c r="R14" s="47">
        <f t="shared" si="9"/>
        <v>25.554901612984814</v>
      </c>
      <c r="S14" s="47">
        <f t="shared" si="9"/>
        <v>27.763363429282087</v>
      </c>
      <c r="T14" s="47">
        <f t="shared" si="9"/>
        <v>29.829241490895747</v>
      </c>
      <c r="U14" s="48">
        <f t="shared" si="9"/>
        <v>31.769835635239836</v>
      </c>
      <c r="V14" s="48">
        <f t="shared" si="9"/>
        <v>33.599476462256597</v>
      </c>
      <c r="W14" s="48">
        <f t="shared" si="9"/>
        <v>35.330168215118128</v>
      </c>
      <c r="X14" s="60">
        <f t="shared" si="9"/>
        <v>36.972066568463639</v>
      </c>
      <c r="Y14" s="49"/>
      <c r="Z14" s="49"/>
      <c r="AA14" s="49"/>
      <c r="AB14" s="49"/>
      <c r="AC14" s="49"/>
      <c r="AD14" s="49"/>
      <c r="AE14" s="49"/>
      <c r="AF14" s="61"/>
      <c r="AG14" s="61"/>
      <c r="AH14" s="61"/>
      <c r="AI14" s="61"/>
      <c r="AJ14" s="61"/>
      <c r="AK14" s="61"/>
      <c r="AL14" s="61"/>
      <c r="AM14" s="61"/>
      <c r="AN14" s="61"/>
      <c r="AO14" s="64"/>
      <c r="AR14" s="65" t="s">
        <v>11</v>
      </c>
      <c r="AT14" s="74">
        <f>-15-114.08+32.01*LN(AT$3/($E$3*$E13)*(507*171))+10*LOG($E$3*$E13/(507*171))</f>
        <v>3.367260363260947</v>
      </c>
      <c r="AU14" s="51" t="s">
        <v>5</v>
      </c>
    </row>
    <row r="15" spans="2:47" x14ac:dyDescent="0.25">
      <c r="B15" s="88"/>
      <c r="C15" s="83"/>
      <c r="F15" s="25"/>
      <c r="J15" s="96">
        <f>(1.033-29.43*10^-3*($E3/$E5))*$H$1*J$3/SQRT($D14)</f>
        <v>2.4540590842262149</v>
      </c>
      <c r="K15" s="96">
        <f t="shared" ref="K15:X15" si="10">(1.033-29.43*10^-3*($E3/$E5))*$H$1*K$3/SQRT($D14)</f>
        <v>2.8630689315972506</v>
      </c>
      <c r="L15" s="96">
        <f t="shared" si="10"/>
        <v>3.2720787789682864</v>
      </c>
      <c r="M15" s="96">
        <f t="shared" si="10"/>
        <v>3.6810886263393225</v>
      </c>
      <c r="N15" s="96">
        <f t="shared" si="10"/>
        <v>4.0900984737103583</v>
      </c>
      <c r="O15" s="96">
        <f t="shared" si="10"/>
        <v>4.499108321081394</v>
      </c>
      <c r="P15" s="96">
        <f t="shared" si="10"/>
        <v>4.9081181684524298</v>
      </c>
      <c r="Q15" s="96">
        <f t="shared" si="10"/>
        <v>5.3171280158234655</v>
      </c>
      <c r="R15" s="97">
        <f t="shared" si="10"/>
        <v>5.7261378631945012</v>
      </c>
      <c r="S15" s="97">
        <f t="shared" si="10"/>
        <v>6.135147710565537</v>
      </c>
      <c r="T15" s="97">
        <f t="shared" si="10"/>
        <v>6.5441575579365727</v>
      </c>
      <c r="U15" s="98">
        <f t="shared" si="10"/>
        <v>6.9531674053076085</v>
      </c>
      <c r="V15" s="98">
        <f t="shared" si="10"/>
        <v>7.3621772526786451</v>
      </c>
      <c r="W15" s="98">
        <f t="shared" si="10"/>
        <v>7.7711871000496808</v>
      </c>
      <c r="X15" s="103">
        <f t="shared" si="10"/>
        <v>8.1801969474207166</v>
      </c>
      <c r="AR15" s="41"/>
      <c r="AT15" s="71"/>
      <c r="AU15" s="41"/>
    </row>
    <row r="16" spans="2:47" x14ac:dyDescent="0.25">
      <c r="B16" s="88"/>
      <c r="C16" s="83"/>
      <c r="F16" s="25"/>
      <c r="J16" s="96">
        <f>$H$2*J15</f>
        <v>4.9081181684524298</v>
      </c>
      <c r="K16" s="96">
        <f t="shared" ref="K16:X16" si="11">$H$2*K15</f>
        <v>5.7261378631945012</v>
      </c>
      <c r="L16" s="96">
        <f t="shared" si="11"/>
        <v>6.5441575579365727</v>
      </c>
      <c r="M16" s="96">
        <f t="shared" si="11"/>
        <v>7.3621772526786451</v>
      </c>
      <c r="N16" s="96">
        <f t="shared" si="11"/>
        <v>8.1801969474207166</v>
      </c>
      <c r="O16" s="96">
        <f t="shared" si="11"/>
        <v>8.998216642162788</v>
      </c>
      <c r="P16" s="96">
        <f t="shared" si="11"/>
        <v>9.8162363369048595</v>
      </c>
      <c r="Q16" s="96">
        <f t="shared" si="11"/>
        <v>10.634256031646931</v>
      </c>
      <c r="R16" s="97">
        <f t="shared" si="11"/>
        <v>11.452275726389002</v>
      </c>
      <c r="S16" s="97">
        <f t="shared" si="11"/>
        <v>12.270295421131074</v>
      </c>
      <c r="T16" s="97">
        <f t="shared" si="11"/>
        <v>13.088315115873145</v>
      </c>
      <c r="U16" s="98">
        <f t="shared" si="11"/>
        <v>13.906334810615217</v>
      </c>
      <c r="V16" s="98">
        <f t="shared" si="11"/>
        <v>14.72435450535729</v>
      </c>
      <c r="W16" s="98">
        <f t="shared" si="11"/>
        <v>15.542374200099362</v>
      </c>
      <c r="X16" s="103">
        <f t="shared" si="11"/>
        <v>16.360393894841433</v>
      </c>
      <c r="AR16" s="41"/>
      <c r="AT16" s="71"/>
      <c r="AU16" s="41"/>
    </row>
    <row r="17" spans="2:47" x14ac:dyDescent="0.25">
      <c r="B17" s="88"/>
      <c r="C17" s="83">
        <f>E17+40</f>
        <v>251</v>
      </c>
      <c r="D17" s="115" t="s">
        <v>3</v>
      </c>
      <c r="E17" s="1">
        <v>211</v>
      </c>
      <c r="F17" s="25" t="s">
        <v>22</v>
      </c>
      <c r="K17" s="4">
        <f t="shared" ref="K17:AB17" si="12">1.359*10^-3*(K$3/($E$3*10^-3*$E17*10^-3)*(0.507*0.171))^2.0302</f>
        <v>3.8539813229771749</v>
      </c>
      <c r="L17" s="4">
        <f t="shared" si="12"/>
        <v>5.0541119381460113</v>
      </c>
      <c r="M17" s="4">
        <f t="shared" si="12"/>
        <v>6.4194039848183611</v>
      </c>
      <c r="N17" s="4">
        <f t="shared" si="12"/>
        <v>7.950447330137127</v>
      </c>
      <c r="O17" s="4">
        <f t="shared" si="12"/>
        <v>9.6477711722113497</v>
      </c>
      <c r="P17" s="4">
        <f t="shared" si="12"/>
        <v>11.51185552580225</v>
      </c>
      <c r="Q17" s="4">
        <f t="shared" si="12"/>
        <v>13.543139711306791</v>
      </c>
      <c r="R17" s="4">
        <f t="shared" si="12"/>
        <v>15.742028809352956</v>
      </c>
      <c r="S17" s="4">
        <f t="shared" si="12"/>
        <v>18.108898684901838</v>
      </c>
      <c r="T17" s="5">
        <f t="shared" si="12"/>
        <v>20.644099975691681</v>
      </c>
      <c r="U17" s="5">
        <f t="shared" si="12"/>
        <v>23.347961312160493</v>
      </c>
      <c r="V17" s="5">
        <f t="shared" si="12"/>
        <v>26.220791954908119</v>
      </c>
      <c r="W17" s="5">
        <f t="shared" si="12"/>
        <v>29.262883982562947</v>
      </c>
      <c r="X17" s="6">
        <f t="shared" si="12"/>
        <v>32.474514127011844</v>
      </c>
      <c r="Y17" s="6">
        <f t="shared" si="12"/>
        <v>35.855945328105435</v>
      </c>
      <c r="Z17" s="6">
        <f t="shared" si="12"/>
        <v>39.407428062384419</v>
      </c>
      <c r="AA17" s="7">
        <f t="shared" si="12"/>
        <v>43.129201487708876</v>
      </c>
      <c r="AB17" s="7">
        <f t="shared" si="12"/>
        <v>47.021494436381182</v>
      </c>
      <c r="AR17" s="41" t="s">
        <v>10</v>
      </c>
      <c r="AT17" s="71">
        <f>1.359*10^-3*(AT$3/($E$3*10^-3*$E17*10^-3)*(0.507*0.171))^2.0302</f>
        <v>3.8539813229771749</v>
      </c>
      <c r="AU17" s="41" t="s">
        <v>6</v>
      </c>
    </row>
    <row r="18" spans="2:47" ht="15.75" thickBot="1" x14ac:dyDescent="0.3">
      <c r="B18" s="89"/>
      <c r="C18" s="86"/>
      <c r="D18" s="120">
        <v>0.121</v>
      </c>
      <c r="E18" s="16"/>
      <c r="F18" s="26" t="s">
        <v>23</v>
      </c>
      <c r="G18" s="17"/>
      <c r="H18" s="17"/>
      <c r="I18" s="17"/>
      <c r="J18" s="17"/>
      <c r="K18" s="18" t="s">
        <v>12</v>
      </c>
      <c r="L18" s="18">
        <f t="shared" ref="L18:AB18" si="13">-15-114.08+32.01*LN(L$3/($E$3*$E17)*(507*171))+10*LOG($E$3*$E17/(507*171))</f>
        <v>1.9874596753030895</v>
      </c>
      <c r="M18" s="18">
        <f t="shared" si="13"/>
        <v>5.7576946466639392</v>
      </c>
      <c r="N18" s="18">
        <f t="shared" si="13"/>
        <v>9.1302847528709528</v>
      </c>
      <c r="O18" s="18">
        <f t="shared" si="13"/>
        <v>12.181163608407392</v>
      </c>
      <c r="P18" s="18">
        <f t="shared" si="13"/>
        <v>14.966397785845434</v>
      </c>
      <c r="Q18" s="18">
        <f t="shared" si="13"/>
        <v>17.528564858475338</v>
      </c>
      <c r="R18" s="18">
        <f t="shared" si="13"/>
        <v>19.900761047115967</v>
      </c>
      <c r="S18" s="18">
        <f t="shared" si="13"/>
        <v>22.109222863413297</v>
      </c>
      <c r="T18" s="18">
        <f t="shared" si="13"/>
        <v>24.175100925026957</v>
      </c>
      <c r="U18" s="19">
        <f t="shared" si="13"/>
        <v>26.115695069371018</v>
      </c>
      <c r="V18" s="19">
        <f t="shared" si="13"/>
        <v>27.945335896387778</v>
      </c>
      <c r="W18" s="19">
        <f t="shared" si="13"/>
        <v>29.67602764924931</v>
      </c>
      <c r="X18" s="20">
        <f t="shared" si="13"/>
        <v>31.317926002594792</v>
      </c>
      <c r="Y18" s="20">
        <f t="shared" si="13"/>
        <v>32.879699157658315</v>
      </c>
      <c r="Z18" s="20">
        <f t="shared" si="13"/>
        <v>34.368804858131234</v>
      </c>
      <c r="AA18" s="21">
        <f t="shared" si="13"/>
        <v>35.791705778023619</v>
      </c>
      <c r="AB18" s="21">
        <f t="shared" si="13"/>
        <v>37.154039035569305</v>
      </c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R18" s="42" t="s">
        <v>11</v>
      </c>
      <c r="AT18" s="72">
        <f>-15-114.08+32.01*LN(AT$3/($E$3*$E17)*(507*171))+10*LOG($E$3*$E17/(507*171))</f>
        <v>-2.2868802026078718</v>
      </c>
      <c r="AU18" s="42" t="s">
        <v>5</v>
      </c>
    </row>
    <row r="19" spans="2:47" ht="15.75" thickTop="1" x14ac:dyDescent="0.25">
      <c r="K19" s="96">
        <f>(1.033-29.43*10^-3*($E3/$E5))*$H$1*K$3/SQRT($D18)</f>
        <v>2.5766305810470143</v>
      </c>
      <c r="L19" s="96">
        <f t="shared" ref="L19:AB19" si="14">(1.033-29.43*10^-3*($E3/$E5))*$H$1*L$3/SQRT($D18)</f>
        <v>2.9447206640537305</v>
      </c>
      <c r="M19" s="96">
        <f t="shared" si="14"/>
        <v>3.3128107470604466</v>
      </c>
      <c r="N19" s="96">
        <f t="shared" si="14"/>
        <v>3.6809008300671633</v>
      </c>
      <c r="O19" s="96">
        <f t="shared" si="14"/>
        <v>4.0489909130738795</v>
      </c>
      <c r="P19" s="96">
        <f t="shared" si="14"/>
        <v>4.4170809960805952</v>
      </c>
      <c r="Q19" s="96">
        <f t="shared" si="14"/>
        <v>4.7851710790873119</v>
      </c>
      <c r="R19" s="96">
        <f t="shared" si="14"/>
        <v>5.1532611620940285</v>
      </c>
      <c r="S19" s="96">
        <f t="shared" si="14"/>
        <v>5.5213512451007443</v>
      </c>
      <c r="T19" s="96">
        <f t="shared" si="14"/>
        <v>5.8894413281074609</v>
      </c>
      <c r="U19" s="97">
        <f t="shared" si="14"/>
        <v>6.2575314111141775</v>
      </c>
      <c r="V19" s="97">
        <f t="shared" si="14"/>
        <v>6.6256214941208933</v>
      </c>
      <c r="W19" s="97">
        <f t="shared" si="14"/>
        <v>6.9937115771276099</v>
      </c>
      <c r="X19" s="98">
        <f t="shared" si="14"/>
        <v>7.3618016601343266</v>
      </c>
      <c r="Y19" s="98">
        <f t="shared" si="14"/>
        <v>7.7298917431410432</v>
      </c>
      <c r="Z19" s="98">
        <f t="shared" si="14"/>
        <v>8.097981826147759</v>
      </c>
      <c r="AA19" s="103">
        <f t="shared" si="14"/>
        <v>8.4660719091544738</v>
      </c>
      <c r="AB19" s="103">
        <f t="shared" si="14"/>
        <v>8.8341619921611905</v>
      </c>
      <c r="AT19" s="1"/>
      <c r="AU19" s="2"/>
    </row>
    <row r="20" spans="2:47" ht="15.75" thickBot="1" x14ac:dyDescent="0.3">
      <c r="K20" s="96">
        <f>$H$2*K19</f>
        <v>5.1532611620940285</v>
      </c>
      <c r="L20" s="96">
        <f t="shared" ref="L20:AB20" si="15">$H$2*L19</f>
        <v>5.8894413281074609</v>
      </c>
      <c r="M20" s="96">
        <f t="shared" si="15"/>
        <v>6.6256214941208933</v>
      </c>
      <c r="N20" s="96">
        <f t="shared" si="15"/>
        <v>7.3618016601343266</v>
      </c>
      <c r="O20" s="96">
        <f t="shared" si="15"/>
        <v>8.097981826147759</v>
      </c>
      <c r="P20" s="96">
        <f t="shared" si="15"/>
        <v>8.8341619921611905</v>
      </c>
      <c r="Q20" s="96">
        <f t="shared" si="15"/>
        <v>9.5703421581746237</v>
      </c>
      <c r="R20" s="96">
        <f t="shared" si="15"/>
        <v>10.306522324188057</v>
      </c>
      <c r="S20" s="96">
        <f t="shared" si="15"/>
        <v>11.042702490201489</v>
      </c>
      <c r="T20" s="96">
        <f t="shared" si="15"/>
        <v>11.778882656214922</v>
      </c>
      <c r="U20" s="97">
        <f t="shared" si="15"/>
        <v>12.515062822228355</v>
      </c>
      <c r="V20" s="97">
        <f t="shared" si="15"/>
        <v>13.251242988241787</v>
      </c>
      <c r="W20" s="97">
        <f t="shared" si="15"/>
        <v>13.98742315425522</v>
      </c>
      <c r="X20" s="98">
        <f t="shared" si="15"/>
        <v>14.723603320268653</v>
      </c>
      <c r="Y20" s="98">
        <f t="shared" si="15"/>
        <v>15.459783486282086</v>
      </c>
      <c r="Z20" s="98">
        <f t="shared" si="15"/>
        <v>16.195963652295518</v>
      </c>
      <c r="AA20" s="103">
        <f t="shared" si="15"/>
        <v>16.932143818308948</v>
      </c>
      <c r="AB20" s="103">
        <f t="shared" si="15"/>
        <v>17.668323984322381</v>
      </c>
      <c r="AT20" s="1"/>
      <c r="AU20" s="2"/>
    </row>
    <row r="21" spans="2:47" ht="16.5" thickTop="1" thickBot="1" x14ac:dyDescent="0.3">
      <c r="E21" s="1" t="s">
        <v>7</v>
      </c>
      <c r="AT21" s="75"/>
      <c r="AU21" s="77"/>
    </row>
    <row r="22" spans="2:47" ht="16.5" thickTop="1" thickBot="1" x14ac:dyDescent="0.3">
      <c r="B22" s="87" t="s">
        <v>25</v>
      </c>
      <c r="C22" s="82">
        <f>E22+40</f>
        <v>747.5</v>
      </c>
      <c r="D22" s="116" t="s">
        <v>26</v>
      </c>
      <c r="E22" s="14">
        <v>707.5</v>
      </c>
      <c r="F22" s="39"/>
      <c r="H22" s="22">
        <v>40</v>
      </c>
      <c r="I22" s="22">
        <v>50</v>
      </c>
      <c r="J22" s="22">
        <v>60</v>
      </c>
      <c r="K22" s="22">
        <v>70</v>
      </c>
      <c r="L22" s="22">
        <v>80</v>
      </c>
      <c r="M22" s="22">
        <v>90</v>
      </c>
      <c r="N22" s="22">
        <v>100</v>
      </c>
      <c r="O22" s="22">
        <v>110</v>
      </c>
      <c r="P22" s="22">
        <v>120</v>
      </c>
      <c r="Q22" s="22">
        <v>130</v>
      </c>
      <c r="R22" s="22">
        <v>140</v>
      </c>
      <c r="S22" s="22">
        <v>150</v>
      </c>
      <c r="T22" s="22">
        <v>160</v>
      </c>
      <c r="U22" s="22">
        <v>170</v>
      </c>
      <c r="V22" s="22">
        <v>180</v>
      </c>
      <c r="W22" s="22">
        <v>190</v>
      </c>
      <c r="X22" s="22">
        <v>200</v>
      </c>
      <c r="Y22" s="22">
        <v>210</v>
      </c>
      <c r="Z22" s="22">
        <v>220</v>
      </c>
      <c r="AA22" s="22">
        <v>230</v>
      </c>
      <c r="AB22" s="22">
        <v>240</v>
      </c>
      <c r="AC22" s="22">
        <v>250</v>
      </c>
      <c r="AD22" s="22">
        <v>260</v>
      </c>
      <c r="AE22" s="22">
        <v>270</v>
      </c>
      <c r="AF22" s="22">
        <v>280</v>
      </c>
      <c r="AG22" s="23">
        <v>290</v>
      </c>
      <c r="AH22" s="23">
        <v>300</v>
      </c>
      <c r="AI22" s="23"/>
      <c r="AJ22" s="23"/>
      <c r="AK22" s="23"/>
      <c r="AL22" s="23"/>
      <c r="AM22" s="23"/>
      <c r="AN22" s="23"/>
      <c r="AO22" s="23"/>
      <c r="AP22" s="23"/>
      <c r="AR22" s="40" t="s">
        <v>4</v>
      </c>
      <c r="AT22" s="16"/>
      <c r="AU22" s="78"/>
    </row>
    <row r="23" spans="2:47" ht="15.75" thickTop="1" x14ac:dyDescent="0.25">
      <c r="B23" s="88"/>
      <c r="C23" s="83">
        <f>E23+40</f>
        <v>134</v>
      </c>
      <c r="D23" s="115" t="s">
        <v>0</v>
      </c>
      <c r="E23" s="1">
        <v>94</v>
      </c>
      <c r="F23" s="24" t="s">
        <v>22</v>
      </c>
      <c r="H23" s="4">
        <f t="shared" ref="H23:Q23" si="16">1.359*10^-3*(H$22/($E$22*10^-3*$E23*10^-3)*(0.507*0.171))^2.0302</f>
        <v>4.1638849197398473</v>
      </c>
      <c r="I23" s="4">
        <f t="shared" si="16"/>
        <v>6.5500622361141678</v>
      </c>
      <c r="J23" s="4">
        <f t="shared" si="16"/>
        <v>9.4841669928852745</v>
      </c>
      <c r="K23" s="4">
        <f t="shared" si="16"/>
        <v>12.969241118434734</v>
      </c>
      <c r="L23" s="4">
        <f t="shared" si="16"/>
        <v>17.007865599810348</v>
      </c>
      <c r="M23" s="5">
        <f t="shared" si="16"/>
        <v>21.602283752490067</v>
      </c>
      <c r="N23" s="5">
        <f t="shared" si="16"/>
        <v>26.754480570318751</v>
      </c>
      <c r="O23" s="6">
        <f t="shared" si="16"/>
        <v>32.466236886492013</v>
      </c>
      <c r="P23" s="6">
        <f t="shared" si="16"/>
        <v>38.739168024660081</v>
      </c>
      <c r="Q23" s="7">
        <f t="shared" si="16"/>
        <v>45.574752365665979</v>
      </c>
      <c r="AP23" s="3"/>
      <c r="AR23" s="41" t="s">
        <v>10</v>
      </c>
      <c r="AT23" s="71">
        <f>1.359*10^-3*(AT$3/($E$22*10^-3*$E23*10^-3)*(0.507*0.171))^2.0302</f>
        <v>12.969241118434734</v>
      </c>
      <c r="AU23" s="79" t="s">
        <v>6</v>
      </c>
    </row>
    <row r="24" spans="2:47" x14ac:dyDescent="0.25">
      <c r="B24" s="88"/>
      <c r="C24" s="83"/>
      <c r="D24" s="115">
        <f>E$22*E23*10^-6</f>
        <v>6.6504999999999995E-2</v>
      </c>
      <c r="F24" s="25" t="s">
        <v>23</v>
      </c>
      <c r="H24" s="4" t="s">
        <v>12</v>
      </c>
      <c r="I24" s="4">
        <f t="shared" ref="I24:Q24" si="17">-15-114.08+32.01*LN(I$22/($E$22*$E23)*(507*171))+10*LOG($E$40*$E23/(507*171))</f>
        <v>4.5727083329973501</v>
      </c>
      <c r="J24" s="4">
        <f t="shared" si="17"/>
        <v>10.408821365971832</v>
      </c>
      <c r="K24" s="4">
        <f t="shared" si="17"/>
        <v>15.343184627242366</v>
      </c>
      <c r="L24" s="4">
        <f t="shared" si="17"/>
        <v>19.617524505153355</v>
      </c>
      <c r="M24" s="4">
        <f t="shared" si="17"/>
        <v>23.387759476514148</v>
      </c>
      <c r="N24" s="5">
        <f t="shared" si="17"/>
        <v>26.76034958272119</v>
      </c>
      <c r="O24" s="5">
        <f t="shared" si="17"/>
        <v>29.811228438257629</v>
      </c>
      <c r="P24" s="6">
        <f t="shared" si="17"/>
        <v>32.596462615695671</v>
      </c>
      <c r="Q24" s="6">
        <f t="shared" si="17"/>
        <v>35.158629688325547</v>
      </c>
      <c r="AH24" s="12"/>
      <c r="AI24" s="12"/>
      <c r="AP24" s="3"/>
      <c r="AR24" s="41" t="s">
        <v>11</v>
      </c>
      <c r="AT24" s="71">
        <f>-15-114.08+32.01*LN(AT$3/($E$22*$E23)*(507*171))+10*LOG($E$40*$E23/(507*171))</f>
        <v>15.343184627242366</v>
      </c>
      <c r="AU24" s="41" t="s">
        <v>5</v>
      </c>
    </row>
    <row r="25" spans="2:47" s="93" customFormat="1" x14ac:dyDescent="0.25">
      <c r="B25" s="91"/>
      <c r="C25" s="92"/>
      <c r="D25" s="115"/>
      <c r="F25" s="94"/>
      <c r="G25" s="95"/>
      <c r="H25" s="96">
        <f>(1.033-29.43*10^-3*($E22/$E23))*$H$1*H$3/SQRT($D24)</f>
        <v>1.8880282922579079</v>
      </c>
      <c r="I25" s="96">
        <f t="shared" ref="I25:Q25" si="18">(1.033-29.43*10^-3*($E22/$E23))*$H$1*I$3/SQRT($D24)</f>
        <v>2.3600353653223851</v>
      </c>
      <c r="J25" s="96">
        <f t="shared" si="18"/>
        <v>2.8320424383868619</v>
      </c>
      <c r="K25" s="96">
        <f t="shared" si="18"/>
        <v>3.3040495114513391</v>
      </c>
      <c r="L25" s="96">
        <f t="shared" si="18"/>
        <v>3.7760565845158158</v>
      </c>
      <c r="M25" s="96">
        <f t="shared" si="18"/>
        <v>4.2480636575802935</v>
      </c>
      <c r="N25" s="97">
        <f t="shared" si="18"/>
        <v>4.7200707306447702</v>
      </c>
      <c r="O25" s="97">
        <f t="shared" si="18"/>
        <v>5.192077803709247</v>
      </c>
      <c r="P25" s="98">
        <f t="shared" si="18"/>
        <v>5.6640848767737237</v>
      </c>
      <c r="Q25" s="98">
        <f t="shared" si="18"/>
        <v>6.1360919498382014</v>
      </c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9"/>
      <c r="AI25" s="99"/>
      <c r="AJ25" s="95"/>
      <c r="AK25" s="95"/>
      <c r="AL25" s="95"/>
      <c r="AM25" s="95"/>
      <c r="AN25" s="95"/>
      <c r="AO25" s="95"/>
      <c r="AP25" s="95"/>
      <c r="AR25" s="100"/>
      <c r="AT25" s="101"/>
      <c r="AU25" s="100"/>
    </row>
    <row r="26" spans="2:47" s="93" customFormat="1" x14ac:dyDescent="0.25">
      <c r="B26" s="91"/>
      <c r="C26" s="92"/>
      <c r="D26" s="115"/>
      <c r="F26" s="94"/>
      <c r="G26" s="95"/>
      <c r="H26" s="96">
        <f>$H$2*H25</f>
        <v>3.7760565845158158</v>
      </c>
      <c r="I26" s="96">
        <f t="shared" ref="I26:Q26" si="19">$H$2*I25</f>
        <v>4.7200707306447702</v>
      </c>
      <c r="J26" s="96">
        <f t="shared" si="19"/>
        <v>5.6640848767737237</v>
      </c>
      <c r="K26" s="96">
        <f t="shared" si="19"/>
        <v>6.6080990229026781</v>
      </c>
      <c r="L26" s="96">
        <f t="shared" si="19"/>
        <v>7.5521131690316317</v>
      </c>
      <c r="M26" s="96">
        <f t="shared" si="19"/>
        <v>8.4961273151605869</v>
      </c>
      <c r="N26" s="97">
        <f t="shared" si="19"/>
        <v>9.4401414612895405</v>
      </c>
      <c r="O26" s="97">
        <f t="shared" si="19"/>
        <v>10.384155607418494</v>
      </c>
      <c r="P26" s="98">
        <f t="shared" si="19"/>
        <v>11.328169753547447</v>
      </c>
      <c r="Q26" s="98">
        <f t="shared" si="19"/>
        <v>12.272183899676403</v>
      </c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9"/>
      <c r="AI26" s="99"/>
      <c r="AJ26" s="95"/>
      <c r="AK26" s="95"/>
      <c r="AL26" s="95"/>
      <c r="AM26" s="95"/>
      <c r="AN26" s="95"/>
      <c r="AO26" s="95"/>
      <c r="AP26" s="95"/>
      <c r="AR26" s="100"/>
      <c r="AT26" s="101"/>
      <c r="AU26" s="100"/>
    </row>
    <row r="27" spans="2:47" x14ac:dyDescent="0.25">
      <c r="B27" s="88"/>
      <c r="C27" s="85">
        <f>E27+40</f>
        <v>173</v>
      </c>
      <c r="D27" s="119" t="s">
        <v>1</v>
      </c>
      <c r="E27" s="53">
        <v>133</v>
      </c>
      <c r="F27" s="54" t="s">
        <v>22</v>
      </c>
      <c r="H27" s="55"/>
      <c r="I27" s="56">
        <f t="shared" ref="I27:W27" si="20">1.359*10^-3*(I$22/($E$22*10^-3*$E27*10^-3)*(0.507*0.171))^2.0302</f>
        <v>3.2377699900145096</v>
      </c>
      <c r="J27" s="56">
        <f t="shared" si="20"/>
        <v>4.6881312211878221</v>
      </c>
      <c r="K27" s="56">
        <f t="shared" si="20"/>
        <v>6.4108428550507419</v>
      </c>
      <c r="L27" s="56">
        <f t="shared" si="20"/>
        <v>8.4071807027493151</v>
      </c>
      <c r="M27" s="56">
        <f t="shared" si="20"/>
        <v>10.678253660546019</v>
      </c>
      <c r="N27" s="56">
        <f t="shared" si="20"/>
        <v>13.225042933392741</v>
      </c>
      <c r="O27" s="56">
        <f t="shared" si="20"/>
        <v>16.048428807318849</v>
      </c>
      <c r="P27" s="56">
        <f t="shared" si="20"/>
        <v>19.149209755109883</v>
      </c>
      <c r="Q27" s="57">
        <f t="shared" si="20"/>
        <v>22.528116557169781</v>
      </c>
      <c r="R27" s="57">
        <f t="shared" si="20"/>
        <v>26.185823038312918</v>
      </c>
      <c r="S27" s="57">
        <f t="shared" si="20"/>
        <v>30.122954425025419</v>
      </c>
      <c r="T27" s="58">
        <f t="shared" si="20"/>
        <v>34.340093979977979</v>
      </c>
      <c r="U27" s="58">
        <f t="shared" si="20"/>
        <v>38.837788358153801</v>
      </c>
      <c r="V27" s="59">
        <f t="shared" si="20"/>
        <v>43.616551994092212</v>
      </c>
      <c r="W27" s="59">
        <f t="shared" si="20"/>
        <v>48.676870741260551</v>
      </c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66"/>
      <c r="AI27" s="66"/>
      <c r="AJ27" s="66"/>
      <c r="AK27" s="66"/>
      <c r="AL27" s="67"/>
      <c r="AM27" s="55"/>
      <c r="AN27" s="55"/>
      <c r="AO27" s="55"/>
      <c r="AP27" s="55"/>
      <c r="AR27" s="68" t="s">
        <v>10</v>
      </c>
      <c r="AT27" s="76">
        <f>1.359*10^-3*(AT$3/($E$22*10^-3*$E27*10^-3)*(0.507*0.171))^2.0302</f>
        <v>6.4108428550507419</v>
      </c>
      <c r="AU27" s="68" t="s">
        <v>6</v>
      </c>
    </row>
    <row r="28" spans="2:47" x14ac:dyDescent="0.25">
      <c r="B28" s="88" t="s">
        <v>9</v>
      </c>
      <c r="C28" s="84"/>
      <c r="D28" s="115">
        <f>E$22*E27*10^-6</f>
        <v>9.4097500000000001E-2</v>
      </c>
      <c r="E28" s="44"/>
      <c r="F28" s="45" t="s">
        <v>23</v>
      </c>
      <c r="H28" s="49"/>
      <c r="I28" s="46" t="s">
        <v>12</v>
      </c>
      <c r="J28" s="46" t="s">
        <v>12</v>
      </c>
      <c r="K28" s="46">
        <f t="shared" ref="K28:W28" si="21">-15-114.08+32.01*LN(K$22/($E$22*$E27)*(507*171))+10*LOG($E$40*$E27/(507*171))</f>
        <v>5.7412128870007253</v>
      </c>
      <c r="L28" s="46">
        <f t="shared" si="21"/>
        <v>10.015552764911687</v>
      </c>
      <c r="M28" s="46">
        <f t="shared" si="21"/>
        <v>13.785787736272509</v>
      </c>
      <c r="N28" s="46">
        <f t="shared" si="21"/>
        <v>17.158377842479549</v>
      </c>
      <c r="O28" s="46">
        <f t="shared" si="21"/>
        <v>20.209256698015988</v>
      </c>
      <c r="P28" s="46">
        <f t="shared" si="21"/>
        <v>22.99449087545403</v>
      </c>
      <c r="Q28" s="47">
        <f t="shared" si="21"/>
        <v>25.556657948083934</v>
      </c>
      <c r="R28" s="47">
        <f t="shared" si="21"/>
        <v>27.928854136724564</v>
      </c>
      <c r="S28" s="47">
        <f t="shared" si="21"/>
        <v>30.137315953021893</v>
      </c>
      <c r="T28" s="48">
        <f t="shared" si="21"/>
        <v>32.203194014635557</v>
      </c>
      <c r="U28" s="48">
        <f t="shared" si="21"/>
        <v>34.143788158979618</v>
      </c>
      <c r="V28" s="60">
        <f t="shared" si="21"/>
        <v>35.973428985996378</v>
      </c>
      <c r="W28" s="60">
        <f t="shared" si="21"/>
        <v>37.70412073885791</v>
      </c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69"/>
      <c r="AI28" s="69"/>
      <c r="AJ28" s="69"/>
      <c r="AK28" s="69"/>
      <c r="AL28" s="70"/>
      <c r="AM28" s="49"/>
      <c r="AN28" s="49"/>
      <c r="AO28" s="49"/>
      <c r="AP28" s="49"/>
      <c r="AR28" s="51" t="s">
        <v>11</v>
      </c>
      <c r="AT28" s="74">
        <f>-15-114.08+32.01*LN(AT$3/($E$22*$E27)*(507*171))+10*LOG($E$40*$E27/(507*171))</f>
        <v>5.7412128870007253</v>
      </c>
      <c r="AU28" s="51" t="s">
        <v>5</v>
      </c>
    </row>
    <row r="29" spans="2:47" x14ac:dyDescent="0.25">
      <c r="B29" s="88"/>
      <c r="C29" s="83"/>
      <c r="F29" s="25"/>
      <c r="I29" s="96">
        <f>(1.033-29.43*10^-3*($E22/$E23))*$H$1*I$3/SQRT($D28)</f>
        <v>1.9840682952027096</v>
      </c>
      <c r="J29" s="96">
        <f t="shared" ref="J29:W29" si="22">(1.033-29.43*10^-3*($E22/$E23))*$H$1*J$3/SQRT($D28)</f>
        <v>2.3808819542432516</v>
      </c>
      <c r="K29" s="96">
        <f t="shared" si="22"/>
        <v>2.7776956132837936</v>
      </c>
      <c r="L29" s="96">
        <f t="shared" si="22"/>
        <v>3.1745092723243351</v>
      </c>
      <c r="M29" s="96">
        <f t="shared" si="22"/>
        <v>3.5713229313648771</v>
      </c>
      <c r="N29" s="96">
        <f t="shared" si="22"/>
        <v>3.9681365904054191</v>
      </c>
      <c r="O29" s="96">
        <f t="shared" si="22"/>
        <v>4.3649502494459602</v>
      </c>
      <c r="P29" s="96">
        <f t="shared" si="22"/>
        <v>4.7617639084865031</v>
      </c>
      <c r="Q29" s="97">
        <f t="shared" si="22"/>
        <v>5.1585775675270451</v>
      </c>
      <c r="R29" s="97">
        <f t="shared" si="22"/>
        <v>5.5553912265675871</v>
      </c>
      <c r="S29" s="97">
        <f t="shared" si="22"/>
        <v>5.9522048856081282</v>
      </c>
      <c r="T29" s="98">
        <f t="shared" si="22"/>
        <v>6.3490185446486702</v>
      </c>
      <c r="U29" s="98">
        <f t="shared" si="22"/>
        <v>6.7458322036892122</v>
      </c>
      <c r="V29" s="103">
        <f t="shared" si="22"/>
        <v>7.1426458627297542</v>
      </c>
      <c r="W29" s="103">
        <f t="shared" si="22"/>
        <v>7.5394595217702962</v>
      </c>
      <c r="AH29" s="90"/>
      <c r="AI29" s="90"/>
      <c r="AJ29" s="90"/>
      <c r="AK29" s="90"/>
      <c r="AL29" s="12"/>
      <c r="AP29" s="3"/>
      <c r="AR29" s="41"/>
      <c r="AT29" s="71"/>
      <c r="AU29" s="41"/>
    </row>
    <row r="30" spans="2:47" x14ac:dyDescent="0.25">
      <c r="B30" s="88"/>
      <c r="C30" s="83"/>
      <c r="F30" s="25"/>
      <c r="I30" s="96">
        <f>$H$2*I29</f>
        <v>3.9681365904054191</v>
      </c>
      <c r="J30" s="96">
        <f t="shared" ref="J30:W30" si="23">$H$2*J29</f>
        <v>4.7617639084865031</v>
      </c>
      <c r="K30" s="96">
        <f t="shared" si="23"/>
        <v>5.5553912265675871</v>
      </c>
      <c r="L30" s="96">
        <f t="shared" si="23"/>
        <v>6.3490185446486702</v>
      </c>
      <c r="M30" s="96">
        <f t="shared" si="23"/>
        <v>7.1426458627297542</v>
      </c>
      <c r="N30" s="96">
        <f t="shared" si="23"/>
        <v>7.9362731808108382</v>
      </c>
      <c r="O30" s="96">
        <f t="shared" si="23"/>
        <v>8.7299004988919204</v>
      </c>
      <c r="P30" s="96">
        <f t="shared" si="23"/>
        <v>9.5235278169730062</v>
      </c>
      <c r="Q30" s="97">
        <f t="shared" si="23"/>
        <v>10.31715513505409</v>
      </c>
      <c r="R30" s="97">
        <f t="shared" si="23"/>
        <v>11.110782453135174</v>
      </c>
      <c r="S30" s="97">
        <f t="shared" si="23"/>
        <v>11.904409771216256</v>
      </c>
      <c r="T30" s="98">
        <f t="shared" si="23"/>
        <v>12.69803708929734</v>
      </c>
      <c r="U30" s="98">
        <f t="shared" si="23"/>
        <v>13.491664407378424</v>
      </c>
      <c r="V30" s="103">
        <f t="shared" si="23"/>
        <v>14.285291725459508</v>
      </c>
      <c r="W30" s="103">
        <f t="shared" si="23"/>
        <v>15.078919043540592</v>
      </c>
      <c r="AH30" s="90"/>
      <c r="AI30" s="90"/>
      <c r="AJ30" s="90"/>
      <c r="AK30" s="90"/>
      <c r="AL30" s="12"/>
      <c r="AP30" s="3"/>
      <c r="AR30" s="41"/>
      <c r="AT30" s="71"/>
      <c r="AU30" s="41"/>
    </row>
    <row r="31" spans="2:47" x14ac:dyDescent="0.25">
      <c r="B31" s="15" t="s">
        <v>26</v>
      </c>
      <c r="C31" s="83">
        <f>E31+40</f>
        <v>212</v>
      </c>
      <c r="D31" s="115" t="s">
        <v>2</v>
      </c>
      <c r="E31" s="1">
        <v>172</v>
      </c>
      <c r="F31" s="25" t="s">
        <v>22</v>
      </c>
      <c r="J31" s="4">
        <f t="shared" ref="J31:AC31" si="24">1.359*10^-3*(J$22/($E$22*10^-3*$E31*10^-3)*(0.507*0.171))^2.0302</f>
        <v>2.7814644123442829</v>
      </c>
      <c r="K31" s="4">
        <f t="shared" si="24"/>
        <v>3.8035478132238225</v>
      </c>
      <c r="L31" s="4">
        <f t="shared" si="24"/>
        <v>4.9879734225783929</v>
      </c>
      <c r="M31" s="4">
        <f t="shared" si="24"/>
        <v>6.3353991476519553</v>
      </c>
      <c r="N31" s="4">
        <f t="shared" si="24"/>
        <v>7.8464071365385069</v>
      </c>
      <c r="O31" s="4">
        <f t="shared" si="24"/>
        <v>9.5215196622180613</v>
      </c>
      <c r="P31" s="4">
        <f t="shared" si="24"/>
        <v>11.361210457939992</v>
      </c>
      <c r="Q31" s="4">
        <f t="shared" si="24"/>
        <v>13.365913095119245</v>
      </c>
      <c r="R31" s="4">
        <f t="shared" si="24"/>
        <v>15.536027353466086</v>
      </c>
      <c r="S31" s="4">
        <f t="shared" si="24"/>
        <v>17.871924179342479</v>
      </c>
      <c r="T31" s="5">
        <f t="shared" si="24"/>
        <v>20.373949622013004</v>
      </c>
      <c r="U31" s="5">
        <f t="shared" si="24"/>
        <v>23.042428011431355</v>
      </c>
      <c r="V31" s="5">
        <f t="shared" si="24"/>
        <v>25.877664561188158</v>
      </c>
      <c r="W31" s="5">
        <f t="shared" si="24"/>
        <v>28.879947527747479</v>
      </c>
      <c r="X31" s="6">
        <f t="shared" si="24"/>
        <v>32.049550021660401</v>
      </c>
      <c r="Y31" s="6">
        <f t="shared" si="24"/>
        <v>35.386731541925514</v>
      </c>
      <c r="Z31" s="6">
        <f t="shared" si="24"/>
        <v>38.891739287327418</v>
      </c>
      <c r="AA31" s="7">
        <f t="shared" si="24"/>
        <v>42.564809286087119</v>
      </c>
      <c r="AB31" s="7">
        <f t="shared" si="24"/>
        <v>46.406167375988822</v>
      </c>
      <c r="AC31" s="7">
        <f t="shared" si="24"/>
        <v>50.416030060323017</v>
      </c>
      <c r="AH31" s="13"/>
      <c r="AI31" s="43"/>
      <c r="AP31" s="3"/>
      <c r="AR31" s="41" t="s">
        <v>10</v>
      </c>
      <c r="AT31" s="71">
        <f>1.359*10^-3*(AT$3/($E$22*10^-3*$E31*10^-3)*(0.507*0.171))^2.0302</f>
        <v>3.8035478132238225</v>
      </c>
      <c r="AU31" s="41" t="s">
        <v>6</v>
      </c>
    </row>
    <row r="32" spans="2:47" x14ac:dyDescent="0.25">
      <c r="B32" s="88"/>
      <c r="C32" s="83"/>
      <c r="D32" s="115">
        <f>E$22*E31*10^-6</f>
        <v>0.12168999999999999</v>
      </c>
      <c r="F32" s="25" t="s">
        <v>23</v>
      </c>
      <c r="J32" s="4" t="s">
        <v>12</v>
      </c>
      <c r="K32" s="4" t="s">
        <v>12</v>
      </c>
      <c r="L32" s="4" t="s">
        <v>12</v>
      </c>
      <c r="M32" s="4">
        <f t="shared" ref="M32:AC32" si="25">-15-114.08+32.01*LN(M$22/($E$22*$E31)*(507*171))+10*LOG($E$40*$E31/(507*171))</f>
        <v>6.671333187256872</v>
      </c>
      <c r="N32" s="4">
        <f t="shared" si="25"/>
        <v>10.043923293463857</v>
      </c>
      <c r="O32" s="4">
        <f t="shared" si="25"/>
        <v>13.094802149000325</v>
      </c>
      <c r="P32" s="4">
        <f t="shared" si="25"/>
        <v>15.880036326438367</v>
      </c>
      <c r="Q32" s="4">
        <f t="shared" si="25"/>
        <v>18.442203399068269</v>
      </c>
      <c r="R32" s="4">
        <f t="shared" si="25"/>
        <v>20.814399587708898</v>
      </c>
      <c r="S32" s="4">
        <f t="shared" si="25"/>
        <v>23.022861404006228</v>
      </c>
      <c r="T32" s="4">
        <f t="shared" si="25"/>
        <v>25.088739465619859</v>
      </c>
      <c r="U32" s="5">
        <f t="shared" si="25"/>
        <v>27.029333609963977</v>
      </c>
      <c r="V32" s="5">
        <f t="shared" si="25"/>
        <v>28.858974436980709</v>
      </c>
      <c r="W32" s="6">
        <f t="shared" si="25"/>
        <v>30.589666189842241</v>
      </c>
      <c r="X32" s="6">
        <f t="shared" si="25"/>
        <v>32.231564543187723</v>
      </c>
      <c r="Y32" s="6">
        <f t="shared" si="25"/>
        <v>33.793337698251243</v>
      </c>
      <c r="Z32" s="6">
        <f t="shared" si="25"/>
        <v>35.28244339872419</v>
      </c>
      <c r="AA32" s="7">
        <f t="shared" si="25"/>
        <v>36.705344318616575</v>
      </c>
      <c r="AB32" s="7">
        <f t="shared" si="25"/>
        <v>38.067677576162204</v>
      </c>
      <c r="AC32" s="7">
        <f t="shared" si="25"/>
        <v>39.374389620755558</v>
      </c>
      <c r="AP32" s="3"/>
      <c r="AR32" s="41" t="s">
        <v>11</v>
      </c>
      <c r="AT32" s="71">
        <f>-15-114.08+32.01*LN(AT$3/($E$22*$E31)*(507*171))+10*LOG($E$40*$E31/(507*171))</f>
        <v>-1.373241662014939</v>
      </c>
      <c r="AU32" s="41" t="s">
        <v>5</v>
      </c>
    </row>
    <row r="33" spans="2:47" x14ac:dyDescent="0.25">
      <c r="B33" s="88"/>
      <c r="C33" s="83"/>
      <c r="F33" s="25"/>
      <c r="J33" s="96">
        <f>(1.033-29.43*10^-3*($E22/$E23))*$H$1*J$3/SQRT($D32)</f>
        <v>2.0936277226293272</v>
      </c>
      <c r="K33" s="96">
        <f t="shared" ref="K33:AC33" si="26">(1.033-29.43*10^-3*($E22/$E23))*$H$1*K$3/SQRT($D32)</f>
        <v>2.4425656764008821</v>
      </c>
      <c r="L33" s="96">
        <f t="shared" si="26"/>
        <v>2.7915036301724361</v>
      </c>
      <c r="M33" s="96">
        <f t="shared" si="26"/>
        <v>3.140441583943991</v>
      </c>
      <c r="N33" s="96">
        <f t="shared" si="26"/>
        <v>3.4893795377155459</v>
      </c>
      <c r="O33" s="96">
        <f t="shared" si="26"/>
        <v>3.8383174914870999</v>
      </c>
      <c r="P33" s="96">
        <f t="shared" si="26"/>
        <v>4.1872554452586543</v>
      </c>
      <c r="Q33" s="96">
        <f t="shared" si="26"/>
        <v>4.5361933990302088</v>
      </c>
      <c r="R33" s="96">
        <f t="shared" si="26"/>
        <v>4.8851313528017641</v>
      </c>
      <c r="S33" s="96">
        <f t="shared" si="26"/>
        <v>5.2340693065733177</v>
      </c>
      <c r="T33" s="96">
        <f t="shared" si="26"/>
        <v>5.5830072603448722</v>
      </c>
      <c r="U33" s="97">
        <f t="shared" si="26"/>
        <v>5.9319452141164275</v>
      </c>
      <c r="V33" s="97">
        <f t="shared" si="26"/>
        <v>6.280883167887982</v>
      </c>
      <c r="W33" s="98">
        <f t="shared" si="26"/>
        <v>6.6298211216595364</v>
      </c>
      <c r="X33" s="98">
        <f t="shared" si="26"/>
        <v>6.9787590754310918</v>
      </c>
      <c r="Y33" s="98">
        <f t="shared" si="26"/>
        <v>7.3276970292026462</v>
      </c>
      <c r="Z33" s="98">
        <f t="shared" si="26"/>
        <v>7.6766349829741998</v>
      </c>
      <c r="AA33" s="103">
        <f t="shared" si="26"/>
        <v>8.0255729367457533</v>
      </c>
      <c r="AB33" s="103">
        <f t="shared" si="26"/>
        <v>8.3745108905173087</v>
      </c>
      <c r="AC33" s="103">
        <f t="shared" si="26"/>
        <v>8.723448844288864</v>
      </c>
      <c r="AP33" s="3"/>
      <c r="AR33" s="41"/>
      <c r="AT33" s="71"/>
      <c r="AU33" s="41"/>
    </row>
    <row r="34" spans="2:47" x14ac:dyDescent="0.25">
      <c r="B34" s="88"/>
      <c r="C34" s="83"/>
      <c r="F34" s="25"/>
      <c r="J34" s="96">
        <f>$H$2*J33</f>
        <v>4.1872554452586543</v>
      </c>
      <c r="K34" s="96">
        <f t="shared" ref="K34:AC34" si="27">$H$2*K33</f>
        <v>4.8851313528017641</v>
      </c>
      <c r="L34" s="96">
        <f t="shared" si="27"/>
        <v>5.5830072603448722</v>
      </c>
      <c r="M34" s="96">
        <f t="shared" si="27"/>
        <v>6.280883167887982</v>
      </c>
      <c r="N34" s="96">
        <f t="shared" si="27"/>
        <v>6.9787590754310918</v>
      </c>
      <c r="O34" s="96">
        <f t="shared" si="27"/>
        <v>7.6766349829741998</v>
      </c>
      <c r="P34" s="96">
        <f t="shared" si="27"/>
        <v>8.3745108905173087</v>
      </c>
      <c r="Q34" s="96">
        <f t="shared" si="27"/>
        <v>9.0723867980604176</v>
      </c>
      <c r="R34" s="96">
        <f t="shared" si="27"/>
        <v>9.7702627056035283</v>
      </c>
      <c r="S34" s="96">
        <f t="shared" si="27"/>
        <v>10.468138613146635</v>
      </c>
      <c r="T34" s="96">
        <f t="shared" si="27"/>
        <v>11.166014520689744</v>
      </c>
      <c r="U34" s="97">
        <f t="shared" si="27"/>
        <v>11.863890428232855</v>
      </c>
      <c r="V34" s="97">
        <f t="shared" si="27"/>
        <v>12.561766335775964</v>
      </c>
      <c r="W34" s="98">
        <f t="shared" si="27"/>
        <v>13.259642243319073</v>
      </c>
      <c r="X34" s="98">
        <f t="shared" si="27"/>
        <v>13.957518150862184</v>
      </c>
      <c r="Y34" s="98">
        <f t="shared" si="27"/>
        <v>14.655394058405292</v>
      </c>
      <c r="Z34" s="98">
        <f t="shared" si="27"/>
        <v>15.3532699659484</v>
      </c>
      <c r="AA34" s="103">
        <f t="shared" si="27"/>
        <v>16.051145873491507</v>
      </c>
      <c r="AB34" s="103">
        <f t="shared" si="27"/>
        <v>16.749021781034617</v>
      </c>
      <c r="AC34" s="103">
        <f t="shared" si="27"/>
        <v>17.446897688577728</v>
      </c>
      <c r="AP34" s="3"/>
      <c r="AR34" s="41"/>
      <c r="AT34" s="71"/>
      <c r="AU34" s="41"/>
    </row>
    <row r="35" spans="2:47" x14ac:dyDescent="0.25">
      <c r="B35" s="88"/>
      <c r="C35" s="85">
        <f>E35+40</f>
        <v>251</v>
      </c>
      <c r="D35" s="119" t="s">
        <v>3</v>
      </c>
      <c r="E35" s="53">
        <v>211</v>
      </c>
      <c r="F35" s="54" t="s">
        <v>22</v>
      </c>
      <c r="H35" s="55"/>
      <c r="I35" s="55"/>
      <c r="J35" s="55"/>
      <c r="K35" s="56">
        <f t="shared" ref="K35:AH35" si="28">1.359*10^-3*(K$22/($E$22*10^-3*$E35*10^-3)*(0.507*0.171))^2.0302</f>
        <v>2.5118892781593867</v>
      </c>
      <c r="L35" s="56">
        <f t="shared" si="28"/>
        <v>3.2940921411210251</v>
      </c>
      <c r="M35" s="56">
        <f t="shared" si="28"/>
        <v>4.183941407682422</v>
      </c>
      <c r="N35" s="56">
        <f t="shared" si="28"/>
        <v>5.1818215324705355</v>
      </c>
      <c r="O35" s="56">
        <f t="shared" si="28"/>
        <v>6.2880774281729641</v>
      </c>
      <c r="P35" s="56">
        <f t="shared" si="28"/>
        <v>7.5030219515035821</v>
      </c>
      <c r="Q35" s="56">
        <f t="shared" si="28"/>
        <v>8.8269414360230609</v>
      </c>
      <c r="R35" s="56">
        <f t="shared" si="28"/>
        <v>10.260099899016589</v>
      </c>
      <c r="S35" s="56">
        <f t="shared" si="28"/>
        <v>11.802742316026771</v>
      </c>
      <c r="T35" s="56">
        <f t="shared" si="28"/>
        <v>13.455097220380976</v>
      </c>
      <c r="U35" s="56">
        <f t="shared" si="28"/>
        <v>15.217378801823386</v>
      </c>
      <c r="V35" s="56">
        <f t="shared" si="28"/>
        <v>17.089788625519912</v>
      </c>
      <c r="W35" s="56">
        <f t="shared" si="28"/>
        <v>19.072517058032815</v>
      </c>
      <c r="X35" s="57">
        <f t="shared" si="28"/>
        <v>21.16574446345853</v>
      </c>
      <c r="Y35" s="57">
        <f t="shared" si="28"/>
        <v>23.369642216730224</v>
      </c>
      <c r="Z35" s="57">
        <f t="shared" si="28"/>
        <v>25.684373569634754</v>
      </c>
      <c r="AA35" s="57">
        <f t="shared" si="28"/>
        <v>28.110094396841372</v>
      </c>
      <c r="AB35" s="58">
        <f t="shared" si="28"/>
        <v>30.64695384318469</v>
      </c>
      <c r="AC35" s="58">
        <f t="shared" si="28"/>
        <v>33.295094888934649</v>
      </c>
      <c r="AD35" s="58">
        <f t="shared" si="28"/>
        <v>36.054654846382462</v>
      </c>
      <c r="AE35" s="58">
        <f t="shared" si="28"/>
        <v>38.925765798462258</v>
      </c>
      <c r="AF35" s="59">
        <f t="shared" si="28"/>
        <v>41.908554988115391</v>
      </c>
      <c r="AG35" s="59">
        <f t="shared" si="28"/>
        <v>45.003145165522724</v>
      </c>
      <c r="AH35" s="59">
        <f t="shared" si="28"/>
        <v>48.209654899088683</v>
      </c>
      <c r="AI35" s="55"/>
      <c r="AJ35" s="55"/>
      <c r="AK35" s="55"/>
      <c r="AL35" s="55"/>
      <c r="AM35" s="55"/>
      <c r="AN35" s="55"/>
      <c r="AO35" s="55"/>
      <c r="AP35" s="55"/>
      <c r="AR35" s="68" t="s">
        <v>10</v>
      </c>
      <c r="AT35" s="76">
        <f>1.359*10^-3*(AT$3/($E$22*10^-3*$E35*10^-3)*(0.507*0.171))^2.0302</f>
        <v>2.5118892781593867</v>
      </c>
      <c r="AU35" s="68" t="s">
        <v>6</v>
      </c>
    </row>
    <row r="36" spans="2:47" ht="15.75" thickBot="1" x14ac:dyDescent="0.3">
      <c r="B36" s="89"/>
      <c r="C36" s="86"/>
      <c r="D36" s="115">
        <f>E$22*E35*10^-6</f>
        <v>0.14928249999999998</v>
      </c>
      <c r="E36" s="16"/>
      <c r="F36" s="26" t="s">
        <v>23</v>
      </c>
      <c r="H36" s="17"/>
      <c r="I36" s="17"/>
      <c r="J36" s="17"/>
      <c r="K36" s="18" t="s">
        <v>12</v>
      </c>
      <c r="L36" s="18" t="s">
        <v>12</v>
      </c>
      <c r="M36" s="18" t="s">
        <v>12</v>
      </c>
      <c r="N36" s="18" t="s">
        <v>12</v>
      </c>
      <c r="O36" s="18">
        <f t="shared" ref="O36:AH36" si="29">-15-114.08+32.01*LN(O$22/($E$22*$E35)*(507*171))+10*LOG($E$40*$E35/(507*171))</f>
        <v>7.4406615831315044</v>
      </c>
      <c r="P36" s="18">
        <f t="shared" si="29"/>
        <v>10.225895760569546</v>
      </c>
      <c r="Q36" s="18">
        <f t="shared" si="29"/>
        <v>12.788062833199451</v>
      </c>
      <c r="R36" s="18">
        <f t="shared" si="29"/>
        <v>15.16025902184008</v>
      </c>
      <c r="S36" s="18">
        <f t="shared" si="29"/>
        <v>17.36872083813741</v>
      </c>
      <c r="T36" s="18">
        <f t="shared" si="29"/>
        <v>19.434598899751069</v>
      </c>
      <c r="U36" s="18">
        <f t="shared" si="29"/>
        <v>21.375193044095131</v>
      </c>
      <c r="V36" s="18">
        <f t="shared" si="29"/>
        <v>23.204833871111891</v>
      </c>
      <c r="W36" s="18">
        <f t="shared" si="29"/>
        <v>24.935525623973394</v>
      </c>
      <c r="X36" s="19">
        <f t="shared" si="29"/>
        <v>26.577423977318904</v>
      </c>
      <c r="Y36" s="19">
        <f t="shared" si="29"/>
        <v>28.139197132382424</v>
      </c>
      <c r="Z36" s="19">
        <f t="shared" si="29"/>
        <v>29.628302832855343</v>
      </c>
      <c r="AA36" s="20">
        <f t="shared" si="29"/>
        <v>31.051203752747728</v>
      </c>
      <c r="AB36" s="20">
        <f t="shared" si="29"/>
        <v>32.413537010293417</v>
      </c>
      <c r="AC36" s="20">
        <f t="shared" si="29"/>
        <v>33.720249054886771</v>
      </c>
      <c r="AD36" s="20">
        <f t="shared" si="29"/>
        <v>34.975704082923322</v>
      </c>
      <c r="AE36" s="21">
        <f t="shared" si="29"/>
        <v>36.183771981654239</v>
      </c>
      <c r="AF36" s="21">
        <f t="shared" si="29"/>
        <v>37.347900271563951</v>
      </c>
      <c r="AG36" s="21">
        <f t="shared" si="29"/>
        <v>38.471173418722707</v>
      </c>
      <c r="AH36" s="21">
        <f t="shared" si="29"/>
        <v>39.556362087861253</v>
      </c>
      <c r="AI36" s="17"/>
      <c r="AJ36" s="17"/>
      <c r="AK36" s="17"/>
      <c r="AL36" s="17"/>
      <c r="AM36" s="17"/>
      <c r="AN36" s="17"/>
      <c r="AO36" s="17"/>
      <c r="AP36" s="17"/>
      <c r="AR36" s="42" t="s">
        <v>11</v>
      </c>
      <c r="AT36" s="72">
        <f>-15-114.08+32.01*LN(AT$3/($E$22*$E35)*(507*171))+10*LOG($E$40*$E35/(507*171))</f>
        <v>-7.0273822278837592</v>
      </c>
      <c r="AU36" s="42" t="s">
        <v>5</v>
      </c>
    </row>
    <row r="37" spans="2:47" ht="15.75" thickTop="1" x14ac:dyDescent="0.25">
      <c r="K37" s="96">
        <f>(1.033-29.43*10^-3*($E22/$E23))*$H$1*K$3/SQRT($D36)</f>
        <v>2.2053079637573574</v>
      </c>
      <c r="L37" s="96">
        <f t="shared" ref="L37:AH37" si="30">(1.033-29.43*10^-3*($E22/$E23))*$H$1*L$3/SQRT($D36)</f>
        <v>2.5203519585798366</v>
      </c>
      <c r="M37" s="96">
        <f t="shared" si="30"/>
        <v>2.8353959534023163</v>
      </c>
      <c r="N37" s="96">
        <f t="shared" si="30"/>
        <v>3.150439948224796</v>
      </c>
      <c r="O37" s="96">
        <f t="shared" si="30"/>
        <v>3.4654839430472753</v>
      </c>
      <c r="P37" s="96">
        <f t="shared" si="30"/>
        <v>3.7805279378697549</v>
      </c>
      <c r="Q37" s="96">
        <f t="shared" si="30"/>
        <v>4.0955719326922351</v>
      </c>
      <c r="R37" s="96">
        <f t="shared" si="30"/>
        <v>4.4106159275147148</v>
      </c>
      <c r="S37" s="96">
        <f t="shared" si="30"/>
        <v>4.7256599223371936</v>
      </c>
      <c r="T37" s="96">
        <f t="shared" si="30"/>
        <v>5.0407039171596733</v>
      </c>
      <c r="U37" s="96">
        <f t="shared" si="30"/>
        <v>5.3557479119821529</v>
      </c>
      <c r="V37" s="96">
        <f t="shared" si="30"/>
        <v>5.6707919068046326</v>
      </c>
      <c r="W37" s="96">
        <f t="shared" si="30"/>
        <v>5.9858359016271123</v>
      </c>
      <c r="X37" s="97">
        <f t="shared" si="30"/>
        <v>6.300879896449592</v>
      </c>
      <c r="Y37" s="97">
        <f t="shared" si="30"/>
        <v>6.6159238912720717</v>
      </c>
      <c r="Z37" s="97">
        <f t="shared" si="30"/>
        <v>6.9309678860945505</v>
      </c>
      <c r="AA37" s="98">
        <f t="shared" si="30"/>
        <v>7.2460118809170302</v>
      </c>
      <c r="AB37" s="98">
        <f t="shared" si="30"/>
        <v>7.5610558757395099</v>
      </c>
      <c r="AC37" s="98">
        <f t="shared" si="30"/>
        <v>7.8760998705619896</v>
      </c>
      <c r="AD37" s="98">
        <f t="shared" si="30"/>
        <v>8.1911438653844701</v>
      </c>
      <c r="AE37" s="103">
        <f t="shared" si="30"/>
        <v>8.5061878602069498</v>
      </c>
      <c r="AF37" s="103">
        <f t="shared" si="30"/>
        <v>8.8212318550294295</v>
      </c>
      <c r="AG37" s="103">
        <f t="shared" si="30"/>
        <v>9.1362758498519092</v>
      </c>
      <c r="AH37" s="103">
        <f t="shared" si="30"/>
        <v>9.4513198446743871</v>
      </c>
      <c r="AT37" s="1"/>
      <c r="AU37" s="2"/>
    </row>
    <row r="38" spans="2:47" ht="15.75" thickBot="1" x14ac:dyDescent="0.3">
      <c r="K38" s="96">
        <f>$H$2*K37</f>
        <v>4.4106159275147148</v>
      </c>
      <c r="L38" s="96">
        <f t="shared" ref="L38:AH38" si="31">$H$2*L37</f>
        <v>5.0407039171596733</v>
      </c>
      <c r="M38" s="96">
        <f t="shared" si="31"/>
        <v>5.6707919068046326</v>
      </c>
      <c r="N38" s="96">
        <f t="shared" si="31"/>
        <v>6.300879896449592</v>
      </c>
      <c r="O38" s="96">
        <f t="shared" si="31"/>
        <v>6.9309678860945505</v>
      </c>
      <c r="P38" s="96">
        <f t="shared" si="31"/>
        <v>7.5610558757395099</v>
      </c>
      <c r="Q38" s="96">
        <f t="shared" si="31"/>
        <v>8.1911438653844701</v>
      </c>
      <c r="R38" s="96">
        <f t="shared" si="31"/>
        <v>8.8212318550294295</v>
      </c>
      <c r="S38" s="96">
        <f t="shared" si="31"/>
        <v>9.4513198446743871</v>
      </c>
      <c r="T38" s="96">
        <f t="shared" si="31"/>
        <v>10.081407834319347</v>
      </c>
      <c r="U38" s="96">
        <f t="shared" si="31"/>
        <v>10.711495823964306</v>
      </c>
      <c r="V38" s="96">
        <f t="shared" si="31"/>
        <v>11.341583813609265</v>
      </c>
      <c r="W38" s="96">
        <f t="shared" si="31"/>
        <v>11.971671803254225</v>
      </c>
      <c r="X38" s="97">
        <f t="shared" si="31"/>
        <v>12.601759792899184</v>
      </c>
      <c r="Y38" s="97">
        <f t="shared" si="31"/>
        <v>13.231847782544143</v>
      </c>
      <c r="Z38" s="97">
        <f t="shared" si="31"/>
        <v>13.861935772189101</v>
      </c>
      <c r="AA38" s="98">
        <f t="shared" si="31"/>
        <v>14.49202376183406</v>
      </c>
      <c r="AB38" s="98">
        <f t="shared" si="31"/>
        <v>15.12211175147902</v>
      </c>
      <c r="AC38" s="98">
        <f t="shared" si="31"/>
        <v>15.752199741123979</v>
      </c>
      <c r="AD38" s="98">
        <f t="shared" si="31"/>
        <v>16.38228773076894</v>
      </c>
      <c r="AE38" s="103">
        <f t="shared" si="31"/>
        <v>17.0123757204139</v>
      </c>
      <c r="AF38" s="103">
        <f t="shared" si="31"/>
        <v>17.642463710058859</v>
      </c>
      <c r="AG38" s="103">
        <f t="shared" si="31"/>
        <v>18.272551699703818</v>
      </c>
      <c r="AH38" s="103">
        <f t="shared" si="31"/>
        <v>18.902639689348774</v>
      </c>
      <c r="AT38" s="1"/>
      <c r="AU38" s="2"/>
    </row>
    <row r="39" spans="2:47" ht="16.5" thickTop="1" thickBot="1" x14ac:dyDescent="0.3">
      <c r="E39" s="1" t="s">
        <v>7</v>
      </c>
      <c r="AT39" s="75"/>
      <c r="AU39" s="77"/>
    </row>
    <row r="40" spans="2:47" ht="16.5" thickTop="1" thickBot="1" x14ac:dyDescent="0.3">
      <c r="B40" s="87" t="s">
        <v>25</v>
      </c>
      <c r="C40" s="82">
        <f>E40+40</f>
        <v>950</v>
      </c>
      <c r="D40" s="116" t="s">
        <v>26</v>
      </c>
      <c r="E40" s="14">
        <v>910</v>
      </c>
      <c r="F40" s="39"/>
      <c r="I40" s="22">
        <v>50</v>
      </c>
      <c r="J40" s="22">
        <v>60</v>
      </c>
      <c r="K40" s="22">
        <v>70</v>
      </c>
      <c r="L40" s="22">
        <v>80</v>
      </c>
      <c r="M40" s="22">
        <v>90</v>
      </c>
      <c r="N40" s="22">
        <v>100</v>
      </c>
      <c r="O40" s="22">
        <v>110</v>
      </c>
      <c r="P40" s="22">
        <v>120</v>
      </c>
      <c r="Q40" s="22">
        <v>130</v>
      </c>
      <c r="R40" s="22">
        <v>140</v>
      </c>
      <c r="S40" s="22">
        <v>150</v>
      </c>
      <c r="T40" s="22">
        <v>160</v>
      </c>
      <c r="U40" s="22">
        <v>170</v>
      </c>
      <c r="V40" s="22">
        <v>180</v>
      </c>
      <c r="W40" s="22">
        <v>190</v>
      </c>
      <c r="X40" s="22">
        <v>200</v>
      </c>
      <c r="Y40" s="22">
        <v>210</v>
      </c>
      <c r="Z40" s="22">
        <v>220</v>
      </c>
      <c r="AA40" s="22">
        <v>230</v>
      </c>
      <c r="AB40" s="22">
        <v>240</v>
      </c>
      <c r="AC40" s="22">
        <v>250</v>
      </c>
      <c r="AD40" s="22">
        <v>260</v>
      </c>
      <c r="AE40" s="22">
        <v>270</v>
      </c>
      <c r="AF40" s="22">
        <v>280</v>
      </c>
      <c r="AG40" s="22">
        <v>290</v>
      </c>
      <c r="AH40" s="22">
        <v>300</v>
      </c>
      <c r="AI40" s="22">
        <v>310</v>
      </c>
      <c r="AJ40" s="22">
        <v>320</v>
      </c>
      <c r="AK40" s="22">
        <v>330</v>
      </c>
      <c r="AL40" s="22">
        <v>340</v>
      </c>
      <c r="AM40" s="22">
        <v>350</v>
      </c>
      <c r="AN40" s="22">
        <v>360</v>
      </c>
      <c r="AO40" s="22">
        <v>370</v>
      </c>
      <c r="AP40" s="22">
        <v>380</v>
      </c>
      <c r="AQ40" s="22">
        <v>390</v>
      </c>
      <c r="AR40" s="40" t="s">
        <v>4</v>
      </c>
      <c r="AT40" s="16"/>
      <c r="AU40" s="78"/>
    </row>
    <row r="41" spans="2:47" ht="15.75" thickTop="1" x14ac:dyDescent="0.25">
      <c r="B41" s="88"/>
      <c r="C41" s="83">
        <f>E41+40</f>
        <v>134</v>
      </c>
      <c r="D41" s="115" t="s">
        <v>0</v>
      </c>
      <c r="E41" s="1">
        <v>94</v>
      </c>
      <c r="F41" s="24" t="s">
        <v>22</v>
      </c>
      <c r="I41" s="4">
        <f t="shared" ref="I41:U41" si="32">1.359*10^-3*(I$40/($E$40*10^-3*$E41*10^-3)*(0.507*0.171))^2.0302</f>
        <v>3.9292912292225215</v>
      </c>
      <c r="J41" s="4">
        <f t="shared" si="32"/>
        <v>5.6894198617163019</v>
      </c>
      <c r="K41" s="4">
        <f t="shared" si="32"/>
        <v>7.7800673549889376</v>
      </c>
      <c r="L41" s="4">
        <f t="shared" si="32"/>
        <v>10.202782007270899</v>
      </c>
      <c r="M41" s="4">
        <f t="shared" si="32"/>
        <v>12.958909552314656</v>
      </c>
      <c r="N41" s="4">
        <f t="shared" si="32"/>
        <v>16.049640760318031</v>
      </c>
      <c r="O41" s="4">
        <f t="shared" si="32"/>
        <v>19.476043928345081</v>
      </c>
      <c r="P41" s="5">
        <f t="shared" si="32"/>
        <v>23.239088066585701</v>
      </c>
      <c r="Q41" s="5">
        <f t="shared" si="32"/>
        <v>27.339660035144444</v>
      </c>
      <c r="R41" s="6">
        <f t="shared" si="32"/>
        <v>31.778577573990951</v>
      </c>
      <c r="S41" s="6">
        <f t="shared" si="32"/>
        <v>36.556599445160558</v>
      </c>
      <c r="T41" s="7">
        <f t="shared" si="32"/>
        <v>41.67443348426356</v>
      </c>
      <c r="U41" s="7">
        <f t="shared" si="32"/>
        <v>47.132743100571638</v>
      </c>
      <c r="AP41" s="3"/>
      <c r="AQ41" s="3"/>
      <c r="AR41" s="41" t="s">
        <v>10</v>
      </c>
      <c r="AT41" s="71">
        <f>1.359*10^-3*(AT$3/($E$40*10^-3*$E41*10^-3)*(0.507*0.171))^2.0302</f>
        <v>7.7800673549889376</v>
      </c>
      <c r="AU41" s="79" t="s">
        <v>6</v>
      </c>
    </row>
    <row r="42" spans="2:47" x14ac:dyDescent="0.25">
      <c r="B42" s="88"/>
      <c r="C42" s="83"/>
      <c r="D42" s="115">
        <f>E$40*E41*10^-6</f>
        <v>8.5539999999999991E-2</v>
      </c>
      <c r="F42" s="25" t="s">
        <v>23</v>
      </c>
      <c r="I42" s="4" t="s">
        <v>12</v>
      </c>
      <c r="J42" s="4" t="s">
        <v>12</v>
      </c>
      <c r="K42" s="4">
        <f t="shared" ref="K42:U42" si="33">-15-114.08+32.01*LN(K$40/($E$40*$E41)*(507*171))+10*LOG($E$40*$E41/(507*171))</f>
        <v>7.2860445177503399</v>
      </c>
      <c r="L42" s="4">
        <f t="shared" si="33"/>
        <v>11.560384395661302</v>
      </c>
      <c r="M42" s="4">
        <f t="shared" si="33"/>
        <v>15.330619367022123</v>
      </c>
      <c r="N42" s="4">
        <f t="shared" si="33"/>
        <v>18.703209473229137</v>
      </c>
      <c r="O42" s="4">
        <f t="shared" si="33"/>
        <v>21.754088328765604</v>
      </c>
      <c r="P42" s="4">
        <f t="shared" si="33"/>
        <v>24.539322506203646</v>
      </c>
      <c r="Q42" s="5">
        <f t="shared" si="33"/>
        <v>27.101489578833522</v>
      </c>
      <c r="R42" s="5">
        <f t="shared" si="33"/>
        <v>29.473685767474208</v>
      </c>
      <c r="S42" s="6">
        <f t="shared" si="33"/>
        <v>31.682147583771481</v>
      </c>
      <c r="T42" s="6">
        <f t="shared" si="33"/>
        <v>33.748025645385141</v>
      </c>
      <c r="U42" s="7">
        <f t="shared" si="33"/>
        <v>35.688619789729231</v>
      </c>
      <c r="AI42" s="12"/>
      <c r="AJ42" s="12"/>
      <c r="AP42" s="3"/>
      <c r="AQ42" s="3"/>
      <c r="AR42" s="41" t="s">
        <v>11</v>
      </c>
      <c r="AT42" s="71">
        <f>-15-114.08+32.01*LN(AT$3/($E$40*$E41)*(507*171))+10*LOG($E$40*$E41/(507*171))</f>
        <v>7.2860445177503399</v>
      </c>
      <c r="AU42" s="41" t="s">
        <v>5</v>
      </c>
    </row>
    <row r="43" spans="2:47" x14ac:dyDescent="0.25">
      <c r="B43" s="88"/>
      <c r="C43" s="83"/>
      <c r="F43" s="25"/>
      <c r="I43" s="96">
        <f>(1.033-29.43*10^-3*($E40/$E41))*$H$1*I$3/SQRT($D42)</f>
        <v>1.918368223693558</v>
      </c>
      <c r="J43" s="96">
        <f t="shared" ref="J43:U43" si="34">(1.033-29.43*10^-3*($E40/$E41))*$H$1*J$3/SQRT($D42)</f>
        <v>2.3020418684322692</v>
      </c>
      <c r="K43" s="96">
        <f t="shared" si="34"/>
        <v>2.6857155131709809</v>
      </c>
      <c r="L43" s="96">
        <f t="shared" si="34"/>
        <v>3.0693891579096926</v>
      </c>
      <c r="M43" s="96">
        <f t="shared" si="34"/>
        <v>3.4530628026484043</v>
      </c>
      <c r="N43" s="96">
        <f t="shared" si="34"/>
        <v>3.8367364473871159</v>
      </c>
      <c r="O43" s="96">
        <f t="shared" si="34"/>
        <v>4.2204100921258272</v>
      </c>
      <c r="P43" s="96">
        <f t="shared" si="34"/>
        <v>4.6040837368645384</v>
      </c>
      <c r="Q43" s="97">
        <f t="shared" si="34"/>
        <v>4.9877573816032506</v>
      </c>
      <c r="R43" s="97">
        <f t="shared" si="34"/>
        <v>5.3714310263419618</v>
      </c>
      <c r="S43" s="98">
        <f t="shared" si="34"/>
        <v>5.755104671080673</v>
      </c>
      <c r="T43" s="98">
        <f t="shared" si="34"/>
        <v>6.1387783158193852</v>
      </c>
      <c r="U43" s="103">
        <f t="shared" si="34"/>
        <v>6.5224519605580964</v>
      </c>
      <c r="AI43" s="12"/>
      <c r="AJ43" s="12"/>
      <c r="AP43" s="3"/>
      <c r="AQ43" s="3"/>
      <c r="AR43" s="41"/>
      <c r="AT43" s="71"/>
      <c r="AU43" s="41"/>
    </row>
    <row r="44" spans="2:47" x14ac:dyDescent="0.25">
      <c r="B44" s="88"/>
      <c r="C44" s="83"/>
      <c r="F44" s="25"/>
      <c r="I44" s="96">
        <f>$H$2*I43</f>
        <v>3.8367364473871159</v>
      </c>
      <c r="J44" s="96">
        <f t="shared" ref="J44:U44" si="35">$H$2*J43</f>
        <v>4.6040837368645384</v>
      </c>
      <c r="K44" s="96">
        <f t="shared" si="35"/>
        <v>5.3714310263419618</v>
      </c>
      <c r="L44" s="96">
        <f t="shared" si="35"/>
        <v>6.1387783158193852</v>
      </c>
      <c r="M44" s="96">
        <f t="shared" si="35"/>
        <v>6.9061256052968085</v>
      </c>
      <c r="N44" s="96">
        <f t="shared" si="35"/>
        <v>7.6734728947742319</v>
      </c>
      <c r="O44" s="96">
        <f t="shared" si="35"/>
        <v>8.4408201842516544</v>
      </c>
      <c r="P44" s="96">
        <f t="shared" si="35"/>
        <v>9.2081674737290768</v>
      </c>
      <c r="Q44" s="97">
        <f t="shared" si="35"/>
        <v>9.9755147632065011</v>
      </c>
      <c r="R44" s="97">
        <f t="shared" si="35"/>
        <v>10.742862052683924</v>
      </c>
      <c r="S44" s="98">
        <f t="shared" si="35"/>
        <v>11.510209342161346</v>
      </c>
      <c r="T44" s="98">
        <f t="shared" si="35"/>
        <v>12.27755663163877</v>
      </c>
      <c r="U44" s="103">
        <f t="shared" si="35"/>
        <v>13.044903921116193</v>
      </c>
      <c r="AI44" s="12"/>
      <c r="AJ44" s="12"/>
      <c r="AP44" s="3"/>
      <c r="AQ44" s="3"/>
      <c r="AR44" s="41"/>
      <c r="AT44" s="71"/>
      <c r="AU44" s="41"/>
    </row>
    <row r="45" spans="2:47" x14ac:dyDescent="0.25">
      <c r="B45" s="88"/>
      <c r="C45" s="85">
        <f>E45+40</f>
        <v>173</v>
      </c>
      <c r="D45" s="119" t="s">
        <v>1</v>
      </c>
      <c r="E45" s="53">
        <v>133</v>
      </c>
      <c r="F45" s="54" t="s">
        <v>22</v>
      </c>
      <c r="I45" s="55"/>
      <c r="J45" s="55"/>
      <c r="K45" s="56">
        <f t="shared" ref="K45:AB45" si="36">1.359*10^-3*(K$40/($E$40*10^-3*$E45*10^-3)*(0.507*0.171))^2.0302</f>
        <v>3.8457754589548419</v>
      </c>
      <c r="L45" s="56">
        <f t="shared" si="36"/>
        <v>5.0433507662973573</v>
      </c>
      <c r="M45" s="56">
        <f t="shared" si="36"/>
        <v>6.4057358448380741</v>
      </c>
      <c r="N45" s="56">
        <f t="shared" si="36"/>
        <v>7.9335193057798632</v>
      </c>
      <c r="O45" s="56">
        <f t="shared" si="36"/>
        <v>9.6272292204676511</v>
      </c>
      <c r="P45" s="56">
        <f t="shared" si="36"/>
        <v>11.487344581619331</v>
      </c>
      <c r="Q45" s="56">
        <f t="shared" si="36"/>
        <v>13.514303774234673</v>
      </c>
      <c r="R45" s="56">
        <f t="shared" si="36"/>
        <v>15.708511016447474</v>
      </c>
      <c r="S45" s="56">
        <f t="shared" si="36"/>
        <v>18.070341372930287</v>
      </c>
      <c r="T45" s="57">
        <f t="shared" si="36"/>
        <v>20.600144734846602</v>
      </c>
      <c r="U45" s="57">
        <f t="shared" si="36"/>
        <v>23.298249032917219</v>
      </c>
      <c r="V45" s="57">
        <f t="shared" si="36"/>
        <v>26.164962869266915</v>
      </c>
      <c r="W45" s="57">
        <f t="shared" si="36"/>
        <v>29.200577700632959</v>
      </c>
      <c r="X45" s="58">
        <f t="shared" si="36"/>
        <v>32.405369669686962</v>
      </c>
      <c r="Y45" s="58">
        <f t="shared" si="36"/>
        <v>35.779601156430139</v>
      </c>
      <c r="Z45" s="58">
        <f t="shared" si="36"/>
        <v>39.323522104090912</v>
      </c>
      <c r="AA45" s="59">
        <f t="shared" si="36"/>
        <v>43.037371161316329</v>
      </c>
      <c r="AB45" s="59">
        <f t="shared" si="36"/>
        <v>46.921376673180937</v>
      </c>
      <c r="AC45" s="55"/>
      <c r="AD45" s="55"/>
      <c r="AE45" s="55"/>
      <c r="AF45" s="55"/>
      <c r="AG45" s="55"/>
      <c r="AH45" s="55"/>
      <c r="AI45" s="66"/>
      <c r="AJ45" s="66"/>
      <c r="AK45" s="66"/>
      <c r="AL45" s="66"/>
      <c r="AM45" s="67"/>
      <c r="AN45" s="55"/>
      <c r="AO45" s="55"/>
      <c r="AP45" s="55"/>
      <c r="AQ45" s="55"/>
      <c r="AR45" s="68" t="s">
        <v>10</v>
      </c>
      <c r="AT45" s="76">
        <f>1.359*10^-3*(AT$3/($E$40*10^-3*$E45*10^-3)*(0.507*0.171))^2.0302</f>
        <v>3.8457754589548419</v>
      </c>
      <c r="AU45" s="68" t="s">
        <v>6</v>
      </c>
    </row>
    <row r="46" spans="2:47" x14ac:dyDescent="0.25">
      <c r="B46" s="88" t="s">
        <v>9</v>
      </c>
      <c r="C46" s="84"/>
      <c r="D46" s="115">
        <f>E$40*E45*10^-6</f>
        <v>0.12103</v>
      </c>
      <c r="E46" s="44"/>
      <c r="F46" s="45" t="s">
        <v>23</v>
      </c>
      <c r="I46" s="49"/>
      <c r="J46" s="49"/>
      <c r="K46" s="46" t="s">
        <v>12</v>
      </c>
      <c r="L46" s="46" t="s">
        <v>12</v>
      </c>
      <c r="M46" s="46">
        <f t="shared" ref="M46:AB46" si="37">-15-114.08+32.01*LN(M$40/($E$40*$E45)*(507*171))+10*LOG($E$40*$E45/(507*171))</f>
        <v>5.7286476267804831</v>
      </c>
      <c r="N46" s="46">
        <f t="shared" si="37"/>
        <v>9.101237732987526</v>
      </c>
      <c r="O46" s="46">
        <f t="shared" si="37"/>
        <v>12.152116588523965</v>
      </c>
      <c r="P46" s="46">
        <f t="shared" si="37"/>
        <v>14.937350765962007</v>
      </c>
      <c r="Q46" s="46">
        <f t="shared" si="37"/>
        <v>17.499517838591881</v>
      </c>
      <c r="R46" s="46">
        <f t="shared" si="37"/>
        <v>19.87171402723251</v>
      </c>
      <c r="S46" s="46">
        <f t="shared" si="37"/>
        <v>22.08017584352984</v>
      </c>
      <c r="T46" s="46">
        <f t="shared" si="37"/>
        <v>24.1460539051435</v>
      </c>
      <c r="U46" s="47">
        <f t="shared" si="37"/>
        <v>26.086648049487589</v>
      </c>
      <c r="V46" s="47">
        <f t="shared" si="37"/>
        <v>27.91628887650435</v>
      </c>
      <c r="W46" s="47">
        <f t="shared" si="37"/>
        <v>29.646980629365853</v>
      </c>
      <c r="X46" s="48">
        <f t="shared" si="37"/>
        <v>31.288878982711335</v>
      </c>
      <c r="Y46" s="48">
        <f t="shared" si="37"/>
        <v>32.850652137774887</v>
      </c>
      <c r="Z46" s="48">
        <f t="shared" si="37"/>
        <v>34.339757838247806</v>
      </c>
      <c r="AA46" s="60">
        <f t="shared" si="37"/>
        <v>35.762658758140191</v>
      </c>
      <c r="AB46" s="60">
        <f t="shared" si="37"/>
        <v>37.124992015685848</v>
      </c>
      <c r="AC46" s="49"/>
      <c r="AD46" s="49"/>
      <c r="AE46" s="49"/>
      <c r="AF46" s="49"/>
      <c r="AG46" s="49"/>
      <c r="AH46" s="49"/>
      <c r="AI46" s="69"/>
      <c r="AJ46" s="69"/>
      <c r="AK46" s="69"/>
      <c r="AL46" s="69"/>
      <c r="AM46" s="70"/>
      <c r="AN46" s="49"/>
      <c r="AO46" s="49"/>
      <c r="AP46" s="49"/>
      <c r="AQ46" s="49"/>
      <c r="AR46" s="51" t="s">
        <v>11</v>
      </c>
      <c r="AT46" s="74">
        <f>-15-114.08+32.01*LN(AT$3/($E$40*$E45)*(507*171))+10*LOG($E$40*$E45/(507*171))</f>
        <v>-2.3159272224913137</v>
      </c>
      <c r="AU46" s="51" t="s">
        <v>5</v>
      </c>
    </row>
    <row r="47" spans="2:47" x14ac:dyDescent="0.25">
      <c r="B47" s="88"/>
      <c r="C47" s="83"/>
      <c r="F47" s="25"/>
      <c r="K47" s="96">
        <f>(1.033-29.43*10^-3*($E40/$E41))*$H$1*K$3/SQRT($D46)</f>
        <v>2.2578657412994811</v>
      </c>
      <c r="L47" s="96">
        <f t="shared" ref="L47:AB47" si="38">(1.033-29.43*10^-3*($E40/$E41))*$H$1*L$3/SQRT($D46)</f>
        <v>2.5804179900565498</v>
      </c>
      <c r="M47" s="96">
        <f t="shared" si="38"/>
        <v>2.9029702388136189</v>
      </c>
      <c r="N47" s="96">
        <f t="shared" si="38"/>
        <v>3.2255224875706876</v>
      </c>
      <c r="O47" s="96">
        <f t="shared" si="38"/>
        <v>3.5480747363277563</v>
      </c>
      <c r="P47" s="96">
        <f t="shared" si="38"/>
        <v>3.8706269850848249</v>
      </c>
      <c r="Q47" s="96">
        <f t="shared" si="38"/>
        <v>4.1931792338418941</v>
      </c>
      <c r="R47" s="96">
        <f t="shared" si="38"/>
        <v>4.5157314825989623</v>
      </c>
      <c r="S47" s="96">
        <f t="shared" si="38"/>
        <v>4.8382837313560314</v>
      </c>
      <c r="T47" s="96">
        <f t="shared" si="38"/>
        <v>5.1608359801130996</v>
      </c>
      <c r="U47" s="97">
        <f t="shared" si="38"/>
        <v>5.4833882288701687</v>
      </c>
      <c r="V47" s="97">
        <f t="shared" si="38"/>
        <v>5.8059404776272379</v>
      </c>
      <c r="W47" s="97">
        <f t="shared" si="38"/>
        <v>6.1284927263843061</v>
      </c>
      <c r="X47" s="98">
        <f t="shared" si="38"/>
        <v>6.4510449751413752</v>
      </c>
      <c r="Y47" s="98">
        <f t="shared" si="38"/>
        <v>6.7735972238984434</v>
      </c>
      <c r="Z47" s="98">
        <f t="shared" si="38"/>
        <v>7.0961494726555125</v>
      </c>
      <c r="AA47" s="103">
        <f t="shared" si="38"/>
        <v>7.4187017214125808</v>
      </c>
      <c r="AB47" s="103">
        <f t="shared" si="38"/>
        <v>7.7412539701696499</v>
      </c>
      <c r="AI47" s="90"/>
      <c r="AJ47" s="90"/>
      <c r="AK47" s="90"/>
      <c r="AL47" s="90"/>
      <c r="AM47" s="12"/>
      <c r="AP47" s="3"/>
      <c r="AQ47" s="3"/>
      <c r="AR47" s="41"/>
      <c r="AT47" s="71"/>
      <c r="AU47" s="41"/>
    </row>
    <row r="48" spans="2:47" x14ac:dyDescent="0.25">
      <c r="B48" s="88"/>
      <c r="C48" s="83"/>
      <c r="F48" s="25"/>
      <c r="K48" s="96">
        <f>$H$2*K47</f>
        <v>4.5157314825989623</v>
      </c>
      <c r="L48" s="96">
        <f t="shared" ref="L48:AB48" si="39">$H$2*L47</f>
        <v>5.1608359801130996</v>
      </c>
      <c r="M48" s="96">
        <f t="shared" si="39"/>
        <v>5.8059404776272379</v>
      </c>
      <c r="N48" s="96">
        <f t="shared" si="39"/>
        <v>6.4510449751413752</v>
      </c>
      <c r="O48" s="96">
        <f t="shared" si="39"/>
        <v>7.0961494726555125</v>
      </c>
      <c r="P48" s="96">
        <f t="shared" si="39"/>
        <v>7.7412539701696499</v>
      </c>
      <c r="Q48" s="96">
        <f t="shared" si="39"/>
        <v>8.3863584676837881</v>
      </c>
      <c r="R48" s="96">
        <f t="shared" si="39"/>
        <v>9.0314629651979246</v>
      </c>
      <c r="S48" s="96">
        <f t="shared" si="39"/>
        <v>9.6765674627120628</v>
      </c>
      <c r="T48" s="96">
        <f t="shared" si="39"/>
        <v>10.321671960226199</v>
      </c>
      <c r="U48" s="97">
        <f t="shared" si="39"/>
        <v>10.966776457740337</v>
      </c>
      <c r="V48" s="97">
        <f t="shared" si="39"/>
        <v>11.611880955254476</v>
      </c>
      <c r="W48" s="97">
        <f t="shared" si="39"/>
        <v>12.256985452768612</v>
      </c>
      <c r="X48" s="98">
        <f t="shared" si="39"/>
        <v>12.90208995028275</v>
      </c>
      <c r="Y48" s="98">
        <f t="shared" si="39"/>
        <v>13.547194447796887</v>
      </c>
      <c r="Z48" s="98">
        <f t="shared" si="39"/>
        <v>14.192298945311025</v>
      </c>
      <c r="AA48" s="103">
        <f t="shared" si="39"/>
        <v>14.837403442825162</v>
      </c>
      <c r="AB48" s="103">
        <f t="shared" si="39"/>
        <v>15.4825079403393</v>
      </c>
      <c r="AI48" s="90"/>
      <c r="AJ48" s="90"/>
      <c r="AK48" s="90"/>
      <c r="AL48" s="90"/>
      <c r="AM48" s="12"/>
      <c r="AP48" s="3"/>
      <c r="AQ48" s="3"/>
      <c r="AR48" s="41"/>
      <c r="AT48" s="71"/>
      <c r="AU48" s="41"/>
    </row>
    <row r="49" spans="2:47" x14ac:dyDescent="0.25">
      <c r="B49" s="15" t="s">
        <v>26</v>
      </c>
      <c r="C49" s="83">
        <f>E49+40</f>
        <v>212</v>
      </c>
      <c r="D49" s="115" t="s">
        <v>2</v>
      </c>
      <c r="E49" s="1">
        <v>172</v>
      </c>
      <c r="F49" s="25" t="s">
        <v>22</v>
      </c>
      <c r="M49" s="4">
        <f t="shared" ref="M49:AJ49" si="40">1.359*10^-3*(M$40/($E$40*10^-3*$E49*10^-3)*(0.507*0.171))^2.0302</f>
        <v>3.8005178282490459</v>
      </c>
      <c r="N49" s="4">
        <f t="shared" si="40"/>
        <v>4.7069505038474606</v>
      </c>
      <c r="O49" s="4">
        <f t="shared" si="40"/>
        <v>5.7118272085027408</v>
      </c>
      <c r="P49" s="4">
        <f t="shared" si="40"/>
        <v>6.8154321282019596</v>
      </c>
      <c r="Q49" s="4">
        <f t="shared" si="40"/>
        <v>8.0180253564062749</v>
      </c>
      <c r="R49" s="4">
        <f t="shared" si="40"/>
        <v>9.319846715403262</v>
      </c>
      <c r="S49" s="4">
        <f t="shared" si="40"/>
        <v>10.721118730755874</v>
      </c>
      <c r="T49" s="4">
        <f t="shared" si="40"/>
        <v>12.222048992604691</v>
      </c>
      <c r="U49" s="4">
        <f t="shared" si="40"/>
        <v>13.822832061977723</v>
      </c>
      <c r="V49" s="4">
        <f t="shared" si="40"/>
        <v>15.523651032262773</v>
      </c>
      <c r="W49" s="4">
        <f t="shared" si="40"/>
        <v>17.324678824503167</v>
      </c>
      <c r="X49" s="4">
        <f t="shared" si="40"/>
        <v>19.226079273919726</v>
      </c>
      <c r="Y49" s="5">
        <f t="shared" si="40"/>
        <v>21.228008050352258</v>
      </c>
      <c r="Z49" s="5">
        <f t="shared" si="40"/>
        <v>23.330613444913372</v>
      </c>
      <c r="AA49" s="5">
        <f t="shared" si="40"/>
        <v>25.534037047649811</v>
      </c>
      <c r="AB49" s="5">
        <f t="shared" si="40"/>
        <v>27.838414335507277</v>
      </c>
      <c r="AC49" s="5">
        <f t="shared" si="40"/>
        <v>30.243875185798107</v>
      </c>
      <c r="AD49" s="6">
        <f t="shared" si="40"/>
        <v>32.750544327279222</v>
      </c>
      <c r="AE49" s="6">
        <f t="shared" si="40"/>
        <v>35.358541738577721</v>
      </c>
      <c r="AF49" s="6">
        <f t="shared" si="40"/>
        <v>38.067983001873181</v>
      </c>
      <c r="AG49" s="7">
        <f t="shared" si="40"/>
        <v>40.878979618308982</v>
      </c>
      <c r="AH49" s="7">
        <f t="shared" si="40"/>
        <v>43.791639290477242</v>
      </c>
      <c r="AI49" s="7">
        <f t="shared" si="40"/>
        <v>46.80606617641596</v>
      </c>
      <c r="AJ49" s="7">
        <f t="shared" si="40"/>
        <v>49.922361118833571</v>
      </c>
      <c r="AP49" s="3"/>
      <c r="AQ49" s="3"/>
      <c r="AR49" s="41" t="s">
        <v>10</v>
      </c>
      <c r="AT49" s="71">
        <f>1.359*10^-3*(AT$3/($E$40*10^-3*$E49*10^-3)*(0.507*0.171))^2.0302</f>
        <v>2.281695428789567</v>
      </c>
      <c r="AU49" s="41" t="s">
        <v>6</v>
      </c>
    </row>
    <row r="50" spans="2:47" x14ac:dyDescent="0.25">
      <c r="B50" s="88"/>
      <c r="C50" s="83"/>
      <c r="D50" s="115">
        <f>E$40*E49*10^-6</f>
        <v>0.15651999999999999</v>
      </c>
      <c r="F50" s="25" t="s">
        <v>23</v>
      </c>
      <c r="M50" s="4" t="s">
        <v>12</v>
      </c>
      <c r="N50" s="4" t="s">
        <v>12</v>
      </c>
      <c r="O50" s="4">
        <f t="shared" ref="O50:AJ50" si="41">-15-114.08+32.01*LN(O$40/($E$40*$E49)*(507*171))+10*LOG($E$40*$E49/(507*171))</f>
        <v>5.0376620395082714</v>
      </c>
      <c r="P50" s="4">
        <f t="shared" si="41"/>
        <v>7.8228962169463419</v>
      </c>
      <c r="Q50" s="4">
        <f t="shared" si="41"/>
        <v>10.385063289576246</v>
      </c>
      <c r="R50" s="4">
        <f t="shared" si="41"/>
        <v>12.757259478216875</v>
      </c>
      <c r="S50" s="4">
        <f t="shared" si="41"/>
        <v>14.965721294514205</v>
      </c>
      <c r="T50" s="4">
        <f t="shared" si="41"/>
        <v>17.031599356127835</v>
      </c>
      <c r="U50" s="4">
        <f t="shared" si="41"/>
        <v>18.972193500471924</v>
      </c>
      <c r="V50" s="4">
        <f t="shared" si="41"/>
        <v>20.801834327488685</v>
      </c>
      <c r="W50" s="4">
        <f t="shared" si="41"/>
        <v>22.532526080350216</v>
      </c>
      <c r="X50" s="4">
        <f t="shared" si="41"/>
        <v>24.174424433695698</v>
      </c>
      <c r="Y50" s="5">
        <f t="shared" si="41"/>
        <v>25.736197588759218</v>
      </c>
      <c r="Z50" s="5">
        <f t="shared" si="41"/>
        <v>27.225303289232137</v>
      </c>
      <c r="AA50" s="5">
        <f t="shared" si="41"/>
        <v>28.64820420912455</v>
      </c>
      <c r="AB50" s="5">
        <f t="shared" si="41"/>
        <v>30.010537466670179</v>
      </c>
      <c r="AC50" s="6">
        <f t="shared" si="41"/>
        <v>31.317249511263533</v>
      </c>
      <c r="AD50" s="6">
        <f t="shared" si="41"/>
        <v>32.572704539300084</v>
      </c>
      <c r="AE50" s="6">
        <f t="shared" si="41"/>
        <v>33.780772438031029</v>
      </c>
      <c r="AF50" s="6">
        <f t="shared" si="41"/>
        <v>34.944900727940713</v>
      </c>
      <c r="AG50" s="7">
        <f t="shared" si="41"/>
        <v>36.068173875099468</v>
      </c>
      <c r="AH50" s="7">
        <f t="shared" si="41"/>
        <v>37.153362544238043</v>
      </c>
      <c r="AI50" s="7">
        <f t="shared" si="41"/>
        <v>38.202964772801984</v>
      </c>
      <c r="AJ50" s="7">
        <f t="shared" si="41"/>
        <v>39.219240605851702</v>
      </c>
      <c r="AP50" s="3"/>
      <c r="AQ50" s="3"/>
      <c r="AR50" s="41" t="s">
        <v>11</v>
      </c>
      <c r="AT50" s="71">
        <f>-15-114.08+32.01*LN(AT$3/($E$40*$E49)*(507*171))+10*LOG($E$40*$E49/(507*171))</f>
        <v>-9.4303817715069638</v>
      </c>
      <c r="AU50" s="41" t="s">
        <v>5</v>
      </c>
    </row>
    <row r="51" spans="2:47" x14ac:dyDescent="0.25">
      <c r="B51" s="88"/>
      <c r="C51" s="83"/>
      <c r="F51" s="25"/>
      <c r="M51" s="96">
        <f>(1.033-29.43*10^-3*($E40/$E41))*$H$1*M$3/SQRT($D50)</f>
        <v>2.5527258750129187</v>
      </c>
      <c r="N51" s="96">
        <f t="shared" ref="N51:AJ51" si="42">(1.033-29.43*10^-3*($E40/$E41))*$H$1*N$3/SQRT($D50)</f>
        <v>2.8363620833476872</v>
      </c>
      <c r="O51" s="96">
        <f t="shared" si="42"/>
        <v>3.1199982916824562</v>
      </c>
      <c r="P51" s="96">
        <f t="shared" si="42"/>
        <v>3.4036345000172248</v>
      </c>
      <c r="Q51" s="96">
        <f t="shared" si="42"/>
        <v>3.6872707083519933</v>
      </c>
      <c r="R51" s="96">
        <f t="shared" si="42"/>
        <v>3.9709069166867619</v>
      </c>
      <c r="S51" s="96">
        <f t="shared" si="42"/>
        <v>4.2545431250215309</v>
      </c>
      <c r="T51" s="96">
        <f t="shared" si="42"/>
        <v>4.5381793333562994</v>
      </c>
      <c r="U51" s="96">
        <f t="shared" si="42"/>
        <v>4.821815541691068</v>
      </c>
      <c r="V51" s="96">
        <f t="shared" si="42"/>
        <v>5.1054517500258374</v>
      </c>
      <c r="W51" s="96">
        <f t="shared" si="42"/>
        <v>5.3890879583606059</v>
      </c>
      <c r="X51" s="96">
        <f t="shared" si="42"/>
        <v>5.6727241666953745</v>
      </c>
      <c r="Y51" s="97">
        <f t="shared" si="42"/>
        <v>5.956360375030143</v>
      </c>
      <c r="Z51" s="97">
        <f t="shared" si="42"/>
        <v>6.2399965833649125</v>
      </c>
      <c r="AA51" s="97">
        <f t="shared" si="42"/>
        <v>6.5236327916996801</v>
      </c>
      <c r="AB51" s="97">
        <f t="shared" si="42"/>
        <v>6.8072690000344496</v>
      </c>
      <c r="AC51" s="98">
        <f t="shared" si="42"/>
        <v>7.0909052083692172</v>
      </c>
      <c r="AD51" s="98">
        <f t="shared" si="42"/>
        <v>7.3745414167039867</v>
      </c>
      <c r="AE51" s="98">
        <f t="shared" si="42"/>
        <v>7.6581776250387561</v>
      </c>
      <c r="AF51" s="98">
        <f t="shared" si="42"/>
        <v>7.9418138333735238</v>
      </c>
      <c r="AG51" s="103">
        <f t="shared" si="42"/>
        <v>8.2254500417082941</v>
      </c>
      <c r="AH51" s="103">
        <f t="shared" si="42"/>
        <v>8.5090862500430617</v>
      </c>
      <c r="AI51" s="103">
        <f t="shared" si="42"/>
        <v>8.7927224583778312</v>
      </c>
      <c r="AJ51" s="103">
        <f t="shared" si="42"/>
        <v>9.0763586667125988</v>
      </c>
      <c r="AP51" s="3"/>
      <c r="AQ51" s="3"/>
      <c r="AR51" s="41"/>
      <c r="AT51" s="71"/>
      <c r="AU51" s="41"/>
    </row>
    <row r="52" spans="2:47" x14ac:dyDescent="0.25">
      <c r="B52" s="88"/>
      <c r="C52" s="83"/>
      <c r="F52" s="25"/>
      <c r="M52" s="96">
        <f>$H$2*M51</f>
        <v>5.1054517500258374</v>
      </c>
      <c r="N52" s="96">
        <f t="shared" ref="N52:AJ52" si="43">$H$2*N51</f>
        <v>5.6727241666953745</v>
      </c>
      <c r="O52" s="96">
        <f t="shared" si="43"/>
        <v>6.2399965833649125</v>
      </c>
      <c r="P52" s="96">
        <f t="shared" si="43"/>
        <v>6.8072690000344496</v>
      </c>
      <c r="Q52" s="96">
        <f t="shared" si="43"/>
        <v>7.3745414167039867</v>
      </c>
      <c r="R52" s="96">
        <f t="shared" si="43"/>
        <v>7.9418138333735238</v>
      </c>
      <c r="S52" s="96">
        <f t="shared" si="43"/>
        <v>8.5090862500430617</v>
      </c>
      <c r="T52" s="96">
        <f t="shared" si="43"/>
        <v>9.0763586667125988</v>
      </c>
      <c r="U52" s="96">
        <f t="shared" si="43"/>
        <v>9.6436310833821359</v>
      </c>
      <c r="V52" s="96">
        <f t="shared" si="43"/>
        <v>10.210903500051675</v>
      </c>
      <c r="W52" s="96">
        <f t="shared" si="43"/>
        <v>10.778175916721212</v>
      </c>
      <c r="X52" s="96">
        <f t="shared" si="43"/>
        <v>11.345448333390749</v>
      </c>
      <c r="Y52" s="97">
        <f t="shared" si="43"/>
        <v>11.912720750060286</v>
      </c>
      <c r="Z52" s="97">
        <f t="shared" si="43"/>
        <v>12.479993166729825</v>
      </c>
      <c r="AA52" s="97">
        <f t="shared" si="43"/>
        <v>13.04726558339936</v>
      </c>
      <c r="AB52" s="97">
        <f t="shared" si="43"/>
        <v>13.614538000068899</v>
      </c>
      <c r="AC52" s="98">
        <f t="shared" si="43"/>
        <v>14.181810416738434</v>
      </c>
      <c r="AD52" s="98">
        <f t="shared" si="43"/>
        <v>14.749082833407973</v>
      </c>
      <c r="AE52" s="98">
        <f t="shared" si="43"/>
        <v>15.316355250077512</v>
      </c>
      <c r="AF52" s="98">
        <f t="shared" si="43"/>
        <v>15.883627666747048</v>
      </c>
      <c r="AG52" s="103">
        <f t="shared" si="43"/>
        <v>16.450900083416588</v>
      </c>
      <c r="AH52" s="103">
        <f t="shared" si="43"/>
        <v>17.018172500086123</v>
      </c>
      <c r="AI52" s="103">
        <f t="shared" si="43"/>
        <v>17.585444916755662</v>
      </c>
      <c r="AJ52" s="103">
        <f t="shared" si="43"/>
        <v>18.152717333425198</v>
      </c>
      <c r="AP52" s="3"/>
      <c r="AQ52" s="3"/>
      <c r="AR52" s="41"/>
      <c r="AT52" s="71"/>
      <c r="AU52" s="41"/>
    </row>
    <row r="53" spans="2:47" x14ac:dyDescent="0.25">
      <c r="B53" s="88"/>
      <c r="C53" s="85">
        <f>E53+40</f>
        <v>251</v>
      </c>
      <c r="D53" s="119" t="s">
        <v>3</v>
      </c>
      <c r="E53" s="53">
        <v>211</v>
      </c>
      <c r="F53" s="54" t="s">
        <v>22</v>
      </c>
      <c r="I53" s="55"/>
      <c r="J53" s="55"/>
      <c r="K53" s="55"/>
      <c r="L53" s="55"/>
      <c r="M53" s="55"/>
      <c r="N53" s="55"/>
      <c r="O53" s="56">
        <f t="shared" ref="O53:AQ53" si="44">1.359*10^-3*(O$40/($E$40*10^-3*$E53*10^-3)*(0.507*0.171))^2.0302</f>
        <v>3.7721301869415518</v>
      </c>
      <c r="P53" s="56">
        <f t="shared" si="44"/>
        <v>4.5009585075632872</v>
      </c>
      <c r="Q53" s="56">
        <f t="shared" si="44"/>
        <v>5.29515939164608</v>
      </c>
      <c r="R53" s="56">
        <f t="shared" si="44"/>
        <v>6.1548912194870438</v>
      </c>
      <c r="S53" s="56">
        <f t="shared" si="44"/>
        <v>7.0803009485067809</v>
      </c>
      <c r="T53" s="56">
        <f t="shared" si="44"/>
        <v>8.0715256726696367</v>
      </c>
      <c r="U53" s="56">
        <f t="shared" si="44"/>
        <v>9.1286938814239456</v>
      </c>
      <c r="V53" s="56">
        <f t="shared" si="44"/>
        <v>10.251926490909108</v>
      </c>
      <c r="W53" s="56">
        <f t="shared" si="44"/>
        <v>11.441337699377989</v>
      </c>
      <c r="X53" s="56">
        <f t="shared" si="44"/>
        <v>12.697035704743364</v>
      </c>
      <c r="Y53" s="56">
        <f t="shared" si="44"/>
        <v>14.019123312443879</v>
      </c>
      <c r="Z53" s="56">
        <f t="shared" si="44"/>
        <v>15.407698454955796</v>
      </c>
      <c r="AA53" s="56">
        <f t="shared" si="44"/>
        <v>16.862854639325104</v>
      </c>
      <c r="AB53" s="56">
        <f t="shared" si="44"/>
        <v>18.384681335463554</v>
      </c>
      <c r="AC53" s="56">
        <f t="shared" si="44"/>
        <v>19.973264315246453</v>
      </c>
      <c r="AD53" s="57">
        <f t="shared" si="44"/>
        <v>21.628685950407295</v>
      </c>
      <c r="AE53" s="57">
        <f t="shared" si="44"/>
        <v>23.35102547566116</v>
      </c>
      <c r="AF53" s="57">
        <f t="shared" si="44"/>
        <v>25.14035922227859</v>
      </c>
      <c r="AG53" s="57">
        <f t="shared" si="44"/>
        <v>26.996760826385866</v>
      </c>
      <c r="AH53" s="57">
        <f t="shared" si="44"/>
        <v>28.92030141551955</v>
      </c>
      <c r="AI53" s="58">
        <f t="shared" si="44"/>
        <v>30.911049776368216</v>
      </c>
      <c r="AJ53" s="58">
        <f t="shared" si="44"/>
        <v>32.969072506153928</v>
      </c>
      <c r="AK53" s="58">
        <f t="shared" si="44"/>
        <v>35.09443414971981</v>
      </c>
      <c r="AL53" s="58">
        <f t="shared" si="44"/>
        <v>37.287197324072501</v>
      </c>
      <c r="AM53" s="58">
        <f t="shared" si="44"/>
        <v>39.547422831868253</v>
      </c>
      <c r="AN53" s="59">
        <f t="shared" si="44"/>
        <v>41.875169765117171</v>
      </c>
      <c r="AO53" s="59">
        <f t="shared" si="44"/>
        <v>44.270495600201357</v>
      </c>
      <c r="AP53" s="59">
        <f t="shared" si="44"/>
        <v>46.733456285151604</v>
      </c>
      <c r="AQ53" s="59">
        <f t="shared" si="44"/>
        <v>49.264106320006199</v>
      </c>
      <c r="AR53" s="68" t="s">
        <v>10</v>
      </c>
      <c r="AT53" s="76">
        <f>1.359*10^-3*(AT$3/($E$40*10^-3*$E53*10^-3)*(0.507*0.171))^2.0302</f>
        <v>1.5068474395603808</v>
      </c>
      <c r="AU53" s="68" t="s">
        <v>6</v>
      </c>
    </row>
    <row r="54" spans="2:47" ht="15.75" thickBot="1" x14ac:dyDescent="0.3">
      <c r="B54" s="89"/>
      <c r="C54" s="86"/>
      <c r="D54" s="115">
        <f>E$40*E53*10^-6</f>
        <v>0.19200999999999999</v>
      </c>
      <c r="E54" s="16"/>
      <c r="F54" s="26" t="s">
        <v>23</v>
      </c>
      <c r="I54" s="17"/>
      <c r="J54" s="17"/>
      <c r="K54" s="17"/>
      <c r="L54" s="17"/>
      <c r="M54" s="17"/>
      <c r="N54" s="17"/>
      <c r="O54" s="18" t="s">
        <v>12</v>
      </c>
      <c r="P54" s="18" t="s">
        <v>12</v>
      </c>
      <c r="Q54" s="18">
        <f t="shared" ref="Q54:AQ54" si="45">-15-114.08+32.01*LN(Q$40/($E$40*$E53)*(507*171))+10*LOG($E$40*$E53/(507*171))</f>
        <v>4.7309227237074261</v>
      </c>
      <c r="R54" s="18">
        <f t="shared" si="45"/>
        <v>7.1031189123480551</v>
      </c>
      <c r="S54" s="18">
        <f t="shared" si="45"/>
        <v>9.3115807286453567</v>
      </c>
      <c r="T54" s="18">
        <f t="shared" si="45"/>
        <v>11.377458790259045</v>
      </c>
      <c r="U54" s="18">
        <f t="shared" si="45"/>
        <v>13.318052934603106</v>
      </c>
      <c r="V54" s="18">
        <f t="shared" si="45"/>
        <v>15.147693761619866</v>
      </c>
      <c r="W54" s="18">
        <f t="shared" si="45"/>
        <v>16.878385514481369</v>
      </c>
      <c r="X54" s="18">
        <f t="shared" si="45"/>
        <v>18.52028386782688</v>
      </c>
      <c r="Y54" s="18">
        <f t="shared" si="45"/>
        <v>20.0820570228904</v>
      </c>
      <c r="Z54" s="18">
        <f t="shared" si="45"/>
        <v>21.571162723363319</v>
      </c>
      <c r="AA54" s="18">
        <f t="shared" si="45"/>
        <v>22.994063643255704</v>
      </c>
      <c r="AB54" s="18">
        <f t="shared" si="45"/>
        <v>24.356396900801361</v>
      </c>
      <c r="AC54" s="19">
        <f t="shared" si="45"/>
        <v>25.663108945394743</v>
      </c>
      <c r="AD54" s="19">
        <f t="shared" si="45"/>
        <v>26.918563973431265</v>
      </c>
      <c r="AE54" s="19">
        <f t="shared" si="45"/>
        <v>28.126631872162211</v>
      </c>
      <c r="AF54" s="19">
        <f t="shared" si="45"/>
        <v>29.290760162071923</v>
      </c>
      <c r="AG54" s="19">
        <f t="shared" si="45"/>
        <v>30.41403330923065</v>
      </c>
      <c r="AH54" s="20">
        <f t="shared" si="45"/>
        <v>31.499221978369196</v>
      </c>
      <c r="AI54" s="20">
        <f t="shared" si="45"/>
        <v>32.548824206933169</v>
      </c>
      <c r="AJ54" s="20">
        <f t="shared" si="45"/>
        <v>33.565100039982887</v>
      </c>
      <c r="AK54" s="20">
        <f t="shared" si="45"/>
        <v>34.550100833905667</v>
      </c>
      <c r="AL54" s="21">
        <f t="shared" si="45"/>
        <v>35.505694184326948</v>
      </c>
      <c r="AM54" s="21">
        <f t="shared" si="45"/>
        <v>36.433585239639761</v>
      </c>
      <c r="AN54" s="21">
        <f t="shared" si="45"/>
        <v>37.335335011343709</v>
      </c>
      <c r="AO54" s="21">
        <f t="shared" si="45"/>
        <v>38.21237617510527</v>
      </c>
      <c r="AP54" s="21">
        <f t="shared" si="45"/>
        <v>39.06602676420524</v>
      </c>
      <c r="AQ54" s="21">
        <f t="shared" si="45"/>
        <v>39.897502083973613</v>
      </c>
      <c r="AR54" s="42" t="s">
        <v>11</v>
      </c>
      <c r="AT54" s="72">
        <f>-15-114.08+32.01*LN(AT$3/($E$40*$E53)*(507*171))+10*LOG($E$40*$E53/(507*171))</f>
        <v>-15.084522337375784</v>
      </c>
      <c r="AU54" s="42" t="s">
        <v>5</v>
      </c>
    </row>
    <row r="55" spans="2:47" ht="15.75" thickTop="1" x14ac:dyDescent="0.25">
      <c r="O55" s="96">
        <f>(1.033-29.43*10^-3*($E40/$E41))*$H$1*O$3/SQRT($D54)</f>
        <v>2.8169384127656962</v>
      </c>
      <c r="P55" s="96">
        <f t="shared" ref="P55:AQ55" si="46">(1.033-29.43*10^-3*($E40/$E41))*$H$1*P$3/SQRT($D54)</f>
        <v>3.0730237230171231</v>
      </c>
      <c r="Q55" s="96">
        <f t="shared" si="46"/>
        <v>3.32910903326855</v>
      </c>
      <c r="R55" s="96">
        <f t="shared" si="46"/>
        <v>3.5851943435199769</v>
      </c>
      <c r="S55" s="96">
        <f t="shared" si="46"/>
        <v>3.8412796537714038</v>
      </c>
      <c r="T55" s="96">
        <f t="shared" si="46"/>
        <v>4.0973649640228311</v>
      </c>
      <c r="U55" s="96">
        <f t="shared" si="46"/>
        <v>4.353450274274258</v>
      </c>
      <c r="V55" s="96">
        <f t="shared" si="46"/>
        <v>4.6095355845256849</v>
      </c>
      <c r="W55" s="96">
        <f t="shared" si="46"/>
        <v>4.8656208947771118</v>
      </c>
      <c r="X55" s="96">
        <f t="shared" si="46"/>
        <v>5.1217062050285387</v>
      </c>
      <c r="Y55" s="96">
        <f t="shared" si="46"/>
        <v>5.3777915152799656</v>
      </c>
      <c r="Z55" s="96">
        <f t="shared" si="46"/>
        <v>5.6338768255313925</v>
      </c>
      <c r="AA55" s="96">
        <f t="shared" si="46"/>
        <v>5.8899621357828194</v>
      </c>
      <c r="AB55" s="96">
        <f t="shared" si="46"/>
        <v>6.1460474460342462</v>
      </c>
      <c r="AC55" s="97">
        <f t="shared" si="46"/>
        <v>6.4021327562856731</v>
      </c>
      <c r="AD55" s="97">
        <f t="shared" si="46"/>
        <v>6.6582180665371</v>
      </c>
      <c r="AE55" s="97">
        <f t="shared" si="46"/>
        <v>6.9143033767885278</v>
      </c>
      <c r="AF55" s="97">
        <f t="shared" si="46"/>
        <v>7.1703886870399538</v>
      </c>
      <c r="AG55" s="97">
        <f t="shared" si="46"/>
        <v>7.4264739972913816</v>
      </c>
      <c r="AH55" s="98">
        <f t="shared" si="46"/>
        <v>7.6825593075428076</v>
      </c>
      <c r="AI55" s="98">
        <f t="shared" si="46"/>
        <v>7.9386446177942354</v>
      </c>
      <c r="AJ55" s="98">
        <f t="shared" si="46"/>
        <v>8.1947299280456622</v>
      </c>
      <c r="AK55" s="98">
        <f t="shared" si="46"/>
        <v>8.4508152382970891</v>
      </c>
      <c r="AL55" s="103">
        <f t="shared" si="46"/>
        <v>8.706900548548516</v>
      </c>
      <c r="AM55" s="103">
        <f t="shared" si="46"/>
        <v>8.9629858587999429</v>
      </c>
      <c r="AN55" s="103">
        <f t="shared" si="46"/>
        <v>9.2190711690513698</v>
      </c>
      <c r="AO55" s="103">
        <f t="shared" si="46"/>
        <v>9.4751564793027949</v>
      </c>
      <c r="AP55" s="103">
        <f t="shared" si="46"/>
        <v>9.7312417895542236</v>
      </c>
      <c r="AQ55" s="103">
        <f t="shared" si="46"/>
        <v>9.9873270998056505</v>
      </c>
      <c r="AT55" s="1"/>
      <c r="AU55" s="2"/>
    </row>
    <row r="56" spans="2:47" x14ac:dyDescent="0.25">
      <c r="O56" s="96">
        <f>$H$2*O55</f>
        <v>5.6338768255313925</v>
      </c>
      <c r="P56" s="96">
        <f t="shared" ref="P56:AQ56" si="47">$H$2*P55</f>
        <v>6.1460474460342462</v>
      </c>
      <c r="Q56" s="96">
        <f t="shared" si="47"/>
        <v>6.6582180665371</v>
      </c>
      <c r="R56" s="96">
        <f t="shared" si="47"/>
        <v>7.1703886870399538</v>
      </c>
      <c r="S56" s="96">
        <f t="shared" si="47"/>
        <v>7.6825593075428076</v>
      </c>
      <c r="T56" s="96">
        <f t="shared" si="47"/>
        <v>8.1947299280456622</v>
      </c>
      <c r="U56" s="96">
        <f t="shared" si="47"/>
        <v>8.706900548548516</v>
      </c>
      <c r="V56" s="96">
        <f t="shared" si="47"/>
        <v>9.2190711690513698</v>
      </c>
      <c r="W56" s="96">
        <f t="shared" si="47"/>
        <v>9.7312417895542236</v>
      </c>
      <c r="X56" s="96">
        <f t="shared" si="47"/>
        <v>10.243412410057077</v>
      </c>
      <c r="Y56" s="96">
        <f t="shared" si="47"/>
        <v>10.755583030559931</v>
      </c>
      <c r="Z56" s="96">
        <f t="shared" si="47"/>
        <v>11.267753651062785</v>
      </c>
      <c r="AA56" s="96">
        <f t="shared" si="47"/>
        <v>11.779924271565639</v>
      </c>
      <c r="AB56" s="96">
        <f t="shared" si="47"/>
        <v>12.292094892068492</v>
      </c>
      <c r="AC56" s="97">
        <f t="shared" si="47"/>
        <v>12.804265512571346</v>
      </c>
      <c r="AD56" s="97">
        <f t="shared" si="47"/>
        <v>13.3164361330742</v>
      </c>
      <c r="AE56" s="97">
        <f t="shared" si="47"/>
        <v>13.828606753577056</v>
      </c>
      <c r="AF56" s="97">
        <f t="shared" si="47"/>
        <v>14.340777374079908</v>
      </c>
      <c r="AG56" s="97">
        <f t="shared" si="47"/>
        <v>14.852947994582763</v>
      </c>
      <c r="AH56" s="98">
        <f t="shared" si="47"/>
        <v>15.365118615085615</v>
      </c>
      <c r="AI56" s="98">
        <f t="shared" si="47"/>
        <v>15.877289235588471</v>
      </c>
      <c r="AJ56" s="98">
        <f t="shared" si="47"/>
        <v>16.389459856091324</v>
      </c>
      <c r="AK56" s="98">
        <f t="shared" si="47"/>
        <v>16.901630476594178</v>
      </c>
      <c r="AL56" s="103">
        <f t="shared" si="47"/>
        <v>17.413801097097032</v>
      </c>
      <c r="AM56" s="103">
        <f t="shared" si="47"/>
        <v>17.925971717599886</v>
      </c>
      <c r="AN56" s="103">
        <f t="shared" si="47"/>
        <v>18.43814233810274</v>
      </c>
      <c r="AO56" s="103">
        <f t="shared" si="47"/>
        <v>18.95031295860559</v>
      </c>
      <c r="AP56" s="103">
        <f t="shared" si="47"/>
        <v>19.462483579108447</v>
      </c>
      <c r="AQ56" s="103">
        <f t="shared" si="47"/>
        <v>19.974654199611301</v>
      </c>
      <c r="AT56" s="1"/>
      <c r="AU56" s="2"/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1034" r:id="rId4">
          <objectPr defaultSize="0" r:id="rId5">
            <anchor moveWithCells="1">
              <from>
                <xdr:col>5</xdr:col>
                <xdr:colOff>28575</xdr:colOff>
                <xdr:row>21</xdr:row>
                <xdr:rowOff>19050</xdr:rowOff>
              </from>
              <to>
                <xdr:col>5</xdr:col>
                <xdr:colOff>171450</xdr:colOff>
                <xdr:row>22</xdr:row>
                <xdr:rowOff>0</xdr:rowOff>
              </to>
            </anchor>
          </objectPr>
        </oleObject>
      </mc:Choice>
      <mc:Fallback>
        <oleObject progId="Equation.3" shapeId="1034" r:id="rId4"/>
      </mc:Fallback>
    </mc:AlternateContent>
    <mc:AlternateContent xmlns:mc="http://schemas.openxmlformats.org/markup-compatibility/2006">
      <mc:Choice Requires="x14">
        <oleObject progId="Equation.3" shapeId="1032" r:id="rId6">
          <objectPr defaultSize="0" r:id="rId5">
            <anchor moveWithCells="1">
              <from>
                <xdr:col>5</xdr:col>
                <xdr:colOff>28575</xdr:colOff>
                <xdr:row>21</xdr:row>
                <xdr:rowOff>19050</xdr:rowOff>
              </from>
              <to>
                <xdr:col>5</xdr:col>
                <xdr:colOff>171450</xdr:colOff>
                <xdr:row>22</xdr:row>
                <xdr:rowOff>0</xdr:rowOff>
              </to>
            </anchor>
          </objectPr>
        </oleObject>
      </mc:Choice>
      <mc:Fallback>
        <oleObject progId="Equation.3" shapeId="1032" r:id="rId6"/>
      </mc:Fallback>
    </mc:AlternateContent>
    <mc:AlternateContent xmlns:mc="http://schemas.openxmlformats.org/markup-compatibility/2006">
      <mc:Choice Requires="x14">
        <oleObject progId="Equation.3" shapeId="1033" r:id="rId7">
          <objectPr defaultSize="0" r:id="rId5">
            <anchor moveWithCells="1">
              <from>
                <xdr:col>5</xdr:col>
                <xdr:colOff>28575</xdr:colOff>
                <xdr:row>39</xdr:row>
                <xdr:rowOff>19050</xdr:rowOff>
              </from>
              <to>
                <xdr:col>5</xdr:col>
                <xdr:colOff>171450</xdr:colOff>
                <xdr:row>40</xdr:row>
                <xdr:rowOff>0</xdr:rowOff>
              </to>
            </anchor>
          </objectPr>
        </oleObject>
      </mc:Choice>
      <mc:Fallback>
        <oleObject progId="Equation.3" shapeId="1033" r:id="rId7"/>
      </mc:Fallback>
    </mc:AlternateContent>
    <mc:AlternateContent xmlns:mc="http://schemas.openxmlformats.org/markup-compatibility/2006">
      <mc:Choice Requires="x14">
        <oleObject progId="Equation.3" shapeId="1035" r:id="rId8">
          <objectPr defaultSize="0" r:id="rId5">
            <anchor moveWithCells="1">
              <from>
                <xdr:col>5</xdr:col>
                <xdr:colOff>28575</xdr:colOff>
                <xdr:row>39</xdr:row>
                <xdr:rowOff>19050</xdr:rowOff>
              </from>
              <to>
                <xdr:col>5</xdr:col>
                <xdr:colOff>171450</xdr:colOff>
                <xdr:row>40</xdr:row>
                <xdr:rowOff>0</xdr:rowOff>
              </to>
            </anchor>
          </objectPr>
        </oleObject>
      </mc:Choice>
      <mc:Fallback>
        <oleObject progId="Equation.3" shapeId="1035" r:id="rId8"/>
      </mc:Fallback>
    </mc:AlternateContent>
    <mc:AlternateContent xmlns:mc="http://schemas.openxmlformats.org/markup-compatibility/2006">
      <mc:Choice Requires="x14">
        <oleObject progId="Equation.3" shapeId="1037" r:id="rId9">
          <objectPr defaultSize="0" r:id="rId5">
            <anchor moveWithCells="1">
              <from>
                <xdr:col>5</xdr:col>
                <xdr:colOff>28575</xdr:colOff>
                <xdr:row>2</xdr:row>
                <xdr:rowOff>19050</xdr:rowOff>
              </from>
              <to>
                <xdr:col>5</xdr:col>
                <xdr:colOff>171450</xdr:colOff>
                <xdr:row>3</xdr:row>
                <xdr:rowOff>0</xdr:rowOff>
              </to>
            </anchor>
          </objectPr>
        </oleObject>
      </mc:Choice>
      <mc:Fallback>
        <oleObject progId="Equation.3" shapeId="1037" r:id="rId9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BO184"/>
  <sheetViews>
    <sheetView workbookViewId="0"/>
  </sheetViews>
  <sheetFormatPr defaultColWidth="8.7109375" defaultRowHeight="15" x14ac:dyDescent="0.25"/>
  <cols>
    <col min="1" max="1" width="12.5703125" customWidth="1"/>
    <col min="2" max="2" width="14.28515625" customWidth="1"/>
    <col min="3" max="3" width="8.7109375" customWidth="1"/>
    <col min="4" max="5" width="12.28515625" customWidth="1"/>
    <col min="6" max="6" width="12" bestFit="1" customWidth="1"/>
    <col min="7" max="7" width="10.28515625" customWidth="1"/>
    <col min="8" max="8" width="7.5703125" customWidth="1"/>
    <col min="9" max="9" width="9.5703125" customWidth="1"/>
    <col min="10" max="10" width="14.28515625" customWidth="1"/>
    <col min="11" max="11" width="6.28515625" customWidth="1"/>
    <col min="12" max="15" width="11.7109375" hidden="1" customWidth="1"/>
    <col min="16" max="16" width="7" customWidth="1"/>
    <col min="17" max="20" width="11.7109375" hidden="1" customWidth="1"/>
    <col min="21" max="21" width="5.5703125" customWidth="1"/>
    <col min="22" max="22" width="5" style="3" customWidth="1"/>
    <col min="23" max="23" width="9.7109375" style="3" customWidth="1"/>
    <col min="24" max="24" width="9.28515625" style="3" customWidth="1"/>
    <col min="25" max="25" width="11.28515625" style="3" customWidth="1"/>
    <col min="26" max="26" width="7.28515625" style="3" customWidth="1"/>
    <col min="27" max="30" width="11.28515625" style="3" hidden="1" customWidth="1"/>
    <col min="31" max="31" width="6.7109375" style="3" customWidth="1"/>
    <col min="32" max="35" width="11.28515625" style="3" hidden="1" customWidth="1"/>
    <col min="36" max="36" width="6.28515625" style="3" customWidth="1"/>
    <col min="37" max="40" width="11.28515625" style="3" hidden="1" customWidth="1"/>
    <col min="41" max="41" width="6.28515625" style="3" customWidth="1"/>
    <col min="42" max="42" width="11.28515625" style="3" hidden="1" customWidth="1"/>
    <col min="43" max="45" width="8.7109375" hidden="1" customWidth="1"/>
    <col min="46" max="46" width="7.7109375" customWidth="1"/>
    <col min="47" max="47" width="10.7109375" hidden="1" customWidth="1"/>
    <col min="48" max="50" width="0" hidden="1" customWidth="1"/>
    <col min="51" max="51" width="6.7109375" customWidth="1"/>
    <col min="52" max="55" width="0" hidden="1" customWidth="1"/>
    <col min="56" max="56" width="6.28515625" customWidth="1"/>
    <col min="57" max="60" width="0" hidden="1" customWidth="1"/>
    <col min="61" max="62" width="6.28515625" customWidth="1"/>
  </cols>
  <sheetData>
    <row r="1" spans="1:48" x14ac:dyDescent="0.25">
      <c r="A1" t="s">
        <v>185</v>
      </c>
      <c r="V1"/>
      <c r="W1"/>
      <c r="X1" s="2"/>
      <c r="Y1" s="13"/>
      <c r="Z1" s="106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2" spans="1:48" x14ac:dyDescent="0.25">
      <c r="A2" t="s">
        <v>186</v>
      </c>
      <c r="B2">
        <v>2</v>
      </c>
      <c r="D2" s="2" t="s">
        <v>62</v>
      </c>
      <c r="E2" s="43" t="s">
        <v>69</v>
      </c>
      <c r="F2" s="93">
        <v>7</v>
      </c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/>
      <c r="W2"/>
      <c r="X2" s="2" t="s">
        <v>62</v>
      </c>
      <c r="Y2" s="43" t="s">
        <v>69</v>
      </c>
      <c r="Z2" s="93">
        <f>$F2</f>
        <v>7</v>
      </c>
      <c r="AA2" s="260"/>
      <c r="AB2" s="260"/>
      <c r="AC2" s="260"/>
      <c r="AD2" s="260"/>
      <c r="AE2" s="260"/>
      <c r="AF2" s="260"/>
      <c r="AG2" s="260"/>
      <c r="AH2" s="260"/>
      <c r="AI2" s="260"/>
      <c r="AJ2" s="260"/>
      <c r="AK2" s="260"/>
      <c r="AL2" s="260"/>
      <c r="AM2" s="260"/>
      <c r="AN2" s="260"/>
      <c r="AO2" s="260"/>
      <c r="AP2" s="260"/>
      <c r="AR2" s="2" t="s">
        <v>62</v>
      </c>
      <c r="AS2" s="43" t="s">
        <v>69</v>
      </c>
      <c r="AT2" s="93">
        <f>$F2</f>
        <v>7</v>
      </c>
      <c r="AU2" s="260"/>
      <c r="AV2" s="260"/>
    </row>
    <row r="3" spans="1:48" x14ac:dyDescent="0.25">
      <c r="A3" t="s">
        <v>188</v>
      </c>
      <c r="B3">
        <f>IF(B2=1,1,3.6)</f>
        <v>3.6</v>
      </c>
      <c r="D3" s="2"/>
      <c r="E3" s="43" t="s">
        <v>70</v>
      </c>
      <c r="F3" s="93">
        <v>21</v>
      </c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/>
      <c r="W3"/>
      <c r="X3" s="2"/>
      <c r="Y3" s="43" t="s">
        <v>70</v>
      </c>
      <c r="Z3" s="93">
        <f t="shared" ref="Z3:Z10" si="0">$F3</f>
        <v>21</v>
      </c>
      <c r="AA3" s="260"/>
      <c r="AB3" s="260"/>
      <c r="AC3" s="260"/>
      <c r="AD3" s="260"/>
      <c r="AE3" s="260"/>
      <c r="AF3" s="260"/>
      <c r="AG3" s="260"/>
      <c r="AH3" s="260"/>
      <c r="AI3" s="260"/>
      <c r="AJ3" s="260"/>
      <c r="AK3" s="260"/>
      <c r="AL3" s="260"/>
      <c r="AM3" s="260"/>
      <c r="AN3" s="260"/>
      <c r="AO3" s="260"/>
      <c r="AP3" s="260"/>
      <c r="AR3" s="2"/>
      <c r="AS3" s="43" t="s">
        <v>70</v>
      </c>
      <c r="AT3" s="93">
        <f t="shared" ref="AT3:AT10" si="1">$F3</f>
        <v>21</v>
      </c>
      <c r="AU3" s="260"/>
      <c r="AV3" s="260"/>
    </row>
    <row r="4" spans="1:48" x14ac:dyDescent="0.25">
      <c r="A4" t="s">
        <v>186</v>
      </c>
      <c r="B4" t="str">
        <f>IF(B2=1,"L/s","m³/h")</f>
        <v>m³/h</v>
      </c>
      <c r="D4" s="2"/>
      <c r="E4" s="43" t="s">
        <v>78</v>
      </c>
      <c r="F4" s="93">
        <f>SQRT(ABS(12/F19))</f>
        <v>1</v>
      </c>
      <c r="G4" s="260" t="s">
        <v>85</v>
      </c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/>
      <c r="W4"/>
      <c r="X4" s="2"/>
      <c r="Y4" s="43" t="s">
        <v>78</v>
      </c>
      <c r="Z4" s="93">
        <f t="shared" si="0"/>
        <v>1</v>
      </c>
      <c r="AA4" s="260" t="s">
        <v>85</v>
      </c>
      <c r="AB4" s="260"/>
      <c r="AC4" s="260"/>
      <c r="AD4" s="260"/>
      <c r="AE4" s="260"/>
      <c r="AF4" s="260"/>
      <c r="AG4" s="260"/>
      <c r="AH4" s="260"/>
      <c r="AI4" s="260"/>
      <c r="AJ4" s="260"/>
      <c r="AK4" s="260"/>
      <c r="AL4" s="260"/>
      <c r="AM4" s="260"/>
      <c r="AN4" s="260"/>
      <c r="AO4" s="260"/>
      <c r="AP4" s="260"/>
      <c r="AR4" s="2"/>
      <c r="AS4" s="43" t="s">
        <v>78</v>
      </c>
      <c r="AT4" s="93">
        <f t="shared" si="1"/>
        <v>1</v>
      </c>
      <c r="AU4" s="260" t="s">
        <v>85</v>
      </c>
      <c r="AV4" s="260"/>
    </row>
    <row r="5" spans="1:48" x14ac:dyDescent="0.25">
      <c r="A5" t="s">
        <v>189</v>
      </c>
      <c r="B5" t="str">
        <f>IF(B2=1,"L/s/m²","m³/h/m²")</f>
        <v>m³/h/m²</v>
      </c>
      <c r="D5" s="2"/>
      <c r="E5" s="43" t="s">
        <v>81</v>
      </c>
      <c r="F5" s="93">
        <f>SQRT(1.209*F18^-0.199)</f>
        <v>1.0037328076321883</v>
      </c>
      <c r="G5" s="260" t="s">
        <v>86</v>
      </c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/>
      <c r="W5"/>
      <c r="X5" s="2"/>
      <c r="Y5" s="43" t="s">
        <v>81</v>
      </c>
      <c r="Z5" s="93">
        <f t="shared" si="0"/>
        <v>1.0037328076321883</v>
      </c>
      <c r="AA5" s="260" t="s">
        <v>86</v>
      </c>
      <c r="AB5" s="260"/>
      <c r="AC5" s="260"/>
      <c r="AD5" s="260"/>
      <c r="AE5" s="260"/>
      <c r="AF5" s="260"/>
      <c r="AG5" s="260"/>
      <c r="AH5" s="260"/>
      <c r="AI5" s="260"/>
      <c r="AJ5" s="260"/>
      <c r="AK5" s="260"/>
      <c r="AL5" s="260"/>
      <c r="AM5" s="260"/>
      <c r="AN5" s="260"/>
      <c r="AO5" s="260"/>
      <c r="AP5" s="260"/>
      <c r="AR5" s="2"/>
      <c r="AS5" s="43" t="s">
        <v>81</v>
      </c>
      <c r="AT5" s="93">
        <f t="shared" si="1"/>
        <v>1.0037328076321883</v>
      </c>
      <c r="AU5" s="260" t="s">
        <v>86</v>
      </c>
      <c r="AV5" s="260"/>
    </row>
    <row r="6" spans="1:48" x14ac:dyDescent="0.25">
      <c r="D6" s="2"/>
      <c r="E6" s="43" t="s">
        <v>82</v>
      </c>
      <c r="F6" s="93">
        <f>SQRT(2.5/F18)</f>
        <v>1</v>
      </c>
      <c r="G6" s="260" t="s">
        <v>87</v>
      </c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/>
      <c r="W6"/>
      <c r="X6" s="2"/>
      <c r="Y6" s="43" t="s">
        <v>82</v>
      </c>
      <c r="Z6" s="93">
        <f t="shared" si="0"/>
        <v>1</v>
      </c>
      <c r="AA6" s="260" t="s">
        <v>87</v>
      </c>
      <c r="AB6" s="260"/>
      <c r="AC6" s="260"/>
      <c r="AD6" s="260"/>
      <c r="AE6" s="260"/>
      <c r="AF6" s="260"/>
      <c r="AG6" s="260"/>
      <c r="AH6" s="260"/>
      <c r="AI6" s="260"/>
      <c r="AJ6" s="260"/>
      <c r="AK6" s="260"/>
      <c r="AL6" s="260"/>
      <c r="AM6" s="260"/>
      <c r="AN6" s="260"/>
      <c r="AO6" s="260"/>
      <c r="AP6" s="260"/>
      <c r="AR6" s="2"/>
      <c r="AS6" s="43" t="s">
        <v>82</v>
      </c>
      <c r="AT6" s="93">
        <f t="shared" si="1"/>
        <v>1</v>
      </c>
      <c r="AU6" s="260" t="s">
        <v>87</v>
      </c>
      <c r="AV6" s="260"/>
    </row>
    <row r="7" spans="1:48" x14ac:dyDescent="0.25">
      <c r="D7" s="2"/>
      <c r="E7" s="43" t="s">
        <v>83</v>
      </c>
      <c r="F7" s="277">
        <f>SQRT(195/145)</f>
        <v>1.1596670152276025</v>
      </c>
      <c r="G7" s="260" t="s">
        <v>84</v>
      </c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/>
      <c r="W7"/>
      <c r="X7" s="2"/>
      <c r="Y7" s="43" t="s">
        <v>83</v>
      </c>
      <c r="Z7" s="93">
        <f t="shared" si="0"/>
        <v>1.1596670152276025</v>
      </c>
      <c r="AA7" s="260" t="s">
        <v>84</v>
      </c>
      <c r="AB7" s="260"/>
      <c r="AC7" s="260"/>
      <c r="AD7" s="260"/>
      <c r="AE7" s="260"/>
      <c r="AF7" s="260"/>
      <c r="AG7" s="260"/>
      <c r="AH7" s="260"/>
      <c r="AI7" s="260"/>
      <c r="AJ7" s="260"/>
      <c r="AK7" s="260"/>
      <c r="AL7" s="260"/>
      <c r="AM7" s="260"/>
      <c r="AN7" s="260"/>
      <c r="AO7" s="260"/>
      <c r="AP7" s="260"/>
      <c r="AR7" s="2"/>
      <c r="AS7" s="43" t="s">
        <v>83</v>
      </c>
      <c r="AT7" s="93">
        <f t="shared" si="1"/>
        <v>1.1596670152276025</v>
      </c>
      <c r="AU7" s="260" t="s">
        <v>84</v>
      </c>
      <c r="AV7" s="260"/>
    </row>
    <row r="8" spans="1:48" x14ac:dyDescent="0.25">
      <c r="D8" s="2"/>
      <c r="E8" s="43" t="s">
        <v>91</v>
      </c>
      <c r="F8" s="277">
        <f>SQRT(19.92*F9^2.153)</f>
        <v>0.94595466606773282</v>
      </c>
      <c r="G8" s="260" t="s">
        <v>92</v>
      </c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/>
      <c r="W8"/>
      <c r="X8" s="2"/>
      <c r="Y8" s="43" t="s">
        <v>91</v>
      </c>
      <c r="Z8" s="93">
        <f t="shared" si="0"/>
        <v>0.94595466606773282</v>
      </c>
      <c r="AA8" s="260" t="s">
        <v>92</v>
      </c>
      <c r="AB8" s="260"/>
      <c r="AC8" s="260"/>
      <c r="AD8" s="260"/>
      <c r="AE8" s="260"/>
      <c r="AF8" s="260"/>
      <c r="AG8" s="260"/>
      <c r="AH8" s="260"/>
      <c r="AI8" s="260"/>
      <c r="AJ8" s="260"/>
      <c r="AK8" s="260"/>
      <c r="AL8" s="260"/>
      <c r="AM8" s="260"/>
      <c r="AN8" s="260"/>
      <c r="AO8" s="260"/>
      <c r="AP8" s="260"/>
      <c r="AR8" s="2"/>
      <c r="AS8" s="43" t="s">
        <v>91</v>
      </c>
      <c r="AT8" s="93">
        <f t="shared" si="1"/>
        <v>0.94595466606773282</v>
      </c>
      <c r="AU8" s="260" t="s">
        <v>92</v>
      </c>
      <c r="AV8" s="260"/>
    </row>
    <row r="9" spans="1:48" x14ac:dyDescent="0.25">
      <c r="D9" s="2"/>
      <c r="E9" s="43" t="s">
        <v>52</v>
      </c>
      <c r="F9" s="276">
        <f>0.679-4.915*10^-3*F20</f>
        <v>0.23665000000000003</v>
      </c>
      <c r="G9" s="260" t="s">
        <v>90</v>
      </c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/>
      <c r="W9"/>
      <c r="X9" s="2"/>
      <c r="Y9" s="43" t="s">
        <v>52</v>
      </c>
      <c r="Z9" s="93">
        <f t="shared" si="0"/>
        <v>0.23665000000000003</v>
      </c>
      <c r="AA9" s="260" t="s">
        <v>90</v>
      </c>
      <c r="AB9" s="260"/>
      <c r="AC9" s="260"/>
      <c r="AD9" s="260"/>
      <c r="AE9" s="260"/>
      <c r="AF9" s="260"/>
      <c r="AG9" s="260"/>
      <c r="AH9" s="260"/>
      <c r="AI9" s="260"/>
      <c r="AJ9" s="260"/>
      <c r="AK9" s="260"/>
      <c r="AL9" s="260"/>
      <c r="AM9" s="260"/>
      <c r="AN9" s="260"/>
      <c r="AO9" s="260"/>
      <c r="AP9" s="260"/>
      <c r="AR9" s="2"/>
      <c r="AS9" s="43" t="s">
        <v>52</v>
      </c>
      <c r="AT9" s="93">
        <f t="shared" si="1"/>
        <v>0.23665000000000003</v>
      </c>
      <c r="AU9" s="260" t="s">
        <v>90</v>
      </c>
      <c r="AV9" s="260"/>
    </row>
    <row r="10" spans="1:48" ht="15.75" thickBot="1" x14ac:dyDescent="0.3">
      <c r="D10" s="2"/>
      <c r="E10" s="43" t="s">
        <v>94</v>
      </c>
      <c r="F10" s="277">
        <v>1.9</v>
      </c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  <c r="R10" s="260"/>
      <c r="S10" s="260"/>
      <c r="T10" s="260"/>
      <c r="U10" s="260"/>
      <c r="V10"/>
      <c r="W10"/>
      <c r="X10" s="2"/>
      <c r="Y10" s="43" t="s">
        <v>94</v>
      </c>
      <c r="Z10" s="93">
        <f t="shared" si="0"/>
        <v>1.9</v>
      </c>
      <c r="AA10" s="260"/>
      <c r="AB10" s="260"/>
      <c r="AC10" s="260"/>
      <c r="AD10" s="260"/>
      <c r="AE10" s="260"/>
      <c r="AF10" s="260"/>
      <c r="AG10" s="260"/>
      <c r="AH10" s="260"/>
      <c r="AI10" s="260"/>
      <c r="AJ10" s="260"/>
      <c r="AK10" s="260"/>
      <c r="AL10" s="260"/>
      <c r="AM10" s="260"/>
      <c r="AN10" s="260"/>
      <c r="AO10" s="260"/>
      <c r="AP10" s="260"/>
      <c r="AR10" s="2"/>
      <c r="AS10" s="43" t="s">
        <v>94</v>
      </c>
      <c r="AT10" s="93">
        <f t="shared" si="1"/>
        <v>1.9</v>
      </c>
      <c r="AU10" s="260"/>
      <c r="AV10" s="260"/>
    </row>
    <row r="11" spans="1:48" ht="16.5" thickTop="1" thickBot="1" x14ac:dyDescent="0.3">
      <c r="E11" s="13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/>
      <c r="W11"/>
      <c r="X11" s="2"/>
      <c r="Y11" s="13"/>
      <c r="Z11" s="240" t="s">
        <v>41</v>
      </c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R11" s="2"/>
      <c r="AS11" s="13"/>
      <c r="AT11" s="240" t="s">
        <v>41</v>
      </c>
      <c r="AV11" s="260"/>
    </row>
    <row r="12" spans="1:48" ht="16.5" thickTop="1" thickBot="1" x14ac:dyDescent="0.3">
      <c r="E12" s="13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/>
      <c r="W12"/>
      <c r="X12" s="2"/>
      <c r="Y12" s="125" t="s">
        <v>54</v>
      </c>
      <c r="Z12" s="376">
        <f>$F18</f>
        <v>2.5</v>
      </c>
      <c r="AA12" s="152" t="s">
        <v>32</v>
      </c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R12" s="2"/>
      <c r="AS12" s="125" t="s">
        <v>54</v>
      </c>
      <c r="AT12" s="376">
        <f>$F18</f>
        <v>2.5</v>
      </c>
      <c r="AU12" s="152" t="s">
        <v>32</v>
      </c>
      <c r="AV12" s="260"/>
    </row>
    <row r="13" spans="1:48" ht="15.75" thickTop="1" x14ac:dyDescent="0.25">
      <c r="C13" s="299" t="s">
        <v>63</v>
      </c>
      <c r="D13" s="139" t="s">
        <v>39</v>
      </c>
      <c r="E13" s="13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  <c r="T13" s="260"/>
      <c r="U13" s="260"/>
      <c r="V13"/>
      <c r="W13" s="299" t="s">
        <v>63</v>
      </c>
      <c r="X13" s="139" t="s">
        <v>39</v>
      </c>
      <c r="Y13" s="132" t="s">
        <v>53</v>
      </c>
      <c r="Z13" s="364">
        <f t="shared" ref="Z13:Z15" si="2">$F19</f>
        <v>-12</v>
      </c>
      <c r="AA13" s="153" t="s">
        <v>34</v>
      </c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299" t="s">
        <v>63</v>
      </c>
      <c r="AR13" s="139" t="s">
        <v>39</v>
      </c>
      <c r="AS13" s="132" t="s">
        <v>53</v>
      </c>
      <c r="AT13" s="364">
        <f t="shared" ref="AT13:AT15" si="3">$F19</f>
        <v>-12</v>
      </c>
      <c r="AU13" s="153" t="s">
        <v>34</v>
      </c>
      <c r="AV13" s="260"/>
    </row>
    <row r="14" spans="1:48" ht="15.75" thickBot="1" x14ac:dyDescent="0.3">
      <c r="C14" s="300" t="s">
        <v>64</v>
      </c>
      <c r="D14" s="151" t="s">
        <v>33</v>
      </c>
      <c r="E14" s="13"/>
      <c r="G14" s="260"/>
      <c r="H14" s="260"/>
      <c r="I14" s="260"/>
      <c r="J14" s="260"/>
      <c r="K14" s="260"/>
      <c r="L14" s="260"/>
      <c r="M14" s="260"/>
      <c r="N14" s="260"/>
      <c r="O14" s="260"/>
      <c r="P14" s="260"/>
      <c r="Q14" s="260"/>
      <c r="R14" s="260"/>
      <c r="S14" s="260"/>
      <c r="T14" s="260"/>
      <c r="U14" s="260"/>
      <c r="V14"/>
      <c r="W14" s="300" t="s">
        <v>64</v>
      </c>
      <c r="X14" s="151" t="s">
        <v>33</v>
      </c>
      <c r="Y14" s="13" t="s">
        <v>88</v>
      </c>
      <c r="Z14" s="364">
        <f t="shared" si="2"/>
        <v>90</v>
      </c>
      <c r="AA14" s="153" t="s">
        <v>89</v>
      </c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300" t="s">
        <v>64</v>
      </c>
      <c r="AR14" s="151" t="s">
        <v>33</v>
      </c>
      <c r="AS14" s="13" t="s">
        <v>88</v>
      </c>
      <c r="AT14" s="364">
        <f t="shared" si="3"/>
        <v>90</v>
      </c>
      <c r="AU14" s="153" t="s">
        <v>89</v>
      </c>
      <c r="AV14" s="260"/>
    </row>
    <row r="15" spans="1:48" ht="15.75" thickBot="1" x14ac:dyDescent="0.3">
      <c r="C15" s="301" t="s">
        <v>97</v>
      </c>
      <c r="D15" s="298">
        <v>577</v>
      </c>
      <c r="E15" s="13"/>
      <c r="G15" s="260"/>
      <c r="H15" s="260"/>
      <c r="I15" s="260"/>
      <c r="J15" s="260"/>
      <c r="K15" s="260"/>
      <c r="L15" s="260"/>
      <c r="M15" s="260"/>
      <c r="N15" s="260"/>
      <c r="O15" s="260"/>
      <c r="P15" s="260"/>
      <c r="Q15" s="260"/>
      <c r="R15" s="260"/>
      <c r="S15" s="260"/>
      <c r="T15" s="260"/>
      <c r="U15" s="260"/>
      <c r="V15"/>
      <c r="W15" s="301" t="s">
        <v>95</v>
      </c>
      <c r="X15" s="298">
        <v>915</v>
      </c>
      <c r="Y15" s="146" t="s">
        <v>55</v>
      </c>
      <c r="Z15" s="364">
        <f t="shared" si="2"/>
        <v>27.777777777777779</v>
      </c>
      <c r="AA15" s="262" t="s">
        <v>15</v>
      </c>
      <c r="AB15" s="334"/>
      <c r="AC15" s="334"/>
      <c r="AD15" s="334"/>
      <c r="AE15" s="334"/>
      <c r="AF15" s="334"/>
      <c r="AG15" s="334"/>
      <c r="AH15" s="334"/>
      <c r="AI15" s="334"/>
      <c r="AJ15" s="334"/>
      <c r="AK15" s="334"/>
      <c r="AL15" s="334"/>
      <c r="AM15" s="334"/>
      <c r="AN15" s="334"/>
      <c r="AO15" s="334"/>
      <c r="AP15" s="334"/>
      <c r="AQ15" s="301" t="s">
        <v>96</v>
      </c>
      <c r="AR15" s="298">
        <v>1455</v>
      </c>
      <c r="AS15" s="146" t="s">
        <v>55</v>
      </c>
      <c r="AT15" s="364">
        <f t="shared" si="3"/>
        <v>27.777777777777779</v>
      </c>
      <c r="AU15" s="262" t="s">
        <v>15</v>
      </c>
      <c r="AV15" s="260"/>
    </row>
    <row r="16" spans="1:48" ht="16.5" thickTop="1" thickBot="1" x14ac:dyDescent="0.3">
      <c r="D16" s="2"/>
      <c r="E16" s="13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  <c r="S16" s="260"/>
      <c r="T16" s="260"/>
      <c r="U16" s="260"/>
      <c r="V16"/>
      <c r="W16"/>
      <c r="X16" s="2"/>
      <c r="Y16" s="13"/>
      <c r="Z16"/>
      <c r="AA16" s="260"/>
      <c r="AB16" s="260"/>
      <c r="AC16" s="260"/>
      <c r="AD16" s="260"/>
      <c r="AE16" s="260"/>
      <c r="AF16" s="260"/>
      <c r="AG16" s="260"/>
      <c r="AH16" s="260"/>
      <c r="AI16" s="260"/>
      <c r="AJ16" s="260"/>
      <c r="AK16" s="260"/>
      <c r="AL16" s="260"/>
      <c r="AM16" s="260"/>
      <c r="AN16" s="260"/>
      <c r="AO16" s="260"/>
      <c r="AP16" s="260"/>
      <c r="AR16" s="2"/>
      <c r="AS16" s="13"/>
      <c r="AU16" s="260"/>
      <c r="AV16" s="260"/>
    </row>
    <row r="17" spans="1:65" ht="16.5" thickTop="1" thickBot="1" x14ac:dyDescent="0.3">
      <c r="D17" s="2"/>
      <c r="E17" s="13"/>
      <c r="F17" s="240" t="s">
        <v>41</v>
      </c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65" ht="15.75" thickTop="1" x14ac:dyDescent="0.25">
      <c r="D18" s="2"/>
      <c r="E18" s="125" t="s">
        <v>54</v>
      </c>
      <c r="F18" s="376">
        <f>'BMW-AD-Std Size Calculator'!E14</f>
        <v>2.5</v>
      </c>
      <c r="G18" s="152" t="s">
        <v>32</v>
      </c>
      <c r="H18" s="43"/>
      <c r="I18" s="43"/>
      <c r="J18" s="43"/>
      <c r="K18" s="152" t="s">
        <v>32</v>
      </c>
      <c r="L18" s="43"/>
      <c r="M18" s="43"/>
      <c r="N18" s="43"/>
      <c r="O18" s="43"/>
      <c r="P18" s="123" t="s">
        <v>102</v>
      </c>
      <c r="Q18" s="43"/>
      <c r="R18" s="43"/>
      <c r="S18" s="43"/>
      <c r="T18" s="43"/>
      <c r="U18" s="43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V18" s="43"/>
    </row>
    <row r="19" spans="1:65" x14ac:dyDescent="0.25">
      <c r="E19" s="132" t="s">
        <v>53</v>
      </c>
      <c r="F19" s="364">
        <f>IF('BMW-AD-Std Size Calculator'!E16&gt;-8,-8,'BMW-AD-Std Size Calculator'!E16)</f>
        <v>-12</v>
      </c>
      <c r="G19" s="153" t="s">
        <v>34</v>
      </c>
      <c r="H19" s="43"/>
      <c r="I19" s="43"/>
      <c r="J19" s="43"/>
      <c r="K19" s="153" t="s">
        <v>34</v>
      </c>
      <c r="L19" s="43"/>
      <c r="M19" s="43"/>
      <c r="N19" s="43"/>
      <c r="O19" s="43"/>
      <c r="P19" s="123" t="s">
        <v>100</v>
      </c>
      <c r="Q19" s="43"/>
      <c r="R19" s="43"/>
      <c r="S19" s="43"/>
      <c r="T19" s="43"/>
      <c r="U19" s="43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V19" s="43"/>
    </row>
    <row r="20" spans="1:65" x14ac:dyDescent="0.25">
      <c r="A20" s="2"/>
      <c r="B20" s="2"/>
      <c r="E20" s="252" t="s">
        <v>88</v>
      </c>
      <c r="F20" s="372">
        <f>'BMW-AD-Std Size Calculator'!N10*100</f>
        <v>90</v>
      </c>
      <c r="G20" s="153" t="s">
        <v>89</v>
      </c>
      <c r="H20" s="43"/>
      <c r="I20" s="43"/>
      <c r="J20" s="43"/>
      <c r="K20" s="153" t="s">
        <v>89</v>
      </c>
      <c r="L20" s="43"/>
      <c r="M20" s="43"/>
      <c r="N20" s="43"/>
      <c r="O20" s="43"/>
      <c r="P20" s="123" t="s">
        <v>101</v>
      </c>
      <c r="Q20" s="43"/>
      <c r="R20" s="43"/>
      <c r="S20" s="43"/>
      <c r="T20" s="43"/>
      <c r="U20" s="43"/>
      <c r="V20" s="2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V20" s="43"/>
    </row>
    <row r="21" spans="1:65" ht="15.75" thickBot="1" x14ac:dyDescent="0.3">
      <c r="E21" s="132" t="s">
        <v>55</v>
      </c>
      <c r="F21" s="372">
        <f>'BMW-AD-Std Size Calculator'!E8/B3</f>
        <v>27.777777777777779</v>
      </c>
      <c r="G21" s="305" t="s">
        <v>15</v>
      </c>
      <c r="H21" s="334"/>
      <c r="I21" s="334"/>
      <c r="J21" s="334"/>
      <c r="K21" s="305" t="s">
        <v>15</v>
      </c>
      <c r="L21" s="334"/>
      <c r="M21" s="334"/>
      <c r="N21" s="334"/>
      <c r="O21" s="334"/>
      <c r="P21" s="334"/>
      <c r="Q21" s="334"/>
      <c r="R21" s="334"/>
      <c r="S21" s="334"/>
      <c r="T21" s="334"/>
      <c r="U21" s="334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V21" s="334"/>
    </row>
    <row r="22" spans="1:65" s="415" customFormat="1" ht="16.5" thickTop="1" thickBot="1" x14ac:dyDescent="0.3">
      <c r="C22" s="416"/>
      <c r="D22" s="341"/>
      <c r="E22" s="464" t="s">
        <v>461</v>
      </c>
      <c r="F22" s="502" t="s">
        <v>108</v>
      </c>
      <c r="G22" s="465"/>
      <c r="H22" s="465"/>
      <c r="I22" s="465"/>
      <c r="J22" s="465"/>
      <c r="K22" s="465"/>
      <c r="L22" s="465"/>
      <c r="M22" s="465"/>
      <c r="N22" s="465"/>
      <c r="O22" s="465"/>
      <c r="P22" s="465"/>
      <c r="Q22" s="465"/>
      <c r="R22" s="465"/>
      <c r="S22" s="465"/>
      <c r="T22" s="465"/>
      <c r="U22" s="466"/>
      <c r="V22" s="465"/>
      <c r="W22" s="503"/>
      <c r="X22" s="504"/>
      <c r="Y22" s="504" t="s">
        <v>461</v>
      </c>
      <c r="Z22" s="505" t="s">
        <v>109</v>
      </c>
      <c r="AA22" s="465"/>
      <c r="AB22" s="465"/>
      <c r="AC22" s="465"/>
      <c r="AD22" s="465"/>
      <c r="AE22" s="465"/>
      <c r="AF22" s="465"/>
      <c r="AG22" s="465"/>
      <c r="AH22" s="465"/>
      <c r="AI22" s="465"/>
      <c r="AJ22" s="465"/>
      <c r="AK22" s="465"/>
      <c r="AL22" s="465"/>
      <c r="AM22" s="465"/>
      <c r="AN22" s="465"/>
      <c r="AO22" s="465"/>
      <c r="AP22" s="465"/>
      <c r="AQ22" s="503"/>
      <c r="AR22" s="504"/>
      <c r="AS22" s="504" t="s">
        <v>461</v>
      </c>
      <c r="AT22" s="502" t="s">
        <v>110</v>
      </c>
      <c r="AU22" s="465"/>
      <c r="AV22" s="465"/>
      <c r="AW22" s="465"/>
      <c r="AX22" s="465"/>
      <c r="AY22" s="465"/>
      <c r="AZ22" s="465"/>
      <c r="BA22" s="465"/>
      <c r="BB22" s="465"/>
      <c r="BC22" s="465"/>
      <c r="BD22" s="465"/>
      <c r="BE22" s="465"/>
      <c r="BF22" s="465"/>
      <c r="BG22" s="465"/>
      <c r="BH22" s="465"/>
      <c r="BI22" s="466"/>
    </row>
    <row r="23" spans="1:65" ht="15.75" thickTop="1" x14ac:dyDescent="0.25">
      <c r="C23" s="417"/>
      <c r="D23" s="12"/>
      <c r="E23" s="125" t="s">
        <v>106</v>
      </c>
      <c r="F23" s="490">
        <f>D15</f>
        <v>577</v>
      </c>
      <c r="G23" s="477" t="s">
        <v>33</v>
      </c>
      <c r="H23" s="477"/>
      <c r="I23" s="477"/>
      <c r="J23" s="477"/>
      <c r="K23" s="477"/>
      <c r="L23" s="477"/>
      <c r="M23" s="477"/>
      <c r="N23" s="477"/>
      <c r="O23" s="477"/>
      <c r="P23" s="477"/>
      <c r="Q23" s="477"/>
      <c r="R23" s="477"/>
      <c r="S23" s="477"/>
      <c r="T23" s="477"/>
      <c r="U23" s="478"/>
      <c r="V23" s="477"/>
      <c r="W23" s="491"/>
      <c r="X23" s="492"/>
      <c r="Y23" s="492" t="s">
        <v>106</v>
      </c>
      <c r="Z23" s="493">
        <f>X15</f>
        <v>915</v>
      </c>
      <c r="AA23" s="477" t="s">
        <v>33</v>
      </c>
      <c r="AB23" s="477"/>
      <c r="AC23" s="477"/>
      <c r="AD23" s="477"/>
      <c r="AE23" s="477"/>
      <c r="AF23" s="477"/>
      <c r="AG23" s="477"/>
      <c r="AH23" s="477"/>
      <c r="AI23" s="477"/>
      <c r="AJ23" s="477"/>
      <c r="AK23" s="477"/>
      <c r="AL23" s="477"/>
      <c r="AM23" s="477"/>
      <c r="AN23" s="477"/>
      <c r="AO23" s="477"/>
      <c r="AP23" s="477"/>
      <c r="AQ23" s="491"/>
      <c r="AR23" s="492"/>
      <c r="AS23" s="492" t="s">
        <v>106</v>
      </c>
      <c r="AT23" s="490">
        <f>AR15</f>
        <v>1455</v>
      </c>
      <c r="AU23" s="477" t="s">
        <v>33</v>
      </c>
      <c r="AV23" s="477"/>
      <c r="AW23" s="477"/>
      <c r="AX23" s="477"/>
      <c r="AY23" s="477"/>
      <c r="AZ23" s="477"/>
      <c r="BA23" s="477"/>
      <c r="BB23" s="477"/>
      <c r="BC23" s="477"/>
      <c r="BD23" s="477"/>
      <c r="BE23" s="477"/>
      <c r="BF23" s="477"/>
      <c r="BG23" s="477"/>
      <c r="BH23" s="477"/>
      <c r="BI23" s="478"/>
      <c r="BJ23" s="149" t="s">
        <v>33</v>
      </c>
      <c r="BM23" s="93"/>
    </row>
    <row r="24" spans="1:65" ht="15.75" thickBot="1" x14ac:dyDescent="0.3">
      <c r="C24" s="417"/>
      <c r="D24" s="12"/>
      <c r="E24" s="146" t="s">
        <v>128</v>
      </c>
      <c r="F24" s="494">
        <f>F23+35</f>
        <v>612</v>
      </c>
      <c r="G24" s="420" t="s">
        <v>33</v>
      </c>
      <c r="H24" s="420"/>
      <c r="I24" s="420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79"/>
      <c r="V24" s="420"/>
      <c r="W24" s="495"/>
      <c r="X24" s="496"/>
      <c r="Y24" s="496"/>
      <c r="Z24" s="497">
        <f>Z23+35</f>
        <v>950</v>
      </c>
      <c r="AA24" s="420"/>
      <c r="AB24" s="420"/>
      <c r="AC24" s="420"/>
      <c r="AD24" s="420"/>
      <c r="AE24" s="420"/>
      <c r="AF24" s="420"/>
      <c r="AG24" s="420"/>
      <c r="AH24" s="420"/>
      <c r="AI24" s="420"/>
      <c r="AJ24" s="420"/>
      <c r="AK24" s="420"/>
      <c r="AL24" s="420"/>
      <c r="AM24" s="420"/>
      <c r="AN24" s="420"/>
      <c r="AO24" s="420"/>
      <c r="AP24" s="420"/>
      <c r="AQ24" s="495"/>
      <c r="AR24" s="496"/>
      <c r="AS24" s="496"/>
      <c r="AT24" s="494">
        <f>AT23+35</f>
        <v>1490</v>
      </c>
      <c r="AU24" s="420"/>
      <c r="AV24" s="420"/>
      <c r="AW24" s="420"/>
      <c r="AX24" s="420"/>
      <c r="AY24" s="420"/>
      <c r="AZ24" s="420"/>
      <c r="BA24" s="420"/>
      <c r="BB24" s="420"/>
      <c r="BC24" s="420"/>
      <c r="BD24" s="420"/>
      <c r="BE24" s="420"/>
      <c r="BF24" s="420"/>
      <c r="BG24" s="420"/>
      <c r="BH24" s="420"/>
      <c r="BI24" s="479"/>
      <c r="BJ24" s="130" t="s">
        <v>33</v>
      </c>
    </row>
    <row r="25" spans="1:65" ht="15.75" thickTop="1" x14ac:dyDescent="0.25">
      <c r="C25" s="417"/>
      <c r="D25" s="12"/>
      <c r="E25" s="132" t="s">
        <v>111</v>
      </c>
      <c r="F25" s="485">
        <v>1</v>
      </c>
      <c r="G25" s="486"/>
      <c r="H25" s="486"/>
      <c r="I25" s="486"/>
      <c r="J25" s="486"/>
      <c r="K25" s="486">
        <v>2</v>
      </c>
      <c r="L25" s="486"/>
      <c r="M25" s="486"/>
      <c r="N25" s="486"/>
      <c r="O25" s="486"/>
      <c r="P25" s="486">
        <v>3</v>
      </c>
      <c r="Q25" s="486"/>
      <c r="R25" s="486"/>
      <c r="S25" s="486"/>
      <c r="T25" s="486"/>
      <c r="U25" s="487">
        <v>4</v>
      </c>
      <c r="V25" s="421"/>
      <c r="W25" s="422"/>
      <c r="X25" s="423"/>
      <c r="Y25" s="423"/>
      <c r="Z25" s="488">
        <v>1</v>
      </c>
      <c r="AA25" s="486"/>
      <c r="AB25" s="486"/>
      <c r="AC25" s="486"/>
      <c r="AD25" s="486"/>
      <c r="AE25" s="486">
        <v>2</v>
      </c>
      <c r="AF25" s="486"/>
      <c r="AG25" s="486"/>
      <c r="AH25" s="486"/>
      <c r="AI25" s="486"/>
      <c r="AJ25" s="486">
        <v>3</v>
      </c>
      <c r="AK25" s="486"/>
      <c r="AL25" s="486"/>
      <c r="AM25" s="486"/>
      <c r="AN25" s="486"/>
      <c r="AO25" s="489">
        <v>4</v>
      </c>
      <c r="AP25" s="421"/>
      <c r="AQ25" s="422"/>
      <c r="AR25" s="423"/>
      <c r="AS25" s="423"/>
      <c r="AT25" s="485">
        <v>1</v>
      </c>
      <c r="AU25" s="486"/>
      <c r="AV25" s="486"/>
      <c r="AW25" s="486"/>
      <c r="AX25" s="486"/>
      <c r="AY25" s="486">
        <v>2</v>
      </c>
      <c r="AZ25" s="486"/>
      <c r="BA25" s="486"/>
      <c r="BB25" s="486"/>
      <c r="BC25" s="486"/>
      <c r="BD25" s="486">
        <v>3</v>
      </c>
      <c r="BE25" s="486"/>
      <c r="BF25" s="486"/>
      <c r="BG25" s="486"/>
      <c r="BH25" s="486"/>
      <c r="BI25" s="487">
        <v>4</v>
      </c>
      <c r="BJ25" s="136"/>
    </row>
    <row r="26" spans="1:65" x14ac:dyDescent="0.25">
      <c r="C26" s="417"/>
      <c r="D26" s="12"/>
      <c r="E26" s="132" t="s">
        <v>112</v>
      </c>
      <c r="F26" s="468">
        <v>99</v>
      </c>
      <c r="G26" s="424"/>
      <c r="H26" s="424"/>
      <c r="I26" s="424"/>
      <c r="J26" s="424"/>
      <c r="K26" s="424">
        <v>138</v>
      </c>
      <c r="L26" s="424"/>
      <c r="M26" s="424"/>
      <c r="N26" s="424"/>
      <c r="O26" s="424"/>
      <c r="P26" s="424">
        <v>177</v>
      </c>
      <c r="Q26" s="424"/>
      <c r="R26" s="424"/>
      <c r="S26" s="424"/>
      <c r="T26" s="424"/>
      <c r="U26" s="469">
        <v>216</v>
      </c>
      <c r="V26" s="419"/>
      <c r="W26" s="467"/>
      <c r="X26" s="122"/>
      <c r="Y26" s="122"/>
      <c r="Z26" s="470">
        <v>99</v>
      </c>
      <c r="AA26" s="424"/>
      <c r="AB26" s="424"/>
      <c r="AC26" s="424"/>
      <c r="AD26" s="424"/>
      <c r="AE26" s="424">
        <v>138</v>
      </c>
      <c r="AF26" s="424"/>
      <c r="AG26" s="424"/>
      <c r="AH26" s="424"/>
      <c r="AI26" s="424"/>
      <c r="AJ26" s="424">
        <v>177</v>
      </c>
      <c r="AK26" s="424"/>
      <c r="AL26" s="424"/>
      <c r="AM26" s="424"/>
      <c r="AN26" s="424"/>
      <c r="AO26" s="471">
        <v>216</v>
      </c>
      <c r="AP26" s="419"/>
      <c r="AQ26" s="467"/>
      <c r="AR26" s="122"/>
      <c r="AS26" s="122"/>
      <c r="AT26" s="468">
        <v>99</v>
      </c>
      <c r="AU26" s="424"/>
      <c r="AV26" s="424"/>
      <c r="AW26" s="424"/>
      <c r="AX26" s="424"/>
      <c r="AY26" s="424">
        <v>138</v>
      </c>
      <c r="AZ26" s="424"/>
      <c r="BA26" s="424"/>
      <c r="BB26" s="424"/>
      <c r="BC26" s="424"/>
      <c r="BD26" s="424">
        <v>177</v>
      </c>
      <c r="BE26" s="424"/>
      <c r="BF26" s="424"/>
      <c r="BG26" s="424"/>
      <c r="BH26" s="424"/>
      <c r="BI26" s="469">
        <v>216</v>
      </c>
      <c r="BJ26" s="136" t="s">
        <v>33</v>
      </c>
    </row>
    <row r="27" spans="1:65" ht="15.75" thickBot="1" x14ac:dyDescent="0.3">
      <c r="C27" s="417"/>
      <c r="D27" s="12"/>
      <c r="E27" s="146" t="s">
        <v>107</v>
      </c>
      <c r="F27" s="472">
        <f>F26+35</f>
        <v>134</v>
      </c>
      <c r="G27" s="473">
        <f t="shared" ref="G27:BI27" si="4">G26+35</f>
        <v>35</v>
      </c>
      <c r="H27" s="473">
        <f t="shared" si="4"/>
        <v>35</v>
      </c>
      <c r="I27" s="473">
        <f t="shared" si="4"/>
        <v>35</v>
      </c>
      <c r="J27" s="473">
        <f t="shared" si="4"/>
        <v>35</v>
      </c>
      <c r="K27" s="473">
        <f t="shared" si="4"/>
        <v>173</v>
      </c>
      <c r="L27" s="473">
        <f t="shared" si="4"/>
        <v>35</v>
      </c>
      <c r="M27" s="473">
        <f t="shared" si="4"/>
        <v>35</v>
      </c>
      <c r="N27" s="473">
        <f t="shared" si="4"/>
        <v>35</v>
      </c>
      <c r="O27" s="473">
        <f t="shared" si="4"/>
        <v>35</v>
      </c>
      <c r="P27" s="473">
        <f t="shared" si="4"/>
        <v>212</v>
      </c>
      <c r="Q27" s="473">
        <f t="shared" si="4"/>
        <v>35</v>
      </c>
      <c r="R27" s="473">
        <f t="shared" si="4"/>
        <v>35</v>
      </c>
      <c r="S27" s="473">
        <f t="shared" si="4"/>
        <v>35</v>
      </c>
      <c r="T27" s="473">
        <f t="shared" si="4"/>
        <v>35</v>
      </c>
      <c r="U27" s="474">
        <f t="shared" si="4"/>
        <v>251</v>
      </c>
      <c r="V27" s="420">
        <f t="shared" si="4"/>
        <v>35</v>
      </c>
      <c r="W27" s="420">
        <f t="shared" si="4"/>
        <v>35</v>
      </c>
      <c r="X27" s="420">
        <f t="shared" si="4"/>
        <v>35</v>
      </c>
      <c r="Y27" s="420">
        <f t="shared" si="4"/>
        <v>35</v>
      </c>
      <c r="Z27" s="475">
        <f t="shared" si="4"/>
        <v>134</v>
      </c>
      <c r="AA27" s="473">
        <f t="shared" si="4"/>
        <v>35</v>
      </c>
      <c r="AB27" s="473">
        <f t="shared" si="4"/>
        <v>35</v>
      </c>
      <c r="AC27" s="473">
        <f t="shared" si="4"/>
        <v>35</v>
      </c>
      <c r="AD27" s="473">
        <f t="shared" si="4"/>
        <v>35</v>
      </c>
      <c r="AE27" s="473">
        <f t="shared" si="4"/>
        <v>173</v>
      </c>
      <c r="AF27" s="473">
        <f t="shared" si="4"/>
        <v>35</v>
      </c>
      <c r="AG27" s="473">
        <f t="shared" si="4"/>
        <v>35</v>
      </c>
      <c r="AH27" s="473">
        <f t="shared" si="4"/>
        <v>35</v>
      </c>
      <c r="AI27" s="473">
        <f t="shared" si="4"/>
        <v>35</v>
      </c>
      <c r="AJ27" s="473">
        <f t="shared" si="4"/>
        <v>212</v>
      </c>
      <c r="AK27" s="473">
        <f t="shared" si="4"/>
        <v>35</v>
      </c>
      <c r="AL27" s="473">
        <f t="shared" si="4"/>
        <v>35</v>
      </c>
      <c r="AM27" s="473">
        <f t="shared" si="4"/>
        <v>35</v>
      </c>
      <c r="AN27" s="473">
        <f t="shared" si="4"/>
        <v>35</v>
      </c>
      <c r="AO27" s="476">
        <f t="shared" si="4"/>
        <v>251</v>
      </c>
      <c r="AP27" s="420">
        <f t="shared" si="4"/>
        <v>35</v>
      </c>
      <c r="AQ27" s="420">
        <f t="shared" si="4"/>
        <v>35</v>
      </c>
      <c r="AR27" s="420">
        <f t="shared" si="4"/>
        <v>35</v>
      </c>
      <c r="AS27" s="420">
        <f t="shared" si="4"/>
        <v>35</v>
      </c>
      <c r="AT27" s="472">
        <f t="shared" si="4"/>
        <v>134</v>
      </c>
      <c r="AU27" s="473">
        <f t="shared" si="4"/>
        <v>35</v>
      </c>
      <c r="AV27" s="473">
        <f t="shared" si="4"/>
        <v>35</v>
      </c>
      <c r="AW27" s="473">
        <f t="shared" si="4"/>
        <v>35</v>
      </c>
      <c r="AX27" s="473">
        <f t="shared" si="4"/>
        <v>35</v>
      </c>
      <c r="AY27" s="473">
        <f t="shared" si="4"/>
        <v>173</v>
      </c>
      <c r="AZ27" s="473">
        <f t="shared" si="4"/>
        <v>35</v>
      </c>
      <c r="BA27" s="473">
        <f t="shared" si="4"/>
        <v>35</v>
      </c>
      <c r="BB27" s="473">
        <f t="shared" si="4"/>
        <v>35</v>
      </c>
      <c r="BC27" s="473">
        <f t="shared" si="4"/>
        <v>35</v>
      </c>
      <c r="BD27" s="473">
        <f t="shared" si="4"/>
        <v>212</v>
      </c>
      <c r="BE27" s="473">
        <f t="shared" si="4"/>
        <v>35</v>
      </c>
      <c r="BF27" s="473">
        <f t="shared" si="4"/>
        <v>35</v>
      </c>
      <c r="BG27" s="473">
        <f t="shared" si="4"/>
        <v>35</v>
      </c>
      <c r="BH27" s="473">
        <f t="shared" si="4"/>
        <v>35</v>
      </c>
      <c r="BI27" s="474">
        <f t="shared" si="4"/>
        <v>251</v>
      </c>
      <c r="BJ27" s="130" t="s">
        <v>33</v>
      </c>
    </row>
    <row r="28" spans="1:65" ht="15.75" thickTop="1" x14ac:dyDescent="0.25">
      <c r="C28" s="500"/>
      <c r="D28" s="139"/>
      <c r="E28" s="125" t="s">
        <v>22</v>
      </c>
      <c r="F28" s="169">
        <f>1.359*10^-3*(F$21/($D$15*10^-3*$C46*10^-3)*(0.507*0.171))^2.0302</f>
        <v>2.704408386852188</v>
      </c>
      <c r="G28" s="425" t="s">
        <v>6</v>
      </c>
      <c r="H28" s="426"/>
      <c r="I28" s="426"/>
      <c r="J28" s="427" t="s">
        <v>22</v>
      </c>
      <c r="K28" s="206">
        <f>1.359*10^-3*(F$21/($D$15*10^-3*$H46*10^-3)*(0.507*0.171))^2.0302</f>
        <v>1.3779337100974809</v>
      </c>
      <c r="L28" s="425" t="s">
        <v>6</v>
      </c>
      <c r="M28" s="426"/>
      <c r="N28" s="426"/>
      <c r="O28" s="427" t="s">
        <v>22</v>
      </c>
      <c r="P28" s="206">
        <f>1.359*10^-3*(F$21/($D$15*10^-3*$M46*10^-3)*(0.507*0.171))^2.0302</f>
        <v>0.83133395808012123</v>
      </c>
      <c r="Q28" s="425" t="s">
        <v>6</v>
      </c>
      <c r="R28" s="426"/>
      <c r="S28" s="426"/>
      <c r="T28" s="427" t="s">
        <v>22</v>
      </c>
      <c r="U28" s="212">
        <f>1.359*10^-3*(F$21/($D$15*10^-3*$R46*10^-3)*(0.507*0.171))^2.0302</f>
        <v>0.55488481566361703</v>
      </c>
      <c r="V28" s="149" t="s">
        <v>6</v>
      </c>
      <c r="W28" s="139"/>
      <c r="X28" s="139"/>
      <c r="Y28" s="125" t="s">
        <v>22</v>
      </c>
      <c r="Z28" s="169">
        <f>1.359*10^-3*(Z$15/($X$15*10^-3*$Z26*10^-3)*(0.507*0.171))^2.0302</f>
        <v>1.060557708186685</v>
      </c>
      <c r="AA28" s="425" t="s">
        <v>6</v>
      </c>
      <c r="AB28" s="426"/>
      <c r="AC28" s="426"/>
      <c r="AD28" s="427" t="s">
        <v>22</v>
      </c>
      <c r="AE28" s="206">
        <f>1.359*10^-3*(Z$15/($X$15*10^-3*$AE26*10^-3)*(0.507*0.171))^2.0302</f>
        <v>0.54036891200265014</v>
      </c>
      <c r="AF28" s="425" t="s">
        <v>6</v>
      </c>
      <c r="AG28" s="426"/>
      <c r="AH28" s="426"/>
      <c r="AI28" s="427" t="s">
        <v>22</v>
      </c>
      <c r="AJ28" s="206">
        <f>1.359*10^-3*(Z$15/($X$15*10^-3*$AJ26*10^-3)*(0.507*0.171))^2.0302</f>
        <v>0.32601497673413626</v>
      </c>
      <c r="AK28" s="425" t="s">
        <v>6</v>
      </c>
      <c r="AL28" s="426"/>
      <c r="AM28" s="426"/>
      <c r="AN28" s="427" t="s">
        <v>22</v>
      </c>
      <c r="AO28" s="212">
        <f>1.359*10^-3*(Z$15/($X$15*10^-3*$AO26*10^-3)*(0.507*0.171))^2.0302</f>
        <v>0.21760299637761835</v>
      </c>
      <c r="AP28" s="149" t="s">
        <v>6</v>
      </c>
      <c r="AQ28" s="139"/>
      <c r="AR28" s="139"/>
      <c r="AS28" s="125" t="s">
        <v>22</v>
      </c>
      <c r="AT28" s="169">
        <f>1.359*10^-3*(AT$15/($AR$15*10^-3*$AT26*10^-3)*(0.507*0.171))^2.0302</f>
        <v>0.4135870776151192</v>
      </c>
      <c r="AU28" s="425" t="s">
        <v>6</v>
      </c>
      <c r="AV28" s="426"/>
      <c r="AW28" s="426"/>
      <c r="AX28" s="427" t="s">
        <v>22</v>
      </c>
      <c r="AY28" s="206">
        <f>1.359*10^-3*(AT$15/($AR$15*10^-3*$AY26*10^-3)*(0.507*0.171))^2.0302</f>
        <v>0.21072837189722987</v>
      </c>
      <c r="AZ28" s="425" t="s">
        <v>6</v>
      </c>
      <c r="BA28" s="426"/>
      <c r="BB28" s="426"/>
      <c r="BC28" s="427" t="s">
        <v>22</v>
      </c>
      <c r="BD28" s="206">
        <f>1.359*10^-3*(AT$15/($AR$15*10^-3*$BD26*10^-3)*(0.507*0.171))^2.0302</f>
        <v>0.12713648719480891</v>
      </c>
      <c r="BE28" s="425" t="s">
        <v>6</v>
      </c>
      <c r="BF28" s="426"/>
      <c r="BG28" s="426"/>
      <c r="BH28" s="427" t="s">
        <v>22</v>
      </c>
      <c r="BI28" s="212">
        <f>1.359*10^-3*(AT$15/($AR$15*10^-3*$BI26*10^-3)*(0.507*0.171))^2.0302</f>
        <v>8.48589253158024E-2</v>
      </c>
      <c r="BJ28" s="149" t="s">
        <v>6</v>
      </c>
    </row>
    <row r="29" spans="1:65" x14ac:dyDescent="0.25">
      <c r="C29" s="500" t="s">
        <v>38</v>
      </c>
      <c r="D29" s="147" t="s">
        <v>117</v>
      </c>
      <c r="E29" s="132" t="s">
        <v>46</v>
      </c>
      <c r="F29" s="230" t="str">
        <f>IF(-114.08+32.01*LN(F$21/($D$15*$C46)*(507*171))+10*LOG($D$15*$C46/(507*171))&lt;15,"&lt;15",-114.08+32.01*LN(F$21/($D$15*$C46)*(507*171))+10*LOG($D$15*$C46/(507*171)))</f>
        <v>&lt;15</v>
      </c>
      <c r="G29" s="428" t="s">
        <v>49</v>
      </c>
      <c r="H29" s="429" t="s">
        <v>38</v>
      </c>
      <c r="I29" s="429" t="s">
        <v>36</v>
      </c>
      <c r="J29" s="430" t="s">
        <v>46</v>
      </c>
      <c r="K29" s="231" t="str">
        <f>IF(-114.08+32.01*LN(F$21/($D$15*$H46)*(507*171))+10*LOG($D$15*$H46/(507*171))&lt;15,"&lt;15",-114.08+32.01*LN(F$21/($D$15*$H46)*(507*171))+10*LOG($D$15*$H46/(507*171)))</f>
        <v>&lt;15</v>
      </c>
      <c r="L29" s="428" t="s">
        <v>49</v>
      </c>
      <c r="M29" s="429" t="s">
        <v>38</v>
      </c>
      <c r="N29" s="429" t="s">
        <v>36</v>
      </c>
      <c r="O29" s="430" t="s">
        <v>46</v>
      </c>
      <c r="P29" s="231" t="str">
        <f>IF(-114.08+32.01*LN(F$21/($D$15*$M46)*(507*171))+10*LOG($D$15*$M46/(507*171))&lt;15,"&lt;15",-114.08+32.01*LN(F$21/($D$15*$M46)*(507*171))+10*LOG($D$15*$M46/(507*171)))</f>
        <v>&lt;15</v>
      </c>
      <c r="Q29" s="428" t="s">
        <v>49</v>
      </c>
      <c r="R29" s="429" t="s">
        <v>38</v>
      </c>
      <c r="S29" s="429" t="s">
        <v>36</v>
      </c>
      <c r="T29" s="430" t="s">
        <v>46</v>
      </c>
      <c r="U29" s="233" t="str">
        <f>IF(-114.08+32.01*LN(F$21/($D$15*$R46)*(507*171))+10*LOG($D$15*$R46/(507*171))&lt;15,"&lt;15",-114.08+32.01*LN(F$21/($D$15*$R46)*(507*171))+10*LOG($D$15*$R46/(507*171)))</f>
        <v>&lt;15</v>
      </c>
      <c r="V29" s="136" t="s">
        <v>49</v>
      </c>
      <c r="W29" s="147" t="s">
        <v>38</v>
      </c>
      <c r="X29" s="147" t="s">
        <v>36</v>
      </c>
      <c r="Y29" s="132" t="s">
        <v>46</v>
      </c>
      <c r="Z29" s="230" t="str">
        <f>IF(-114.08+32.01*LN(Z$15/($X$15*$Z26)*(507*171))+10*LOG($X$15*$Z26/(507*171))&lt;15,"&lt;15",-114.08+32.01*LN(Z$15/($X$15*$Z26)*(507*171))+10*LOG($X$15*$Z26/(507*171)))</f>
        <v>&lt;15</v>
      </c>
      <c r="AA29" s="428" t="s">
        <v>49</v>
      </c>
      <c r="AB29" s="429" t="s">
        <v>38</v>
      </c>
      <c r="AC29" s="429" t="s">
        <v>36</v>
      </c>
      <c r="AD29" s="430" t="s">
        <v>46</v>
      </c>
      <c r="AE29" s="231" t="str">
        <f>IF(-114.08+32.01*LN(Z$15/($X$15*$AE26)*(507*171))+10*LOG($X$15*$AE26/(507*171))&lt;15,"&lt;15",-114.08+32.01*LN(Z$15/($X$15*$AE26)*(507*171))+10*LOG($X$15*$AE26/(507*171)))</f>
        <v>&lt;15</v>
      </c>
      <c r="AF29" s="428" t="s">
        <v>49</v>
      </c>
      <c r="AG29" s="429" t="s">
        <v>38</v>
      </c>
      <c r="AH29" s="429" t="s">
        <v>36</v>
      </c>
      <c r="AI29" s="430" t="s">
        <v>46</v>
      </c>
      <c r="AJ29" s="231" t="str">
        <f>IF(-114.08+32.01*LN(Z$15/($X$15*$AJ26)*(507*171))+10*LOG($X$15*$AJ26/(507*171))&lt;15,"&lt;15",-114.08+32.01*LN(Z$15/($X$15*$AJ26)*(507*171))+10*LOG($X$15*$AJ26/(507*171)))</f>
        <v>&lt;15</v>
      </c>
      <c r="AK29" s="428" t="s">
        <v>49</v>
      </c>
      <c r="AL29" s="429" t="s">
        <v>38</v>
      </c>
      <c r="AM29" s="429" t="s">
        <v>36</v>
      </c>
      <c r="AN29" s="430" t="s">
        <v>46</v>
      </c>
      <c r="AO29" s="233" t="str">
        <f>IF(-114.08+32.01*LN(Z$15/($X$15*$AO26)*(507*171))+10*LOG($X$15*$AO26/(507*171))&lt;15,"&lt;15",-114.08+32.01*LN(Z$15/($X$15*$AO26)*(507*171))+10*LOG($X$15*$AO26/(507*171)))</f>
        <v>&lt;15</v>
      </c>
      <c r="AP29" s="136" t="s">
        <v>49</v>
      </c>
      <c r="AQ29" s="147" t="s">
        <v>38</v>
      </c>
      <c r="AR29" s="147" t="s">
        <v>36</v>
      </c>
      <c r="AS29" s="132" t="s">
        <v>46</v>
      </c>
      <c r="AT29" s="230" t="str">
        <f>IF(-114.08+32.01*LN(AT$15/($AR$15*$AT26)*(507*171))+10*LOG($AR$15*$AT26/(507*171))&lt;15,"&lt;15",-114.08+32.01*LN(AT$15/($AR$15*$AT26)*(507*171))+10*LOG($AR$15*$AT26/(507*171)))</f>
        <v>&lt;15</v>
      </c>
      <c r="AU29" s="428" t="s">
        <v>49</v>
      </c>
      <c r="AV29" s="429" t="s">
        <v>38</v>
      </c>
      <c r="AW29" s="429" t="s">
        <v>36</v>
      </c>
      <c r="AX29" s="430" t="s">
        <v>46</v>
      </c>
      <c r="AY29" s="231" t="str">
        <f>IF(-114.08+32.01*LN(AT$15/($AR$15*$AY26)*(507*171))+10*LOG($AR$15*$AY26/(507*171))&lt;15,"&lt;15",-114.08+32.01*LN(AT$15/($AR$15*$AY26)*(507*171))+10*LOG($AR$15*$AY26/(507*171)))</f>
        <v>&lt;15</v>
      </c>
      <c r="AZ29" s="428" t="s">
        <v>49</v>
      </c>
      <c r="BA29" s="429" t="s">
        <v>38</v>
      </c>
      <c r="BB29" s="429" t="s">
        <v>36</v>
      </c>
      <c r="BC29" s="430" t="s">
        <v>46</v>
      </c>
      <c r="BD29" s="231" t="str">
        <f>IF(-114.08+32.01*LN(AT$15/($AR$15*$BD26)*(507*171))+10*LOG($AR$15*$BD26/(507*171))&lt;15,"&lt;15",-114.08+32.01*LN(AT$15/($AR$15*$BD26)*(507*171))+10*LOG($AR$15*$BD26/(507*171)))</f>
        <v>&lt;15</v>
      </c>
      <c r="BE29" s="428" t="s">
        <v>49</v>
      </c>
      <c r="BF29" s="429" t="s">
        <v>38</v>
      </c>
      <c r="BG29" s="429" t="s">
        <v>36</v>
      </c>
      <c r="BH29" s="430" t="s">
        <v>46</v>
      </c>
      <c r="BI29" s="233" t="str">
        <f>IF(-114.08+32.01*LN(AT$15/($AR$15*$BI26)*(507*171))+10*LOG($AR$15*$BI26/(507*171))&lt;15,"&lt;15",-114.08+32.01*LN(AT$15/($AR$15*$BI26)*(507*171))+10*LOG($AR$15*$BI26/(507*171)))</f>
        <v>&lt;15</v>
      </c>
      <c r="BJ29" s="136" t="s">
        <v>49</v>
      </c>
    </row>
    <row r="30" spans="1:65" x14ac:dyDescent="0.25">
      <c r="C30" s="418" t="s">
        <v>33</v>
      </c>
      <c r="D30" s="242" t="s">
        <v>35</v>
      </c>
      <c r="E30" s="132" t="s">
        <v>23</v>
      </c>
      <c r="F30" s="230" t="str">
        <f>IF(-15-114.08+32.01*LN(F$21/($D$15*$F26)*(507*171))+10*LOG($D$15*$F26/(507*171))&lt;5,"&lt;5",-15-114.08+32.01*LN(F$21/($D$15*$F26)*(507*171))+10*LOG($D$15*$F26/(507*171)))</f>
        <v>&lt;5</v>
      </c>
      <c r="G30" s="428" t="s">
        <v>42</v>
      </c>
      <c r="H30" s="431" t="s">
        <v>33</v>
      </c>
      <c r="I30" s="431" t="s">
        <v>35</v>
      </c>
      <c r="J30" s="430" t="s">
        <v>23</v>
      </c>
      <c r="K30" s="231" t="str">
        <f>IF(-15-114.08+32.01*LN(F$21/($D$15*$K26)*(507*171))+10*LOG($D$15*$K26/(507*171))&lt;5,"&lt;5",-15-114.08+32.01*LN(F$21/($D$15*$K26)*(507*171))+10*LOG($D$15*$K26/(507*171)))</f>
        <v>&lt;5</v>
      </c>
      <c r="L30" s="428" t="s">
        <v>42</v>
      </c>
      <c r="M30" s="431" t="s">
        <v>33</v>
      </c>
      <c r="N30" s="431" t="s">
        <v>35</v>
      </c>
      <c r="O30" s="430" t="s">
        <v>23</v>
      </c>
      <c r="P30" s="231" t="str">
        <f>IF(-15-114.08+32.01*LN(F$21/($D$15*$P26)*(507*171))+10*LOG($D$15*$P26/(507*171))&lt;5,"&lt;5",-15-114.08+32.01*LN(F$21/($D$15*$P26)*(507*171))+10*LOG($D$15*$P26/(507*171)))</f>
        <v>&lt;5</v>
      </c>
      <c r="Q30" s="428" t="s">
        <v>42</v>
      </c>
      <c r="R30" s="431" t="s">
        <v>33</v>
      </c>
      <c r="S30" s="431" t="s">
        <v>35</v>
      </c>
      <c r="T30" s="430" t="s">
        <v>23</v>
      </c>
      <c r="U30" s="233" t="str">
        <f>IF(-15-114.08+32.01*LN(F$21/($D$15*$U26)*(507*171))+10*LOG($D$15*$U26/(507*171))&lt;5,"&lt;5",-15-114.08+32.01*LN(F$21/($D$15*$U26)*(507*171))+10*LOG($D$15*$U26/(507*171)))</f>
        <v>&lt;5</v>
      </c>
      <c r="V30" s="136" t="s">
        <v>42</v>
      </c>
      <c r="W30" s="242" t="s">
        <v>33</v>
      </c>
      <c r="X30" s="242" t="s">
        <v>35</v>
      </c>
      <c r="Y30" s="132" t="s">
        <v>23</v>
      </c>
      <c r="Z30" s="230" t="str">
        <f>IF(-15-114.08+32.01*LN(Z$15/($X$15*$Z26)*(507*171))+10*LOG($X$15*$Z26/(507*171))&lt;5,"&lt;5",-15-114.08+32.01*LN(Z$15/($X$15*$Z26)*(507*171))+10*LOG($X$15*$Z26/(507*171)))</f>
        <v>&lt;5</v>
      </c>
      <c r="AA30" s="428" t="s">
        <v>42</v>
      </c>
      <c r="AB30" s="431" t="s">
        <v>33</v>
      </c>
      <c r="AC30" s="431" t="s">
        <v>35</v>
      </c>
      <c r="AD30" s="430" t="s">
        <v>23</v>
      </c>
      <c r="AE30" s="231" t="str">
        <f>IF(-15-114.08+32.01*LN(Z$15/($X$15*$AE26)*(507*171))+10*LOG($X$15*$AE26/(507*171))&lt;5,"&lt;5",-15-114.08+32.01*LN(Z$15/($X$15*$AE26)*(507*171))+10*LOG($X$15*$AE26/(507*171)))</f>
        <v>&lt;5</v>
      </c>
      <c r="AF30" s="428" t="s">
        <v>42</v>
      </c>
      <c r="AG30" s="431" t="s">
        <v>33</v>
      </c>
      <c r="AH30" s="431" t="s">
        <v>35</v>
      </c>
      <c r="AI30" s="430" t="s">
        <v>23</v>
      </c>
      <c r="AJ30" s="231" t="str">
        <f>IF(-15-114.08+32.01*LN(Z$15/($X$15*$AJ26)*(507*171))+10*LOG($X$15*$AJ26/(507*171))&lt;5,"&lt;5",-15-114.08+32.01*LN(Z$15/($X$15*$AJ26)*(507*171))+10*LOG($X$15*$AJ26/(507*171)))</f>
        <v>&lt;5</v>
      </c>
      <c r="AK30" s="428" t="s">
        <v>42</v>
      </c>
      <c r="AL30" s="431" t="s">
        <v>33</v>
      </c>
      <c r="AM30" s="431" t="s">
        <v>35</v>
      </c>
      <c r="AN30" s="430" t="s">
        <v>23</v>
      </c>
      <c r="AO30" s="233" t="str">
        <f>IF(-15-114.08+32.01*LN(Z$15/($X$15*$AO26)*(507*171))+10*LOG($X$15*$AO26/(507*171))&lt;5,"&lt;5",-15-114.08+32.01*LN(Z$15/($X$15*$AO26)*(507*171))+10*LOG($X$15*$AO26/(507*171)))</f>
        <v>&lt;5</v>
      </c>
      <c r="AP30" s="136" t="s">
        <v>42</v>
      </c>
      <c r="AQ30" s="242" t="s">
        <v>33</v>
      </c>
      <c r="AR30" s="242" t="s">
        <v>35</v>
      </c>
      <c r="AS30" s="132" t="s">
        <v>23</v>
      </c>
      <c r="AT30" s="230" t="str">
        <f>IF(-15-114.08+32.01*LN(AT$15/($AR$15*$AT26)*(507*171))+10*LOG($AR$15*$AT26/(507*171))&lt;5,"&lt;5",-15-114.08+32.01*LN(AT$15/($AR$15*$AT26)*(507*171))+10*LOG($AR$15*$AT26/(507*171)))</f>
        <v>&lt;5</v>
      </c>
      <c r="AU30" s="428" t="s">
        <v>42</v>
      </c>
      <c r="AV30" s="431" t="s">
        <v>33</v>
      </c>
      <c r="AW30" s="431" t="s">
        <v>35</v>
      </c>
      <c r="AX30" s="430" t="s">
        <v>23</v>
      </c>
      <c r="AY30" s="231" t="str">
        <f>IF(-15-114.08+32.01*LN(AT$15/($AR$15*$AY26)*(507*171))+10*LOG($AR$15*$AY26/(507*171))&lt;5,"&lt;5",-15-114.08+32.01*LN(AT$15/($AR$15*$AY26)*(507*171))+10*LOG($AR$15*$AY26/(507*171)))</f>
        <v>&lt;5</v>
      </c>
      <c r="AZ30" s="428" t="s">
        <v>42</v>
      </c>
      <c r="BA30" s="431" t="s">
        <v>33</v>
      </c>
      <c r="BB30" s="431" t="s">
        <v>35</v>
      </c>
      <c r="BC30" s="430" t="s">
        <v>23</v>
      </c>
      <c r="BD30" s="231" t="str">
        <f>IF(-15-114.08+32.01*LN(AT$15/($AR$15*$BD26)*(507*171))+10*LOG($AR$15*$BD26/(507*171))&lt;5,"&lt;5",-15-114.08+32.01*LN(AT$15/($AR$15*$BD26)*(507*171))+10*LOG($AR$15*$BD26/(507*171)))</f>
        <v>&lt;5</v>
      </c>
      <c r="BE30" s="428" t="s">
        <v>42</v>
      </c>
      <c r="BF30" s="431" t="s">
        <v>33</v>
      </c>
      <c r="BG30" s="431" t="s">
        <v>35</v>
      </c>
      <c r="BH30" s="430" t="s">
        <v>23</v>
      </c>
      <c r="BI30" s="233" t="str">
        <f>IF(-15-114.08+32.01*LN(AT$15/($AR$15*$BI26)*(507*171))+10*LOG($AR$15*$BI26/(507*171))&lt;5,"&lt;5",-15-114.08+32.01*LN(AT$15/($AR$15*$BI26)*(507*171))+10*LOG($AR$15*$BI26/(507*171)))</f>
        <v>&lt;5</v>
      </c>
      <c r="BJ30" s="136" t="s">
        <v>42</v>
      </c>
    </row>
    <row r="31" spans="1:65" x14ac:dyDescent="0.25">
      <c r="C31" s="351"/>
      <c r="D31" s="377"/>
      <c r="E31" s="484" t="s">
        <v>71</v>
      </c>
      <c r="F31" s="432">
        <f>1.075*0.707*F42</f>
        <v>1.2502311136809527</v>
      </c>
      <c r="G31" s="428"/>
      <c r="H31" s="431"/>
      <c r="I31" s="433"/>
      <c r="J31" s="434" t="s">
        <v>71</v>
      </c>
      <c r="K31" s="408">
        <f>1.075*0.707*K42</f>
        <v>1.2484211500672668</v>
      </c>
      <c r="L31" s="428"/>
      <c r="M31" s="431"/>
      <c r="N31" s="433"/>
      <c r="O31" s="434" t="s">
        <v>71</v>
      </c>
      <c r="P31" s="408">
        <f>1.075*0.707*P42</f>
        <v>1.247675319272501</v>
      </c>
      <c r="Q31" s="428"/>
      <c r="R31" s="431"/>
      <c r="S31" s="433"/>
      <c r="T31" s="434" t="s">
        <v>71</v>
      </c>
      <c r="U31" s="435">
        <f>1.075*0.707*U42</f>
        <v>1.2472981067274167</v>
      </c>
      <c r="V31" s="136"/>
      <c r="W31" s="242"/>
      <c r="X31" s="2"/>
      <c r="Y31" s="43" t="s">
        <v>71</v>
      </c>
      <c r="Z31" s="463">
        <f>1.075*0.707*Z42</f>
        <v>1.2479880931643479</v>
      </c>
      <c r="AA31" s="428"/>
      <c r="AB31" s="431"/>
      <c r="AC31" s="433"/>
      <c r="AD31" s="434" t="s">
        <v>71</v>
      </c>
      <c r="AE31" s="408">
        <f>1.075*0.707*AE42</f>
        <v>1.2472782998981524</v>
      </c>
      <c r="AF31" s="428"/>
      <c r="AG31" s="431"/>
      <c r="AH31" s="433"/>
      <c r="AI31" s="434" t="s">
        <v>71</v>
      </c>
      <c r="AJ31" s="408">
        <f>1.075*0.707*AJ42</f>
        <v>1.2469858157444136</v>
      </c>
      <c r="AK31" s="428"/>
      <c r="AL31" s="431"/>
      <c r="AM31" s="433"/>
      <c r="AN31" s="434" t="s">
        <v>71</v>
      </c>
      <c r="AO31" s="435">
        <f>1.075*0.707*AO42</f>
        <v>1.2468378885030029</v>
      </c>
      <c r="AP31" s="140"/>
      <c r="AQ31" s="242"/>
      <c r="AR31" s="377"/>
      <c r="AS31" s="142" t="s">
        <v>71</v>
      </c>
      <c r="AT31" s="432">
        <f>1.075*0.707*AT42</f>
        <v>1.2471053071443974</v>
      </c>
      <c r="AU31" s="428"/>
      <c r="AV31" s="431"/>
      <c r="AW31" s="433"/>
      <c r="AX31" s="434" t="s">
        <v>71</v>
      </c>
      <c r="AY31" s="408">
        <f>1.075*0.707*AY42</f>
        <v>1.2468285081353374</v>
      </c>
      <c r="AZ31" s="428"/>
      <c r="BA31" s="431"/>
      <c r="BB31" s="433"/>
      <c r="BC31" s="434" t="s">
        <v>71</v>
      </c>
      <c r="BD31" s="408">
        <f>1.075*0.707*BD42</f>
        <v>1.2467144477070742</v>
      </c>
      <c r="BE31" s="428"/>
      <c r="BF31" s="431"/>
      <c r="BG31" s="433"/>
      <c r="BH31" s="434" t="s">
        <v>71</v>
      </c>
      <c r="BI31" s="435">
        <f>1.075*0.707*BI42</f>
        <v>1.2466567603271208</v>
      </c>
      <c r="BJ31" s="136"/>
    </row>
    <row r="32" spans="1:65" x14ac:dyDescent="0.25">
      <c r="C32" s="351"/>
      <c r="D32" s="377"/>
      <c r="E32" s="484" t="s">
        <v>72</v>
      </c>
      <c r="F32" s="432">
        <f>1.075*0.707*F43</f>
        <v>2.2874945285865858</v>
      </c>
      <c r="G32" s="428"/>
      <c r="H32" s="431"/>
      <c r="I32" s="433"/>
      <c r="J32" s="434" t="s">
        <v>72</v>
      </c>
      <c r="K32" s="408">
        <f>1.075*0.707*K43</f>
        <v>2.2473031530441618</v>
      </c>
      <c r="L32" s="428"/>
      <c r="M32" s="431"/>
      <c r="N32" s="433"/>
      <c r="O32" s="434" t="s">
        <v>72</v>
      </c>
      <c r="P32" s="408">
        <f>1.075*0.707*P43</f>
        <v>2.2307415131653876</v>
      </c>
      <c r="Q32" s="428"/>
      <c r="R32" s="431"/>
      <c r="S32" s="433"/>
      <c r="T32" s="434" t="s">
        <v>72</v>
      </c>
      <c r="U32" s="435">
        <f>1.075*0.707*U43</f>
        <v>2.2223652723701801</v>
      </c>
      <c r="V32" s="136"/>
      <c r="W32" s="242"/>
      <c r="X32" s="2"/>
      <c r="Y32" s="43" t="s">
        <v>72</v>
      </c>
      <c r="Z32" s="463">
        <f>1.075*0.707*Z43</f>
        <v>2.2376868533103766</v>
      </c>
      <c r="AA32" s="428"/>
      <c r="AB32" s="431"/>
      <c r="AC32" s="433"/>
      <c r="AD32" s="434" t="s">
        <v>72</v>
      </c>
      <c r="AE32" s="408">
        <f>1.075*0.707*AE43</f>
        <v>2.2219254493222174</v>
      </c>
      <c r="AF32" s="428"/>
      <c r="AG32" s="431"/>
      <c r="AH32" s="433"/>
      <c r="AI32" s="434" t="s">
        <v>72</v>
      </c>
      <c r="AJ32" s="408">
        <f>1.075*0.707*AJ43</f>
        <v>2.2154306555185008</v>
      </c>
      <c r="AK32" s="428"/>
      <c r="AL32" s="431"/>
      <c r="AM32" s="433"/>
      <c r="AN32" s="434" t="s">
        <v>72</v>
      </c>
      <c r="AO32" s="435">
        <f>1.075*0.707*AO43</f>
        <v>2.2121458384826664</v>
      </c>
      <c r="AP32" s="140"/>
      <c r="AQ32" s="242"/>
      <c r="AR32" s="377"/>
      <c r="AS32" s="142" t="s">
        <v>72</v>
      </c>
      <c r="AT32" s="432">
        <f>1.075*0.707*AT43</f>
        <v>2.2180840368873462</v>
      </c>
      <c r="AU32" s="428"/>
      <c r="AV32" s="431"/>
      <c r="AW32" s="433"/>
      <c r="AX32" s="434" t="s">
        <v>72</v>
      </c>
      <c r="AY32" s="408">
        <f>1.075*0.707*AY43</f>
        <v>2.2119375415441374</v>
      </c>
      <c r="AZ32" s="428"/>
      <c r="BA32" s="431"/>
      <c r="BB32" s="433"/>
      <c r="BC32" s="434" t="s">
        <v>72</v>
      </c>
      <c r="BD32" s="408">
        <f>1.075*0.707*BD43</f>
        <v>2.2094047583035299</v>
      </c>
      <c r="BE32" s="428"/>
      <c r="BF32" s="431"/>
      <c r="BG32" s="433"/>
      <c r="BH32" s="434" t="s">
        <v>72</v>
      </c>
      <c r="BI32" s="435">
        <f>1.075*0.707*BI43</f>
        <v>2.2081237739046014</v>
      </c>
      <c r="BJ32" s="136"/>
    </row>
    <row r="33" spans="3:67" x14ac:dyDescent="0.25">
      <c r="C33" s="351"/>
      <c r="D33" s="377"/>
      <c r="E33" s="484" t="s">
        <v>79</v>
      </c>
      <c r="F33" s="432">
        <f>1.075*0.707*F44</f>
        <v>1.7547267304337246</v>
      </c>
      <c r="G33" s="428"/>
      <c r="H33" s="431"/>
      <c r="I33" s="433"/>
      <c r="J33" s="434" t="s">
        <v>79</v>
      </c>
      <c r="K33" s="408">
        <f>1.075*0.707*K44</f>
        <v>1.4862352105561365</v>
      </c>
      <c r="L33" s="428"/>
      <c r="M33" s="431"/>
      <c r="N33" s="433"/>
      <c r="O33" s="434" t="s">
        <v>79</v>
      </c>
      <c r="P33" s="408">
        <f>1.075*0.707*P44</f>
        <v>1.3123221406557029</v>
      </c>
      <c r="Q33" s="428"/>
      <c r="R33" s="431"/>
      <c r="S33" s="433"/>
      <c r="T33" s="434" t="s">
        <v>79</v>
      </c>
      <c r="U33" s="435">
        <f>1.075*0.707*U44</f>
        <v>1.1879556123070729</v>
      </c>
      <c r="V33" s="136"/>
      <c r="W33" s="242"/>
      <c r="X33" s="2"/>
      <c r="Y33" s="43" t="s">
        <v>79</v>
      </c>
      <c r="Z33" s="463">
        <f>1.075*0.707*Z44</f>
        <v>1.3934354382936365</v>
      </c>
      <c r="AA33" s="428"/>
      <c r="AB33" s="431"/>
      <c r="AC33" s="433"/>
      <c r="AD33" s="434" t="s">
        <v>79</v>
      </c>
      <c r="AE33" s="408">
        <f>1.075*0.707*AE44</f>
        <v>1.1802252602129288</v>
      </c>
      <c r="AF33" s="428"/>
      <c r="AG33" s="431"/>
      <c r="AH33" s="433"/>
      <c r="AI33" s="434" t="s">
        <v>79</v>
      </c>
      <c r="AJ33" s="408">
        <f>1.075*0.707*AJ44</f>
        <v>1.042120203409125</v>
      </c>
      <c r="AK33" s="428"/>
      <c r="AL33" s="431"/>
      <c r="AM33" s="433"/>
      <c r="AN33" s="434" t="s">
        <v>79</v>
      </c>
      <c r="AO33" s="435">
        <f>1.075*0.707*AO44</f>
        <v>0.94336025125652034</v>
      </c>
      <c r="AP33" s="140"/>
      <c r="AQ33" s="242"/>
      <c r="AR33" s="377"/>
      <c r="AS33" s="142" t="s">
        <v>79</v>
      </c>
      <c r="AT33" s="432">
        <f>1.075*0.707*AT44</f>
        <v>1.105009220292023</v>
      </c>
      <c r="AU33" s="428"/>
      <c r="AV33" s="431"/>
      <c r="AW33" s="433"/>
      <c r="AX33" s="434" t="s">
        <v>79</v>
      </c>
      <c r="AY33" s="408">
        <f>1.075*0.707*AY44</f>
        <v>0.93593126650623837</v>
      </c>
      <c r="AZ33" s="428"/>
      <c r="BA33" s="431"/>
      <c r="BB33" s="433"/>
      <c r="BC33" s="434" t="s">
        <v>79</v>
      </c>
      <c r="BD33" s="408">
        <f>1.075*0.707*BD44</f>
        <v>0.82641247794719641</v>
      </c>
      <c r="BE33" s="428"/>
      <c r="BF33" s="431"/>
      <c r="BG33" s="433"/>
      <c r="BH33" s="434" t="s">
        <v>79</v>
      </c>
      <c r="BI33" s="435">
        <f>1.075*0.707*BI44</f>
        <v>0.74809477859410267</v>
      </c>
      <c r="BJ33" s="136"/>
    </row>
    <row r="34" spans="3:67" x14ac:dyDescent="0.25">
      <c r="C34" s="351"/>
      <c r="D34" s="377"/>
      <c r="E34" s="484" t="s">
        <v>73</v>
      </c>
      <c r="F34" s="432">
        <f>1.075*1.225*F42</f>
        <v>2.1662420286551165</v>
      </c>
      <c r="G34" s="428"/>
      <c r="H34" s="431"/>
      <c r="I34" s="433"/>
      <c r="J34" s="434" t="s">
        <v>73</v>
      </c>
      <c r="K34" s="408">
        <f>1.075*1.225*K42</f>
        <v>2.1631059530868488</v>
      </c>
      <c r="L34" s="428"/>
      <c r="M34" s="431"/>
      <c r="N34" s="433"/>
      <c r="O34" s="434" t="s">
        <v>73</v>
      </c>
      <c r="P34" s="408">
        <f>1.075*1.225*P42</f>
        <v>2.1618136720068089</v>
      </c>
      <c r="Q34" s="428"/>
      <c r="R34" s="431"/>
      <c r="S34" s="433"/>
      <c r="T34" s="434" t="s">
        <v>73</v>
      </c>
      <c r="U34" s="435">
        <f>1.075*1.225*U42</f>
        <v>2.1611600859138407</v>
      </c>
      <c r="V34" s="136"/>
      <c r="W34" s="242"/>
      <c r="X34" s="2"/>
      <c r="Y34" s="43" t="s">
        <v>73</v>
      </c>
      <c r="Z34" s="463">
        <f>1.075*1.225*Z42</f>
        <v>2.1623556069679299</v>
      </c>
      <c r="AA34" s="428"/>
      <c r="AB34" s="431"/>
      <c r="AC34" s="433"/>
      <c r="AD34" s="434" t="s">
        <v>73</v>
      </c>
      <c r="AE34" s="408">
        <f>1.075*1.225*AE42</f>
        <v>2.1611257671502639</v>
      </c>
      <c r="AF34" s="428"/>
      <c r="AG34" s="431"/>
      <c r="AH34" s="433"/>
      <c r="AI34" s="434" t="s">
        <v>73</v>
      </c>
      <c r="AJ34" s="408">
        <f>1.075*1.225*AJ42</f>
        <v>2.1606189876759641</v>
      </c>
      <c r="AK34" s="428"/>
      <c r="AL34" s="431"/>
      <c r="AM34" s="433"/>
      <c r="AN34" s="434" t="s">
        <v>73</v>
      </c>
      <c r="AO34" s="435">
        <f>1.075*1.225*AO42</f>
        <v>2.1603626780992626</v>
      </c>
      <c r="AP34" s="140"/>
      <c r="AQ34" s="242"/>
      <c r="AR34" s="377"/>
      <c r="AS34" s="142" t="s">
        <v>73</v>
      </c>
      <c r="AT34" s="432">
        <f>1.075*1.225*AT42</f>
        <v>2.1608260272303919</v>
      </c>
      <c r="AU34" s="428"/>
      <c r="AV34" s="431"/>
      <c r="AW34" s="433"/>
      <c r="AX34" s="434" t="s">
        <v>73</v>
      </c>
      <c r="AY34" s="408">
        <f>1.075*1.225*AY42</f>
        <v>2.160346424986971</v>
      </c>
      <c r="AZ34" s="428"/>
      <c r="BA34" s="431"/>
      <c r="BB34" s="433"/>
      <c r="BC34" s="434" t="s">
        <v>73</v>
      </c>
      <c r="BD34" s="408">
        <f>1.075*1.225*BD42</f>
        <v>2.1601487955320593</v>
      </c>
      <c r="BE34" s="428"/>
      <c r="BF34" s="431"/>
      <c r="BG34" s="433"/>
      <c r="BH34" s="434" t="s">
        <v>73</v>
      </c>
      <c r="BI34" s="435">
        <f>1.075*1.225*BI42</f>
        <v>2.1600488421509523</v>
      </c>
      <c r="BJ34" s="136"/>
    </row>
    <row r="35" spans="3:67" x14ac:dyDescent="0.25">
      <c r="C35" s="351"/>
      <c r="D35" s="377"/>
      <c r="E35" s="484" t="s">
        <v>74</v>
      </c>
      <c r="F35" s="432">
        <f>1.075*1.225*F43</f>
        <v>3.963480618838144</v>
      </c>
      <c r="G35" s="428"/>
      <c r="H35" s="431"/>
      <c r="I35" s="433"/>
      <c r="J35" s="434" t="s">
        <v>74</v>
      </c>
      <c r="K35" s="408">
        <f>1.075*1.225*K43</f>
        <v>3.8938420968586964</v>
      </c>
      <c r="L35" s="428"/>
      <c r="M35" s="431"/>
      <c r="N35" s="433"/>
      <c r="O35" s="434" t="s">
        <v>74</v>
      </c>
      <c r="P35" s="408">
        <f>1.075*1.225*P43</f>
        <v>3.8651461861776526</v>
      </c>
      <c r="Q35" s="428"/>
      <c r="R35" s="431"/>
      <c r="S35" s="433"/>
      <c r="T35" s="434" t="s">
        <v>74</v>
      </c>
      <c r="U35" s="435">
        <f>1.075*1.225*U43</f>
        <v>3.8506328976711042</v>
      </c>
      <c r="V35" s="136"/>
      <c r="W35" s="242"/>
      <c r="X35" s="2"/>
      <c r="Y35" s="43" t="s">
        <v>74</v>
      </c>
      <c r="Z35" s="463">
        <f>1.075*1.225*Z43</f>
        <v>3.8771801913793658</v>
      </c>
      <c r="AA35" s="428"/>
      <c r="AB35" s="431"/>
      <c r="AC35" s="433"/>
      <c r="AD35" s="434" t="s">
        <v>74</v>
      </c>
      <c r="AE35" s="408">
        <f>1.075*1.225*AE43</f>
        <v>3.849870828033545</v>
      </c>
      <c r="AF35" s="428"/>
      <c r="AG35" s="431"/>
      <c r="AH35" s="433"/>
      <c r="AI35" s="434" t="s">
        <v>74</v>
      </c>
      <c r="AJ35" s="408">
        <f>1.075*1.225*AJ43</f>
        <v>3.8386174724330462</v>
      </c>
      <c r="AK35" s="428"/>
      <c r="AL35" s="431"/>
      <c r="AM35" s="433"/>
      <c r="AN35" s="434" t="s">
        <v>74</v>
      </c>
      <c r="AO35" s="435">
        <f>1.075*1.225*AO43</f>
        <v>3.8329259577669967</v>
      </c>
      <c r="AP35" s="140"/>
      <c r="AQ35" s="242"/>
      <c r="AR35" s="377"/>
      <c r="AS35" s="142" t="s">
        <v>74</v>
      </c>
      <c r="AT35" s="432">
        <f>1.075*1.225*AT43</f>
        <v>3.8432149153988679</v>
      </c>
      <c r="AU35" s="428"/>
      <c r="AV35" s="431"/>
      <c r="AW35" s="433"/>
      <c r="AX35" s="434" t="s">
        <v>74</v>
      </c>
      <c r="AY35" s="408">
        <f>1.075*1.225*AY43</f>
        <v>3.8325650472299415</v>
      </c>
      <c r="AZ35" s="428"/>
      <c r="BA35" s="431"/>
      <c r="BB35" s="433"/>
      <c r="BC35" s="434" t="s">
        <v>74</v>
      </c>
      <c r="BD35" s="408">
        <f>1.075*1.225*BD43</f>
        <v>3.8281765614170076</v>
      </c>
      <c r="BE35" s="428"/>
      <c r="BF35" s="431"/>
      <c r="BG35" s="433"/>
      <c r="BH35" s="434" t="s">
        <v>74</v>
      </c>
      <c r="BI35" s="435">
        <f>1.075*1.225*BI43</f>
        <v>3.825957033993121</v>
      </c>
      <c r="BJ35" s="136"/>
    </row>
    <row r="36" spans="3:67" x14ac:dyDescent="0.25">
      <c r="C36" s="351"/>
      <c r="D36" s="377"/>
      <c r="E36" s="484" t="s">
        <v>80</v>
      </c>
      <c r="F36" s="432">
        <f>1.075*1.225*F44</f>
        <v>3.0403680972861564</v>
      </c>
      <c r="G36" s="428"/>
      <c r="H36" s="431"/>
      <c r="I36" s="433"/>
      <c r="J36" s="434" t="s">
        <v>80</v>
      </c>
      <c r="K36" s="408">
        <f>1.075*1.225*K44</f>
        <v>2.5751600182903358</v>
      </c>
      <c r="L36" s="428"/>
      <c r="M36" s="431"/>
      <c r="N36" s="433"/>
      <c r="O36" s="434" t="s">
        <v>80</v>
      </c>
      <c r="P36" s="408">
        <f>1.075*1.225*P44</f>
        <v>2.273825491235129</v>
      </c>
      <c r="Q36" s="428"/>
      <c r="R36" s="431"/>
      <c r="S36" s="433"/>
      <c r="T36" s="434" t="s">
        <v>80</v>
      </c>
      <c r="U36" s="435">
        <f>1.075*1.225*U44</f>
        <v>2.0583389322152255</v>
      </c>
      <c r="V36" s="136"/>
      <c r="W36" s="242"/>
      <c r="X36" s="2"/>
      <c r="Y36" s="43" t="s">
        <v>80</v>
      </c>
      <c r="Z36" s="463">
        <f>1.075*1.225*Z44</f>
        <v>2.4143683336770931</v>
      </c>
      <c r="AA36" s="428"/>
      <c r="AB36" s="431"/>
      <c r="AC36" s="433"/>
      <c r="AD36" s="434" t="s">
        <v>80</v>
      </c>
      <c r="AE36" s="408">
        <f>1.075*1.225*AE44</f>
        <v>2.0449447577946787</v>
      </c>
      <c r="AF36" s="428"/>
      <c r="AG36" s="431"/>
      <c r="AH36" s="433"/>
      <c r="AI36" s="434" t="s">
        <v>80</v>
      </c>
      <c r="AJ36" s="408">
        <f>1.075*1.225*AJ44</f>
        <v>1.8056538177880881</v>
      </c>
      <c r="AK36" s="428"/>
      <c r="AL36" s="431"/>
      <c r="AM36" s="433"/>
      <c r="AN36" s="434" t="s">
        <v>80</v>
      </c>
      <c r="AO36" s="435">
        <f>1.075*1.225*AO44</f>
        <v>1.6345350888108026</v>
      </c>
      <c r="AP36" s="140"/>
      <c r="AQ36" s="242"/>
      <c r="AR36" s="377"/>
      <c r="AS36" s="142" t="s">
        <v>80</v>
      </c>
      <c r="AT36" s="432">
        <f>1.075*1.225*AT44</f>
        <v>1.9146199361495448</v>
      </c>
      <c r="AU36" s="428"/>
      <c r="AV36" s="431"/>
      <c r="AW36" s="433"/>
      <c r="AX36" s="434" t="s">
        <v>80</v>
      </c>
      <c r="AY36" s="408">
        <f>1.075*1.225*AY44</f>
        <v>1.6216630855306111</v>
      </c>
      <c r="AZ36" s="428"/>
      <c r="BA36" s="431"/>
      <c r="BB36" s="433"/>
      <c r="BC36" s="434" t="s">
        <v>80</v>
      </c>
      <c r="BD36" s="408">
        <f>1.075*1.225*BD44</f>
        <v>1.4319028083243504</v>
      </c>
      <c r="BE36" s="428"/>
      <c r="BF36" s="431"/>
      <c r="BG36" s="433"/>
      <c r="BH36" s="434" t="s">
        <v>80</v>
      </c>
      <c r="BI36" s="435">
        <f>1.075*1.225*BI44</f>
        <v>1.2962038242967127</v>
      </c>
      <c r="BJ36" s="136"/>
    </row>
    <row r="37" spans="3:67" ht="15.75" thickBot="1" x14ac:dyDescent="0.3">
      <c r="C37" s="501"/>
      <c r="D37" s="288"/>
      <c r="E37" s="145" t="s">
        <v>93</v>
      </c>
      <c r="F37" s="284">
        <f>2+(F$21/$D$15*$F$10/$F$8^3)</f>
        <v>2.1080598388940128</v>
      </c>
      <c r="G37" s="436" t="s">
        <v>32</v>
      </c>
      <c r="H37" s="437"/>
      <c r="I37" s="438"/>
      <c r="J37" s="439" t="s">
        <v>93</v>
      </c>
      <c r="K37" s="285">
        <f>2+(F$21/$D$15*$F$10/$F$8^3)</f>
        <v>2.1080598388940128</v>
      </c>
      <c r="L37" s="436" t="s">
        <v>32</v>
      </c>
      <c r="M37" s="437"/>
      <c r="N37" s="438"/>
      <c r="O37" s="439" t="s">
        <v>93</v>
      </c>
      <c r="P37" s="285">
        <f>2+(F$21/$D$15*$F$10/$F$8^3)</f>
        <v>2.1080598388940128</v>
      </c>
      <c r="Q37" s="436" t="s">
        <v>32</v>
      </c>
      <c r="R37" s="437"/>
      <c r="S37" s="438"/>
      <c r="T37" s="439" t="s">
        <v>93</v>
      </c>
      <c r="U37" s="296">
        <f>2+(F$21/$D$15*$F$10/$F$8^3)</f>
        <v>2.1080598388940128</v>
      </c>
      <c r="V37" s="214" t="s">
        <v>32</v>
      </c>
      <c r="W37" s="151"/>
      <c r="X37" s="289"/>
      <c r="Y37" s="145" t="s">
        <v>93</v>
      </c>
      <c r="Z37" s="284">
        <f>2+(Z$15/$X$15*$F$10/$F$8^3)</f>
        <v>2.0681426525047488</v>
      </c>
      <c r="AA37" s="436" t="s">
        <v>32</v>
      </c>
      <c r="AB37" s="437"/>
      <c r="AC37" s="438"/>
      <c r="AD37" s="439" t="s">
        <v>93</v>
      </c>
      <c r="AE37" s="285">
        <f>2+(Z$15/$X$15*$F$10/$F$8^3)</f>
        <v>2.0681426525047488</v>
      </c>
      <c r="AF37" s="436" t="s">
        <v>32</v>
      </c>
      <c r="AG37" s="437"/>
      <c r="AH37" s="438"/>
      <c r="AI37" s="439" t="s">
        <v>93</v>
      </c>
      <c r="AJ37" s="285">
        <f>2+(Z$15/$X$15*$F$10/$F$8^3)</f>
        <v>2.0681426525047488</v>
      </c>
      <c r="AK37" s="436" t="s">
        <v>32</v>
      </c>
      <c r="AL37" s="437"/>
      <c r="AM37" s="438"/>
      <c r="AN37" s="439" t="s">
        <v>93</v>
      </c>
      <c r="AO37" s="296">
        <f>2+(Z$15/$X$15*$F$10/$F$8^3)</f>
        <v>2.0681426525047488</v>
      </c>
      <c r="AP37" s="214" t="s">
        <v>32</v>
      </c>
      <c r="AQ37" s="151"/>
      <c r="AR37" s="288"/>
      <c r="AS37" s="287" t="s">
        <v>93</v>
      </c>
      <c r="AT37" s="284">
        <f>2+(AT$15/$AR$15*$F$10/$F$8^3)</f>
        <v>2.0428525959050483</v>
      </c>
      <c r="AU37" s="436" t="s">
        <v>32</v>
      </c>
      <c r="AV37" s="437"/>
      <c r="AW37" s="438"/>
      <c r="AX37" s="439" t="s">
        <v>93</v>
      </c>
      <c r="AY37" s="285">
        <f>2+(AT$15/$AR$15*$F$10/$F$8^3)</f>
        <v>2.0428525959050483</v>
      </c>
      <c r="AZ37" s="436" t="s">
        <v>32</v>
      </c>
      <c r="BA37" s="437"/>
      <c r="BB37" s="438"/>
      <c r="BC37" s="439" t="s">
        <v>93</v>
      </c>
      <c r="BD37" s="285">
        <f>2+(AT$15/$AR$15*$F$10/$F$8^3)</f>
        <v>2.0428525959050483</v>
      </c>
      <c r="BE37" s="436" t="s">
        <v>32</v>
      </c>
      <c r="BF37" s="437"/>
      <c r="BG37" s="438"/>
      <c r="BH37" s="439" t="s">
        <v>93</v>
      </c>
      <c r="BI37" s="296">
        <f>2+(AT$15/$AR$15*$F$10/$F$8^3)</f>
        <v>2.0428525959050483</v>
      </c>
      <c r="BJ37" s="214" t="s">
        <v>32</v>
      </c>
    </row>
    <row r="38" spans="3:67" x14ac:dyDescent="0.25">
      <c r="C38" s="140"/>
      <c r="D38" s="480"/>
      <c r="E38" s="132" t="s">
        <v>56</v>
      </c>
      <c r="F38" s="255">
        <f>F31</f>
        <v>1.2502311136809527</v>
      </c>
      <c r="G38" s="428" t="s">
        <v>32</v>
      </c>
      <c r="H38" s="428"/>
      <c r="I38" s="440"/>
      <c r="J38" s="430" t="s">
        <v>56</v>
      </c>
      <c r="K38" s="184">
        <f>K31</f>
        <v>1.2484211500672668</v>
      </c>
      <c r="L38" s="428" t="s">
        <v>32</v>
      </c>
      <c r="M38" s="428"/>
      <c r="N38" s="440"/>
      <c r="O38" s="430" t="s">
        <v>56</v>
      </c>
      <c r="P38" s="184">
        <f>P31</f>
        <v>1.247675319272501</v>
      </c>
      <c r="Q38" s="428" t="s">
        <v>32</v>
      </c>
      <c r="R38" s="428"/>
      <c r="S38" s="440"/>
      <c r="T38" s="430" t="s">
        <v>56</v>
      </c>
      <c r="U38" s="200">
        <f>U31</f>
        <v>1.2472981067274167</v>
      </c>
      <c r="V38" s="136" t="s">
        <v>32</v>
      </c>
      <c r="W38" s="140"/>
      <c r="X38" s="243"/>
      <c r="Y38" s="132" t="s">
        <v>56</v>
      </c>
      <c r="Z38" s="175">
        <f>Z31</f>
        <v>1.2479880931643479</v>
      </c>
      <c r="AA38" s="453" t="s">
        <v>32</v>
      </c>
      <c r="AB38" s="453"/>
      <c r="AC38" s="455"/>
      <c r="AD38" s="454" t="s">
        <v>56</v>
      </c>
      <c r="AE38" s="184">
        <f>AE31</f>
        <v>1.2472782998981524</v>
      </c>
      <c r="AF38" s="184" t="s">
        <v>32</v>
      </c>
      <c r="AG38" s="184"/>
      <c r="AH38" s="184"/>
      <c r="AI38" s="184" t="s">
        <v>56</v>
      </c>
      <c r="AJ38" s="184">
        <f>AJ31</f>
        <v>1.2469858157444136</v>
      </c>
      <c r="AK38" s="453" t="s">
        <v>32</v>
      </c>
      <c r="AL38" s="453"/>
      <c r="AM38" s="455"/>
      <c r="AN38" s="454" t="s">
        <v>56</v>
      </c>
      <c r="AO38" s="200">
        <f>AO31</f>
        <v>1.2468378885030029</v>
      </c>
      <c r="AP38" s="136" t="s">
        <v>32</v>
      </c>
      <c r="AQ38" s="140"/>
      <c r="AR38" s="243"/>
      <c r="AS38" s="132" t="s">
        <v>56</v>
      </c>
      <c r="AT38" s="175">
        <f>AT31</f>
        <v>1.2471053071443974</v>
      </c>
      <c r="AU38" s="453" t="s">
        <v>32</v>
      </c>
      <c r="AV38" s="453"/>
      <c r="AW38" s="455"/>
      <c r="AX38" s="454" t="s">
        <v>56</v>
      </c>
      <c r="AY38" s="184">
        <f>AY31</f>
        <v>1.2468285081353374</v>
      </c>
      <c r="AZ38" s="184" t="s">
        <v>32</v>
      </c>
      <c r="BA38" s="184"/>
      <c r="BB38" s="184"/>
      <c r="BC38" s="184" t="s">
        <v>56</v>
      </c>
      <c r="BD38" s="184">
        <f>BD31</f>
        <v>1.2467144477070742</v>
      </c>
      <c r="BE38" s="453" t="s">
        <v>32</v>
      </c>
      <c r="BF38" s="453"/>
      <c r="BG38" s="455"/>
      <c r="BH38" s="454" t="s">
        <v>56</v>
      </c>
      <c r="BI38" s="200">
        <f>BI31</f>
        <v>1.2466567603271208</v>
      </c>
      <c r="BJ38" s="136" t="s">
        <v>32</v>
      </c>
      <c r="BL38" s="106"/>
    </row>
    <row r="39" spans="3:67" x14ac:dyDescent="0.25">
      <c r="C39" s="140"/>
      <c r="D39" s="481" t="s">
        <v>65</v>
      </c>
      <c r="E39" s="144" t="s">
        <v>57</v>
      </c>
      <c r="F39" s="178">
        <f>IF(F32&lt;F33,F32,F33)</f>
        <v>1.7547267304337246</v>
      </c>
      <c r="G39" s="441" t="s">
        <v>32</v>
      </c>
      <c r="H39" s="428"/>
      <c r="I39" s="442" t="s">
        <v>65</v>
      </c>
      <c r="J39" s="443" t="s">
        <v>57</v>
      </c>
      <c r="K39" s="176">
        <f>IF(K32&lt;K33,K32,K33)</f>
        <v>1.4862352105561365</v>
      </c>
      <c r="L39" s="441" t="s">
        <v>32</v>
      </c>
      <c r="M39" s="428"/>
      <c r="N39" s="442" t="s">
        <v>65</v>
      </c>
      <c r="O39" s="443" t="s">
        <v>57</v>
      </c>
      <c r="P39" s="179">
        <f>IF(P32&lt;P33,P32,P33)</f>
        <v>1.3123221406557029</v>
      </c>
      <c r="Q39" s="441" t="s">
        <v>32</v>
      </c>
      <c r="R39" s="428"/>
      <c r="S39" s="442" t="s">
        <v>65</v>
      </c>
      <c r="T39" s="443" t="s">
        <v>57</v>
      </c>
      <c r="U39" s="197">
        <f>IF(U32&lt;U33,U32,U33)</f>
        <v>1.1879556123070729</v>
      </c>
      <c r="V39" s="216" t="s">
        <v>32</v>
      </c>
      <c r="W39" s="140"/>
      <c r="X39" s="247" t="s">
        <v>65</v>
      </c>
      <c r="Y39" s="144" t="s">
        <v>57</v>
      </c>
      <c r="Z39" s="178">
        <f>IF(Z32&lt;Z33,Z32,Z33)</f>
        <v>1.3934354382936365</v>
      </c>
      <c r="AA39" s="441" t="s">
        <v>32</v>
      </c>
      <c r="AB39" s="428"/>
      <c r="AC39" s="442" t="s">
        <v>65</v>
      </c>
      <c r="AD39" s="443" t="s">
        <v>57</v>
      </c>
      <c r="AE39" s="179">
        <f>IF(AE32&lt;AE33,AE32,AE33)</f>
        <v>1.1802252602129288</v>
      </c>
      <c r="AF39" s="179" t="s">
        <v>32</v>
      </c>
      <c r="AG39" s="179"/>
      <c r="AH39" s="179" t="s">
        <v>65</v>
      </c>
      <c r="AI39" s="179" t="s">
        <v>57</v>
      </c>
      <c r="AJ39" s="179">
        <f>IF(AJ32&lt;AJ33,AJ32,AJ33)</f>
        <v>1.042120203409125</v>
      </c>
      <c r="AK39" s="441" t="s">
        <v>32</v>
      </c>
      <c r="AL39" s="428"/>
      <c r="AM39" s="442" t="s">
        <v>65</v>
      </c>
      <c r="AN39" s="443" t="s">
        <v>57</v>
      </c>
      <c r="AO39" s="197">
        <f>IF(AO32&lt;AO33,AO32,AO33)</f>
        <v>0.94336025125652034</v>
      </c>
      <c r="AP39" s="216" t="s">
        <v>32</v>
      </c>
      <c r="AQ39" s="140"/>
      <c r="AR39" s="247" t="s">
        <v>65</v>
      </c>
      <c r="AS39" s="253" t="s">
        <v>57</v>
      </c>
      <c r="AT39" s="178">
        <f>IF(AT32&lt;AT33,AT32,AT33)</f>
        <v>1.105009220292023</v>
      </c>
      <c r="AU39" s="441" t="s">
        <v>32</v>
      </c>
      <c r="AV39" s="428"/>
      <c r="AW39" s="442" t="s">
        <v>65</v>
      </c>
      <c r="AX39" s="443" t="s">
        <v>57</v>
      </c>
      <c r="AY39" s="179">
        <f>IF(AY32&lt;AY33,AY32,AY33)</f>
        <v>0.93593126650623837</v>
      </c>
      <c r="AZ39" s="179" t="s">
        <v>32</v>
      </c>
      <c r="BA39" s="179"/>
      <c r="BB39" s="179" t="s">
        <v>65</v>
      </c>
      <c r="BC39" s="179" t="s">
        <v>57</v>
      </c>
      <c r="BD39" s="179">
        <f>IF(BD32&lt;BD33,BD32,BD33)</f>
        <v>0.82641247794719641</v>
      </c>
      <c r="BE39" s="441" t="s">
        <v>32</v>
      </c>
      <c r="BF39" s="428"/>
      <c r="BG39" s="442" t="s">
        <v>65</v>
      </c>
      <c r="BH39" s="443" t="s">
        <v>57</v>
      </c>
      <c r="BI39" s="197">
        <f>IF(BI32&lt;BI33,BI32,BI33)</f>
        <v>0.74809477859410267</v>
      </c>
      <c r="BJ39" s="216" t="s">
        <v>32</v>
      </c>
      <c r="BO39" s="106"/>
    </row>
    <row r="40" spans="3:67" x14ac:dyDescent="0.25">
      <c r="C40" s="140"/>
      <c r="D40" s="480" t="s">
        <v>66</v>
      </c>
      <c r="E40" s="132" t="s">
        <v>60</v>
      </c>
      <c r="F40" s="181">
        <f>F34</f>
        <v>2.1662420286551165</v>
      </c>
      <c r="G40" s="444" t="s">
        <v>32</v>
      </c>
      <c r="H40" s="428"/>
      <c r="I40" s="440" t="s">
        <v>66</v>
      </c>
      <c r="J40" s="430" t="s">
        <v>60</v>
      </c>
      <c r="K40" s="182">
        <f>K34</f>
        <v>2.1631059530868488</v>
      </c>
      <c r="L40" s="444" t="s">
        <v>32</v>
      </c>
      <c r="M40" s="428"/>
      <c r="N40" s="440" t="s">
        <v>66</v>
      </c>
      <c r="O40" s="430" t="s">
        <v>60</v>
      </c>
      <c r="P40" s="182">
        <f>P34</f>
        <v>2.1618136720068089</v>
      </c>
      <c r="Q40" s="444" t="s">
        <v>32</v>
      </c>
      <c r="R40" s="428"/>
      <c r="S40" s="440" t="s">
        <v>66</v>
      </c>
      <c r="T40" s="430" t="s">
        <v>60</v>
      </c>
      <c r="U40" s="198">
        <f>U34</f>
        <v>2.1611600859138407</v>
      </c>
      <c r="V40" s="217" t="s">
        <v>32</v>
      </c>
      <c r="W40" s="140"/>
      <c r="X40" s="243" t="s">
        <v>66</v>
      </c>
      <c r="Y40" s="132" t="s">
        <v>60</v>
      </c>
      <c r="Z40" s="181">
        <f>Z34</f>
        <v>2.1623556069679299</v>
      </c>
      <c r="AA40" s="444" t="s">
        <v>32</v>
      </c>
      <c r="AB40" s="428"/>
      <c r="AC40" s="440" t="s">
        <v>66</v>
      </c>
      <c r="AD40" s="430" t="s">
        <v>60</v>
      </c>
      <c r="AE40" s="182">
        <f>AE34</f>
        <v>2.1611257671502639</v>
      </c>
      <c r="AF40" s="182" t="s">
        <v>32</v>
      </c>
      <c r="AG40" s="182"/>
      <c r="AH40" s="182" t="s">
        <v>66</v>
      </c>
      <c r="AI40" s="182" t="s">
        <v>60</v>
      </c>
      <c r="AJ40" s="182">
        <f>AJ34</f>
        <v>2.1606189876759641</v>
      </c>
      <c r="AK40" s="444" t="s">
        <v>32</v>
      </c>
      <c r="AL40" s="428"/>
      <c r="AM40" s="440" t="s">
        <v>66</v>
      </c>
      <c r="AN40" s="430" t="s">
        <v>60</v>
      </c>
      <c r="AO40" s="198">
        <f>AO34</f>
        <v>2.1603626780992626</v>
      </c>
      <c r="AP40" s="217" t="s">
        <v>32</v>
      </c>
      <c r="AQ40" s="140"/>
      <c r="AR40" s="243" t="s">
        <v>66</v>
      </c>
      <c r="AS40" s="252" t="s">
        <v>60</v>
      </c>
      <c r="AT40" s="181">
        <f>AT34</f>
        <v>2.1608260272303919</v>
      </c>
      <c r="AU40" s="444" t="s">
        <v>32</v>
      </c>
      <c r="AV40" s="428"/>
      <c r="AW40" s="440" t="s">
        <v>66</v>
      </c>
      <c r="AX40" s="430" t="s">
        <v>60</v>
      </c>
      <c r="AY40" s="182">
        <f>AY34</f>
        <v>2.160346424986971</v>
      </c>
      <c r="AZ40" s="182" t="s">
        <v>32</v>
      </c>
      <c r="BA40" s="182"/>
      <c r="BB40" s="182" t="s">
        <v>66</v>
      </c>
      <c r="BC40" s="182" t="s">
        <v>60</v>
      </c>
      <c r="BD40" s="182">
        <f>BD34</f>
        <v>2.1601487955320593</v>
      </c>
      <c r="BE40" s="444" t="s">
        <v>32</v>
      </c>
      <c r="BF40" s="428"/>
      <c r="BG40" s="440" t="s">
        <v>66</v>
      </c>
      <c r="BH40" s="430" t="s">
        <v>60</v>
      </c>
      <c r="BI40" s="198">
        <f>BI34</f>
        <v>2.1600488421509523</v>
      </c>
      <c r="BJ40" s="217" t="s">
        <v>32</v>
      </c>
    </row>
    <row r="41" spans="3:67" ht="15.75" thickBot="1" x14ac:dyDescent="0.3">
      <c r="C41" s="140"/>
      <c r="D41" s="482"/>
      <c r="E41" s="145" t="s">
        <v>61</v>
      </c>
      <c r="F41" s="258">
        <f t="shared" ref="F41" si="5">IF(F35&lt;F36,F35,F36)</f>
        <v>3.0403680972861564</v>
      </c>
      <c r="G41" s="436" t="s">
        <v>32</v>
      </c>
      <c r="H41" s="428"/>
      <c r="I41" s="445"/>
      <c r="J41" s="439" t="s">
        <v>61</v>
      </c>
      <c r="K41" s="193">
        <f t="shared" ref="K41" si="6">IF(K35&lt;K36,K35,K36)</f>
        <v>2.5751600182903358</v>
      </c>
      <c r="L41" s="436" t="s">
        <v>32</v>
      </c>
      <c r="M41" s="428"/>
      <c r="N41" s="440"/>
      <c r="O41" s="439" t="s">
        <v>61</v>
      </c>
      <c r="P41" s="193">
        <f t="shared" ref="P41" si="7">IF(P35&lt;P36,P35,P36)</f>
        <v>2.273825491235129</v>
      </c>
      <c r="Q41" s="436" t="s">
        <v>32</v>
      </c>
      <c r="R41" s="428"/>
      <c r="S41" s="445"/>
      <c r="T41" s="439" t="s">
        <v>61</v>
      </c>
      <c r="U41" s="199">
        <f>IF(U35&lt;U36,U35,U36)</f>
        <v>2.0583389322152255</v>
      </c>
      <c r="V41" s="214" t="s">
        <v>32</v>
      </c>
      <c r="W41" s="140"/>
      <c r="X41" s="246"/>
      <c r="Y41" s="145" t="s">
        <v>61</v>
      </c>
      <c r="Z41" s="258">
        <f t="shared" ref="Z41" si="8">IF(Z35&lt;Z36,Z35,Z36)</f>
        <v>2.4143683336770931</v>
      </c>
      <c r="AA41" s="436" t="s">
        <v>32</v>
      </c>
      <c r="AB41" s="428"/>
      <c r="AC41" s="445"/>
      <c r="AD41" s="439" t="s">
        <v>61</v>
      </c>
      <c r="AE41" s="193">
        <f t="shared" ref="AE41" si="9">IF(AE35&lt;AE36,AE35,AE36)</f>
        <v>2.0449447577946787</v>
      </c>
      <c r="AF41" s="193" t="s">
        <v>32</v>
      </c>
      <c r="AG41" s="193"/>
      <c r="AH41" s="193"/>
      <c r="AI41" s="193" t="s">
        <v>61</v>
      </c>
      <c r="AJ41" s="193">
        <f t="shared" ref="AJ41" si="10">IF(AJ35&lt;AJ36,AJ35,AJ36)</f>
        <v>1.8056538177880881</v>
      </c>
      <c r="AK41" s="436" t="s">
        <v>32</v>
      </c>
      <c r="AL41" s="428"/>
      <c r="AM41" s="445"/>
      <c r="AN41" s="439" t="s">
        <v>61</v>
      </c>
      <c r="AO41" s="199">
        <f t="shared" ref="AO41" si="11">IF(AO35&lt;AO36,AO35,AO36)</f>
        <v>1.6345350888108026</v>
      </c>
      <c r="AP41" s="214" t="s">
        <v>32</v>
      </c>
      <c r="AQ41" s="140"/>
      <c r="AR41" s="246"/>
      <c r="AS41" s="238" t="s">
        <v>61</v>
      </c>
      <c r="AT41" s="258">
        <f t="shared" ref="AT41" si="12">IF(AT35&lt;AT36,AT35,AT36)</f>
        <v>1.9146199361495448</v>
      </c>
      <c r="AU41" s="436" t="s">
        <v>32</v>
      </c>
      <c r="AV41" s="428"/>
      <c r="AW41" s="445"/>
      <c r="AX41" s="439" t="s">
        <v>61</v>
      </c>
      <c r="AY41" s="193">
        <f t="shared" ref="AY41" si="13">IF(AY35&lt;AY36,AY35,AY36)</f>
        <v>1.6216630855306111</v>
      </c>
      <c r="AZ41" s="193" t="s">
        <v>32</v>
      </c>
      <c r="BA41" s="193"/>
      <c r="BB41" s="193"/>
      <c r="BC41" s="193" t="s">
        <v>61</v>
      </c>
      <c r="BD41" s="193">
        <f>IF(BD35&lt;BD36,BD35,BD36)</f>
        <v>1.4319028083243504</v>
      </c>
      <c r="BE41" s="436" t="s">
        <v>32</v>
      </c>
      <c r="BF41" s="428"/>
      <c r="BG41" s="445"/>
      <c r="BH41" s="439" t="s">
        <v>61</v>
      </c>
      <c r="BI41" s="199">
        <f>IF(BI35&lt;BI36,BI35,BI36)</f>
        <v>1.2962038242967127</v>
      </c>
      <c r="BJ41" s="214" t="s">
        <v>32</v>
      </c>
    </row>
    <row r="42" spans="3:67" x14ac:dyDescent="0.25">
      <c r="C42" s="242"/>
      <c r="D42" s="2"/>
      <c r="E42" s="484" t="s">
        <v>75</v>
      </c>
      <c r="F42" s="368">
        <f>(0.2529+2.7683*10^-4*F28)*SQRT(F$21)/$F$4*$F$5*$F$7/$F$8</f>
        <v>1.6449868276450812</v>
      </c>
      <c r="G42" s="428"/>
      <c r="H42" s="431"/>
      <c r="I42" s="446"/>
      <c r="J42" s="447" t="s">
        <v>75</v>
      </c>
      <c r="K42" s="394">
        <f>(0.2529+2.7683*10^-4*K28)*SQRT(F$21)/$F$4*$F$5*$F$7/$F$8</f>
        <v>1.6426053749117029</v>
      </c>
      <c r="L42" s="448"/>
      <c r="M42" s="431"/>
      <c r="N42" s="449"/>
      <c r="O42" s="434" t="s">
        <v>75</v>
      </c>
      <c r="P42" s="265">
        <f>(0.2529+2.7683*10^-4*P28)*SQRT(F$21)/$F$4*$F$5*$F$7/$F$8</f>
        <v>1.6416240508831961</v>
      </c>
      <c r="Q42" s="428"/>
      <c r="R42" s="431"/>
      <c r="S42" s="449"/>
      <c r="T42" s="434" t="s">
        <v>75</v>
      </c>
      <c r="U42" s="369">
        <f>(0.2529+2.7683*10^-4*U28)*SQRT(F$21)/$F$4*$F$5*$F$7/$F$8</f>
        <v>1.6411277349132156</v>
      </c>
      <c r="V42" s="136"/>
      <c r="W42" s="242"/>
      <c r="X42" s="2"/>
      <c r="Y42" s="43" t="s">
        <v>75</v>
      </c>
      <c r="Z42" s="368">
        <f>(0.2529+2.7683*10^-4*Z28)*SQRT(Z$15)/$F$4*$F$5*$F$7/$F$8</f>
        <v>1.6420355819405257</v>
      </c>
      <c r="AA42" s="428"/>
      <c r="AB42" s="431"/>
      <c r="AC42" s="446"/>
      <c r="AD42" s="447" t="s">
        <v>75</v>
      </c>
      <c r="AE42" s="265">
        <f>(0.2529+2.7683*10^-4*AE28)*SQRT(Z$15)/$F$4*$F$5*$F$7/$F$8</f>
        <v>1.6411016741530244</v>
      </c>
      <c r="AF42" s="265"/>
      <c r="AG42" s="265"/>
      <c r="AH42" s="265"/>
      <c r="AI42" s="265" t="s">
        <v>75</v>
      </c>
      <c r="AJ42" s="265">
        <f>(0.2529+2.7683*10^-4*AJ28)*SQRT(Z$15)/$F$4*$F$5*$F$7/$F$8</f>
        <v>1.6407168392413587</v>
      </c>
      <c r="AK42" s="428"/>
      <c r="AL42" s="431"/>
      <c r="AM42" s="446"/>
      <c r="AN42" s="447" t="s">
        <v>75</v>
      </c>
      <c r="AO42" s="369">
        <f>(0.2529+2.7683*10^-4*AO28)*SQRT(Z$15)/$F$4*$F$5*$F$7/$F$8</f>
        <v>1.6405222045366969</v>
      </c>
      <c r="AP42" s="215"/>
      <c r="AQ42" s="242"/>
      <c r="AR42" s="2"/>
      <c r="AS42" s="43" t="s">
        <v>75</v>
      </c>
      <c r="AT42" s="368">
        <f>(0.2529+2.7683*10^-4*AT28)*SQRT(AT$15)/$F$4*$F$5*$F$7/$F$8</f>
        <v>1.640874059595931</v>
      </c>
      <c r="AU42" s="428"/>
      <c r="AV42" s="431"/>
      <c r="AW42" s="446"/>
      <c r="AX42" s="447" t="s">
        <v>75</v>
      </c>
      <c r="AY42" s="265">
        <f>(0.2529+2.7683*10^-4*AY28)*SQRT(AT$15)/$F$4*$F$5*$F$7/$F$8</f>
        <v>1.6405098623536563</v>
      </c>
      <c r="AZ42" s="265"/>
      <c r="BA42" s="265"/>
      <c r="BB42" s="265"/>
      <c r="BC42" s="265" t="s">
        <v>75</v>
      </c>
      <c r="BD42" s="265">
        <f>(0.2529+2.7683*10^-4*BD28)*SQRT(AT$15)/$F$4*$F$5*$F$7/$F$8</f>
        <v>1.6403597877794471</v>
      </c>
      <c r="BE42" s="428"/>
      <c r="BF42" s="431"/>
      <c r="BG42" s="446"/>
      <c r="BH42" s="447" t="s">
        <v>75</v>
      </c>
      <c r="BI42" s="369">
        <f>(0.2529+2.7683*10^-4*BI28)*SQRT(AT$15)/$F$4*$F$5*$F$7/$F$8</f>
        <v>1.6402838858289148</v>
      </c>
      <c r="BJ42" s="136"/>
    </row>
    <row r="43" spans="3:67" x14ac:dyDescent="0.25">
      <c r="C43" s="242"/>
      <c r="D43" s="2"/>
      <c r="E43" s="484" t="s">
        <v>76</v>
      </c>
      <c r="F43" s="230">
        <f>(0.675+9.273*10^-3*F28)*SQRT(F$21)*$F$4*$F$6/$F$7*$F$8</f>
        <v>3.0097622164883866</v>
      </c>
      <c r="G43" s="428"/>
      <c r="H43" s="431"/>
      <c r="I43" s="450"/>
      <c r="J43" s="451" t="s">
        <v>76</v>
      </c>
      <c r="K43" s="400">
        <f>(0.675+9.273*10^-3*K28)*SQRT(F$21)*$F$4*$F$6/$F$7*$F$8</f>
        <v>2.9568805671447147</v>
      </c>
      <c r="L43" s="452"/>
      <c r="M43" s="431"/>
      <c r="N43" s="433"/>
      <c r="O43" s="434" t="s">
        <v>76</v>
      </c>
      <c r="P43" s="231">
        <f>(0.675+9.273*10^-3*P28)*SQRT(F$21)*$F$4*$F$6/$F$7*$F$8</f>
        <v>2.9350896525316772</v>
      </c>
      <c r="Q43" s="428"/>
      <c r="R43" s="431"/>
      <c r="S43" s="433"/>
      <c r="T43" s="434" t="s">
        <v>76</v>
      </c>
      <c r="U43" s="233">
        <f>(0.675+9.273*10^-3*U28)*SQRT(F$21)*$F$4*$F$6/$F$7*$F$8</f>
        <v>2.9240686455974214</v>
      </c>
      <c r="V43" s="136"/>
      <c r="W43" s="242"/>
      <c r="X43" s="2"/>
      <c r="Y43" s="43" t="s">
        <v>76</v>
      </c>
      <c r="Z43" s="230">
        <f>(0.675+9.273*10^-3*Z28)*SQRT(Z$15)*$F$4*$F$6/$F$7*$F$8</f>
        <v>2.9442279573834766</v>
      </c>
      <c r="AA43" s="428"/>
      <c r="AB43" s="431"/>
      <c r="AC43" s="450"/>
      <c r="AD43" s="451" t="s">
        <v>76</v>
      </c>
      <c r="AE43" s="231">
        <f>(0.675+9.273*10^-3*AE28)*SQRT(Z$15)*$F$4*$F$6/$F$7*$F$8</f>
        <v>2.9234899500966645</v>
      </c>
      <c r="AF43" s="231"/>
      <c r="AG43" s="231"/>
      <c r="AH43" s="231"/>
      <c r="AI43" s="231" t="s">
        <v>76</v>
      </c>
      <c r="AJ43" s="231">
        <f>(0.675+9.273*10^-3*AJ28)*SQRT(Z$15)*$F$4*$F$6/$F$7*$F$8</f>
        <v>2.9149444498779657</v>
      </c>
      <c r="AK43" s="428"/>
      <c r="AL43" s="431"/>
      <c r="AM43" s="450"/>
      <c r="AN43" s="451" t="s">
        <v>76</v>
      </c>
      <c r="AO43" s="233">
        <f>(0.675+9.273*10^-3*AO28)*SQRT(Z$15)*$F$4*$F$6/$F$7*$F$8</f>
        <v>2.9106224643698124</v>
      </c>
      <c r="AP43" s="136"/>
      <c r="AQ43" s="242"/>
      <c r="AR43" s="2"/>
      <c r="AS43" s="43" t="s">
        <v>76</v>
      </c>
      <c r="AT43" s="230">
        <f>(0.675+9.273*10^-3*AT28)*SQRT(AT$15)*$F$4*$F$6/$F$7*$F$8</f>
        <v>2.9184356263114326</v>
      </c>
      <c r="AU43" s="428"/>
      <c r="AV43" s="431"/>
      <c r="AW43" s="450"/>
      <c r="AX43" s="451" t="s">
        <v>76</v>
      </c>
      <c r="AY43" s="231">
        <f>(0.675+9.273*10^-3*AY28)*SQRT(AT$15)*$F$4*$F$6/$F$7*$F$8</f>
        <v>2.910348398466021</v>
      </c>
      <c r="AZ43" s="231"/>
      <c r="BA43" s="231"/>
      <c r="BB43" s="231"/>
      <c r="BC43" s="231" t="s">
        <v>76</v>
      </c>
      <c r="BD43" s="231">
        <f>(0.675+9.273*10^-3*BD28)*SQRT(AT$15)*$F$4*$F$6/$F$7*$F$8</f>
        <v>2.9070158985606134</v>
      </c>
      <c r="BE43" s="428"/>
      <c r="BF43" s="431"/>
      <c r="BG43" s="450"/>
      <c r="BH43" s="451" t="s">
        <v>76</v>
      </c>
      <c r="BI43" s="233">
        <f>(0.675+9.273*10^-3*BI28)*SQRT(AT$15)*$F$4*$F$6/$F$7*$F$8</f>
        <v>2.9053304482149946</v>
      </c>
      <c r="BJ43" s="136"/>
    </row>
    <row r="44" spans="3:67" ht="15.75" thickBot="1" x14ac:dyDescent="0.3">
      <c r="C44" s="242"/>
      <c r="D44" s="2"/>
      <c r="E44" s="484" t="s">
        <v>77</v>
      </c>
      <c r="F44" s="211">
        <f>IF(($F$3*(F$21*10^-3)/SQRT($D$15*10^-3*F$26*10^-3)*$F$4/$F$6^2*$F$8)&lt;(4*$F$18*$F$8),($F$3*(F$21*10^-3)/SQRT($D$15*10^-3*F$26*10^-3)*$F$4/$F$6^2*$F$8),(4*$F$18*$F$8))</f>
        <v>2.3087750145504748</v>
      </c>
      <c r="G44" s="428"/>
      <c r="H44" s="431"/>
      <c r="I44" s="450"/>
      <c r="J44" s="451" t="s">
        <v>77</v>
      </c>
      <c r="K44" s="385">
        <f>IF(($F$3*(F$21*10^-3)/SQRT($D$15*10^-3*$K$26*10^-3)*$F$4/$F$6^2*$F$8)&lt;(4*$F$18*$F$8),($F$3*(F$21*10^-3)/SQRT($D$15*10^-3*$K$26*10^-3)*$F$4/$F$6^2*$F$8),(4*$F$18*$F$8))</f>
        <v>1.9555083195370371</v>
      </c>
      <c r="L44" s="452"/>
      <c r="M44" s="431"/>
      <c r="N44" s="433"/>
      <c r="O44" s="434" t="s">
        <v>77</v>
      </c>
      <c r="P44" s="209">
        <f>IF(($F$3*(F$21*10^-3)/SQRT($D$15*10^-3*$P$26*10^-3)*$F$4/$F$6^2*$F$8)&lt;(4*$F$18*$F$8),($F$3*(F$21*10^-3)/SQRT($D$15*10^-3*$P$26*10^-3)*$F$4/$F$6^2*$F$8),(4*$F$18*$F$8))</f>
        <v>1.726682859979215</v>
      </c>
      <c r="Q44" s="428"/>
      <c r="R44" s="431"/>
      <c r="S44" s="438"/>
      <c r="T44" s="434" t="s">
        <v>77</v>
      </c>
      <c r="U44" s="213">
        <f>IF(($F$3*(F$21*10^-3)/SQRT($D$15*10^-3*$U$26*10^-3)*$F$4/$F$6^2*$F$8)&lt;(4*$F$18*$F$8),($F$3*(F$21*10^-3)/SQRT($D$15*10^-3*$U$26*10^-3)*$F$4/$F$6^2*$F$8),(4*$F$18*$F$8))</f>
        <v>1.5630480738226675</v>
      </c>
      <c r="V44" s="136"/>
      <c r="W44" s="242"/>
      <c r="X44" s="2"/>
      <c r="Y44" s="43" t="s">
        <v>77</v>
      </c>
      <c r="Z44" s="211">
        <f>IF(($F$3*(Z$15*10^-3)/SQRT($X$15*10^-3*$Z$26*10^-3)*$F$4/$F$6^2*$F$8)&lt;(4*$F$18*$F$8),($F$3*(Z$15*10^-3)/SQRT($X$15*10^-3*$Z$26*10^-3)*$F$4/$F$6^2*$F$8),(4*$F$18*$F$8))</f>
        <v>1.8334073725122682</v>
      </c>
      <c r="AA44" s="428"/>
      <c r="AB44" s="431"/>
      <c r="AC44" s="450"/>
      <c r="AD44" s="451" t="s">
        <v>77</v>
      </c>
      <c r="AE44" s="209">
        <f>IF(($F$3*(Z$15*10^-3)/SQRT($X$15*10^-3*$AE$26*10^-3)*$F$4/$F$6^2*$F$8)&lt;(4*$F$18*$F$8),($F$3*(Z$15*10^-3)/SQRT($X$15*10^-3*$AE$26*10^-3)*$F$4/$F$6^2*$F$8),(4*$F$18*$F$8))</f>
        <v>1.5528768924876535</v>
      </c>
      <c r="AF44" s="209"/>
      <c r="AG44" s="209"/>
      <c r="AH44" s="209"/>
      <c r="AI44" s="209" t="s">
        <v>77</v>
      </c>
      <c r="AJ44" s="209">
        <f>IF(($F$3*(Z$15*10^-3)/SQRT($X$15*10^-3*$AJ$26*10^-3)*$F$4/$F$6^2*$F$8)&lt;(4*$F$18*$F$8),($F$3*(Z$15*10^-3)/SQRT($X$15*10^-3*$AJ$26*10^-3)*$F$4/$F$6^2*$F$8),(4*$F$18*$F$8))</f>
        <v>1.3711656898248414</v>
      </c>
      <c r="AK44" s="428"/>
      <c r="AL44" s="431"/>
      <c r="AM44" s="450"/>
      <c r="AN44" s="451" t="s">
        <v>77</v>
      </c>
      <c r="AO44" s="213">
        <f>IF(($F$3*(Z$15*10^-3)/SQRT($X$15*10^-3*$AO$26*10^-3)*$F$4/$F$6^2*$F$8)&lt;(4*$F$18*$F$8),($F$3*(Z$15*10^-3)/SQRT($X$15*10^-3*$AO$26*10^-3)*$F$4/$F$6^2*$F$8),(4*$F$18*$F$8))</f>
        <v>1.2412226588026978</v>
      </c>
      <c r="AP44" s="214"/>
      <c r="AQ44" s="242"/>
      <c r="AR44" s="2"/>
      <c r="AS44" s="43" t="s">
        <v>77</v>
      </c>
      <c r="AT44" s="211">
        <f>IF(($F$3*(AT$15*10^-3)/SQRT($AR$15*10^-3*$AT$26*10^-3)*$F$4/$F$6^2*$F$8)&lt;(4*$F$18*$F$8),($F$3*(AT$15*10^-3)/SQRT($AR$15*10^-3*$AT$26*10^-3)*$F$4/$F$6^2*$F$8),(4*$F$18*$F$8))</f>
        <v>1.4539116743423217</v>
      </c>
      <c r="AU44" s="428"/>
      <c r="AV44" s="431"/>
      <c r="AW44" s="450"/>
      <c r="AX44" s="451" t="s">
        <v>77</v>
      </c>
      <c r="AY44" s="209">
        <f>IF(($F$3*(AT$15*10^-3)/SQRT($AR$15*10^-3*$AY$26*10^-3)*$F$4/$F$6^2*$F$8)&lt;(4*$F$18*$F$8),($F$3*(AT$15*10^-3)/SQRT($AR$15*10^-3*$AY$26*10^-3)*$F$4/$F$6^2*$F$8),(4*$F$18*$F$8))</f>
        <v>1.231448000402932</v>
      </c>
      <c r="AZ44" s="209"/>
      <c r="BA44" s="209"/>
      <c r="BB44" s="209"/>
      <c r="BC44" s="209" t="s">
        <v>77</v>
      </c>
      <c r="BD44" s="209">
        <f>IF(($F$3*(AT$15*10^-3)/SQRT($AR$15*10^-3*$BD$26*10^-3)*$F$4/$F$6^2*$F$8)&lt;(4*$F$18*$F$8),($F$3*(AT$15*10^-3)/SQRT($AR$15*10^-3*$BD$26*10^-3)*$F$4/$F$6^2*$F$8),(4*$F$18*$F$8))</f>
        <v>1.0873490713426486</v>
      </c>
      <c r="BE44" s="428"/>
      <c r="BF44" s="431"/>
      <c r="BG44" s="450"/>
      <c r="BH44" s="451" t="s">
        <v>77</v>
      </c>
      <c r="BI44" s="213">
        <f>IF(($F$3*(AT$15*10^-3)/SQRT($AR$15*10^-3*$BI$26*10^-3)*$F$4/$F$6^2*$F$8)&lt;(4*$F$18*$F$8),($F$3*(AT$15*10^-3)/SQRT($AR$15*10^-3*$BI$26*10^-3)*$F$4/$F$6^2*$F$8),(4*$F$18*$F$8))</f>
        <v>0.98430285660879935</v>
      </c>
      <c r="BJ44" s="136"/>
    </row>
    <row r="45" spans="3:67" x14ac:dyDescent="0.25">
      <c r="C45" s="140"/>
      <c r="D45" s="480"/>
      <c r="E45" s="328" t="s">
        <v>56</v>
      </c>
      <c r="F45" s="175">
        <f>F42</f>
        <v>1.6449868276450812</v>
      </c>
      <c r="G45" s="453" t="s">
        <v>32</v>
      </c>
      <c r="H45" s="428"/>
      <c r="I45" s="440"/>
      <c r="J45" s="454" t="s">
        <v>56</v>
      </c>
      <c r="K45" s="184">
        <f>K42</f>
        <v>1.6426053749117029</v>
      </c>
      <c r="L45" s="453" t="s">
        <v>32</v>
      </c>
      <c r="M45" s="428"/>
      <c r="N45" s="440"/>
      <c r="O45" s="454" t="s">
        <v>56</v>
      </c>
      <c r="P45" s="184">
        <f>P42</f>
        <v>1.6416240508831961</v>
      </c>
      <c r="Q45" s="453" t="s">
        <v>32</v>
      </c>
      <c r="R45" s="428"/>
      <c r="S45" s="455"/>
      <c r="T45" s="454" t="s">
        <v>56</v>
      </c>
      <c r="U45" s="200">
        <f>U42</f>
        <v>1.6411277349132156</v>
      </c>
      <c r="V45" s="215" t="s">
        <v>32</v>
      </c>
      <c r="W45" s="140"/>
      <c r="X45" s="243"/>
      <c r="Y45" s="328" t="s">
        <v>56</v>
      </c>
      <c r="Z45" s="255">
        <f>Z42</f>
        <v>1.6420355819405257</v>
      </c>
      <c r="AA45" s="453" t="s">
        <v>32</v>
      </c>
      <c r="AB45" s="428"/>
      <c r="AC45" s="440"/>
      <c r="AD45" s="454" t="s">
        <v>56</v>
      </c>
      <c r="AE45" s="184">
        <f>AE42</f>
        <v>1.6411016741530244</v>
      </c>
      <c r="AF45" s="176" t="s">
        <v>32</v>
      </c>
      <c r="AG45" s="176"/>
      <c r="AH45" s="176"/>
      <c r="AI45" s="176" t="s">
        <v>56</v>
      </c>
      <c r="AJ45" s="184">
        <f>AJ42</f>
        <v>1.6407168392413587</v>
      </c>
      <c r="AK45" s="453" t="s">
        <v>32</v>
      </c>
      <c r="AL45" s="428"/>
      <c r="AM45" s="440"/>
      <c r="AN45" s="454" t="s">
        <v>56</v>
      </c>
      <c r="AO45" s="200">
        <f>AO42</f>
        <v>1.6405222045366969</v>
      </c>
      <c r="AP45" s="215" t="s">
        <v>32</v>
      </c>
      <c r="AQ45" s="140"/>
      <c r="AR45" s="243"/>
      <c r="AS45" s="239" t="s">
        <v>56</v>
      </c>
      <c r="AT45" s="175">
        <f>AT42</f>
        <v>1.640874059595931</v>
      </c>
      <c r="AU45" s="453" t="s">
        <v>32</v>
      </c>
      <c r="AV45" s="428"/>
      <c r="AW45" s="440"/>
      <c r="AX45" s="454" t="s">
        <v>56</v>
      </c>
      <c r="AY45" s="184">
        <f>AY42</f>
        <v>1.6405098623536563</v>
      </c>
      <c r="AZ45" s="176" t="s">
        <v>32</v>
      </c>
      <c r="BA45" s="176"/>
      <c r="BB45" s="176"/>
      <c r="BC45" s="176" t="s">
        <v>56</v>
      </c>
      <c r="BD45" s="520">
        <f>BD42</f>
        <v>1.6403597877794471</v>
      </c>
      <c r="BE45" s="453" t="s">
        <v>32</v>
      </c>
      <c r="BF45" s="428"/>
      <c r="BG45" s="440"/>
      <c r="BH45" s="454" t="s">
        <v>56</v>
      </c>
      <c r="BI45" s="200">
        <f>BI42</f>
        <v>1.6402838858289148</v>
      </c>
      <c r="BJ45" s="215" t="s">
        <v>32</v>
      </c>
    </row>
    <row r="46" spans="3:67" x14ac:dyDescent="0.25">
      <c r="C46" s="254">
        <v>99</v>
      </c>
      <c r="D46" s="483" t="s">
        <v>58</v>
      </c>
      <c r="E46" s="144" t="s">
        <v>57</v>
      </c>
      <c r="F46" s="178">
        <f t="shared" ref="F46" si="14">IF(F43&lt;F44,F43,F44)</f>
        <v>2.3087750145504748</v>
      </c>
      <c r="G46" s="441" t="s">
        <v>32</v>
      </c>
      <c r="H46" s="456">
        <v>138</v>
      </c>
      <c r="I46" s="457" t="s">
        <v>58</v>
      </c>
      <c r="J46" s="443" t="s">
        <v>57</v>
      </c>
      <c r="K46" s="176">
        <f t="shared" ref="K46" si="15">IF(K43&lt;K44,K43,K44)</f>
        <v>1.9555083195370371</v>
      </c>
      <c r="L46" s="441" t="s">
        <v>32</v>
      </c>
      <c r="M46" s="456">
        <v>177</v>
      </c>
      <c r="N46" s="457" t="s">
        <v>58</v>
      </c>
      <c r="O46" s="443" t="s">
        <v>57</v>
      </c>
      <c r="P46" s="179">
        <f t="shared" ref="P46" si="16">IF(P43&lt;P44,P43,P44)</f>
        <v>1.726682859979215</v>
      </c>
      <c r="Q46" s="441" t="s">
        <v>32</v>
      </c>
      <c r="R46" s="456">
        <v>216</v>
      </c>
      <c r="S46" s="457" t="s">
        <v>58</v>
      </c>
      <c r="T46" s="443" t="s">
        <v>57</v>
      </c>
      <c r="U46" s="197">
        <f>IF(U43&lt;U44,U43,U44)</f>
        <v>1.5630480738226675</v>
      </c>
      <c r="V46" s="216" t="s">
        <v>32</v>
      </c>
      <c r="W46" s="254">
        <v>99</v>
      </c>
      <c r="X46" s="244" t="s">
        <v>58</v>
      </c>
      <c r="Y46" s="144" t="s">
        <v>57</v>
      </c>
      <c r="Z46" s="178">
        <f t="shared" ref="Z46" si="17">IF(Z43&lt;Z44,Z43,Z44)</f>
        <v>1.8334073725122682</v>
      </c>
      <c r="AA46" s="441" t="s">
        <v>32</v>
      </c>
      <c r="AB46" s="456">
        <v>138</v>
      </c>
      <c r="AC46" s="457" t="s">
        <v>58</v>
      </c>
      <c r="AD46" s="443" t="s">
        <v>57</v>
      </c>
      <c r="AE46" s="179">
        <f t="shared" ref="AE46" si="18">IF(AE43&lt;AE44,AE43,AE44)</f>
        <v>1.5528768924876535</v>
      </c>
      <c r="AF46" s="179" t="s">
        <v>32</v>
      </c>
      <c r="AG46" s="179">
        <v>177</v>
      </c>
      <c r="AH46" s="179" t="s">
        <v>58</v>
      </c>
      <c r="AI46" s="179" t="s">
        <v>57</v>
      </c>
      <c r="AJ46" s="179">
        <f t="shared" ref="AJ46" si="19">IF(AJ43&lt;AJ44,AJ43,AJ44)</f>
        <v>1.3711656898248414</v>
      </c>
      <c r="AK46" s="441" t="s">
        <v>32</v>
      </c>
      <c r="AL46" s="456">
        <v>216</v>
      </c>
      <c r="AM46" s="457" t="s">
        <v>58</v>
      </c>
      <c r="AN46" s="443" t="s">
        <v>57</v>
      </c>
      <c r="AO46" s="197">
        <f t="shared" ref="AO46" si="20">IF(AO43&lt;AO44,AO43,AO44)</f>
        <v>1.2412226588026978</v>
      </c>
      <c r="AP46" s="216" t="s">
        <v>32</v>
      </c>
      <c r="AQ46" s="254">
        <v>99</v>
      </c>
      <c r="AR46" s="244" t="s">
        <v>58</v>
      </c>
      <c r="AS46" s="253" t="s">
        <v>57</v>
      </c>
      <c r="AT46" s="178">
        <f t="shared" ref="AT46" si="21">IF(AT43&lt;AT44,AT43,AT44)</f>
        <v>1.4539116743423217</v>
      </c>
      <c r="AU46" s="441" t="s">
        <v>32</v>
      </c>
      <c r="AV46" s="456">
        <v>138</v>
      </c>
      <c r="AW46" s="457" t="s">
        <v>58</v>
      </c>
      <c r="AX46" s="443" t="s">
        <v>57</v>
      </c>
      <c r="AY46" s="179">
        <f t="shared" ref="AY46" si="22">IF(AY43&lt;AY44,AY43,AY44)</f>
        <v>1.231448000402932</v>
      </c>
      <c r="AZ46" s="179" t="s">
        <v>32</v>
      </c>
      <c r="BA46" s="179">
        <v>177</v>
      </c>
      <c r="BB46" s="179" t="s">
        <v>58</v>
      </c>
      <c r="BC46" s="179" t="s">
        <v>57</v>
      </c>
      <c r="BD46" s="179">
        <f t="shared" ref="BD46" si="23">IF(BD43&lt;BD44,BD43,BD44)</f>
        <v>1.0873490713426486</v>
      </c>
      <c r="BE46" s="441" t="s">
        <v>32</v>
      </c>
      <c r="BF46" s="456">
        <v>216</v>
      </c>
      <c r="BG46" s="457" t="s">
        <v>58</v>
      </c>
      <c r="BH46" s="443" t="s">
        <v>57</v>
      </c>
      <c r="BI46" s="197">
        <f t="shared" ref="BI46" si="24">IF(BI43&lt;BI44,BI43,BI44)</f>
        <v>0.98430285660879935</v>
      </c>
      <c r="BJ46" s="216" t="s">
        <v>32</v>
      </c>
    </row>
    <row r="47" spans="3:67" x14ac:dyDescent="0.25">
      <c r="C47" s="254" t="s">
        <v>37</v>
      </c>
      <c r="D47" s="480" t="s">
        <v>59</v>
      </c>
      <c r="E47" s="132" t="s">
        <v>60</v>
      </c>
      <c r="F47" s="181">
        <f>F42</f>
        <v>1.6449868276450812</v>
      </c>
      <c r="G47" s="444" t="s">
        <v>32</v>
      </c>
      <c r="H47" s="456" t="s">
        <v>40</v>
      </c>
      <c r="I47" s="440" t="s">
        <v>59</v>
      </c>
      <c r="J47" s="430" t="s">
        <v>60</v>
      </c>
      <c r="K47" s="182">
        <f>K42</f>
        <v>1.6426053749117029</v>
      </c>
      <c r="L47" s="444" t="s">
        <v>32</v>
      </c>
      <c r="M47" s="456" t="s">
        <v>44</v>
      </c>
      <c r="N47" s="440" t="s">
        <v>59</v>
      </c>
      <c r="O47" s="430" t="s">
        <v>60</v>
      </c>
      <c r="P47" s="182">
        <f>P42</f>
        <v>1.6416240508831961</v>
      </c>
      <c r="Q47" s="444" t="s">
        <v>32</v>
      </c>
      <c r="R47" s="456" t="s">
        <v>45</v>
      </c>
      <c r="S47" s="440" t="s">
        <v>59</v>
      </c>
      <c r="T47" s="430" t="s">
        <v>60</v>
      </c>
      <c r="U47" s="198">
        <f>U42</f>
        <v>1.6411277349132156</v>
      </c>
      <c r="V47" s="217" t="s">
        <v>32</v>
      </c>
      <c r="W47" s="254" t="s">
        <v>37</v>
      </c>
      <c r="X47" s="243" t="s">
        <v>59</v>
      </c>
      <c r="Y47" s="132" t="s">
        <v>60</v>
      </c>
      <c r="Z47" s="181">
        <f>Z42</f>
        <v>1.6420355819405257</v>
      </c>
      <c r="AA47" s="444" t="s">
        <v>32</v>
      </c>
      <c r="AB47" s="456" t="s">
        <v>40</v>
      </c>
      <c r="AC47" s="440" t="s">
        <v>59</v>
      </c>
      <c r="AD47" s="430" t="s">
        <v>60</v>
      </c>
      <c r="AE47" s="182">
        <f>AE42</f>
        <v>1.6411016741530244</v>
      </c>
      <c r="AF47" s="182" t="s">
        <v>32</v>
      </c>
      <c r="AG47" s="182" t="s">
        <v>44</v>
      </c>
      <c r="AH47" s="182" t="s">
        <v>59</v>
      </c>
      <c r="AI47" s="182" t="s">
        <v>60</v>
      </c>
      <c r="AJ47" s="182">
        <f>AJ42</f>
        <v>1.6407168392413587</v>
      </c>
      <c r="AK47" s="444" t="s">
        <v>32</v>
      </c>
      <c r="AL47" s="456" t="s">
        <v>45</v>
      </c>
      <c r="AM47" s="440" t="s">
        <v>59</v>
      </c>
      <c r="AN47" s="430" t="s">
        <v>60</v>
      </c>
      <c r="AO47" s="198">
        <f>AO42</f>
        <v>1.6405222045366969</v>
      </c>
      <c r="AP47" s="217" t="s">
        <v>32</v>
      </c>
      <c r="AQ47" s="254" t="s">
        <v>37</v>
      </c>
      <c r="AR47" s="243" t="s">
        <v>59</v>
      </c>
      <c r="AS47" s="252" t="s">
        <v>60</v>
      </c>
      <c r="AT47" s="181">
        <f>AT42</f>
        <v>1.640874059595931</v>
      </c>
      <c r="AU47" s="444" t="s">
        <v>32</v>
      </c>
      <c r="AV47" s="456" t="s">
        <v>40</v>
      </c>
      <c r="AW47" s="440" t="s">
        <v>59</v>
      </c>
      <c r="AX47" s="430" t="s">
        <v>60</v>
      </c>
      <c r="AY47" s="182">
        <f>AY42</f>
        <v>1.6405098623536563</v>
      </c>
      <c r="AZ47" s="182" t="s">
        <v>32</v>
      </c>
      <c r="BA47" s="182" t="s">
        <v>44</v>
      </c>
      <c r="BB47" s="182" t="s">
        <v>59</v>
      </c>
      <c r="BC47" s="182" t="s">
        <v>60</v>
      </c>
      <c r="BD47" s="182">
        <f>BD42</f>
        <v>1.6403597877794471</v>
      </c>
      <c r="BE47" s="444" t="s">
        <v>32</v>
      </c>
      <c r="BF47" s="456" t="s">
        <v>45</v>
      </c>
      <c r="BG47" s="440" t="s">
        <v>59</v>
      </c>
      <c r="BH47" s="430" t="s">
        <v>60</v>
      </c>
      <c r="BI47" s="198">
        <f>BI42</f>
        <v>1.6402838858289148</v>
      </c>
      <c r="BJ47" s="217" t="s">
        <v>32</v>
      </c>
      <c r="BL47" s="106"/>
    </row>
    <row r="48" spans="3:67" ht="15.75" thickBot="1" x14ac:dyDescent="0.3">
      <c r="C48" s="141"/>
      <c r="D48" s="482"/>
      <c r="E48" s="145" t="s">
        <v>61</v>
      </c>
      <c r="F48" s="258">
        <f t="shared" ref="F48" si="25">IF(F43&lt;F44,F43,F44)</f>
        <v>2.3087750145504748</v>
      </c>
      <c r="G48" s="436" t="s">
        <v>32</v>
      </c>
      <c r="H48" s="458"/>
      <c r="I48" s="445"/>
      <c r="J48" s="439" t="s">
        <v>61</v>
      </c>
      <c r="K48" s="193">
        <f t="shared" ref="K48" si="26">IF(K43&lt;K44,K43,K44)</f>
        <v>1.9555083195370371</v>
      </c>
      <c r="L48" s="436" t="s">
        <v>32</v>
      </c>
      <c r="M48" s="458"/>
      <c r="N48" s="445"/>
      <c r="O48" s="439" t="s">
        <v>61</v>
      </c>
      <c r="P48" s="193">
        <f t="shared" ref="P48" si="27">IF(P43&lt;P44,P43,P44)</f>
        <v>1.726682859979215</v>
      </c>
      <c r="Q48" s="436" t="s">
        <v>32</v>
      </c>
      <c r="R48" s="458"/>
      <c r="S48" s="445"/>
      <c r="T48" s="439" t="s">
        <v>61</v>
      </c>
      <c r="U48" s="199">
        <f>IF(U43&lt;U44,U43,U44)</f>
        <v>1.5630480738226675</v>
      </c>
      <c r="V48" s="214" t="s">
        <v>32</v>
      </c>
      <c r="W48" s="141"/>
      <c r="X48" s="246"/>
      <c r="Y48" s="145" t="s">
        <v>61</v>
      </c>
      <c r="Z48" s="258">
        <f t="shared" ref="Z48" si="28">IF(Z43&lt;Z44,Z43,Z44)</f>
        <v>1.8334073725122682</v>
      </c>
      <c r="AA48" s="436" t="s">
        <v>32</v>
      </c>
      <c r="AB48" s="458"/>
      <c r="AC48" s="445"/>
      <c r="AD48" s="439" t="s">
        <v>61</v>
      </c>
      <c r="AE48" s="193">
        <f t="shared" ref="AE48" si="29">IF(AE43&lt;AE44,AE43,AE44)</f>
        <v>1.5528768924876535</v>
      </c>
      <c r="AF48" s="193" t="s">
        <v>32</v>
      </c>
      <c r="AG48" s="193"/>
      <c r="AH48" s="193"/>
      <c r="AI48" s="193" t="s">
        <v>61</v>
      </c>
      <c r="AJ48" s="193">
        <f t="shared" ref="AJ48" si="30">IF(AJ43&lt;AJ44,AJ43,AJ44)</f>
        <v>1.3711656898248414</v>
      </c>
      <c r="AK48" s="436" t="s">
        <v>32</v>
      </c>
      <c r="AL48" s="458"/>
      <c r="AM48" s="445"/>
      <c r="AN48" s="439" t="s">
        <v>61</v>
      </c>
      <c r="AO48" s="199">
        <f t="shared" ref="AO48" si="31">IF(AO43&lt;AO44,AO43,AO44)</f>
        <v>1.2412226588026978</v>
      </c>
      <c r="AP48" s="214" t="s">
        <v>32</v>
      </c>
      <c r="AQ48" s="141"/>
      <c r="AR48" s="246"/>
      <c r="AS48" s="238" t="s">
        <v>61</v>
      </c>
      <c r="AT48" s="258">
        <f t="shared" ref="AT48" si="32">IF(AT43&lt;AT44,AT43,AT44)</f>
        <v>1.4539116743423217</v>
      </c>
      <c r="AU48" s="436" t="s">
        <v>32</v>
      </c>
      <c r="AV48" s="458"/>
      <c r="AW48" s="445"/>
      <c r="AX48" s="439" t="s">
        <v>61</v>
      </c>
      <c r="AY48" s="193">
        <f t="shared" ref="AY48" si="33">IF(AY43&lt;AY44,AY43,AY44)</f>
        <v>1.231448000402932</v>
      </c>
      <c r="AZ48" s="193" t="s">
        <v>32</v>
      </c>
      <c r="BA48" s="193"/>
      <c r="BB48" s="193"/>
      <c r="BC48" s="193" t="s">
        <v>61</v>
      </c>
      <c r="BD48" s="193">
        <f t="shared" ref="BD48" si="34">IF(BD43&lt;BD44,BD43,BD44)</f>
        <v>1.0873490713426486</v>
      </c>
      <c r="BE48" s="436" t="s">
        <v>32</v>
      </c>
      <c r="BF48" s="458"/>
      <c r="BG48" s="445"/>
      <c r="BH48" s="439" t="s">
        <v>61</v>
      </c>
      <c r="BI48" s="199">
        <f t="shared" ref="BI48" si="35">IF(BI43&lt;BI44,BI43,BI44)</f>
        <v>0.98430285660879935</v>
      </c>
      <c r="BJ48" s="214" t="s">
        <v>32</v>
      </c>
    </row>
    <row r="49" spans="1:62" ht="15.75" hidden="1" thickBot="1" x14ac:dyDescent="0.3">
      <c r="C49" s="242"/>
      <c r="D49" s="2"/>
      <c r="E49" s="484" t="s">
        <v>71</v>
      </c>
      <c r="F49" s="230">
        <f>1.07*1.22*F42</f>
        <v>2.147365804807889</v>
      </c>
      <c r="G49" s="428"/>
      <c r="H49" s="431"/>
      <c r="I49" s="433"/>
      <c r="J49" s="434" t="s">
        <v>71</v>
      </c>
      <c r="K49" s="184">
        <f>1.07*1.22*K42</f>
        <v>2.144257056409737</v>
      </c>
      <c r="L49" s="428"/>
      <c r="M49" s="431"/>
      <c r="N49" s="433"/>
      <c r="O49" s="434" t="s">
        <v>71</v>
      </c>
      <c r="P49" s="231">
        <f>1.07*1.22*P42</f>
        <v>2.1429760360229242</v>
      </c>
      <c r="Q49" s="428"/>
      <c r="R49" s="431"/>
      <c r="S49" s="433"/>
      <c r="T49" s="434" t="s">
        <v>71</v>
      </c>
      <c r="U49" s="233">
        <f>1.07*1.22*U42</f>
        <v>2.1423281451557119</v>
      </c>
      <c r="V49" s="136"/>
      <c r="W49" s="242"/>
      <c r="X49" s="2"/>
      <c r="Y49" s="43" t="s">
        <v>71</v>
      </c>
      <c r="Z49" s="230">
        <f>1.07*1.22*Z42</f>
        <v>2.1435132486651622</v>
      </c>
      <c r="AA49" s="428"/>
      <c r="AB49" s="431"/>
      <c r="AC49" s="433"/>
      <c r="AD49" s="434" t="s">
        <v>71</v>
      </c>
      <c r="AE49" s="231">
        <f>1.07*1.22*AE42</f>
        <v>2.1422941254393582</v>
      </c>
      <c r="AF49" s="231"/>
      <c r="AG49" s="231"/>
      <c r="AH49" s="231"/>
      <c r="AI49" s="231" t="s">
        <v>71</v>
      </c>
      <c r="AJ49" s="231">
        <f>1.07*1.22*AJ42</f>
        <v>2.1417917619456697</v>
      </c>
      <c r="AK49" s="428"/>
      <c r="AL49" s="431"/>
      <c r="AM49" s="433"/>
      <c r="AN49" s="434" t="s">
        <v>71</v>
      </c>
      <c r="AO49" s="233">
        <f>1.07*1.22*AO42</f>
        <v>2.1415376858022044</v>
      </c>
      <c r="AP49" s="136"/>
      <c r="AQ49" s="242"/>
      <c r="AR49" s="2"/>
      <c r="AS49" s="43" t="s">
        <v>71</v>
      </c>
      <c r="AT49" s="230">
        <f>1.07*1.22*AT42</f>
        <v>2.1419969973965287</v>
      </c>
      <c r="AU49" s="428"/>
      <c r="AV49" s="431"/>
      <c r="AW49" s="433"/>
      <c r="AX49" s="434" t="s">
        <v>71</v>
      </c>
      <c r="AY49" s="231">
        <f>1.07*1.22*AY42</f>
        <v>2.1415215743164633</v>
      </c>
      <c r="AZ49" s="231"/>
      <c r="BA49" s="231"/>
      <c r="BB49" s="231"/>
      <c r="BC49" s="231" t="s">
        <v>71</v>
      </c>
      <c r="BD49" s="231">
        <f>1.07*1.22*BD42</f>
        <v>2.1413256669672904</v>
      </c>
      <c r="BE49" s="428"/>
      <c r="BF49" s="431"/>
      <c r="BG49" s="433"/>
      <c r="BH49" s="434" t="s">
        <v>71</v>
      </c>
      <c r="BI49" s="233">
        <f>1.07*1.22*BI42</f>
        <v>2.1412265845610654</v>
      </c>
      <c r="BJ49" s="136"/>
    </row>
    <row r="50" spans="1:62" ht="15.75" hidden="1" thickBot="1" x14ac:dyDescent="0.3">
      <c r="C50" s="242"/>
      <c r="D50" s="2"/>
      <c r="E50" s="484" t="s">
        <v>72</v>
      </c>
      <c r="F50" s="230">
        <f>1.07*1.22*F43</f>
        <v>3.9289435974039404</v>
      </c>
      <c r="G50" s="428"/>
      <c r="H50" s="431"/>
      <c r="I50" s="433"/>
      <c r="J50" s="434" t="s">
        <v>72</v>
      </c>
      <c r="K50" s="176">
        <f>1.07*1.22*K43</f>
        <v>3.859911892350711</v>
      </c>
      <c r="L50" s="428"/>
      <c r="M50" s="431"/>
      <c r="N50" s="433"/>
      <c r="O50" s="434" t="s">
        <v>72</v>
      </c>
      <c r="P50" s="231">
        <f>1.07*1.22*P43</f>
        <v>3.831466032414852</v>
      </c>
      <c r="Q50" s="428"/>
      <c r="R50" s="431"/>
      <c r="S50" s="433"/>
      <c r="T50" s="434" t="s">
        <v>72</v>
      </c>
      <c r="U50" s="233">
        <f>1.07*1.22*U43</f>
        <v>3.8170792099628743</v>
      </c>
      <c r="V50" s="136"/>
      <c r="W50" s="242"/>
      <c r="X50" s="2"/>
      <c r="Y50" s="43" t="s">
        <v>72</v>
      </c>
      <c r="Z50" s="230">
        <f>1.07*1.22*Z43</f>
        <v>3.8433951755683906</v>
      </c>
      <c r="AA50" s="428"/>
      <c r="AB50" s="431"/>
      <c r="AC50" s="433"/>
      <c r="AD50" s="434" t="s">
        <v>72</v>
      </c>
      <c r="AE50" s="231">
        <f>1.07*1.22*AE43</f>
        <v>3.8163237808561861</v>
      </c>
      <c r="AF50" s="231"/>
      <c r="AG50" s="231"/>
      <c r="AH50" s="231"/>
      <c r="AI50" s="231" t="s">
        <v>72</v>
      </c>
      <c r="AJ50" s="231">
        <f>1.07*1.22*AJ43</f>
        <v>3.805168484870697</v>
      </c>
      <c r="AK50" s="428"/>
      <c r="AL50" s="431"/>
      <c r="AM50" s="433"/>
      <c r="AN50" s="434" t="s">
        <v>72</v>
      </c>
      <c r="AO50" s="233">
        <f>1.07*1.22*AO43</f>
        <v>3.7995265649883536</v>
      </c>
      <c r="AP50" s="136"/>
      <c r="AQ50" s="242"/>
      <c r="AR50" s="2"/>
      <c r="AS50" s="43" t="s">
        <v>72</v>
      </c>
      <c r="AT50" s="230">
        <f>1.07*1.22*AT43</f>
        <v>3.8097258665869447</v>
      </c>
      <c r="AU50" s="428"/>
      <c r="AV50" s="431"/>
      <c r="AW50" s="433"/>
      <c r="AX50" s="434" t="s">
        <v>72</v>
      </c>
      <c r="AY50" s="231">
        <f>1.07*1.22*AY43</f>
        <v>3.799168799357544</v>
      </c>
      <c r="AZ50" s="231"/>
      <c r="BA50" s="231"/>
      <c r="BB50" s="231"/>
      <c r="BC50" s="231" t="s">
        <v>72</v>
      </c>
      <c r="BD50" s="231">
        <f>1.07*1.22*BD43</f>
        <v>3.7948185539810249</v>
      </c>
      <c r="BE50" s="428"/>
      <c r="BF50" s="431"/>
      <c r="BG50" s="433"/>
      <c r="BH50" s="434" t="s">
        <v>72</v>
      </c>
      <c r="BI50" s="233">
        <f>1.07*1.22*BI43</f>
        <v>3.7926183670998546</v>
      </c>
      <c r="BJ50" s="136"/>
    </row>
    <row r="51" spans="1:62" ht="15.75" hidden="1" thickBot="1" x14ac:dyDescent="0.3">
      <c r="C51" s="242"/>
      <c r="D51" s="2"/>
      <c r="E51" s="484" t="s">
        <v>79</v>
      </c>
      <c r="F51" s="230">
        <f>1.07*1.22*F44</f>
        <v>3.0138749039941901</v>
      </c>
      <c r="G51" s="428"/>
      <c r="H51" s="431"/>
      <c r="I51" s="433"/>
      <c r="J51" s="434" t="s">
        <v>79</v>
      </c>
      <c r="K51" s="176">
        <f>1.07*1.22*K44</f>
        <v>2.5527205603236482</v>
      </c>
      <c r="L51" s="428"/>
      <c r="M51" s="431"/>
      <c r="N51" s="433"/>
      <c r="O51" s="434" t="s">
        <v>79</v>
      </c>
      <c r="P51" s="231">
        <f>1.07*1.22*P44</f>
        <v>2.2540118054168676</v>
      </c>
      <c r="Q51" s="428"/>
      <c r="R51" s="431"/>
      <c r="S51" s="433"/>
      <c r="T51" s="434" t="s">
        <v>79</v>
      </c>
      <c r="U51" s="233">
        <f>1.07*1.22*U44</f>
        <v>2.0404029555681102</v>
      </c>
      <c r="V51" s="136"/>
      <c r="W51" s="242"/>
      <c r="X51" s="2"/>
      <c r="Y51" s="43" t="s">
        <v>79</v>
      </c>
      <c r="Z51" s="230">
        <f>1.07*1.22*Z44</f>
        <v>2.3933299840775151</v>
      </c>
      <c r="AA51" s="428"/>
      <c r="AB51" s="431"/>
      <c r="AC51" s="433"/>
      <c r="AD51" s="434" t="s">
        <v>79</v>
      </c>
      <c r="AE51" s="231">
        <f>1.07*1.22*AE44</f>
        <v>2.0271254954533831</v>
      </c>
      <c r="AF51" s="231"/>
      <c r="AG51" s="231"/>
      <c r="AH51" s="231"/>
      <c r="AI51" s="231" t="s">
        <v>79</v>
      </c>
      <c r="AJ51" s="231">
        <f>1.07*1.22*AJ44</f>
        <v>1.7899196914973481</v>
      </c>
      <c r="AK51" s="428"/>
      <c r="AL51" s="431"/>
      <c r="AM51" s="433"/>
      <c r="AN51" s="434" t="s">
        <v>79</v>
      </c>
      <c r="AO51" s="233">
        <f>1.07*1.22*AO44</f>
        <v>1.6202920588010419</v>
      </c>
      <c r="AP51" s="136"/>
      <c r="AQ51" s="242"/>
      <c r="AR51" s="2"/>
      <c r="AS51" s="43" t="s">
        <v>79</v>
      </c>
      <c r="AT51" s="230">
        <f>1.07*1.22*AT44</f>
        <v>1.897936299686467</v>
      </c>
      <c r="AU51" s="428"/>
      <c r="AV51" s="431"/>
      <c r="AW51" s="433"/>
      <c r="AX51" s="434" t="s">
        <v>79</v>
      </c>
      <c r="AY51" s="231">
        <f>1.07*1.22*AY44</f>
        <v>1.6075322197259876</v>
      </c>
      <c r="AZ51" s="231"/>
      <c r="BA51" s="231"/>
      <c r="BB51" s="231"/>
      <c r="BC51" s="231" t="s">
        <v>79</v>
      </c>
      <c r="BD51" s="231">
        <f>1.07*1.22*BD44</f>
        <v>1.4194254777306936</v>
      </c>
      <c r="BE51" s="428"/>
      <c r="BF51" s="431"/>
      <c r="BG51" s="433"/>
      <c r="BH51" s="434" t="s">
        <v>79</v>
      </c>
      <c r="BI51" s="233">
        <f>1.07*1.22*BI44</f>
        <v>1.2849089490171268</v>
      </c>
      <c r="BJ51" s="136"/>
    </row>
    <row r="52" spans="1:62" ht="15.75" hidden="1" thickBot="1" x14ac:dyDescent="0.3">
      <c r="C52" s="242"/>
      <c r="D52" s="2"/>
      <c r="E52" s="484" t="s">
        <v>73</v>
      </c>
      <c r="F52" s="230">
        <f>1.07*0.707*F42</f>
        <v>1.2444160852452275</v>
      </c>
      <c r="G52" s="428"/>
      <c r="H52" s="431"/>
      <c r="I52" s="433"/>
      <c r="J52" s="434" t="s">
        <v>73</v>
      </c>
      <c r="K52" s="176">
        <f>1.07*0.707*K42</f>
        <v>1.2426145400669542</v>
      </c>
      <c r="L52" s="428"/>
      <c r="M52" s="431"/>
      <c r="N52" s="433"/>
      <c r="O52" s="434" t="s">
        <v>73</v>
      </c>
      <c r="P52" s="231">
        <f>1.07*0.707*P42</f>
        <v>1.241872178252629</v>
      </c>
      <c r="Q52" s="428"/>
      <c r="R52" s="431"/>
      <c r="S52" s="433"/>
      <c r="T52" s="434" t="s">
        <v>73</v>
      </c>
      <c r="U52" s="233">
        <f>1.07*0.707*U42</f>
        <v>1.2414967201844984</v>
      </c>
      <c r="V52" s="136"/>
      <c r="W52" s="242"/>
      <c r="X52" s="2"/>
      <c r="Y52" s="43" t="s">
        <v>73</v>
      </c>
      <c r="Z52" s="230">
        <f>1.07*0.707*Z42</f>
        <v>1.2421834973821884</v>
      </c>
      <c r="AA52" s="428"/>
      <c r="AB52" s="431"/>
      <c r="AC52" s="433"/>
      <c r="AD52" s="434" t="s">
        <v>73</v>
      </c>
      <c r="AE52" s="231">
        <f>1.07*0.707*AE42</f>
        <v>1.2414770054800215</v>
      </c>
      <c r="AF52" s="231"/>
      <c r="AG52" s="231"/>
      <c r="AH52" s="231"/>
      <c r="AI52" s="231" t="s">
        <v>73</v>
      </c>
      <c r="AJ52" s="231">
        <f>1.07*0.707*AJ42</f>
        <v>1.2411858817176955</v>
      </c>
      <c r="AK52" s="428"/>
      <c r="AL52" s="431"/>
      <c r="AM52" s="433"/>
      <c r="AN52" s="434" t="s">
        <v>73</v>
      </c>
      <c r="AO52" s="233">
        <f>1.07*0.707*AO42</f>
        <v>1.2410386425099658</v>
      </c>
      <c r="AP52" s="136"/>
      <c r="AQ52" s="242"/>
      <c r="AR52" s="2"/>
      <c r="AS52" s="43" t="s">
        <v>73</v>
      </c>
      <c r="AT52" s="230">
        <f>1.07*0.707*AT42</f>
        <v>1.2413048173437258</v>
      </c>
      <c r="AU52" s="428"/>
      <c r="AV52" s="431"/>
      <c r="AW52" s="433"/>
      <c r="AX52" s="434" t="s">
        <v>73</v>
      </c>
      <c r="AY52" s="231">
        <f>1.07*0.707*AY42</f>
        <v>1.2410293057719175</v>
      </c>
      <c r="AZ52" s="231"/>
      <c r="BA52" s="231"/>
      <c r="BB52" s="231"/>
      <c r="BC52" s="231" t="s">
        <v>73</v>
      </c>
      <c r="BD52" s="231">
        <f>1.07*0.707*BD42</f>
        <v>1.240915775857274</v>
      </c>
      <c r="BE52" s="428"/>
      <c r="BF52" s="431"/>
      <c r="BG52" s="433"/>
      <c r="BH52" s="434" t="s">
        <v>73</v>
      </c>
      <c r="BI52" s="233">
        <f>1.07*0.707*BI42</f>
        <v>1.2408583567907159</v>
      </c>
      <c r="BJ52" s="136"/>
    </row>
    <row r="53" spans="1:62" ht="15.75" hidden="1" thickBot="1" x14ac:dyDescent="0.3">
      <c r="C53" s="242"/>
      <c r="D53" s="2"/>
      <c r="E53" s="484" t="s">
        <v>74</v>
      </c>
      <c r="F53" s="230">
        <f>1.07*0.707*F43</f>
        <v>2.2768550191512995</v>
      </c>
      <c r="G53" s="428"/>
      <c r="H53" s="431"/>
      <c r="I53" s="433"/>
      <c r="J53" s="434" t="s">
        <v>74</v>
      </c>
      <c r="K53" s="176">
        <f>1.07*0.707*K43</f>
        <v>2.2368505802393051</v>
      </c>
      <c r="L53" s="428"/>
      <c r="M53" s="431"/>
      <c r="N53" s="433"/>
      <c r="O53" s="434" t="s">
        <v>74</v>
      </c>
      <c r="P53" s="231">
        <f>1.07*0.707*P43</f>
        <v>2.2203659712436883</v>
      </c>
      <c r="Q53" s="428"/>
      <c r="R53" s="431"/>
      <c r="S53" s="433"/>
      <c r="T53" s="434" t="s">
        <v>74</v>
      </c>
      <c r="U53" s="233">
        <f>1.07*0.707*U43</f>
        <v>2.2120286897079935</v>
      </c>
      <c r="V53" s="136"/>
      <c r="W53" s="242"/>
      <c r="X53" s="2"/>
      <c r="Y53" s="43" t="s">
        <v>74</v>
      </c>
      <c r="Z53" s="230">
        <f>1.07*0.707*Z43</f>
        <v>2.2272790074810263</v>
      </c>
      <c r="AA53" s="428"/>
      <c r="AB53" s="431"/>
      <c r="AC53" s="433"/>
      <c r="AD53" s="434" t="s">
        <v>74</v>
      </c>
      <c r="AE53" s="231">
        <f>1.07*0.707*AE43</f>
        <v>2.2115909123486257</v>
      </c>
      <c r="AF53" s="231"/>
      <c r="AG53" s="231"/>
      <c r="AH53" s="231"/>
      <c r="AI53" s="231" t="s">
        <v>74</v>
      </c>
      <c r="AJ53" s="231">
        <f>1.07*0.707*AJ43</f>
        <v>2.2051263268881822</v>
      </c>
      <c r="AK53" s="428"/>
      <c r="AL53" s="431"/>
      <c r="AM53" s="433"/>
      <c r="AN53" s="434" t="s">
        <v>74</v>
      </c>
      <c r="AO53" s="233">
        <f>1.07*0.707*AO43</f>
        <v>2.2018567880711193</v>
      </c>
      <c r="AP53" s="136"/>
      <c r="AQ53" s="242"/>
      <c r="AR53" s="2"/>
      <c r="AS53" s="43" t="s">
        <v>74</v>
      </c>
      <c r="AT53" s="230">
        <f>1.07*0.707*AT43</f>
        <v>2.2077673669483358</v>
      </c>
      <c r="AU53" s="428"/>
      <c r="AV53" s="431"/>
      <c r="AW53" s="433"/>
      <c r="AX53" s="434" t="s">
        <v>74</v>
      </c>
      <c r="AY53" s="231">
        <f>1.07*0.707*AY43</f>
        <v>2.2016494599555601</v>
      </c>
      <c r="AZ53" s="231"/>
      <c r="BA53" s="231"/>
      <c r="BB53" s="231"/>
      <c r="BC53" s="231" t="s">
        <v>74</v>
      </c>
      <c r="BD53" s="231">
        <f>1.07*0.707*BD43</f>
        <v>2.1991284571021184</v>
      </c>
      <c r="BE53" s="428"/>
      <c r="BF53" s="431"/>
      <c r="BG53" s="433"/>
      <c r="BH53" s="434" t="s">
        <v>74</v>
      </c>
      <c r="BI53" s="233">
        <f>1.07*0.707*BI43</f>
        <v>2.1978534307701612</v>
      </c>
      <c r="BJ53" s="136"/>
    </row>
    <row r="54" spans="1:62" ht="15.75" hidden="1" thickBot="1" x14ac:dyDescent="0.3">
      <c r="C54" s="242"/>
      <c r="D54" s="2"/>
      <c r="E54" s="484" t="s">
        <v>80</v>
      </c>
      <c r="F54" s="230">
        <f>1.07*0.707*F44</f>
        <v>1.7465652107572887</v>
      </c>
      <c r="G54" s="428"/>
      <c r="H54" s="431"/>
      <c r="I54" s="433"/>
      <c r="J54" s="434" t="s">
        <v>80</v>
      </c>
      <c r="K54" s="193">
        <f>1.07*0.707*K44</f>
        <v>1.4793224886465732</v>
      </c>
      <c r="L54" s="428"/>
      <c r="M54" s="431"/>
      <c r="N54" s="433"/>
      <c r="O54" s="434" t="s">
        <v>80</v>
      </c>
      <c r="P54" s="231">
        <f>1.07*0.707*P44</f>
        <v>1.3062183167456765</v>
      </c>
      <c r="Q54" s="428"/>
      <c r="R54" s="431"/>
      <c r="S54" s="433"/>
      <c r="T54" s="434" t="s">
        <v>80</v>
      </c>
      <c r="U54" s="233">
        <f>1.07*0.707*U44</f>
        <v>1.1824302373661097</v>
      </c>
      <c r="V54" s="136"/>
      <c r="W54" s="242"/>
      <c r="X54" s="2"/>
      <c r="Y54" s="43" t="s">
        <v>80</v>
      </c>
      <c r="Z54" s="230">
        <f>1.07*0.707*Z44</f>
        <v>1.3869543432318057</v>
      </c>
      <c r="AA54" s="428"/>
      <c r="AB54" s="431"/>
      <c r="AC54" s="433"/>
      <c r="AD54" s="434" t="s">
        <v>80</v>
      </c>
      <c r="AE54" s="231">
        <f>1.07*0.707*AE44</f>
        <v>1.1747358403979851</v>
      </c>
      <c r="AF54" s="231"/>
      <c r="AG54" s="231"/>
      <c r="AH54" s="231"/>
      <c r="AI54" s="231" t="s">
        <v>80</v>
      </c>
      <c r="AJ54" s="231">
        <f>1.07*0.707*AJ44</f>
        <v>1.0372731326955944</v>
      </c>
      <c r="AK54" s="428"/>
      <c r="AL54" s="431"/>
      <c r="AM54" s="433"/>
      <c r="AN54" s="434" t="s">
        <v>80</v>
      </c>
      <c r="AO54" s="233">
        <f>1.07*0.707*AO44</f>
        <v>0.93897252915765284</v>
      </c>
      <c r="AP54" s="136"/>
      <c r="AQ54" s="242"/>
      <c r="AR54" s="2"/>
      <c r="AS54" s="43" t="s">
        <v>80</v>
      </c>
      <c r="AT54" s="230">
        <f>1.07*0.707*AT44</f>
        <v>1.0998696425232231</v>
      </c>
      <c r="AU54" s="428"/>
      <c r="AV54" s="431"/>
      <c r="AW54" s="433"/>
      <c r="AX54" s="434" t="s">
        <v>80</v>
      </c>
      <c r="AY54" s="231">
        <f>1.07*0.707*AY44</f>
        <v>0.93157809782481404</v>
      </c>
      <c r="AZ54" s="231"/>
      <c r="BA54" s="231"/>
      <c r="BB54" s="231"/>
      <c r="BC54" s="231" t="s">
        <v>80</v>
      </c>
      <c r="BD54" s="231">
        <f>1.07*0.707*BD44</f>
        <v>0.82256869898000018</v>
      </c>
      <c r="BE54" s="428"/>
      <c r="BF54" s="431"/>
      <c r="BG54" s="433"/>
      <c r="BH54" s="434" t="s">
        <v>80</v>
      </c>
      <c r="BI54" s="233">
        <f>1.07*0.707*BI44</f>
        <v>0.74461526799599065</v>
      </c>
      <c r="BJ54" s="136"/>
    </row>
    <row r="55" spans="1:62" x14ac:dyDescent="0.25">
      <c r="C55" s="142"/>
      <c r="D55" s="480"/>
      <c r="E55" s="328" t="s">
        <v>56</v>
      </c>
      <c r="F55" s="255">
        <f>F49</f>
        <v>2.147365804807889</v>
      </c>
      <c r="G55" s="453" t="s">
        <v>32</v>
      </c>
      <c r="H55" s="434"/>
      <c r="I55" s="440"/>
      <c r="J55" s="454" t="s">
        <v>56</v>
      </c>
      <c r="K55" s="184">
        <f>K49</f>
        <v>2.144257056409737</v>
      </c>
      <c r="L55" s="453" t="s">
        <v>32</v>
      </c>
      <c r="M55" s="434"/>
      <c r="N55" s="440"/>
      <c r="O55" s="454" t="s">
        <v>56</v>
      </c>
      <c r="P55" s="184">
        <f>P49</f>
        <v>2.1429760360229242</v>
      </c>
      <c r="Q55" s="453" t="s">
        <v>32</v>
      </c>
      <c r="R55" s="434"/>
      <c r="S55" s="440"/>
      <c r="T55" s="454" t="s">
        <v>56</v>
      </c>
      <c r="U55" s="200">
        <f>U49</f>
        <v>2.1423281451557119</v>
      </c>
      <c r="V55" s="215" t="s">
        <v>32</v>
      </c>
      <c r="W55" s="142"/>
      <c r="X55" s="243"/>
      <c r="Y55" s="328" t="s">
        <v>56</v>
      </c>
      <c r="Z55" s="255">
        <f>Z49</f>
        <v>2.1435132486651622</v>
      </c>
      <c r="AA55" s="453" t="s">
        <v>32</v>
      </c>
      <c r="AB55" s="434"/>
      <c r="AC55" s="440"/>
      <c r="AD55" s="454" t="s">
        <v>56</v>
      </c>
      <c r="AE55" s="184">
        <f>AE49</f>
        <v>2.1422941254393582</v>
      </c>
      <c r="AF55" s="176" t="s">
        <v>32</v>
      </c>
      <c r="AG55" s="176"/>
      <c r="AH55" s="176"/>
      <c r="AI55" s="176" t="s">
        <v>56</v>
      </c>
      <c r="AJ55" s="184">
        <f>AJ49</f>
        <v>2.1417917619456697</v>
      </c>
      <c r="AK55" s="453" t="s">
        <v>32</v>
      </c>
      <c r="AL55" s="434"/>
      <c r="AM55" s="440"/>
      <c r="AN55" s="454" t="s">
        <v>56</v>
      </c>
      <c r="AO55" s="200">
        <f>AO49</f>
        <v>2.1415376858022044</v>
      </c>
      <c r="AP55" s="215" t="s">
        <v>32</v>
      </c>
      <c r="AQ55" s="142"/>
      <c r="AR55" s="243"/>
      <c r="AS55" s="239" t="s">
        <v>56</v>
      </c>
      <c r="AT55" s="175">
        <f>AT49</f>
        <v>2.1419969973965287</v>
      </c>
      <c r="AU55" s="453" t="s">
        <v>32</v>
      </c>
      <c r="AV55" s="434"/>
      <c r="AW55" s="440"/>
      <c r="AX55" s="454" t="s">
        <v>56</v>
      </c>
      <c r="AY55" s="184">
        <f>AY49</f>
        <v>2.1415215743164633</v>
      </c>
      <c r="AZ55" s="176" t="s">
        <v>32</v>
      </c>
      <c r="BA55" s="176"/>
      <c r="BB55" s="176"/>
      <c r="BC55" s="176" t="s">
        <v>56</v>
      </c>
      <c r="BD55" s="184">
        <f>BD49</f>
        <v>2.1413256669672904</v>
      </c>
      <c r="BE55" s="453" t="s">
        <v>32</v>
      </c>
      <c r="BF55" s="434"/>
      <c r="BG55" s="440"/>
      <c r="BH55" s="454" t="s">
        <v>56</v>
      </c>
      <c r="BI55" s="200">
        <f>BI49</f>
        <v>2.1412265845610654</v>
      </c>
      <c r="BJ55" s="215" t="s">
        <v>32</v>
      </c>
    </row>
    <row r="56" spans="1:62" x14ac:dyDescent="0.25">
      <c r="C56" s="141"/>
      <c r="D56" s="483" t="s">
        <v>67</v>
      </c>
      <c r="E56" s="144" t="s">
        <v>57</v>
      </c>
      <c r="F56" s="178">
        <f>IF(F50&lt;F51,F50,F51)</f>
        <v>3.0138749039941901</v>
      </c>
      <c r="G56" s="441" t="s">
        <v>32</v>
      </c>
      <c r="H56" s="458"/>
      <c r="I56" s="457" t="s">
        <v>67</v>
      </c>
      <c r="J56" s="443" t="s">
        <v>57</v>
      </c>
      <c r="K56" s="176">
        <f>IF(K50&lt;K51,K50,K51)</f>
        <v>2.5527205603236482</v>
      </c>
      <c r="L56" s="441" t="s">
        <v>32</v>
      </c>
      <c r="M56" s="458"/>
      <c r="N56" s="457" t="s">
        <v>67</v>
      </c>
      <c r="O56" s="443" t="s">
        <v>57</v>
      </c>
      <c r="P56" s="179">
        <f>IF(P50&lt;P51,P50,P51)</f>
        <v>2.2540118054168676</v>
      </c>
      <c r="Q56" s="441" t="s">
        <v>32</v>
      </c>
      <c r="R56" s="458"/>
      <c r="S56" s="457" t="s">
        <v>67</v>
      </c>
      <c r="T56" s="443" t="s">
        <v>57</v>
      </c>
      <c r="U56" s="197">
        <f>IF(U50&lt;U51,U50,U51)</f>
        <v>2.0404029555681102</v>
      </c>
      <c r="V56" s="216" t="s">
        <v>32</v>
      </c>
      <c r="W56" s="141"/>
      <c r="X56" s="244" t="s">
        <v>67</v>
      </c>
      <c r="Y56" s="144" t="s">
        <v>57</v>
      </c>
      <c r="Z56" s="178">
        <f>IF(Z50&lt;Z51,Z50,Z51)</f>
        <v>2.3933299840775151</v>
      </c>
      <c r="AA56" s="441" t="s">
        <v>32</v>
      </c>
      <c r="AB56" s="458"/>
      <c r="AC56" s="457" t="s">
        <v>67</v>
      </c>
      <c r="AD56" s="443" t="s">
        <v>57</v>
      </c>
      <c r="AE56" s="179">
        <f>IF(AE50&lt;AE51,AE50,AE51)</f>
        <v>2.0271254954533831</v>
      </c>
      <c r="AF56" s="179" t="s">
        <v>32</v>
      </c>
      <c r="AG56" s="179"/>
      <c r="AH56" s="179" t="s">
        <v>67</v>
      </c>
      <c r="AI56" s="179" t="s">
        <v>57</v>
      </c>
      <c r="AJ56" s="179">
        <f>IF(AJ50&lt;AJ51,AJ50,AJ51)</f>
        <v>1.7899196914973481</v>
      </c>
      <c r="AK56" s="441" t="s">
        <v>32</v>
      </c>
      <c r="AL56" s="458"/>
      <c r="AM56" s="457" t="s">
        <v>67</v>
      </c>
      <c r="AN56" s="443" t="s">
        <v>57</v>
      </c>
      <c r="AO56" s="197">
        <f>IF(AO50&lt;AO51,AO50,AO51)</f>
        <v>1.6202920588010419</v>
      </c>
      <c r="AP56" s="216" t="s">
        <v>32</v>
      </c>
      <c r="AQ56" s="141"/>
      <c r="AR56" s="244" t="s">
        <v>67</v>
      </c>
      <c r="AS56" s="253" t="s">
        <v>57</v>
      </c>
      <c r="AT56" s="178">
        <f>IF(AT50&lt;AT51,AT50,AT51)</f>
        <v>1.897936299686467</v>
      </c>
      <c r="AU56" s="441" t="s">
        <v>32</v>
      </c>
      <c r="AV56" s="458"/>
      <c r="AW56" s="457" t="s">
        <v>67</v>
      </c>
      <c r="AX56" s="443" t="s">
        <v>57</v>
      </c>
      <c r="AY56" s="179">
        <f>IF(AY50&lt;AY51,AY50,AY51)</f>
        <v>1.6075322197259876</v>
      </c>
      <c r="AZ56" s="179" t="s">
        <v>32</v>
      </c>
      <c r="BA56" s="179"/>
      <c r="BB56" s="179" t="s">
        <v>67</v>
      </c>
      <c r="BC56" s="179" t="s">
        <v>57</v>
      </c>
      <c r="BD56" s="179">
        <f>IF(BD50&lt;BD51,BD50,BD51)</f>
        <v>1.4194254777306936</v>
      </c>
      <c r="BE56" s="441" t="s">
        <v>32</v>
      </c>
      <c r="BF56" s="458"/>
      <c r="BG56" s="457" t="s">
        <v>67</v>
      </c>
      <c r="BH56" s="443" t="s">
        <v>57</v>
      </c>
      <c r="BI56" s="197">
        <f>IF(BI50&lt;BI51,BI50,BI51)</f>
        <v>1.2849089490171268</v>
      </c>
      <c r="BJ56" s="216" t="s">
        <v>32</v>
      </c>
    </row>
    <row r="57" spans="1:62" x14ac:dyDescent="0.25">
      <c r="C57" s="142"/>
      <c r="D57" s="480" t="s">
        <v>68</v>
      </c>
      <c r="E57" s="132" t="s">
        <v>60</v>
      </c>
      <c r="F57" s="181">
        <f>F52</f>
        <v>1.2444160852452275</v>
      </c>
      <c r="G57" s="444" t="s">
        <v>32</v>
      </c>
      <c r="H57" s="434"/>
      <c r="I57" s="440" t="s">
        <v>68</v>
      </c>
      <c r="J57" s="430" t="s">
        <v>60</v>
      </c>
      <c r="K57" s="182">
        <f>K52</f>
        <v>1.2426145400669542</v>
      </c>
      <c r="L57" s="444" t="s">
        <v>32</v>
      </c>
      <c r="M57" s="434"/>
      <c r="N57" s="440" t="s">
        <v>68</v>
      </c>
      <c r="O57" s="430" t="s">
        <v>60</v>
      </c>
      <c r="P57" s="182">
        <f>P52</f>
        <v>1.241872178252629</v>
      </c>
      <c r="Q57" s="444" t="s">
        <v>32</v>
      </c>
      <c r="R57" s="434"/>
      <c r="S57" s="440" t="s">
        <v>68</v>
      </c>
      <c r="T57" s="430" t="s">
        <v>60</v>
      </c>
      <c r="U57" s="198">
        <f>U52</f>
        <v>1.2414967201844984</v>
      </c>
      <c r="V57" s="217" t="s">
        <v>32</v>
      </c>
      <c r="W57" s="142"/>
      <c r="X57" s="243" t="s">
        <v>68</v>
      </c>
      <c r="Y57" s="132" t="s">
        <v>60</v>
      </c>
      <c r="Z57" s="181">
        <f>Z52</f>
        <v>1.2421834973821884</v>
      </c>
      <c r="AA57" s="444" t="s">
        <v>32</v>
      </c>
      <c r="AB57" s="434"/>
      <c r="AC57" s="440" t="s">
        <v>68</v>
      </c>
      <c r="AD57" s="430" t="s">
        <v>60</v>
      </c>
      <c r="AE57" s="182">
        <f>AE52</f>
        <v>1.2414770054800215</v>
      </c>
      <c r="AF57" s="182" t="s">
        <v>32</v>
      </c>
      <c r="AG57" s="182"/>
      <c r="AH57" s="182" t="s">
        <v>68</v>
      </c>
      <c r="AI57" s="182" t="s">
        <v>60</v>
      </c>
      <c r="AJ57" s="182">
        <f>AJ52</f>
        <v>1.2411858817176955</v>
      </c>
      <c r="AK57" s="444" t="s">
        <v>32</v>
      </c>
      <c r="AL57" s="434"/>
      <c r="AM57" s="440" t="s">
        <v>68</v>
      </c>
      <c r="AN57" s="430" t="s">
        <v>60</v>
      </c>
      <c r="AO57" s="198">
        <f>AO52</f>
        <v>1.2410386425099658</v>
      </c>
      <c r="AP57" s="217" t="s">
        <v>32</v>
      </c>
      <c r="AQ57" s="142"/>
      <c r="AR57" s="243" t="s">
        <v>68</v>
      </c>
      <c r="AS57" s="252" t="s">
        <v>60</v>
      </c>
      <c r="AT57" s="181">
        <f>AT52</f>
        <v>1.2413048173437258</v>
      </c>
      <c r="AU57" s="444" t="s">
        <v>32</v>
      </c>
      <c r="AV57" s="434"/>
      <c r="AW57" s="440" t="s">
        <v>68</v>
      </c>
      <c r="AX57" s="430" t="s">
        <v>60</v>
      </c>
      <c r="AY57" s="182">
        <f>AY52</f>
        <v>1.2410293057719175</v>
      </c>
      <c r="AZ57" s="182" t="s">
        <v>32</v>
      </c>
      <c r="BA57" s="182"/>
      <c r="BB57" s="182" t="s">
        <v>68</v>
      </c>
      <c r="BC57" s="182" t="s">
        <v>60</v>
      </c>
      <c r="BD57" s="182">
        <f>BD52</f>
        <v>1.240915775857274</v>
      </c>
      <c r="BE57" s="444" t="s">
        <v>32</v>
      </c>
      <c r="BF57" s="434"/>
      <c r="BG57" s="440" t="s">
        <v>68</v>
      </c>
      <c r="BH57" s="430" t="s">
        <v>60</v>
      </c>
      <c r="BI57" s="198">
        <f>BI52</f>
        <v>1.2408583567907159</v>
      </c>
      <c r="BJ57" s="217" t="s">
        <v>32</v>
      </c>
    </row>
    <row r="58" spans="1:62" ht="15.75" thickBot="1" x14ac:dyDescent="0.3">
      <c r="C58" s="141"/>
      <c r="D58" s="249"/>
      <c r="E58" s="146" t="s">
        <v>61</v>
      </c>
      <c r="F58" s="186">
        <f t="shared" ref="F58" si="36">IF(F53&lt;F54,F53,F54)</f>
        <v>1.7465652107572887</v>
      </c>
      <c r="G58" s="459" t="s">
        <v>32</v>
      </c>
      <c r="H58" s="460"/>
      <c r="I58" s="461"/>
      <c r="J58" s="462" t="s">
        <v>61</v>
      </c>
      <c r="K58" s="187">
        <f>IF(K53&lt;K54,K53,K54)</f>
        <v>1.4793224886465732</v>
      </c>
      <c r="L58" s="459" t="s">
        <v>32</v>
      </c>
      <c r="M58" s="460"/>
      <c r="N58" s="461"/>
      <c r="O58" s="462" t="s">
        <v>61</v>
      </c>
      <c r="P58" s="187">
        <f t="shared" ref="P58" si="37">IF(P53&lt;P54,P53,P54)</f>
        <v>1.3062183167456765</v>
      </c>
      <c r="Q58" s="459" t="s">
        <v>32</v>
      </c>
      <c r="R58" s="460"/>
      <c r="S58" s="461"/>
      <c r="T58" s="462" t="s">
        <v>61</v>
      </c>
      <c r="U58" s="201">
        <f>IF(U53&lt;U54,U53,U54)</f>
        <v>1.1824302373661097</v>
      </c>
      <c r="V58" s="130" t="s">
        <v>32</v>
      </c>
      <c r="W58" s="143"/>
      <c r="X58" s="249"/>
      <c r="Y58" s="146" t="s">
        <v>61</v>
      </c>
      <c r="Z58" s="186">
        <f t="shared" ref="Z58" si="38">IF(Z53&lt;Z54,Z53,Z54)</f>
        <v>1.3869543432318057</v>
      </c>
      <c r="AA58" s="459" t="s">
        <v>32</v>
      </c>
      <c r="AB58" s="460"/>
      <c r="AC58" s="461"/>
      <c r="AD58" s="462" t="s">
        <v>61</v>
      </c>
      <c r="AE58" s="187">
        <f t="shared" ref="AE58" si="39">IF(AE53&lt;AE54,AE53,AE54)</f>
        <v>1.1747358403979851</v>
      </c>
      <c r="AF58" s="187" t="s">
        <v>32</v>
      </c>
      <c r="AG58" s="187"/>
      <c r="AH58" s="187"/>
      <c r="AI58" s="187" t="s">
        <v>61</v>
      </c>
      <c r="AJ58" s="187">
        <f t="shared" ref="AJ58" si="40">IF(AJ53&lt;AJ54,AJ53,AJ54)</f>
        <v>1.0372731326955944</v>
      </c>
      <c r="AK58" s="459" t="s">
        <v>32</v>
      </c>
      <c r="AL58" s="460"/>
      <c r="AM58" s="461"/>
      <c r="AN58" s="462" t="s">
        <v>61</v>
      </c>
      <c r="AO58" s="201">
        <f t="shared" ref="AO58" si="41">IF(AO53&lt;AO54,AO53,AO54)</f>
        <v>0.93897252915765284</v>
      </c>
      <c r="AP58" s="130" t="s">
        <v>32</v>
      </c>
      <c r="AQ58" s="143"/>
      <c r="AR58" s="249"/>
      <c r="AS58" s="237" t="s">
        <v>61</v>
      </c>
      <c r="AT58" s="186">
        <f t="shared" ref="AT58" si="42">IF(AT53&lt;AT54,AT53,AT54)</f>
        <v>1.0998696425232231</v>
      </c>
      <c r="AU58" s="459" t="s">
        <v>32</v>
      </c>
      <c r="AV58" s="460"/>
      <c r="AW58" s="461"/>
      <c r="AX58" s="462" t="s">
        <v>61</v>
      </c>
      <c r="AY58" s="187">
        <f t="shared" ref="AY58" si="43">IF(AY53&lt;AY54,AY53,AY54)</f>
        <v>0.93157809782481404</v>
      </c>
      <c r="AZ58" s="187" t="s">
        <v>32</v>
      </c>
      <c r="BA58" s="187"/>
      <c r="BB58" s="187"/>
      <c r="BC58" s="187" t="s">
        <v>61</v>
      </c>
      <c r="BD58" s="187">
        <f t="shared" ref="BD58" si="44">IF(BD53&lt;BD54,BD53,BD54)</f>
        <v>0.82256869898000018</v>
      </c>
      <c r="BE58" s="459" t="s">
        <v>32</v>
      </c>
      <c r="BF58" s="460"/>
      <c r="BG58" s="461"/>
      <c r="BH58" s="462" t="s">
        <v>61</v>
      </c>
      <c r="BI58" s="201">
        <f t="shared" ref="BI58" si="45">IF(BI53&lt;BI54,BI53,BI54)</f>
        <v>0.74461526799599065</v>
      </c>
      <c r="BJ58" s="130" t="s">
        <v>32</v>
      </c>
    </row>
    <row r="59" spans="1:62" ht="15.75" thickTop="1" x14ac:dyDescent="0.25">
      <c r="F59">
        <v>1</v>
      </c>
      <c r="K59">
        <v>2</v>
      </c>
      <c r="P59">
        <v>3</v>
      </c>
      <c r="U59">
        <v>4</v>
      </c>
      <c r="V59"/>
      <c r="W59"/>
      <c r="X59"/>
      <c r="Y59"/>
      <c r="Z59">
        <v>5</v>
      </c>
      <c r="AA59"/>
      <c r="AB59"/>
      <c r="AC59"/>
      <c r="AD59"/>
      <c r="AE59">
        <v>6</v>
      </c>
      <c r="AF59"/>
      <c r="AG59"/>
      <c r="AH59"/>
      <c r="AI59"/>
      <c r="AJ59">
        <v>7</v>
      </c>
      <c r="AK59"/>
      <c r="AL59"/>
      <c r="AM59"/>
      <c r="AN59"/>
      <c r="AO59">
        <v>8</v>
      </c>
      <c r="AP59"/>
      <c r="AT59">
        <v>9</v>
      </c>
      <c r="AY59">
        <v>10</v>
      </c>
      <c r="BD59">
        <v>11</v>
      </c>
      <c r="BI59">
        <v>12</v>
      </c>
    </row>
    <row r="60" spans="1:62" x14ac:dyDescent="0.25">
      <c r="F60">
        <f>F21*SQRT('BMW-AD-Std Size Calculator'!$E$12/'DN600, DN950, DN1500 Calculator'!F28)</f>
        <v>92.517095406581007</v>
      </c>
      <c r="K60">
        <f>$F$21*SQRT('BMW-AD-Std Size Calculator'!$E$12/'DN600, DN950, DN1500 Calculator'!K28)</f>
        <v>129.61162754173105</v>
      </c>
      <c r="P60">
        <f>$F$21*SQRT('BMW-AD-Std Size Calculator'!$E$12/'DN600, DN950, DN1500 Calculator'!P28)</f>
        <v>166.86696468795304</v>
      </c>
      <c r="U60">
        <f>$F$21*SQRT('BMW-AD-Std Size Calculator'!$E$12/'DN600, DN950, DN1500 Calculator'!U28)</f>
        <v>204.24747970880534</v>
      </c>
      <c r="V60"/>
      <c r="W60"/>
      <c r="X60"/>
      <c r="Y60"/>
      <c r="Z60">
        <f>$F$21*SQRT('BMW-AD-Std Size Calculator'!$E$12/'DN600, DN950, DN1500 Calculator'!Z28)</f>
        <v>147.73757774523773</v>
      </c>
      <c r="AA60"/>
      <c r="AB60"/>
      <c r="AC60"/>
      <c r="AD60"/>
      <c r="AE60">
        <f>$F$21*SQRT('BMW-AD-Std Size Calculator'!$E$12/'DN600, DN950, DN1500 Calculator'!AE28)</f>
        <v>206.97264453106911</v>
      </c>
      <c r="AF60"/>
      <c r="AG60"/>
      <c r="AH60"/>
      <c r="AI60"/>
      <c r="AJ60">
        <f>$F$21*SQRT('BMW-AD-Std Size Calculator'!$E$12/'DN600, DN950, DN1500 Calculator'!AJ28)</f>
        <v>266.46449567357149</v>
      </c>
      <c r="AK60"/>
      <c r="AL60"/>
      <c r="AM60"/>
      <c r="AN60"/>
      <c r="AO60">
        <f>$F$21*SQRT('BMW-AD-Std Size Calculator'!$E$12/'DN600, DN950, DN1500 Calculator'!AO28)</f>
        <v>326.15623934300527</v>
      </c>
      <c r="AP60"/>
      <c r="AT60">
        <f>$F$21*SQRT('BMW-AD-Std Size Calculator'!$E$12/'DN600, DN950, DN1500 Calculator'!AT28)</f>
        <v>236.57815804641751</v>
      </c>
      <c r="AY60">
        <f>$F$21*SQRT('BMW-AD-Std Size Calculator'!$E$12/'DN600, DN950, DN1500 Calculator'!AY28)</f>
        <v>331.43366607507971</v>
      </c>
      <c r="BD60">
        <f>$F$21*SQRT('BMW-AD-Std Size Calculator'!$E$12/'DN600, DN950, DN1500 Calculator'!BD28)</f>
        <v>426.7003732789521</v>
      </c>
      <c r="BI60">
        <f>$F$21*SQRT('BMW-AD-Std Size Calculator'!$E$12/'DN600, DN950, DN1500 Calculator'!BI28)</f>
        <v>522.28717647025303</v>
      </c>
    </row>
    <row r="61" spans="1:62" x14ac:dyDescent="0.25"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62" x14ac:dyDescent="0.25"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  <row r="63" spans="1:62" x14ac:dyDescent="0.25"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</row>
    <row r="64" spans="1:62" ht="20.25" thickBot="1" x14ac:dyDescent="0.35">
      <c r="A64" s="692" t="s">
        <v>230</v>
      </c>
      <c r="B64" s="692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</row>
    <row r="65" spans="3:48" ht="15.75" thickTop="1" x14ac:dyDescent="0.25">
      <c r="V65"/>
      <c r="W65"/>
      <c r="X65" s="2"/>
      <c r="Y65" s="13"/>
      <c r="Z65" s="106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</row>
    <row r="66" spans="3:48" x14ac:dyDescent="0.25">
      <c r="D66" s="2" t="s">
        <v>62</v>
      </c>
      <c r="E66" s="43" t="s">
        <v>69</v>
      </c>
      <c r="F66" s="715">
        <v>7</v>
      </c>
      <c r="G66" s="260"/>
      <c r="H66" s="260"/>
      <c r="I66" s="260"/>
      <c r="J66" s="260"/>
      <c r="K66" s="260"/>
      <c r="L66" s="260"/>
      <c r="M66" s="260"/>
      <c r="N66" s="260"/>
      <c r="O66" s="260"/>
      <c r="P66" s="260"/>
      <c r="Q66" s="260"/>
      <c r="R66" s="260"/>
      <c r="S66" s="260"/>
      <c r="T66" s="260"/>
      <c r="U66" s="260"/>
      <c r="V66"/>
      <c r="W66"/>
      <c r="X66" s="2" t="s">
        <v>62</v>
      </c>
      <c r="Y66" s="43" t="s">
        <v>69</v>
      </c>
      <c r="Z66" s="93">
        <f t="shared" ref="Z66:Z74" si="46">$F66</f>
        <v>7</v>
      </c>
      <c r="AA66" s="260"/>
      <c r="AB66" s="260"/>
      <c r="AC66" s="260"/>
      <c r="AD66" s="260"/>
      <c r="AE66" s="260"/>
      <c r="AF66" s="260"/>
      <c r="AG66" s="260"/>
      <c r="AH66" s="260"/>
      <c r="AI66" s="260"/>
      <c r="AJ66" s="260"/>
      <c r="AK66" s="260"/>
      <c r="AL66" s="260"/>
      <c r="AM66" s="260"/>
      <c r="AN66" s="260"/>
      <c r="AO66" s="260"/>
      <c r="AP66" s="260"/>
      <c r="AR66" s="2" t="s">
        <v>62</v>
      </c>
      <c r="AS66" s="43" t="s">
        <v>69</v>
      </c>
      <c r="AT66" s="93">
        <f t="shared" ref="AT66:AT74" si="47">$F66</f>
        <v>7</v>
      </c>
      <c r="AU66" s="260"/>
      <c r="AV66" s="260"/>
    </row>
    <row r="67" spans="3:48" x14ac:dyDescent="0.25">
      <c r="D67" s="2"/>
      <c r="E67" s="43" t="s">
        <v>70</v>
      </c>
      <c r="F67" s="715">
        <v>21</v>
      </c>
      <c r="G67" s="260"/>
      <c r="H67" s="260"/>
      <c r="I67" s="260"/>
      <c r="J67" s="260"/>
      <c r="K67" s="260"/>
      <c r="L67" s="260"/>
      <c r="M67" s="260"/>
      <c r="N67" s="260"/>
      <c r="O67" s="260"/>
      <c r="P67" s="260"/>
      <c r="Q67" s="260"/>
      <c r="R67" s="260"/>
      <c r="S67" s="260"/>
      <c r="T67" s="260"/>
      <c r="U67" s="260"/>
      <c r="V67"/>
      <c r="W67"/>
      <c r="X67" s="2"/>
      <c r="Y67" s="43" t="s">
        <v>70</v>
      </c>
      <c r="Z67" s="93">
        <f t="shared" si="46"/>
        <v>21</v>
      </c>
      <c r="AA67" s="260"/>
      <c r="AB67" s="260"/>
      <c r="AC67" s="260"/>
      <c r="AD67" s="260"/>
      <c r="AE67" s="260"/>
      <c r="AF67" s="260"/>
      <c r="AG67" s="260"/>
      <c r="AH67" s="260"/>
      <c r="AI67" s="260"/>
      <c r="AJ67" s="260"/>
      <c r="AK67" s="260"/>
      <c r="AL67" s="260"/>
      <c r="AM67" s="260"/>
      <c r="AN67" s="260"/>
      <c r="AO67" s="260"/>
      <c r="AP67" s="260"/>
      <c r="AR67" s="2"/>
      <c r="AS67" s="43" t="s">
        <v>70</v>
      </c>
      <c r="AT67" s="93">
        <f t="shared" si="47"/>
        <v>21</v>
      </c>
      <c r="AU67" s="260"/>
      <c r="AV67" s="260"/>
    </row>
    <row r="68" spans="3:48" x14ac:dyDescent="0.25">
      <c r="D68" s="2"/>
      <c r="E68" s="43" t="s">
        <v>78</v>
      </c>
      <c r="F68" s="715">
        <f>SQRT(ABS(12/F83))</f>
        <v>1</v>
      </c>
      <c r="G68" s="260" t="s">
        <v>85</v>
      </c>
      <c r="H68" s="260"/>
      <c r="I68" s="260"/>
      <c r="J68" s="260"/>
      <c r="K68" s="260"/>
      <c r="L68" s="260"/>
      <c r="M68" s="260"/>
      <c r="N68" s="260"/>
      <c r="O68" s="260"/>
      <c r="P68" s="260"/>
      <c r="Q68" s="260"/>
      <c r="R68" s="260"/>
      <c r="S68" s="260"/>
      <c r="T68" s="260"/>
      <c r="U68" s="260"/>
      <c r="V68"/>
      <c r="W68"/>
      <c r="X68" s="2"/>
      <c r="Y68" s="43" t="s">
        <v>78</v>
      </c>
      <c r="Z68" s="93">
        <f t="shared" si="46"/>
        <v>1</v>
      </c>
      <c r="AA68" s="260" t="s">
        <v>85</v>
      </c>
      <c r="AB68" s="260"/>
      <c r="AC68" s="260"/>
      <c r="AD68" s="260"/>
      <c r="AE68" s="260"/>
      <c r="AF68" s="260"/>
      <c r="AG68" s="260"/>
      <c r="AH68" s="260"/>
      <c r="AI68" s="260"/>
      <c r="AJ68" s="260"/>
      <c r="AK68" s="260"/>
      <c r="AL68" s="260"/>
      <c r="AM68" s="260"/>
      <c r="AN68" s="260"/>
      <c r="AO68" s="260"/>
      <c r="AP68" s="260"/>
      <c r="AR68" s="2"/>
      <c r="AS68" s="43" t="s">
        <v>78</v>
      </c>
      <c r="AT68" s="93">
        <f t="shared" si="47"/>
        <v>1</v>
      </c>
      <c r="AU68" s="260" t="s">
        <v>85</v>
      </c>
      <c r="AV68" s="260"/>
    </row>
    <row r="69" spans="3:48" x14ac:dyDescent="0.25">
      <c r="D69" s="2"/>
      <c r="E69" s="43" t="s">
        <v>81</v>
      </c>
      <c r="F69" s="715">
        <f>SQRT(1.209*F82^-0.199)</f>
        <v>1.0037328076321883</v>
      </c>
      <c r="G69" s="260" t="s">
        <v>86</v>
      </c>
      <c r="H69" s="260"/>
      <c r="I69" s="260"/>
      <c r="J69" s="260"/>
      <c r="K69" s="260"/>
      <c r="L69" s="260"/>
      <c r="M69" s="260"/>
      <c r="N69" s="260"/>
      <c r="O69" s="260"/>
      <c r="P69" s="260"/>
      <c r="Q69" s="260"/>
      <c r="R69" s="260"/>
      <c r="S69" s="260"/>
      <c r="T69" s="260"/>
      <c r="U69" s="260"/>
      <c r="V69"/>
      <c r="W69"/>
      <c r="X69" s="2"/>
      <c r="Y69" s="43" t="s">
        <v>81</v>
      </c>
      <c r="Z69" s="93">
        <f t="shared" si="46"/>
        <v>1.0037328076321883</v>
      </c>
      <c r="AA69" s="260" t="s">
        <v>86</v>
      </c>
      <c r="AB69" s="260"/>
      <c r="AC69" s="260"/>
      <c r="AD69" s="260"/>
      <c r="AE69" s="260"/>
      <c r="AF69" s="260"/>
      <c r="AG69" s="260"/>
      <c r="AH69" s="260"/>
      <c r="AI69" s="260"/>
      <c r="AJ69" s="260"/>
      <c r="AK69" s="260"/>
      <c r="AL69" s="260"/>
      <c r="AM69" s="260"/>
      <c r="AN69" s="260"/>
      <c r="AO69" s="260"/>
      <c r="AP69" s="260"/>
      <c r="AR69" s="2"/>
      <c r="AS69" s="43" t="s">
        <v>81</v>
      </c>
      <c r="AT69" s="93">
        <f t="shared" si="47"/>
        <v>1.0037328076321883</v>
      </c>
      <c r="AU69" s="260" t="s">
        <v>86</v>
      </c>
      <c r="AV69" s="260"/>
    </row>
    <row r="70" spans="3:48" x14ac:dyDescent="0.25">
      <c r="D70" s="2"/>
      <c r="E70" s="43" t="s">
        <v>82</v>
      </c>
      <c r="F70" s="715">
        <f>SQRT(2.5/F82)</f>
        <v>1</v>
      </c>
      <c r="G70" s="260" t="s">
        <v>87</v>
      </c>
      <c r="H70" s="260"/>
      <c r="I70" s="260"/>
      <c r="J70" s="260"/>
      <c r="K70" s="260"/>
      <c r="L70" s="260"/>
      <c r="M70" s="260"/>
      <c r="N70" s="260"/>
      <c r="O70" s="260"/>
      <c r="P70" s="260"/>
      <c r="Q70" s="260"/>
      <c r="R70" s="260"/>
      <c r="S70" s="260"/>
      <c r="T70" s="260"/>
      <c r="U70" s="260"/>
      <c r="V70"/>
      <c r="W70"/>
      <c r="X70" s="2"/>
      <c r="Y70" s="43" t="s">
        <v>82</v>
      </c>
      <c r="Z70" s="93">
        <f t="shared" si="46"/>
        <v>1</v>
      </c>
      <c r="AA70" s="260" t="s">
        <v>87</v>
      </c>
      <c r="AB70" s="260"/>
      <c r="AC70" s="260"/>
      <c r="AD70" s="260"/>
      <c r="AE70" s="260"/>
      <c r="AF70" s="260"/>
      <c r="AG70" s="260"/>
      <c r="AH70" s="260"/>
      <c r="AI70" s="260"/>
      <c r="AJ70" s="260"/>
      <c r="AK70" s="260"/>
      <c r="AL70" s="260"/>
      <c r="AM70" s="260"/>
      <c r="AN70" s="260"/>
      <c r="AO70" s="260"/>
      <c r="AP70" s="260"/>
      <c r="AR70" s="2"/>
      <c r="AS70" s="43" t="s">
        <v>82</v>
      </c>
      <c r="AT70" s="93">
        <f t="shared" si="47"/>
        <v>1</v>
      </c>
      <c r="AU70" s="260" t="s">
        <v>87</v>
      </c>
      <c r="AV70" s="260"/>
    </row>
    <row r="71" spans="3:48" x14ac:dyDescent="0.25">
      <c r="D71" s="2"/>
      <c r="E71" s="43" t="s">
        <v>83</v>
      </c>
      <c r="F71" s="716">
        <f>SQRT(195/145)</f>
        <v>1.1596670152276025</v>
      </c>
      <c r="G71" s="260" t="s">
        <v>84</v>
      </c>
      <c r="H71" s="260"/>
      <c r="I71" s="260"/>
      <c r="J71" s="260"/>
      <c r="K71" s="260"/>
      <c r="L71" s="260"/>
      <c r="M71" s="260"/>
      <c r="N71" s="260"/>
      <c r="O71" s="260"/>
      <c r="P71" s="260"/>
      <c r="Q71" s="260"/>
      <c r="R71" s="260"/>
      <c r="S71" s="260"/>
      <c r="T71" s="260"/>
      <c r="U71" s="260"/>
      <c r="V71"/>
      <c r="W71"/>
      <c r="X71" s="2"/>
      <c r="Y71" s="43" t="s">
        <v>83</v>
      </c>
      <c r="Z71" s="93">
        <f t="shared" si="46"/>
        <v>1.1596670152276025</v>
      </c>
      <c r="AA71" s="260" t="s">
        <v>84</v>
      </c>
      <c r="AB71" s="260"/>
      <c r="AC71" s="260"/>
      <c r="AD71" s="260"/>
      <c r="AE71" s="260"/>
      <c r="AF71" s="260"/>
      <c r="AG71" s="260"/>
      <c r="AH71" s="260"/>
      <c r="AI71" s="260"/>
      <c r="AJ71" s="260"/>
      <c r="AK71" s="260"/>
      <c r="AL71" s="260"/>
      <c r="AM71" s="260"/>
      <c r="AN71" s="260"/>
      <c r="AO71" s="260"/>
      <c r="AP71" s="260"/>
      <c r="AR71" s="2"/>
      <c r="AS71" s="43" t="s">
        <v>83</v>
      </c>
      <c r="AT71" s="93">
        <f t="shared" si="47"/>
        <v>1.1596670152276025</v>
      </c>
      <c r="AU71" s="260" t="s">
        <v>84</v>
      </c>
      <c r="AV71" s="260"/>
    </row>
    <row r="72" spans="3:48" x14ac:dyDescent="0.25">
      <c r="D72" s="2"/>
      <c r="E72" s="43" t="s">
        <v>91</v>
      </c>
      <c r="F72" s="716">
        <f>SQRT(19.92*F73^2.153)</f>
        <v>0.94595466606773282</v>
      </c>
      <c r="G72" s="260" t="s">
        <v>92</v>
      </c>
      <c r="H72" s="260"/>
      <c r="I72" s="260"/>
      <c r="J72" s="260"/>
      <c r="K72" s="260"/>
      <c r="L72" s="260"/>
      <c r="M72" s="260"/>
      <c r="N72" s="260"/>
      <c r="O72" s="260"/>
      <c r="P72" s="260"/>
      <c r="Q72" s="260"/>
      <c r="R72" s="260"/>
      <c r="S72" s="260"/>
      <c r="T72" s="260"/>
      <c r="U72" s="260"/>
      <c r="V72"/>
      <c r="W72"/>
      <c r="X72" s="2"/>
      <c r="Y72" s="43" t="s">
        <v>91</v>
      </c>
      <c r="Z72" s="93">
        <f t="shared" si="46"/>
        <v>0.94595466606773282</v>
      </c>
      <c r="AA72" s="260" t="s">
        <v>92</v>
      </c>
      <c r="AB72" s="260"/>
      <c r="AC72" s="260"/>
      <c r="AD72" s="260"/>
      <c r="AE72" s="260"/>
      <c r="AF72" s="260"/>
      <c r="AG72" s="260"/>
      <c r="AH72" s="260"/>
      <c r="AI72" s="260"/>
      <c r="AJ72" s="260"/>
      <c r="AK72" s="260"/>
      <c r="AL72" s="260"/>
      <c r="AM72" s="260"/>
      <c r="AN72" s="260"/>
      <c r="AO72" s="260"/>
      <c r="AP72" s="260"/>
      <c r="AR72" s="2"/>
      <c r="AS72" s="43" t="s">
        <v>91</v>
      </c>
      <c r="AT72" s="93">
        <f t="shared" si="47"/>
        <v>0.94595466606773282</v>
      </c>
      <c r="AU72" s="260" t="s">
        <v>92</v>
      </c>
      <c r="AV72" s="260"/>
    </row>
    <row r="73" spans="3:48" x14ac:dyDescent="0.25">
      <c r="D73" s="2"/>
      <c r="E73" s="43" t="s">
        <v>52</v>
      </c>
      <c r="F73" s="717">
        <f>0.679-4.915*10^-3*F84</f>
        <v>0.23665000000000003</v>
      </c>
      <c r="G73" s="260" t="s">
        <v>90</v>
      </c>
      <c r="H73" s="260"/>
      <c r="I73" s="260"/>
      <c r="J73" s="260"/>
      <c r="K73" s="260"/>
      <c r="L73" s="260"/>
      <c r="M73" s="260"/>
      <c r="N73" s="260"/>
      <c r="O73" s="260"/>
      <c r="P73" s="260"/>
      <c r="Q73" s="260"/>
      <c r="R73" s="260"/>
      <c r="S73" s="260"/>
      <c r="T73" s="260"/>
      <c r="U73" s="260"/>
      <c r="V73"/>
      <c r="W73"/>
      <c r="X73" s="2"/>
      <c r="Y73" s="43" t="s">
        <v>52</v>
      </c>
      <c r="Z73" s="93">
        <f t="shared" si="46"/>
        <v>0.23665000000000003</v>
      </c>
      <c r="AA73" s="260" t="s">
        <v>90</v>
      </c>
      <c r="AB73" s="260"/>
      <c r="AC73" s="260"/>
      <c r="AD73" s="260"/>
      <c r="AE73" s="260"/>
      <c r="AF73" s="260"/>
      <c r="AG73" s="260"/>
      <c r="AH73" s="260"/>
      <c r="AI73" s="260"/>
      <c r="AJ73" s="260"/>
      <c r="AK73" s="260"/>
      <c r="AL73" s="260"/>
      <c r="AM73" s="260"/>
      <c r="AN73" s="260"/>
      <c r="AO73" s="260"/>
      <c r="AP73" s="260"/>
      <c r="AR73" s="2"/>
      <c r="AS73" s="43" t="s">
        <v>52</v>
      </c>
      <c r="AT73" s="93">
        <f t="shared" si="47"/>
        <v>0.23665000000000003</v>
      </c>
      <c r="AU73" s="260" t="s">
        <v>90</v>
      </c>
      <c r="AV73" s="260"/>
    </row>
    <row r="74" spans="3:48" ht="15.75" thickBot="1" x14ac:dyDescent="0.3">
      <c r="D74" s="2"/>
      <c r="E74" s="43" t="s">
        <v>94</v>
      </c>
      <c r="F74" s="716">
        <v>1.9</v>
      </c>
      <c r="G74" s="260"/>
      <c r="H74" s="260"/>
      <c r="I74" s="260"/>
      <c r="J74" s="260"/>
      <c r="K74" s="260"/>
      <c r="L74" s="260"/>
      <c r="M74" s="260"/>
      <c r="N74" s="260"/>
      <c r="O74" s="260"/>
      <c r="P74" s="260"/>
      <c r="Q74" s="260"/>
      <c r="R74" s="260"/>
      <c r="S74" s="260"/>
      <c r="T74" s="260"/>
      <c r="U74" s="260"/>
      <c r="V74"/>
      <c r="W74"/>
      <c r="X74" s="2"/>
      <c r="Y74" s="43" t="s">
        <v>94</v>
      </c>
      <c r="Z74" s="93">
        <f t="shared" si="46"/>
        <v>1.9</v>
      </c>
      <c r="AA74" s="260"/>
      <c r="AB74" s="260"/>
      <c r="AC74" s="260"/>
      <c r="AD74" s="260"/>
      <c r="AE74" s="260"/>
      <c r="AF74" s="260"/>
      <c r="AG74" s="260"/>
      <c r="AH74" s="260"/>
      <c r="AI74" s="260"/>
      <c r="AJ74" s="260"/>
      <c r="AK74" s="260"/>
      <c r="AL74" s="260"/>
      <c r="AM74" s="260"/>
      <c r="AN74" s="260"/>
      <c r="AO74" s="260"/>
      <c r="AP74" s="260"/>
      <c r="AR74" s="2"/>
      <c r="AS74" s="43" t="s">
        <v>94</v>
      </c>
      <c r="AT74" s="93">
        <f t="shared" si="47"/>
        <v>1.9</v>
      </c>
      <c r="AU74" s="260"/>
      <c r="AV74" s="260"/>
    </row>
    <row r="75" spans="3:48" ht="16.5" thickTop="1" thickBot="1" x14ac:dyDescent="0.3">
      <c r="E75" s="13"/>
      <c r="G75" s="260"/>
      <c r="H75" s="260"/>
      <c r="I75" s="260"/>
      <c r="J75" s="260"/>
      <c r="K75" s="260"/>
      <c r="L75" s="260"/>
      <c r="M75" s="260"/>
      <c r="N75" s="260"/>
      <c r="O75" s="260"/>
      <c r="P75" s="260"/>
      <c r="Q75" s="260"/>
      <c r="R75" s="260"/>
      <c r="S75" s="260"/>
      <c r="T75" s="260"/>
      <c r="U75" s="260"/>
      <c r="V75"/>
      <c r="W75"/>
      <c r="X75" s="2"/>
      <c r="Y75" s="13"/>
      <c r="Z75" s="240" t="s">
        <v>41</v>
      </c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R75" s="2"/>
      <c r="AS75" s="13"/>
      <c r="AT75" s="240" t="s">
        <v>41</v>
      </c>
      <c r="AV75" s="260"/>
    </row>
    <row r="76" spans="3:48" ht="16.5" thickTop="1" thickBot="1" x14ac:dyDescent="0.3">
      <c r="E76" s="13"/>
      <c r="G76" s="260"/>
      <c r="H76" s="260"/>
      <c r="I76" s="260"/>
      <c r="J76" s="260"/>
      <c r="K76" s="260"/>
      <c r="L76" s="260"/>
      <c r="M76" s="260"/>
      <c r="N76" s="260"/>
      <c r="O76" s="260"/>
      <c r="P76" s="260"/>
      <c r="Q76" s="260"/>
      <c r="R76" s="260"/>
      <c r="S76" s="260"/>
      <c r="T76" s="260"/>
      <c r="U76" s="260"/>
      <c r="V76"/>
      <c r="W76"/>
      <c r="X76" s="2"/>
      <c r="Y76" s="125" t="s">
        <v>54</v>
      </c>
      <c r="Z76" s="376">
        <f>$F82</f>
        <v>2.5</v>
      </c>
      <c r="AA76" s="152" t="s">
        <v>32</v>
      </c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R76" s="2"/>
      <c r="AS76" s="125" t="s">
        <v>54</v>
      </c>
      <c r="AT76" s="376">
        <f>$F82</f>
        <v>2.5</v>
      </c>
      <c r="AU76" s="152" t="s">
        <v>32</v>
      </c>
      <c r="AV76" s="260"/>
    </row>
    <row r="77" spans="3:48" ht="15.75" thickTop="1" x14ac:dyDescent="0.25">
      <c r="C77" s="299" t="s">
        <v>63</v>
      </c>
      <c r="D77" s="139" t="s">
        <v>39</v>
      </c>
      <c r="E77" s="13"/>
      <c r="G77" s="260"/>
      <c r="J77" s="93"/>
      <c r="K77" s="260"/>
      <c r="L77" s="260"/>
      <c r="M77" s="260"/>
      <c r="N77" s="260"/>
      <c r="O77" s="260"/>
      <c r="P77" s="260"/>
      <c r="Q77" s="260"/>
      <c r="R77" s="260"/>
      <c r="S77" s="260"/>
      <c r="T77" s="260"/>
      <c r="U77" s="260"/>
      <c r="V77"/>
      <c r="W77" s="299" t="s">
        <v>63</v>
      </c>
      <c r="X77" s="139" t="s">
        <v>39</v>
      </c>
      <c r="Y77" s="132" t="s">
        <v>53</v>
      </c>
      <c r="Z77" s="364">
        <f>$F83</f>
        <v>-12</v>
      </c>
      <c r="AA77" s="153" t="s">
        <v>34</v>
      </c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299" t="s">
        <v>63</v>
      </c>
      <c r="AR77" s="139" t="s">
        <v>39</v>
      </c>
      <c r="AS77" s="132" t="s">
        <v>53</v>
      </c>
      <c r="AT77" s="364">
        <f>$F83</f>
        <v>-12</v>
      </c>
      <c r="AU77" s="153" t="s">
        <v>34</v>
      </c>
      <c r="AV77" s="260"/>
    </row>
    <row r="78" spans="3:48" ht="15.75" thickBot="1" x14ac:dyDescent="0.3">
      <c r="C78" s="300" t="s">
        <v>64</v>
      </c>
      <c r="D78" s="151" t="s">
        <v>33</v>
      </c>
      <c r="E78" s="13"/>
      <c r="G78" s="260"/>
      <c r="H78" s="93"/>
      <c r="J78" s="93"/>
      <c r="K78" s="260"/>
      <c r="L78" s="260"/>
      <c r="M78" s="260"/>
      <c r="N78" s="260"/>
      <c r="O78" s="260"/>
      <c r="P78" s="260"/>
      <c r="Q78" s="260"/>
      <c r="R78" s="260"/>
      <c r="S78" s="260"/>
      <c r="T78" s="260"/>
      <c r="U78" s="260"/>
      <c r="V78"/>
      <c r="W78" s="300" t="s">
        <v>64</v>
      </c>
      <c r="X78" s="151" t="s">
        <v>33</v>
      </c>
      <c r="Y78" s="13" t="s">
        <v>88</v>
      </c>
      <c r="Z78" s="364">
        <f>$F84</f>
        <v>90</v>
      </c>
      <c r="AA78" s="153" t="s">
        <v>89</v>
      </c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300" t="s">
        <v>64</v>
      </c>
      <c r="AR78" s="151" t="s">
        <v>33</v>
      </c>
      <c r="AS78" s="13" t="s">
        <v>88</v>
      </c>
      <c r="AT78" s="364">
        <f>$F84</f>
        <v>90</v>
      </c>
      <c r="AU78" s="153" t="s">
        <v>89</v>
      </c>
      <c r="AV78" s="260"/>
    </row>
    <row r="79" spans="3:48" ht="15.75" thickBot="1" x14ac:dyDescent="0.3">
      <c r="C79" s="301" t="s">
        <v>97</v>
      </c>
      <c r="D79" s="298">
        <v>577</v>
      </c>
      <c r="E79" s="13"/>
      <c r="G79" s="260"/>
      <c r="H79" s="93"/>
      <c r="J79" s="93"/>
      <c r="K79" s="260"/>
      <c r="L79" s="260"/>
      <c r="M79" s="260"/>
      <c r="N79" s="260"/>
      <c r="O79" s="260"/>
      <c r="P79" s="260"/>
      <c r="Q79" s="260"/>
      <c r="R79" s="260"/>
      <c r="S79" s="260"/>
      <c r="T79" s="260"/>
      <c r="U79" s="260"/>
      <c r="V79"/>
      <c r="W79" s="301" t="s">
        <v>95</v>
      </c>
      <c r="X79" s="298">
        <v>915</v>
      </c>
      <c r="Y79" s="146" t="s">
        <v>55</v>
      </c>
      <c r="Z79" s="364">
        <f>$F86</f>
        <v>27.777777777777779</v>
      </c>
      <c r="AA79" s="262" t="s">
        <v>15</v>
      </c>
      <c r="AB79" s="334"/>
      <c r="AC79" s="334"/>
      <c r="AD79" s="334"/>
      <c r="AE79" s="334"/>
      <c r="AF79" s="334"/>
      <c r="AG79" s="334"/>
      <c r="AH79" s="334"/>
      <c r="AI79" s="334"/>
      <c r="AJ79" s="334"/>
      <c r="AK79" s="334"/>
      <c r="AL79" s="334"/>
      <c r="AM79" s="334"/>
      <c r="AN79" s="334"/>
      <c r="AO79" s="334"/>
      <c r="AP79" s="334"/>
      <c r="AQ79" s="301" t="s">
        <v>96</v>
      </c>
      <c r="AR79" s="298">
        <v>1455</v>
      </c>
      <c r="AS79" s="146" t="s">
        <v>55</v>
      </c>
      <c r="AT79" s="364">
        <f>$F86</f>
        <v>27.777777777777779</v>
      </c>
      <c r="AU79" s="262" t="s">
        <v>15</v>
      </c>
      <c r="AV79" s="260"/>
    </row>
    <row r="80" spans="3:48" ht="16.5" thickTop="1" thickBot="1" x14ac:dyDescent="0.3">
      <c r="D80" s="2"/>
      <c r="E80" s="13"/>
      <c r="G80" s="260"/>
      <c r="H80" s="93"/>
      <c r="J80" s="93"/>
      <c r="K80" s="260"/>
      <c r="L80" s="260"/>
      <c r="M80" s="260"/>
      <c r="N80" s="260"/>
      <c r="O80" s="260"/>
      <c r="P80" s="260"/>
      <c r="Q80" s="260"/>
      <c r="R80" s="260"/>
      <c r="S80" s="260"/>
      <c r="T80" s="260"/>
      <c r="U80" s="260"/>
      <c r="V80"/>
      <c r="W80"/>
      <c r="X80" s="2"/>
      <c r="Y80" s="13"/>
      <c r="Z80"/>
      <c r="AA80" s="260"/>
      <c r="AB80" s="260"/>
      <c r="AC80" s="260"/>
      <c r="AD80" s="260"/>
      <c r="AE80" s="260"/>
      <c r="AF80" s="260"/>
      <c r="AG80" s="260"/>
      <c r="AH80" s="260"/>
      <c r="AI80" s="260"/>
      <c r="AJ80" s="260"/>
      <c r="AK80" s="260"/>
      <c r="AL80" s="260"/>
      <c r="AM80" s="260"/>
      <c r="AN80" s="260"/>
      <c r="AO80" s="260"/>
      <c r="AP80" s="260"/>
      <c r="AR80" s="2"/>
      <c r="AS80" s="13"/>
      <c r="AU80" s="260"/>
      <c r="AV80" s="260"/>
    </row>
    <row r="81" spans="1:65" ht="16.5" thickTop="1" thickBot="1" x14ac:dyDescent="0.3">
      <c r="D81" s="2"/>
      <c r="E81" s="13"/>
      <c r="F81" s="240" t="s">
        <v>41</v>
      </c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</row>
    <row r="82" spans="1:65" ht="15.75" thickTop="1" x14ac:dyDescent="0.25">
      <c r="D82" s="2"/>
      <c r="E82" s="125" t="s">
        <v>54</v>
      </c>
      <c r="F82" s="376">
        <f>F18</f>
        <v>2.5</v>
      </c>
      <c r="G82" s="152" t="s">
        <v>32</v>
      </c>
      <c r="H82" s="43"/>
      <c r="I82" s="43"/>
      <c r="J82" s="43"/>
      <c r="K82" s="152" t="s">
        <v>32</v>
      </c>
      <c r="L82" s="43"/>
      <c r="M82" s="43"/>
      <c r="N82" s="43"/>
      <c r="O82" s="43"/>
      <c r="P82" s="123" t="s">
        <v>102</v>
      </c>
      <c r="Q82" s="43"/>
      <c r="R82" s="43"/>
      <c r="S82" s="43"/>
      <c r="T82" s="43"/>
      <c r="U82" s="43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V82" s="43"/>
    </row>
    <row r="83" spans="1:65" x14ac:dyDescent="0.25">
      <c r="E83" s="132" t="s">
        <v>53</v>
      </c>
      <c r="F83" s="364">
        <f>F19</f>
        <v>-12</v>
      </c>
      <c r="G83" s="153" t="s">
        <v>34</v>
      </c>
      <c r="H83" s="43"/>
      <c r="I83" s="43"/>
      <c r="J83" s="43"/>
      <c r="K83" s="153" t="s">
        <v>34</v>
      </c>
      <c r="L83" s="43"/>
      <c r="M83" s="43"/>
      <c r="N83" s="43"/>
      <c r="O83" s="43"/>
      <c r="P83" s="123" t="s">
        <v>100</v>
      </c>
      <c r="Q83" s="43"/>
      <c r="R83" s="43"/>
      <c r="S83" s="43"/>
      <c r="T83" s="43"/>
      <c r="U83" s="4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V83" s="43"/>
    </row>
    <row r="84" spans="1:65" x14ac:dyDescent="0.25">
      <c r="A84" s="2"/>
      <c r="B84" s="2"/>
      <c r="E84" s="252" t="s">
        <v>88</v>
      </c>
      <c r="F84" s="372">
        <f>F20</f>
        <v>90</v>
      </c>
      <c r="G84" s="153" t="s">
        <v>89</v>
      </c>
      <c r="H84" s="43"/>
      <c r="I84" s="43"/>
      <c r="J84" s="43"/>
      <c r="K84" s="153" t="s">
        <v>89</v>
      </c>
      <c r="L84" s="43"/>
      <c r="M84" s="43"/>
      <c r="N84" s="43"/>
      <c r="O84" s="43"/>
      <c r="P84" s="123" t="s">
        <v>101</v>
      </c>
      <c r="Q84" s="43"/>
      <c r="R84" s="43"/>
      <c r="S84" s="43"/>
      <c r="T84" s="43"/>
      <c r="U84" s="43"/>
      <c r="V84" s="2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V84" s="43"/>
    </row>
    <row r="85" spans="1:65" x14ac:dyDescent="0.25">
      <c r="A85" s="2"/>
      <c r="B85" s="2"/>
      <c r="E85" s="132" t="s">
        <v>231</v>
      </c>
      <c r="F85" s="372">
        <f>'BMW-AD-Std Size Calculator'!E10</f>
        <v>100</v>
      </c>
      <c r="G85" s="153"/>
      <c r="H85" s="43"/>
      <c r="I85" s="43"/>
      <c r="J85" s="43"/>
      <c r="K85" s="153" t="s">
        <v>89</v>
      </c>
      <c r="L85" s="43"/>
      <c r="M85" s="43"/>
      <c r="N85" s="43"/>
      <c r="O85" s="43"/>
      <c r="P85" s="123"/>
      <c r="Q85" s="43"/>
      <c r="R85" s="43"/>
      <c r="S85" s="43"/>
      <c r="T85" s="43"/>
      <c r="U85" s="43"/>
      <c r="V85" s="2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V85" s="43"/>
    </row>
    <row r="86" spans="1:65" ht="15.75" thickBot="1" x14ac:dyDescent="0.3">
      <c r="E86" s="132" t="s">
        <v>55</v>
      </c>
      <c r="F86" s="372">
        <f>F21*F85/100</f>
        <v>27.777777777777779</v>
      </c>
      <c r="G86" s="305" t="s">
        <v>15</v>
      </c>
      <c r="H86" s="334"/>
      <c r="I86" s="334"/>
      <c r="J86" s="334"/>
      <c r="K86" s="305" t="s">
        <v>15</v>
      </c>
      <c r="L86" s="334"/>
      <c r="M86" s="334"/>
      <c r="N86" s="334"/>
      <c r="O86" s="334"/>
      <c r="P86" s="334"/>
      <c r="Q86" s="334"/>
      <c r="R86" s="334"/>
      <c r="S86" s="334"/>
      <c r="T86" s="334"/>
      <c r="U86" s="334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V86" s="334"/>
    </row>
    <row r="87" spans="1:65" ht="16.5" thickTop="1" thickBot="1" x14ac:dyDescent="0.3">
      <c r="A87" s="415"/>
      <c r="B87" s="415"/>
      <c r="C87" s="416"/>
      <c r="D87" s="341"/>
      <c r="E87" s="464" t="s">
        <v>461</v>
      </c>
      <c r="F87" s="502" t="s">
        <v>108</v>
      </c>
      <c r="G87" s="465"/>
      <c r="H87" s="465"/>
      <c r="I87" s="465"/>
      <c r="J87" s="465"/>
      <c r="K87" s="465"/>
      <c r="L87" s="465"/>
      <c r="M87" s="465"/>
      <c r="N87" s="465"/>
      <c r="O87" s="465"/>
      <c r="P87" s="465"/>
      <c r="Q87" s="465"/>
      <c r="R87" s="465"/>
      <c r="S87" s="465"/>
      <c r="T87" s="465"/>
      <c r="U87" s="466"/>
      <c r="V87" s="465"/>
      <c r="W87" s="503"/>
      <c r="X87" s="504"/>
      <c r="Y87" s="504" t="s">
        <v>461</v>
      </c>
      <c r="Z87" s="505" t="s">
        <v>109</v>
      </c>
      <c r="AA87" s="465"/>
      <c r="AB87" s="465"/>
      <c r="AC87" s="465"/>
      <c r="AD87" s="465"/>
      <c r="AE87" s="465"/>
      <c r="AF87" s="465"/>
      <c r="AG87" s="465"/>
      <c r="AH87" s="465"/>
      <c r="AI87" s="465"/>
      <c r="AJ87" s="465"/>
      <c r="AK87" s="465"/>
      <c r="AL87" s="465"/>
      <c r="AM87" s="465"/>
      <c r="AN87" s="465"/>
      <c r="AO87" s="465"/>
      <c r="AP87" s="465"/>
      <c r="AQ87" s="503"/>
      <c r="AR87" s="504"/>
      <c r="AS87" s="504" t="s">
        <v>461</v>
      </c>
      <c r="AT87" s="502" t="s">
        <v>110</v>
      </c>
      <c r="AU87" s="465"/>
      <c r="AV87" s="465"/>
      <c r="AW87" s="465"/>
      <c r="AX87" s="465"/>
      <c r="AY87" s="465"/>
      <c r="AZ87" s="465"/>
      <c r="BA87" s="465"/>
      <c r="BB87" s="465"/>
      <c r="BC87" s="465"/>
      <c r="BD87" s="465"/>
      <c r="BE87" s="465"/>
      <c r="BF87" s="465"/>
      <c r="BG87" s="465"/>
      <c r="BH87" s="465"/>
      <c r="BI87" s="466"/>
      <c r="BJ87" s="415"/>
      <c r="BK87" s="415"/>
      <c r="BL87" s="415"/>
      <c r="BM87" s="415"/>
    </row>
    <row r="88" spans="1:65" ht="15.75" thickTop="1" x14ac:dyDescent="0.25">
      <c r="C88" s="417"/>
      <c r="D88" s="12"/>
      <c r="E88" s="125" t="s">
        <v>106</v>
      </c>
      <c r="F88" s="490">
        <f>D79</f>
        <v>577</v>
      </c>
      <c r="G88" s="477" t="s">
        <v>33</v>
      </c>
      <c r="H88" s="477"/>
      <c r="I88" s="477"/>
      <c r="J88" s="477"/>
      <c r="K88" s="477"/>
      <c r="L88" s="477"/>
      <c r="M88" s="477"/>
      <c r="N88" s="477"/>
      <c r="O88" s="477"/>
      <c r="P88" s="477"/>
      <c r="Q88" s="477"/>
      <c r="R88" s="477"/>
      <c r="S88" s="477"/>
      <c r="T88" s="477"/>
      <c r="U88" s="478"/>
      <c r="V88" s="477"/>
      <c r="W88" s="491"/>
      <c r="X88" s="492"/>
      <c r="Y88" s="492" t="s">
        <v>106</v>
      </c>
      <c r="Z88" s="493">
        <f>X79</f>
        <v>915</v>
      </c>
      <c r="AA88" s="477" t="s">
        <v>33</v>
      </c>
      <c r="AB88" s="477"/>
      <c r="AC88" s="477"/>
      <c r="AD88" s="477"/>
      <c r="AE88" s="477"/>
      <c r="AF88" s="477"/>
      <c r="AG88" s="477"/>
      <c r="AH88" s="477"/>
      <c r="AI88" s="477"/>
      <c r="AJ88" s="477"/>
      <c r="AK88" s="477"/>
      <c r="AL88" s="477"/>
      <c r="AM88" s="477"/>
      <c r="AN88" s="477"/>
      <c r="AO88" s="477"/>
      <c r="AP88" s="477"/>
      <c r="AQ88" s="491"/>
      <c r="AR88" s="492"/>
      <c r="AS88" s="492" t="s">
        <v>106</v>
      </c>
      <c r="AT88" s="490">
        <f>AR79</f>
        <v>1455</v>
      </c>
      <c r="AU88" s="477" t="s">
        <v>33</v>
      </c>
      <c r="AV88" s="477"/>
      <c r="AW88" s="477"/>
      <c r="AX88" s="477"/>
      <c r="AY88" s="477"/>
      <c r="AZ88" s="477"/>
      <c r="BA88" s="477"/>
      <c r="BB88" s="477"/>
      <c r="BC88" s="477"/>
      <c r="BD88" s="477"/>
      <c r="BE88" s="477"/>
      <c r="BF88" s="477"/>
      <c r="BG88" s="477"/>
      <c r="BH88" s="477"/>
      <c r="BI88" s="478"/>
      <c r="BJ88" s="149" t="s">
        <v>33</v>
      </c>
      <c r="BM88" s="93"/>
    </row>
    <row r="89" spans="1:65" ht="15.75" thickBot="1" x14ac:dyDescent="0.3">
      <c r="C89" s="417"/>
      <c r="D89" s="12"/>
      <c r="E89" s="146" t="s">
        <v>128</v>
      </c>
      <c r="F89" s="494">
        <f>F88+35</f>
        <v>612</v>
      </c>
      <c r="G89" s="420" t="s">
        <v>33</v>
      </c>
      <c r="H89" s="420"/>
      <c r="I89" s="420"/>
      <c r="J89" s="420"/>
      <c r="K89" s="420"/>
      <c r="L89" s="420"/>
      <c r="M89" s="420"/>
      <c r="N89" s="420"/>
      <c r="O89" s="420"/>
      <c r="P89" s="420"/>
      <c r="Q89" s="420"/>
      <c r="R89" s="420"/>
      <c r="S89" s="420"/>
      <c r="T89" s="420"/>
      <c r="U89" s="479"/>
      <c r="V89" s="420"/>
      <c r="W89" s="495"/>
      <c r="X89" s="496"/>
      <c r="Y89" s="496"/>
      <c r="Z89" s="497">
        <f>Z88+35</f>
        <v>950</v>
      </c>
      <c r="AA89" s="420"/>
      <c r="AB89" s="420"/>
      <c r="AC89" s="420"/>
      <c r="AD89" s="420"/>
      <c r="AE89" s="420"/>
      <c r="AF89" s="420"/>
      <c r="AG89" s="420"/>
      <c r="AH89" s="420"/>
      <c r="AI89" s="420"/>
      <c r="AJ89" s="420"/>
      <c r="AK89" s="420"/>
      <c r="AL89" s="420"/>
      <c r="AM89" s="420"/>
      <c r="AN89" s="420"/>
      <c r="AO89" s="420"/>
      <c r="AP89" s="420"/>
      <c r="AQ89" s="495"/>
      <c r="AR89" s="496"/>
      <c r="AS89" s="496"/>
      <c r="AT89" s="494">
        <f>AT88+35</f>
        <v>1490</v>
      </c>
      <c r="AU89" s="420"/>
      <c r="AV89" s="420"/>
      <c r="AW89" s="420"/>
      <c r="AX89" s="420"/>
      <c r="AY89" s="420"/>
      <c r="AZ89" s="420"/>
      <c r="BA89" s="420"/>
      <c r="BB89" s="420"/>
      <c r="BC89" s="420"/>
      <c r="BD89" s="420"/>
      <c r="BE89" s="420"/>
      <c r="BF89" s="420"/>
      <c r="BG89" s="420"/>
      <c r="BH89" s="420"/>
      <c r="BI89" s="479"/>
      <c r="BJ89" s="130" t="s">
        <v>33</v>
      </c>
    </row>
    <row r="90" spans="1:65" ht="15.75" thickTop="1" x14ac:dyDescent="0.25">
      <c r="C90" s="417"/>
      <c r="D90" s="12"/>
      <c r="E90" s="132" t="s">
        <v>111</v>
      </c>
      <c r="F90" s="485">
        <v>1</v>
      </c>
      <c r="G90" s="486"/>
      <c r="H90" s="486"/>
      <c r="I90" s="486"/>
      <c r="J90" s="486"/>
      <c r="K90" s="486">
        <v>2</v>
      </c>
      <c r="L90" s="486"/>
      <c r="M90" s="486"/>
      <c r="N90" s="486"/>
      <c r="O90" s="486"/>
      <c r="P90" s="486">
        <v>3</v>
      </c>
      <c r="Q90" s="486"/>
      <c r="R90" s="486"/>
      <c r="S90" s="486"/>
      <c r="T90" s="486"/>
      <c r="U90" s="487">
        <v>4</v>
      </c>
      <c r="V90" s="421"/>
      <c r="W90" s="422"/>
      <c r="X90" s="423"/>
      <c r="Y90" s="423"/>
      <c r="Z90" s="488">
        <v>1</v>
      </c>
      <c r="AA90" s="486"/>
      <c r="AB90" s="486"/>
      <c r="AC90" s="486"/>
      <c r="AD90" s="486"/>
      <c r="AE90" s="486">
        <v>2</v>
      </c>
      <c r="AF90" s="486"/>
      <c r="AG90" s="486"/>
      <c r="AH90" s="486"/>
      <c r="AI90" s="486"/>
      <c r="AJ90" s="486">
        <v>3</v>
      </c>
      <c r="AK90" s="486"/>
      <c r="AL90" s="486"/>
      <c r="AM90" s="486"/>
      <c r="AN90" s="486"/>
      <c r="AO90" s="489">
        <v>4</v>
      </c>
      <c r="AP90" s="421"/>
      <c r="AQ90" s="422"/>
      <c r="AR90" s="423"/>
      <c r="AS90" s="423"/>
      <c r="AT90" s="485">
        <v>1</v>
      </c>
      <c r="AU90" s="486"/>
      <c r="AV90" s="486"/>
      <c r="AW90" s="486"/>
      <c r="AX90" s="486"/>
      <c r="AY90" s="486">
        <v>2</v>
      </c>
      <c r="AZ90" s="486"/>
      <c r="BA90" s="486"/>
      <c r="BB90" s="486"/>
      <c r="BC90" s="486"/>
      <c r="BD90" s="486">
        <v>3</v>
      </c>
      <c r="BE90" s="486"/>
      <c r="BF90" s="486"/>
      <c r="BG90" s="486"/>
      <c r="BH90" s="486"/>
      <c r="BI90" s="487">
        <v>4</v>
      </c>
      <c r="BJ90" s="136"/>
    </row>
    <row r="91" spans="1:65" x14ac:dyDescent="0.25">
      <c r="C91" s="417"/>
      <c r="D91" s="12"/>
      <c r="E91" s="132" t="s">
        <v>112</v>
      </c>
      <c r="F91" s="468">
        <v>99</v>
      </c>
      <c r="G91" s="424"/>
      <c r="H91" s="424"/>
      <c r="I91" s="424"/>
      <c r="J91" s="424"/>
      <c r="K91" s="424">
        <v>138</v>
      </c>
      <c r="L91" s="424"/>
      <c r="M91" s="424"/>
      <c r="N91" s="424"/>
      <c r="O91" s="424"/>
      <c r="P91" s="424">
        <v>177</v>
      </c>
      <c r="Q91" s="424"/>
      <c r="R91" s="424"/>
      <c r="S91" s="424"/>
      <c r="T91" s="424"/>
      <c r="U91" s="469">
        <v>216</v>
      </c>
      <c r="V91" s="419"/>
      <c r="W91" s="467"/>
      <c r="X91" s="122"/>
      <c r="Y91" s="122"/>
      <c r="Z91" s="470">
        <v>99</v>
      </c>
      <c r="AA91" s="424"/>
      <c r="AB91" s="424"/>
      <c r="AC91" s="424"/>
      <c r="AD91" s="424"/>
      <c r="AE91" s="424">
        <v>138</v>
      </c>
      <c r="AF91" s="424"/>
      <c r="AG91" s="424"/>
      <c r="AH91" s="424"/>
      <c r="AI91" s="424"/>
      <c r="AJ91" s="424">
        <v>177</v>
      </c>
      <c r="AK91" s="424"/>
      <c r="AL91" s="424"/>
      <c r="AM91" s="424"/>
      <c r="AN91" s="424"/>
      <c r="AO91" s="471">
        <v>216</v>
      </c>
      <c r="AP91" s="419"/>
      <c r="AQ91" s="467"/>
      <c r="AR91" s="122"/>
      <c r="AS91" s="122"/>
      <c r="AT91" s="468">
        <v>99</v>
      </c>
      <c r="AU91" s="424"/>
      <c r="AV91" s="424"/>
      <c r="AW91" s="424"/>
      <c r="AX91" s="424"/>
      <c r="AY91" s="424">
        <v>138</v>
      </c>
      <c r="AZ91" s="424"/>
      <c r="BA91" s="424"/>
      <c r="BB91" s="424"/>
      <c r="BC91" s="424"/>
      <c r="BD91" s="424">
        <v>177</v>
      </c>
      <c r="BE91" s="424"/>
      <c r="BF91" s="424"/>
      <c r="BG91" s="424"/>
      <c r="BH91" s="424"/>
      <c r="BI91" s="469">
        <v>216</v>
      </c>
      <c r="BJ91" s="136" t="s">
        <v>33</v>
      </c>
    </row>
    <row r="92" spans="1:65" ht="15.75" thickBot="1" x14ac:dyDescent="0.3">
      <c r="C92" s="417"/>
      <c r="D92" s="12"/>
      <c r="E92" s="146" t="s">
        <v>107</v>
      </c>
      <c r="F92" s="472">
        <f t="shared" ref="F92:AK92" si="48">F91+35</f>
        <v>134</v>
      </c>
      <c r="G92" s="473">
        <f t="shared" si="48"/>
        <v>35</v>
      </c>
      <c r="H92" s="473">
        <f t="shared" si="48"/>
        <v>35</v>
      </c>
      <c r="I92" s="473">
        <f t="shared" si="48"/>
        <v>35</v>
      </c>
      <c r="J92" s="473">
        <f t="shared" si="48"/>
        <v>35</v>
      </c>
      <c r="K92" s="473">
        <f t="shared" si="48"/>
        <v>173</v>
      </c>
      <c r="L92" s="473">
        <f t="shared" si="48"/>
        <v>35</v>
      </c>
      <c r="M92" s="473">
        <f t="shared" si="48"/>
        <v>35</v>
      </c>
      <c r="N92" s="473">
        <f t="shared" si="48"/>
        <v>35</v>
      </c>
      <c r="O92" s="473">
        <f t="shared" si="48"/>
        <v>35</v>
      </c>
      <c r="P92" s="473">
        <f t="shared" si="48"/>
        <v>212</v>
      </c>
      <c r="Q92" s="473">
        <f t="shared" si="48"/>
        <v>35</v>
      </c>
      <c r="R92" s="473">
        <f t="shared" si="48"/>
        <v>35</v>
      </c>
      <c r="S92" s="473">
        <f t="shared" si="48"/>
        <v>35</v>
      </c>
      <c r="T92" s="473">
        <f t="shared" si="48"/>
        <v>35</v>
      </c>
      <c r="U92" s="474">
        <f t="shared" si="48"/>
        <v>251</v>
      </c>
      <c r="V92" s="420">
        <f t="shared" si="48"/>
        <v>35</v>
      </c>
      <c r="W92" s="420">
        <f t="shared" si="48"/>
        <v>35</v>
      </c>
      <c r="X92" s="420">
        <f t="shared" si="48"/>
        <v>35</v>
      </c>
      <c r="Y92" s="420">
        <f t="shared" si="48"/>
        <v>35</v>
      </c>
      <c r="Z92" s="475">
        <f t="shared" si="48"/>
        <v>134</v>
      </c>
      <c r="AA92" s="473">
        <f t="shared" si="48"/>
        <v>35</v>
      </c>
      <c r="AB92" s="473">
        <f t="shared" si="48"/>
        <v>35</v>
      </c>
      <c r="AC92" s="473">
        <f t="shared" si="48"/>
        <v>35</v>
      </c>
      <c r="AD92" s="473">
        <f t="shared" si="48"/>
        <v>35</v>
      </c>
      <c r="AE92" s="473">
        <f t="shared" si="48"/>
        <v>173</v>
      </c>
      <c r="AF92" s="473">
        <f t="shared" si="48"/>
        <v>35</v>
      </c>
      <c r="AG92" s="473">
        <f t="shared" si="48"/>
        <v>35</v>
      </c>
      <c r="AH92" s="473">
        <f t="shared" si="48"/>
        <v>35</v>
      </c>
      <c r="AI92" s="473">
        <f t="shared" si="48"/>
        <v>35</v>
      </c>
      <c r="AJ92" s="473">
        <f t="shared" si="48"/>
        <v>212</v>
      </c>
      <c r="AK92" s="473">
        <f t="shared" si="48"/>
        <v>35</v>
      </c>
      <c r="AL92" s="473">
        <f t="shared" ref="AL92:BI92" si="49">AL91+35</f>
        <v>35</v>
      </c>
      <c r="AM92" s="473">
        <f t="shared" si="49"/>
        <v>35</v>
      </c>
      <c r="AN92" s="473">
        <f t="shared" si="49"/>
        <v>35</v>
      </c>
      <c r="AO92" s="476">
        <f t="shared" si="49"/>
        <v>251</v>
      </c>
      <c r="AP92" s="420">
        <f t="shared" si="49"/>
        <v>35</v>
      </c>
      <c r="AQ92" s="420">
        <f t="shared" si="49"/>
        <v>35</v>
      </c>
      <c r="AR92" s="420">
        <f t="shared" si="49"/>
        <v>35</v>
      </c>
      <c r="AS92" s="420">
        <f t="shared" si="49"/>
        <v>35</v>
      </c>
      <c r="AT92" s="472">
        <f t="shared" si="49"/>
        <v>134</v>
      </c>
      <c r="AU92" s="473">
        <f t="shared" si="49"/>
        <v>35</v>
      </c>
      <c r="AV92" s="473">
        <f t="shared" si="49"/>
        <v>35</v>
      </c>
      <c r="AW92" s="473">
        <f t="shared" si="49"/>
        <v>35</v>
      </c>
      <c r="AX92" s="473">
        <f t="shared" si="49"/>
        <v>35</v>
      </c>
      <c r="AY92" s="473">
        <f t="shared" si="49"/>
        <v>173</v>
      </c>
      <c r="AZ92" s="473">
        <f t="shared" si="49"/>
        <v>35</v>
      </c>
      <c r="BA92" s="473">
        <f t="shared" si="49"/>
        <v>35</v>
      </c>
      <c r="BB92" s="473">
        <f t="shared" si="49"/>
        <v>35</v>
      </c>
      <c r="BC92" s="473">
        <f t="shared" si="49"/>
        <v>35</v>
      </c>
      <c r="BD92" s="473">
        <f t="shared" si="49"/>
        <v>212</v>
      </c>
      <c r="BE92" s="473">
        <f t="shared" si="49"/>
        <v>35</v>
      </c>
      <c r="BF92" s="473">
        <f t="shared" si="49"/>
        <v>35</v>
      </c>
      <c r="BG92" s="473">
        <f t="shared" si="49"/>
        <v>35</v>
      </c>
      <c r="BH92" s="473">
        <f t="shared" si="49"/>
        <v>35</v>
      </c>
      <c r="BI92" s="474">
        <f t="shared" si="49"/>
        <v>251</v>
      </c>
      <c r="BJ92" s="130" t="s">
        <v>33</v>
      </c>
    </row>
    <row r="93" spans="1:65" ht="15.75" thickTop="1" x14ac:dyDescent="0.25">
      <c r="C93" s="500"/>
      <c r="D93" s="139"/>
      <c r="E93" s="125" t="s">
        <v>22</v>
      </c>
      <c r="F93" s="169">
        <f>1.359*10^-3*(F$86/($D$79*10^-3*$C111*10^-3)*(0.507*0.171))^2.0302</f>
        <v>2.704408386852188</v>
      </c>
      <c r="G93" s="425" t="s">
        <v>6</v>
      </c>
      <c r="H93" s="426"/>
      <c r="I93" s="426"/>
      <c r="J93" s="427" t="s">
        <v>22</v>
      </c>
      <c r="K93" s="206">
        <f>1.359*10^-3*(F$86/($D$79*10^-3*$H111*10^-3)*(0.507*0.171))^2.0302</f>
        <v>1.3779337100974809</v>
      </c>
      <c r="L93" s="425" t="s">
        <v>6</v>
      </c>
      <c r="M93" s="426"/>
      <c r="N93" s="426"/>
      <c r="O93" s="427" t="s">
        <v>22</v>
      </c>
      <c r="P93" s="206">
        <f>1.359*10^-3*(F$86/($D$79*10^-3*$M111*10^-3)*(0.507*0.171))^2.0302</f>
        <v>0.83133395808012123</v>
      </c>
      <c r="Q93" s="425" t="s">
        <v>6</v>
      </c>
      <c r="R93" s="426"/>
      <c r="S93" s="426"/>
      <c r="T93" s="427" t="s">
        <v>22</v>
      </c>
      <c r="U93" s="212">
        <f>1.359*10^-3*(F$86/($D$79*10^-3*$R111*10^-3)*(0.507*0.171))^2.0302</f>
        <v>0.55488481566361703</v>
      </c>
      <c r="V93" s="149" t="s">
        <v>6</v>
      </c>
      <c r="W93" s="139"/>
      <c r="X93" s="139"/>
      <c r="Y93" s="125" t="s">
        <v>22</v>
      </c>
      <c r="Z93" s="169">
        <f>1.359*10^-3*(Z$79/($X$79*10^-3*$Z91*10^-3)*(0.507*0.171))^2.0302</f>
        <v>1.060557708186685</v>
      </c>
      <c r="AA93" s="425" t="s">
        <v>6</v>
      </c>
      <c r="AB93" s="426"/>
      <c r="AC93" s="426"/>
      <c r="AD93" s="427" t="s">
        <v>22</v>
      </c>
      <c r="AE93" s="206">
        <f>1.359*10^-3*(Z$79/($X$79*10^-3*$AE91*10^-3)*(0.507*0.171))^2.0302</f>
        <v>0.54036891200265014</v>
      </c>
      <c r="AF93" s="425" t="s">
        <v>6</v>
      </c>
      <c r="AG93" s="426"/>
      <c r="AH93" s="426"/>
      <c r="AI93" s="427" t="s">
        <v>22</v>
      </c>
      <c r="AJ93" s="206">
        <f>1.359*10^-3*(Z$79/($X$79*10^-3*$AJ91*10^-3)*(0.507*0.171))^2.0302</f>
        <v>0.32601497673413626</v>
      </c>
      <c r="AK93" s="425" t="s">
        <v>6</v>
      </c>
      <c r="AL93" s="426"/>
      <c r="AM93" s="426"/>
      <c r="AN93" s="427" t="s">
        <v>22</v>
      </c>
      <c r="AO93" s="212">
        <f>1.359*10^-3*(Z$79/($X$79*10^-3*$AO91*10^-3)*(0.507*0.171))^2.0302</f>
        <v>0.21760299637761835</v>
      </c>
      <c r="AP93" s="149" t="s">
        <v>6</v>
      </c>
      <c r="AQ93" s="139"/>
      <c r="AR93" s="139"/>
      <c r="AS93" s="125" t="s">
        <v>22</v>
      </c>
      <c r="AT93" s="169">
        <f>1.359*10^-3*(AT$79/($AR$79*10^-3*$AT91*10^-3)*(0.507*0.171))^2.0302</f>
        <v>0.4135870776151192</v>
      </c>
      <c r="AU93" s="425" t="s">
        <v>6</v>
      </c>
      <c r="AV93" s="426"/>
      <c r="AW93" s="426"/>
      <c r="AX93" s="427" t="s">
        <v>22</v>
      </c>
      <c r="AY93" s="206">
        <f>1.359*10^-3*(AT$79/($AR$79*10^-3*$AY91*10^-3)*(0.507*0.171))^2.0302</f>
        <v>0.21072837189722987</v>
      </c>
      <c r="AZ93" s="425" t="s">
        <v>6</v>
      </c>
      <c r="BA93" s="426"/>
      <c r="BB93" s="426"/>
      <c r="BC93" s="427" t="s">
        <v>22</v>
      </c>
      <c r="BD93" s="206">
        <f>1.359*10^-3*(AT$79/($AR$79*10^-3*$BD91*10^-3)*(0.507*0.171))^2.0302</f>
        <v>0.12713648719480891</v>
      </c>
      <c r="BE93" s="425" t="s">
        <v>6</v>
      </c>
      <c r="BF93" s="426"/>
      <c r="BG93" s="426"/>
      <c r="BH93" s="427" t="s">
        <v>22</v>
      </c>
      <c r="BI93" s="212">
        <f>1.359*10^-3*(AT$79/($AR$79*10^-3*$BI91*10^-3)*(0.507*0.171))^2.0302</f>
        <v>8.48589253158024E-2</v>
      </c>
      <c r="BJ93" s="149" t="s">
        <v>6</v>
      </c>
    </row>
    <row r="94" spans="1:65" x14ac:dyDescent="0.25">
      <c r="C94" s="500" t="s">
        <v>38</v>
      </c>
      <c r="D94" s="147" t="s">
        <v>117</v>
      </c>
      <c r="E94" s="132" t="s">
        <v>46</v>
      </c>
      <c r="F94" s="230">
        <f>-114.08+32.01*LN(F$86/($D$79*$C111)*(507*171))+10*LOG($D$79*$C111/(507*171))</f>
        <v>3.8718449553874654</v>
      </c>
      <c r="G94" s="428" t="s">
        <v>49</v>
      </c>
      <c r="H94" s="429" t="s">
        <v>38</v>
      </c>
      <c r="I94" s="429" t="s">
        <v>36</v>
      </c>
      <c r="J94" s="430" t="s">
        <v>46</v>
      </c>
      <c r="K94" s="231" t="str">
        <f>IF(-114.08+32.01*LN(F$86/($D$79*$H111)*(507*171))+10*LOG($D$79*$H111/(507*171))&lt;15,"&lt;15",-114.08+32.01*LN(F$86/($D$79*$H111)*(507*171))+10*LOG($D$79*$H111/(507*171)))</f>
        <v>&lt;15</v>
      </c>
      <c r="L94" s="428" t="s">
        <v>49</v>
      </c>
      <c r="M94" s="429" t="s">
        <v>38</v>
      </c>
      <c r="N94" s="429" t="s">
        <v>36</v>
      </c>
      <c r="O94" s="430" t="s">
        <v>46</v>
      </c>
      <c r="P94" s="231" t="str">
        <f>IF(-114.08+32.01*LN(F$86/($D$79*$M111)*(507*171))+10*LOG($D$79*$M111/(507*171))&lt;15,"&lt;15",-114.08+32.01*LN(F$86/($D$79*$M111)*(507*171))+10*LOG($D$79*$M111/(507*171)))</f>
        <v>&lt;15</v>
      </c>
      <c r="Q94" s="428" t="s">
        <v>49</v>
      </c>
      <c r="R94" s="429" t="s">
        <v>38</v>
      </c>
      <c r="S94" s="429" t="s">
        <v>36</v>
      </c>
      <c r="T94" s="430" t="s">
        <v>46</v>
      </c>
      <c r="U94" s="233" t="str">
        <f>IF(-114.08+32.01*LN(F$86/($D$79*$R111)*(507*171))+10*LOG($D$79*$R111/(507*171))&lt;15,"&lt;15",-114.08+32.01*LN(F$86/($D$79*$R111)*(507*171))+10*LOG($D$79*$R111/(507*171)))</f>
        <v>&lt;15</v>
      </c>
      <c r="V94" s="136" t="s">
        <v>49</v>
      </c>
      <c r="W94" s="147" t="s">
        <v>38</v>
      </c>
      <c r="X94" s="147" t="s">
        <v>36</v>
      </c>
      <c r="Y94" s="132" t="s">
        <v>46</v>
      </c>
      <c r="Z94" s="230" t="str">
        <f>IF(-114.08+32.01*LN(Z$79/($X$79*$Z91)*(507*171))+10*LOG($X$79*$Z91/(507*171))&lt;15,"&lt;15",-114.08+32.01*LN(Z$79/($X$79*$Z91)*(507*171))+10*LOG($X$79*$Z91/(507*171)))</f>
        <v>&lt;15</v>
      </c>
      <c r="AA94" s="428" t="s">
        <v>49</v>
      </c>
      <c r="AB94" s="429" t="s">
        <v>38</v>
      </c>
      <c r="AC94" s="429" t="s">
        <v>36</v>
      </c>
      <c r="AD94" s="430" t="s">
        <v>46</v>
      </c>
      <c r="AE94" s="231" t="str">
        <f>IF(-114.08+32.01*LN(Z$79/($X$79*$AE91)*(507*171))+10*LOG($X$79*$AE91/(507*171))&lt;15,"&lt;15",-114.08+32.01*LN(Z$79/($X$79*$AE91)*(507*171))+10*LOG($X$79*$AE91/(507*171)))</f>
        <v>&lt;15</v>
      </c>
      <c r="AF94" s="428" t="s">
        <v>49</v>
      </c>
      <c r="AG94" s="429" t="s">
        <v>38</v>
      </c>
      <c r="AH94" s="429" t="s">
        <v>36</v>
      </c>
      <c r="AI94" s="430" t="s">
        <v>46</v>
      </c>
      <c r="AJ94" s="231" t="str">
        <f>IF(-114.08+32.01*LN(Z$79/($X$79*$AJ91)*(507*171))+10*LOG($X$79*$AJ91/(507*171))&lt;15,"&lt;15",-114.08+32.01*LN(Z$79/($X$79*$AJ91)*(507*171))+10*LOG($X$79*$AJ91/(507*171)))</f>
        <v>&lt;15</v>
      </c>
      <c r="AK94" s="428" t="s">
        <v>49</v>
      </c>
      <c r="AL94" s="429" t="s">
        <v>38</v>
      </c>
      <c r="AM94" s="429" t="s">
        <v>36</v>
      </c>
      <c r="AN94" s="430" t="s">
        <v>46</v>
      </c>
      <c r="AO94" s="233" t="str">
        <f>IF(-114.08+32.01*LN(Z$79/($X$79*$AO91)*(507*171))+10*LOG($X$79*$AO91/(507*171))&lt;15,"&lt;15",-114.08+32.01*LN(Z$79/($X$79*$AO91)*(507*171))+10*LOG($X$79*$AO91/(507*171)))</f>
        <v>&lt;15</v>
      </c>
      <c r="AP94" s="136" t="s">
        <v>49</v>
      </c>
      <c r="AQ94" s="147" t="s">
        <v>38</v>
      </c>
      <c r="AR94" s="147" t="s">
        <v>36</v>
      </c>
      <c r="AS94" s="132" t="s">
        <v>46</v>
      </c>
      <c r="AT94" s="230" t="str">
        <f>IF(-114.08+32.01*LN(AT$79/($AR$79*$AT91)*(507*171))+10*LOG($AR$79*$AT91/(507*171))&lt;15,"&lt;15",-114.08+32.01*LN(AT$79/($AR$79*$AT91)*(507*171))+10*LOG($AR$79*$AT91/(507*171)))</f>
        <v>&lt;15</v>
      </c>
      <c r="AU94" s="428" t="s">
        <v>49</v>
      </c>
      <c r="AV94" s="429" t="s">
        <v>38</v>
      </c>
      <c r="AW94" s="429" t="s">
        <v>36</v>
      </c>
      <c r="AX94" s="430" t="s">
        <v>46</v>
      </c>
      <c r="AY94" s="231" t="str">
        <f>IF(-114.08+32.01*LN(AT$79/($AR$79*$AY91)*(507*171))+10*LOG($AR$79*$AY91/(507*171))&lt;15,"&lt;15",-114.08+32.01*LN(AT$79/($AR$79*$AY91)*(507*171))+10*LOG($AR$79*$AY91/(507*171)))</f>
        <v>&lt;15</v>
      </c>
      <c r="AZ94" s="428" t="s">
        <v>49</v>
      </c>
      <c r="BA94" s="429" t="s">
        <v>38</v>
      </c>
      <c r="BB94" s="429" t="s">
        <v>36</v>
      </c>
      <c r="BC94" s="430" t="s">
        <v>46</v>
      </c>
      <c r="BD94" s="231" t="str">
        <f>IF(-114.08+32.01*LN(AT$79/($AR$79*$BD91)*(507*171))+10*LOG($AR$79*$BD91/(507*171))&lt;15,"&lt;15",-114.08+32.01*LN(AT$79/($AR$79*$BD91)*(507*171))+10*LOG($AR$79*$BD91/(507*171)))</f>
        <v>&lt;15</v>
      </c>
      <c r="BE94" s="428" t="s">
        <v>49</v>
      </c>
      <c r="BF94" s="429" t="s">
        <v>38</v>
      </c>
      <c r="BG94" s="429" t="s">
        <v>36</v>
      </c>
      <c r="BH94" s="430" t="s">
        <v>46</v>
      </c>
      <c r="BI94" s="233" t="str">
        <f>IF(-114.08+32.01*LN(AT$79/($AR$79*$BI91)*(507*171))+10*LOG($AR$79*$BI91/(507*171))&lt;15,"&lt;15",-114.08+32.01*LN(AT$79/($AR$79*$BI91)*(507*171))+10*LOG($AR$79*$BI91/(507*171)))</f>
        <v>&lt;15</v>
      </c>
      <c r="BJ94" s="136" t="s">
        <v>49</v>
      </c>
    </row>
    <row r="95" spans="1:65" x14ac:dyDescent="0.25">
      <c r="C95" s="418" t="s">
        <v>33</v>
      </c>
      <c r="D95" s="242" t="s">
        <v>35</v>
      </c>
      <c r="E95" s="132" t="s">
        <v>23</v>
      </c>
      <c r="F95" s="230" t="str">
        <f>IF(-15-114.08+32.01*LN(F$86/($D$79*$F91)*(507*171))+10*LOG($D$79*$F91/(507*171))&lt;5,"&lt;5",-15-114.08+32.01*LN(F$86/($D$79*$F91)*(507*171))+10*LOG($D$79*$F91/(507*171)))</f>
        <v>&lt;5</v>
      </c>
      <c r="G95" s="428" t="s">
        <v>42</v>
      </c>
      <c r="H95" s="431" t="s">
        <v>33</v>
      </c>
      <c r="I95" s="431" t="s">
        <v>35</v>
      </c>
      <c r="J95" s="430" t="s">
        <v>23</v>
      </c>
      <c r="K95" s="231" t="str">
        <f>IF(-15-114.08+32.01*LN(F$86/($D$79*$K91)*(507*171))+10*LOG($D$79*$K91/(507*171))&lt;5,"&lt;5",-15-114.08+32.01*LN(F$86/($D$79*$K91)*(507*171))+10*LOG($D$79*$K91/(507*171)))</f>
        <v>&lt;5</v>
      </c>
      <c r="L95" s="428" t="s">
        <v>42</v>
      </c>
      <c r="M95" s="431" t="s">
        <v>33</v>
      </c>
      <c r="N95" s="431" t="s">
        <v>35</v>
      </c>
      <c r="O95" s="430" t="s">
        <v>23</v>
      </c>
      <c r="P95" s="231" t="str">
        <f>IF(-15-114.08+32.01*LN(F$86/($D$79*$P91)*(507*171))+10*LOG($D$79*$P91/(507*171))&lt;5,"&lt;5",-15-114.08+32.01*LN(F$86/($D$79*$P91)*(507*171))+10*LOG($D$79*$P91/(507*171)))</f>
        <v>&lt;5</v>
      </c>
      <c r="Q95" s="428" t="s">
        <v>42</v>
      </c>
      <c r="R95" s="431" t="s">
        <v>33</v>
      </c>
      <c r="S95" s="431" t="s">
        <v>35</v>
      </c>
      <c r="T95" s="430" t="s">
        <v>23</v>
      </c>
      <c r="U95" s="233" t="str">
        <f>IF(-15-114.08+32.01*LN(F$86/($D$79*$U91)*(507*171))+10*LOG($D$79*$U91/(507*171))&lt;5,"&lt;5",-15-114.08+32.01*LN(F$86/($D$79*$U91)*(507*171))+10*LOG($D$79*$U91/(507*171)))</f>
        <v>&lt;5</v>
      </c>
      <c r="V95" s="136" t="s">
        <v>42</v>
      </c>
      <c r="W95" s="242" t="s">
        <v>33</v>
      </c>
      <c r="X95" s="242" t="s">
        <v>35</v>
      </c>
      <c r="Y95" s="132" t="s">
        <v>23</v>
      </c>
      <c r="Z95" s="230" t="str">
        <f>IF(-15-114.08+32.01*LN(Z$79/($X$79*$Z91)*(507*171))+10*LOG($X$79*$Z91/(507*171))&lt;5,"&lt;5",-15-114.08+32.01*LN(Z$79/($X$79*$Z91)*(507*171))+10*LOG($X$79*$Z91/(507*171)))</f>
        <v>&lt;5</v>
      </c>
      <c r="AA95" s="428" t="s">
        <v>42</v>
      </c>
      <c r="AB95" s="431" t="s">
        <v>33</v>
      </c>
      <c r="AC95" s="431" t="s">
        <v>35</v>
      </c>
      <c r="AD95" s="430" t="s">
        <v>23</v>
      </c>
      <c r="AE95" s="231" t="str">
        <f>IF(-15-114.08+32.01*LN(Z$79/($X$79*$AE91)*(507*171))+10*LOG($X$79*$AE91/(507*171))&lt;5,"&lt;5",-15-114.08+32.01*LN(Z$79/($X$79*$AE91)*(507*171))+10*LOG($X$79*$AE91/(507*171)))</f>
        <v>&lt;5</v>
      </c>
      <c r="AF95" s="428" t="s">
        <v>42</v>
      </c>
      <c r="AG95" s="431" t="s">
        <v>33</v>
      </c>
      <c r="AH95" s="431" t="s">
        <v>35</v>
      </c>
      <c r="AI95" s="430" t="s">
        <v>23</v>
      </c>
      <c r="AJ95" s="231" t="str">
        <f>IF(-15-114.08+32.01*LN(Z$79/($X$79*$AJ91)*(507*171))+10*LOG($X$79*$AJ91/(507*171))&lt;5,"&lt;5",-15-114.08+32.01*LN(Z$79/($X$79*$AJ91)*(507*171))+10*LOG($X$79*$AJ91/(507*171)))</f>
        <v>&lt;5</v>
      </c>
      <c r="AK95" s="428" t="s">
        <v>42</v>
      </c>
      <c r="AL95" s="431" t="s">
        <v>33</v>
      </c>
      <c r="AM95" s="431" t="s">
        <v>35</v>
      </c>
      <c r="AN95" s="430" t="s">
        <v>23</v>
      </c>
      <c r="AO95" s="233" t="str">
        <f>IF(-15-114.08+32.01*LN(Z$79/($X$79*$AO91)*(507*171))+10*LOG($X$79*$AO91/(507*171))&lt;5,"&lt;5",-15-114.08+32.01*LN(Z$79/($X$79*$AO91)*(507*171))+10*LOG($X$79*$AO91/(507*171)))</f>
        <v>&lt;5</v>
      </c>
      <c r="AP95" s="136" t="s">
        <v>42</v>
      </c>
      <c r="AQ95" s="242" t="s">
        <v>33</v>
      </c>
      <c r="AR95" s="242" t="s">
        <v>35</v>
      </c>
      <c r="AS95" s="132" t="s">
        <v>23</v>
      </c>
      <c r="AT95" s="230" t="str">
        <f>IF(-15-114.08+32.01*LN(AT$79/($AR$79*$AT91)*(507*171))+10*LOG($AR$79*$AT91/(507*171))&lt;5,"&lt;5",-15-114.08+32.01*LN(AT$79/($AR$79*$AT91)*(507*171))+10*LOG($AR$79*$AT91/(507*171)))</f>
        <v>&lt;5</v>
      </c>
      <c r="AU95" s="428" t="s">
        <v>42</v>
      </c>
      <c r="AV95" s="431" t="s">
        <v>33</v>
      </c>
      <c r="AW95" s="431" t="s">
        <v>35</v>
      </c>
      <c r="AX95" s="430" t="s">
        <v>23</v>
      </c>
      <c r="AY95" s="231" t="str">
        <f>IF(-15-114.08+32.01*LN(AT$79/($AR$79*$AY91)*(507*171))+10*LOG($AR$79*$AY91/(507*171))&lt;5,"&lt;5",-15-114.08+32.01*LN(AT$79/($AR$79*$AY91)*(507*171))+10*LOG($AR$79*$AY91/(507*171)))</f>
        <v>&lt;5</v>
      </c>
      <c r="AZ95" s="428" t="s">
        <v>42</v>
      </c>
      <c r="BA95" s="431" t="s">
        <v>33</v>
      </c>
      <c r="BB95" s="431" t="s">
        <v>35</v>
      </c>
      <c r="BC95" s="430" t="s">
        <v>23</v>
      </c>
      <c r="BD95" s="231" t="str">
        <f>IF(-15-114.08+32.01*LN(AT$79/($AR$79*$BD91)*(507*171))+10*LOG($AR$79*$BD91/(507*171))&lt;5,"&lt;5",-15-114.08+32.01*LN(AT$79/($AR$79*$BD91)*(507*171))+10*LOG($AR$79*$BD91/(507*171)))</f>
        <v>&lt;5</v>
      </c>
      <c r="BE95" s="428" t="s">
        <v>42</v>
      </c>
      <c r="BF95" s="431" t="s">
        <v>33</v>
      </c>
      <c r="BG95" s="431" t="s">
        <v>35</v>
      </c>
      <c r="BH95" s="430" t="s">
        <v>23</v>
      </c>
      <c r="BI95" s="233" t="str">
        <f>IF(-15-114.08+32.01*LN(AT$79/($AR$79*$BI91)*(507*171))+10*LOG($AR$79*$BI91/(507*171))&lt;5,"&lt;5",-15-114.08+32.01*LN(AT$79/($AR$79*$BI91)*(507*171))+10*LOG($AR$79*$BI91/(507*171)))</f>
        <v>&lt;5</v>
      </c>
      <c r="BJ95" s="136" t="s">
        <v>42</v>
      </c>
    </row>
    <row r="96" spans="1:65" x14ac:dyDescent="0.25">
      <c r="C96" s="351"/>
      <c r="D96" s="377"/>
      <c r="E96" s="484" t="s">
        <v>71</v>
      </c>
      <c r="F96" s="746">
        <f>1.075*0.707*F107</f>
        <v>1.2502311136809527</v>
      </c>
      <c r="G96" s="428"/>
      <c r="H96" s="431"/>
      <c r="I96" s="433"/>
      <c r="J96" s="434" t="s">
        <v>71</v>
      </c>
      <c r="K96" s="408">
        <f>1.075*0.707*K107</f>
        <v>1.2484211500672668</v>
      </c>
      <c r="L96" s="428"/>
      <c r="M96" s="431"/>
      <c r="N96" s="433"/>
      <c r="O96" s="434" t="s">
        <v>71</v>
      </c>
      <c r="P96" s="408">
        <f>1.075*0.707*P107</f>
        <v>1.247675319272501</v>
      </c>
      <c r="Q96" s="428"/>
      <c r="R96" s="431"/>
      <c r="S96" s="433"/>
      <c r="T96" s="434" t="s">
        <v>71</v>
      </c>
      <c r="U96" s="435">
        <f>1.075*0.707*U107</f>
        <v>1.2472981067274167</v>
      </c>
      <c r="V96" s="136"/>
      <c r="W96" s="242"/>
      <c r="X96" s="2"/>
      <c r="Y96" s="43" t="s">
        <v>71</v>
      </c>
      <c r="Z96" s="463">
        <f>1.075*0.707*Z107</f>
        <v>1.2479880931643479</v>
      </c>
      <c r="AA96" s="428"/>
      <c r="AB96" s="431"/>
      <c r="AC96" s="433"/>
      <c r="AD96" s="434" t="s">
        <v>71</v>
      </c>
      <c r="AE96" s="408">
        <f>1.075*0.707*AE107</f>
        <v>1.2472782998981524</v>
      </c>
      <c r="AF96" s="428"/>
      <c r="AG96" s="431"/>
      <c r="AH96" s="433"/>
      <c r="AI96" s="434" t="s">
        <v>71</v>
      </c>
      <c r="AJ96" s="408">
        <f>1.075*0.707*AJ107</f>
        <v>1.2469858157444136</v>
      </c>
      <c r="AK96" s="428"/>
      <c r="AL96" s="431"/>
      <c r="AM96" s="433"/>
      <c r="AN96" s="434" t="s">
        <v>71</v>
      </c>
      <c r="AO96" s="435">
        <f>1.075*0.707*AO107</f>
        <v>1.2468378885030029</v>
      </c>
      <c r="AP96" s="140"/>
      <c r="AQ96" s="242"/>
      <c r="AR96" s="377"/>
      <c r="AS96" s="142" t="s">
        <v>71</v>
      </c>
      <c r="AT96" s="432">
        <f>1.075*0.707*AT107</f>
        <v>1.2471053071443974</v>
      </c>
      <c r="AU96" s="428"/>
      <c r="AV96" s="431"/>
      <c r="AW96" s="433"/>
      <c r="AX96" s="434" t="s">
        <v>71</v>
      </c>
      <c r="AY96" s="408">
        <f>1.075*0.707*AY107</f>
        <v>1.2468285081353374</v>
      </c>
      <c r="AZ96" s="428"/>
      <c r="BA96" s="431"/>
      <c r="BB96" s="433"/>
      <c r="BC96" s="434" t="s">
        <v>71</v>
      </c>
      <c r="BD96" s="728">
        <f>1.075*0.707*BD107</f>
        <v>1.2467144477070742</v>
      </c>
      <c r="BE96" s="428"/>
      <c r="BF96" s="431"/>
      <c r="BG96" s="433"/>
      <c r="BH96" s="434" t="s">
        <v>71</v>
      </c>
      <c r="BI96" s="435">
        <f>1.075*0.707*BI107</f>
        <v>1.2466567603271208</v>
      </c>
      <c r="BJ96" s="136"/>
    </row>
    <row r="97" spans="3:64" x14ac:dyDescent="0.25">
      <c r="C97" s="351"/>
      <c r="D97" s="377"/>
      <c r="E97" s="484" t="s">
        <v>72</v>
      </c>
      <c r="F97" s="746">
        <f>1.075*0.707*F108</f>
        <v>2.2874945285865858</v>
      </c>
      <c r="G97" s="428"/>
      <c r="H97" s="431"/>
      <c r="I97" s="433"/>
      <c r="J97" s="434" t="s">
        <v>72</v>
      </c>
      <c r="K97" s="408">
        <f>1.075*0.707*K108</f>
        <v>2.2473031530441618</v>
      </c>
      <c r="L97" s="428"/>
      <c r="M97" s="431"/>
      <c r="N97" s="433"/>
      <c r="O97" s="434" t="s">
        <v>72</v>
      </c>
      <c r="P97" s="408">
        <f>1.075*0.707*P108</f>
        <v>2.2307415131653876</v>
      </c>
      <c r="Q97" s="428"/>
      <c r="R97" s="431"/>
      <c r="S97" s="433"/>
      <c r="T97" s="434" t="s">
        <v>72</v>
      </c>
      <c r="U97" s="435">
        <f>1.075*0.707*U108</f>
        <v>2.2223652723701801</v>
      </c>
      <c r="V97" s="136"/>
      <c r="W97" s="242"/>
      <c r="X97" s="2"/>
      <c r="Y97" s="43" t="s">
        <v>72</v>
      </c>
      <c r="Z97" s="463">
        <f>1.075*0.707*Z108</f>
        <v>2.2376868533103766</v>
      </c>
      <c r="AA97" s="428"/>
      <c r="AB97" s="431"/>
      <c r="AC97" s="433"/>
      <c r="AD97" s="434" t="s">
        <v>72</v>
      </c>
      <c r="AE97" s="408">
        <f>1.075*0.707*AE108</f>
        <v>2.2219254493222174</v>
      </c>
      <c r="AF97" s="428"/>
      <c r="AG97" s="431"/>
      <c r="AH97" s="433"/>
      <c r="AI97" s="434" t="s">
        <v>72</v>
      </c>
      <c r="AJ97" s="408">
        <f>1.075*0.707*AJ108</f>
        <v>2.2154306555185008</v>
      </c>
      <c r="AK97" s="428"/>
      <c r="AL97" s="431"/>
      <c r="AM97" s="433"/>
      <c r="AN97" s="434" t="s">
        <v>72</v>
      </c>
      <c r="AO97" s="435">
        <f>1.075*0.707*AO108</f>
        <v>2.2121458384826664</v>
      </c>
      <c r="AP97" s="140"/>
      <c r="AQ97" s="242"/>
      <c r="AR97" s="377"/>
      <c r="AS97" s="142" t="s">
        <v>72</v>
      </c>
      <c r="AT97" s="432">
        <f>1.075*0.707*AT108</f>
        <v>2.2180840368873462</v>
      </c>
      <c r="AU97" s="428"/>
      <c r="AV97" s="431"/>
      <c r="AW97" s="433"/>
      <c r="AX97" s="434" t="s">
        <v>72</v>
      </c>
      <c r="AY97" s="408">
        <f>1.075*0.707*AY108</f>
        <v>2.2119375415441374</v>
      </c>
      <c r="AZ97" s="428"/>
      <c r="BA97" s="431"/>
      <c r="BB97" s="433"/>
      <c r="BC97" s="434" t="s">
        <v>72</v>
      </c>
      <c r="BD97" s="728">
        <f>1.075*0.707*BD108</f>
        <v>2.2094047583035299</v>
      </c>
      <c r="BE97" s="428"/>
      <c r="BF97" s="431"/>
      <c r="BG97" s="433"/>
      <c r="BH97" s="434" t="s">
        <v>72</v>
      </c>
      <c r="BI97" s="435">
        <f>1.075*0.707*BI108</f>
        <v>2.2081237739046014</v>
      </c>
      <c r="BJ97" s="136"/>
    </row>
    <row r="98" spans="3:64" x14ac:dyDescent="0.25">
      <c r="C98" s="351"/>
      <c r="D98" s="377"/>
      <c r="E98" s="484" t="s">
        <v>79</v>
      </c>
      <c r="F98" s="746">
        <f>1.075*0.707*F109</f>
        <v>1.7547267304337246</v>
      </c>
      <c r="G98" s="428"/>
      <c r="H98" s="431"/>
      <c r="I98" s="433"/>
      <c r="J98" s="434" t="s">
        <v>79</v>
      </c>
      <c r="K98" s="408">
        <f>1.075*0.707*K109</f>
        <v>1.4862352105561365</v>
      </c>
      <c r="L98" s="428"/>
      <c r="M98" s="431"/>
      <c r="N98" s="433"/>
      <c r="O98" s="434" t="s">
        <v>79</v>
      </c>
      <c r="P98" s="408">
        <f>1.075*0.707*P109</f>
        <v>1.3123221406557029</v>
      </c>
      <c r="Q98" s="428"/>
      <c r="R98" s="431"/>
      <c r="S98" s="433"/>
      <c r="T98" s="434" t="s">
        <v>79</v>
      </c>
      <c r="U98" s="435">
        <f>1.075*0.707*U109</f>
        <v>1.1879556123070729</v>
      </c>
      <c r="V98" s="136"/>
      <c r="W98" s="242"/>
      <c r="X98" s="2"/>
      <c r="Y98" s="43" t="s">
        <v>79</v>
      </c>
      <c r="Z98" s="463">
        <f>1.075*0.707*Z109</f>
        <v>1.3934354382936365</v>
      </c>
      <c r="AA98" s="428"/>
      <c r="AB98" s="431"/>
      <c r="AC98" s="433"/>
      <c r="AD98" s="434" t="s">
        <v>79</v>
      </c>
      <c r="AE98" s="408">
        <f>1.075*0.707*AE109</f>
        <v>1.1802252602129288</v>
      </c>
      <c r="AF98" s="428"/>
      <c r="AG98" s="431"/>
      <c r="AH98" s="433"/>
      <c r="AI98" s="434" t="s">
        <v>79</v>
      </c>
      <c r="AJ98" s="408">
        <f>1.075*0.707*AJ109</f>
        <v>1.042120203409125</v>
      </c>
      <c r="AK98" s="428"/>
      <c r="AL98" s="431"/>
      <c r="AM98" s="433"/>
      <c r="AN98" s="434" t="s">
        <v>79</v>
      </c>
      <c r="AO98" s="435">
        <f>1.075*0.707*AO109</f>
        <v>0.94336025125652034</v>
      </c>
      <c r="AP98" s="140"/>
      <c r="AQ98" s="242"/>
      <c r="AR98" s="377"/>
      <c r="AS98" s="142" t="s">
        <v>79</v>
      </c>
      <c r="AT98" s="432">
        <f>1.075*0.707*AT109</f>
        <v>1.105009220292023</v>
      </c>
      <c r="AU98" s="428"/>
      <c r="AV98" s="431"/>
      <c r="AW98" s="433"/>
      <c r="AX98" s="434" t="s">
        <v>79</v>
      </c>
      <c r="AY98" s="408">
        <f>1.075*0.707*AY109</f>
        <v>0.93593126650623837</v>
      </c>
      <c r="AZ98" s="428"/>
      <c r="BA98" s="431"/>
      <c r="BB98" s="433"/>
      <c r="BC98" s="434" t="s">
        <v>79</v>
      </c>
      <c r="BD98" s="728">
        <f>1.075*0.707*BD109</f>
        <v>0.82641247794719641</v>
      </c>
      <c r="BE98" s="428"/>
      <c r="BF98" s="431"/>
      <c r="BG98" s="433"/>
      <c r="BH98" s="434" t="s">
        <v>79</v>
      </c>
      <c r="BI98" s="435">
        <f>1.075*0.707*BI109</f>
        <v>0.74809477859410267</v>
      </c>
      <c r="BJ98" s="136"/>
    </row>
    <row r="99" spans="3:64" x14ac:dyDescent="0.25">
      <c r="C99" s="351"/>
      <c r="D99" s="377"/>
      <c r="E99" s="484" t="s">
        <v>73</v>
      </c>
      <c r="F99" s="746">
        <f>1.075*1.225*F107</f>
        <v>2.1662420286551165</v>
      </c>
      <c r="G99" s="428"/>
      <c r="H99" s="431"/>
      <c r="I99" s="433"/>
      <c r="J99" s="434" t="s">
        <v>73</v>
      </c>
      <c r="K99" s="408">
        <f>1.075*1.225*K107</f>
        <v>2.1631059530868488</v>
      </c>
      <c r="L99" s="428"/>
      <c r="M99" s="431"/>
      <c r="N99" s="433"/>
      <c r="O99" s="434" t="s">
        <v>73</v>
      </c>
      <c r="P99" s="408">
        <f>1.075*1.225*P107</f>
        <v>2.1618136720068089</v>
      </c>
      <c r="Q99" s="428"/>
      <c r="R99" s="431"/>
      <c r="S99" s="433"/>
      <c r="T99" s="434" t="s">
        <v>73</v>
      </c>
      <c r="U99" s="435">
        <f>1.075*1.225*U107</f>
        <v>2.1611600859138407</v>
      </c>
      <c r="V99" s="136"/>
      <c r="W99" s="242"/>
      <c r="X99" s="2"/>
      <c r="Y99" s="43" t="s">
        <v>73</v>
      </c>
      <c r="Z99" s="463">
        <f>1.075*1.225*Z107</f>
        <v>2.1623556069679299</v>
      </c>
      <c r="AA99" s="428"/>
      <c r="AB99" s="431"/>
      <c r="AC99" s="433"/>
      <c r="AD99" s="434" t="s">
        <v>73</v>
      </c>
      <c r="AE99" s="408">
        <f>1.075*1.225*AE107</f>
        <v>2.1611257671502639</v>
      </c>
      <c r="AF99" s="428"/>
      <c r="AG99" s="431"/>
      <c r="AH99" s="433"/>
      <c r="AI99" s="434" t="s">
        <v>73</v>
      </c>
      <c r="AJ99" s="408">
        <f>1.075*1.225*AJ107</f>
        <v>2.1606189876759641</v>
      </c>
      <c r="AK99" s="428"/>
      <c r="AL99" s="431"/>
      <c r="AM99" s="433"/>
      <c r="AN99" s="434" t="s">
        <v>73</v>
      </c>
      <c r="AO99" s="435">
        <f>1.075*1.225*AO107</f>
        <v>2.1603626780992626</v>
      </c>
      <c r="AP99" s="140"/>
      <c r="AQ99" s="242"/>
      <c r="AR99" s="377"/>
      <c r="AS99" s="142" t="s">
        <v>73</v>
      </c>
      <c r="AT99" s="432">
        <f>1.075*1.225*AT107</f>
        <v>2.1608260272303919</v>
      </c>
      <c r="AU99" s="428"/>
      <c r="AV99" s="431"/>
      <c r="AW99" s="433"/>
      <c r="AX99" s="434" t="s">
        <v>73</v>
      </c>
      <c r="AY99" s="408">
        <f>1.075*1.225*AY107</f>
        <v>2.160346424986971</v>
      </c>
      <c r="AZ99" s="428"/>
      <c r="BA99" s="431"/>
      <c r="BB99" s="433"/>
      <c r="BC99" s="434" t="s">
        <v>73</v>
      </c>
      <c r="BD99" s="728">
        <f>1.075*1.225*BD107</f>
        <v>2.1601487955320593</v>
      </c>
      <c r="BE99" s="428"/>
      <c r="BF99" s="431"/>
      <c r="BG99" s="433"/>
      <c r="BH99" s="434" t="s">
        <v>73</v>
      </c>
      <c r="BI99" s="435">
        <f>1.075*1.225*BI107</f>
        <v>2.1600488421509523</v>
      </c>
      <c r="BJ99" s="136"/>
    </row>
    <row r="100" spans="3:64" x14ac:dyDescent="0.25">
      <c r="C100" s="351"/>
      <c r="D100" s="377"/>
      <c r="E100" s="484" t="s">
        <v>74</v>
      </c>
      <c r="F100" s="746">
        <f>1.075*1.225*F108</f>
        <v>3.963480618838144</v>
      </c>
      <c r="G100" s="428"/>
      <c r="H100" s="431"/>
      <c r="I100" s="433"/>
      <c r="J100" s="434" t="s">
        <v>74</v>
      </c>
      <c r="K100" s="408">
        <f>1.075*1.225*K108</f>
        <v>3.8938420968586964</v>
      </c>
      <c r="L100" s="428"/>
      <c r="M100" s="431"/>
      <c r="N100" s="433"/>
      <c r="O100" s="434" t="s">
        <v>74</v>
      </c>
      <c r="P100" s="408">
        <f>1.075*1.225*P108</f>
        <v>3.8651461861776526</v>
      </c>
      <c r="Q100" s="428"/>
      <c r="R100" s="431"/>
      <c r="S100" s="433"/>
      <c r="T100" s="434" t="s">
        <v>74</v>
      </c>
      <c r="U100" s="435">
        <f>1.075*1.225*U108</f>
        <v>3.8506328976711042</v>
      </c>
      <c r="V100" s="136"/>
      <c r="W100" s="242"/>
      <c r="X100" s="2"/>
      <c r="Y100" s="43" t="s">
        <v>74</v>
      </c>
      <c r="Z100" s="463">
        <f>1.075*1.225*Z108</f>
        <v>3.8771801913793658</v>
      </c>
      <c r="AA100" s="428"/>
      <c r="AB100" s="431"/>
      <c r="AC100" s="433"/>
      <c r="AD100" s="434" t="s">
        <v>74</v>
      </c>
      <c r="AE100" s="408">
        <f>1.075*1.225*AE108</f>
        <v>3.849870828033545</v>
      </c>
      <c r="AF100" s="428"/>
      <c r="AG100" s="431"/>
      <c r="AH100" s="433"/>
      <c r="AI100" s="434" t="s">
        <v>74</v>
      </c>
      <c r="AJ100" s="408">
        <f>1.075*1.225*AJ108</f>
        <v>3.8386174724330462</v>
      </c>
      <c r="AK100" s="428"/>
      <c r="AL100" s="431"/>
      <c r="AM100" s="433"/>
      <c r="AN100" s="434" t="s">
        <v>74</v>
      </c>
      <c r="AO100" s="435">
        <f>1.075*1.225*AO108</f>
        <v>3.8329259577669967</v>
      </c>
      <c r="AP100" s="140"/>
      <c r="AQ100" s="242"/>
      <c r="AR100" s="377"/>
      <c r="AS100" s="142" t="s">
        <v>74</v>
      </c>
      <c r="AT100" s="432">
        <f>1.075*1.225*AT108</f>
        <v>3.8432149153988679</v>
      </c>
      <c r="AU100" s="428"/>
      <c r="AV100" s="431"/>
      <c r="AW100" s="433"/>
      <c r="AX100" s="434" t="s">
        <v>74</v>
      </c>
      <c r="AY100" s="408">
        <f>1.075*1.225*AY108</f>
        <v>3.8325650472299415</v>
      </c>
      <c r="AZ100" s="428"/>
      <c r="BA100" s="431"/>
      <c r="BB100" s="433"/>
      <c r="BC100" s="434" t="s">
        <v>74</v>
      </c>
      <c r="BD100" s="728">
        <f>1.075*1.225*BD108</f>
        <v>3.8281765614170076</v>
      </c>
      <c r="BE100" s="428"/>
      <c r="BF100" s="431"/>
      <c r="BG100" s="433"/>
      <c r="BH100" s="434" t="s">
        <v>74</v>
      </c>
      <c r="BI100" s="435">
        <f>1.075*1.225*BI108</f>
        <v>3.825957033993121</v>
      </c>
      <c r="BJ100" s="136"/>
    </row>
    <row r="101" spans="3:64" x14ac:dyDescent="0.25">
      <c r="C101" s="351"/>
      <c r="D101" s="377"/>
      <c r="E101" s="484" t="s">
        <v>80</v>
      </c>
      <c r="F101" s="746">
        <f>1.075*1.225*F109</f>
        <v>3.0403680972861564</v>
      </c>
      <c r="G101" s="428"/>
      <c r="H101" s="431"/>
      <c r="I101" s="433"/>
      <c r="J101" s="434" t="s">
        <v>80</v>
      </c>
      <c r="K101" s="408">
        <f>1.075*1.225*K109</f>
        <v>2.5751600182903358</v>
      </c>
      <c r="L101" s="428"/>
      <c r="M101" s="431"/>
      <c r="N101" s="433"/>
      <c r="O101" s="434" t="s">
        <v>80</v>
      </c>
      <c r="P101" s="408">
        <f>1.075*1.225*P109</f>
        <v>2.273825491235129</v>
      </c>
      <c r="Q101" s="428"/>
      <c r="R101" s="431"/>
      <c r="S101" s="433"/>
      <c r="T101" s="434" t="s">
        <v>80</v>
      </c>
      <c r="U101" s="435">
        <f>1.075*1.225*U109</f>
        <v>2.0583389322152255</v>
      </c>
      <c r="V101" s="136"/>
      <c r="W101" s="242"/>
      <c r="X101" s="2"/>
      <c r="Y101" s="43" t="s">
        <v>80</v>
      </c>
      <c r="Z101" s="463">
        <f>1.075*1.225*Z109</f>
        <v>2.4143683336770931</v>
      </c>
      <c r="AA101" s="428"/>
      <c r="AB101" s="431"/>
      <c r="AC101" s="433"/>
      <c r="AD101" s="434" t="s">
        <v>80</v>
      </c>
      <c r="AE101" s="408">
        <f>1.075*1.225*AE109</f>
        <v>2.0449447577946787</v>
      </c>
      <c r="AF101" s="428"/>
      <c r="AG101" s="431"/>
      <c r="AH101" s="433"/>
      <c r="AI101" s="434" t="s">
        <v>80</v>
      </c>
      <c r="AJ101" s="408">
        <f>1.075*1.225*AJ109</f>
        <v>1.8056538177880881</v>
      </c>
      <c r="AK101" s="428"/>
      <c r="AL101" s="431"/>
      <c r="AM101" s="433"/>
      <c r="AN101" s="434" t="s">
        <v>80</v>
      </c>
      <c r="AO101" s="435">
        <f>1.075*1.225*AO109</f>
        <v>1.6345350888108026</v>
      </c>
      <c r="AP101" s="140"/>
      <c r="AQ101" s="242"/>
      <c r="AR101" s="377"/>
      <c r="AS101" s="142" t="s">
        <v>80</v>
      </c>
      <c r="AT101" s="432">
        <f>1.075*1.225*AT109</f>
        <v>1.9146199361495448</v>
      </c>
      <c r="AU101" s="428"/>
      <c r="AV101" s="431"/>
      <c r="AW101" s="433"/>
      <c r="AX101" s="434" t="s">
        <v>80</v>
      </c>
      <c r="AY101" s="408">
        <f>1.075*1.225*AY109</f>
        <v>1.6216630855306111</v>
      </c>
      <c r="AZ101" s="428"/>
      <c r="BA101" s="431"/>
      <c r="BB101" s="433"/>
      <c r="BC101" s="434" t="s">
        <v>80</v>
      </c>
      <c r="BD101" s="728">
        <f>1.075*1.225*BD109</f>
        <v>1.4319028083243504</v>
      </c>
      <c r="BE101" s="428"/>
      <c r="BF101" s="431"/>
      <c r="BG101" s="433"/>
      <c r="BH101" s="434" t="s">
        <v>80</v>
      </c>
      <c r="BI101" s="435">
        <f>1.075*1.225*BI109</f>
        <v>1.2962038242967127</v>
      </c>
      <c r="BJ101" s="136"/>
    </row>
    <row r="102" spans="3:64" ht="15.75" thickBot="1" x14ac:dyDescent="0.3">
      <c r="C102" s="501"/>
      <c r="D102" s="288"/>
      <c r="E102" s="145" t="s">
        <v>93</v>
      </c>
      <c r="F102" s="284">
        <f>2+(F$86/$D$79*$F$74/$F$72^3)</f>
        <v>2.1080598388940128</v>
      </c>
      <c r="G102" s="436" t="s">
        <v>32</v>
      </c>
      <c r="H102" s="437"/>
      <c r="I102" s="438"/>
      <c r="J102" s="439" t="s">
        <v>93</v>
      </c>
      <c r="K102" s="285">
        <f>2+(F$86/$D$79*$F$74/$F$72^3)</f>
        <v>2.1080598388940128</v>
      </c>
      <c r="L102" s="436" t="s">
        <v>32</v>
      </c>
      <c r="M102" s="437"/>
      <c r="N102" s="438"/>
      <c r="O102" s="439" t="s">
        <v>93</v>
      </c>
      <c r="P102" s="285">
        <f>2+(F$86/$D$79*$F$74/$F$72^3)</f>
        <v>2.1080598388940128</v>
      </c>
      <c r="Q102" s="436" t="s">
        <v>32</v>
      </c>
      <c r="R102" s="437"/>
      <c r="S102" s="438"/>
      <c r="T102" s="439" t="s">
        <v>93</v>
      </c>
      <c r="U102" s="296">
        <f>2+(F$86/$D$79*$F$74/$F$72^3)</f>
        <v>2.1080598388940128</v>
      </c>
      <c r="V102" s="214" t="s">
        <v>32</v>
      </c>
      <c r="W102" s="151"/>
      <c r="X102" s="289"/>
      <c r="Y102" s="145" t="s">
        <v>93</v>
      </c>
      <c r="Z102" s="284">
        <f>2+(Z$79/$X$79*$F$74/$F$72^3)</f>
        <v>2.0681426525047488</v>
      </c>
      <c r="AA102" s="436" t="s">
        <v>32</v>
      </c>
      <c r="AB102" s="437"/>
      <c r="AC102" s="438"/>
      <c r="AD102" s="439" t="s">
        <v>93</v>
      </c>
      <c r="AE102" s="285">
        <f>2+(Z$79/$X$79*$F$74/$F$72^3)</f>
        <v>2.0681426525047488</v>
      </c>
      <c r="AF102" s="436" t="s">
        <v>32</v>
      </c>
      <c r="AG102" s="437"/>
      <c r="AH102" s="438"/>
      <c r="AI102" s="439" t="s">
        <v>93</v>
      </c>
      <c r="AJ102" s="285">
        <f>2+(Z$79/$X$79*$F$74/$F$72^3)</f>
        <v>2.0681426525047488</v>
      </c>
      <c r="AK102" s="436" t="s">
        <v>32</v>
      </c>
      <c r="AL102" s="437"/>
      <c r="AM102" s="438"/>
      <c r="AN102" s="439" t="s">
        <v>93</v>
      </c>
      <c r="AO102" s="296">
        <f>2+(Z$79/$X$79*$F$74/$F$72^3)</f>
        <v>2.0681426525047488</v>
      </c>
      <c r="AP102" s="214" t="s">
        <v>32</v>
      </c>
      <c r="AQ102" s="151"/>
      <c r="AR102" s="288"/>
      <c r="AS102" s="287" t="s">
        <v>93</v>
      </c>
      <c r="AT102" s="284">
        <f>2+(AT$79/$AR$79*$F$74/$F$72^3)</f>
        <v>2.0428525959050483</v>
      </c>
      <c r="AU102" s="436" t="s">
        <v>32</v>
      </c>
      <c r="AV102" s="437"/>
      <c r="AW102" s="438"/>
      <c r="AX102" s="439" t="s">
        <v>93</v>
      </c>
      <c r="AY102" s="285">
        <f>2+(AT$79/$AR$79*$F$74/$F$72^3)</f>
        <v>2.0428525959050483</v>
      </c>
      <c r="AZ102" s="436" t="s">
        <v>32</v>
      </c>
      <c r="BA102" s="437"/>
      <c r="BB102" s="438"/>
      <c r="BC102" s="439" t="s">
        <v>93</v>
      </c>
      <c r="BD102" s="285">
        <f>2+(AT$79/$AR$79*$F$74/$F$72^3)</f>
        <v>2.0428525959050483</v>
      </c>
      <c r="BE102" s="436" t="s">
        <v>32</v>
      </c>
      <c r="BF102" s="437"/>
      <c r="BG102" s="438"/>
      <c r="BH102" s="439" t="s">
        <v>93</v>
      </c>
      <c r="BI102" s="296">
        <f>2+(AT$79/$AR$79*$F$74/$F$72^3)</f>
        <v>2.0428525959050483</v>
      </c>
      <c r="BJ102" s="214" t="s">
        <v>32</v>
      </c>
    </row>
    <row r="103" spans="3:64" x14ac:dyDescent="0.25">
      <c r="C103" s="140"/>
      <c r="D103" s="480"/>
      <c r="E103" s="132" t="s">
        <v>56</v>
      </c>
      <c r="F103" s="255">
        <f>F96</f>
        <v>1.2502311136809527</v>
      </c>
      <c r="G103" s="428" t="s">
        <v>32</v>
      </c>
      <c r="H103" s="428"/>
      <c r="I103" s="440"/>
      <c r="J103" s="430" t="s">
        <v>56</v>
      </c>
      <c r="K103" s="184">
        <f>K96</f>
        <v>1.2484211500672668</v>
      </c>
      <c r="L103" s="428" t="s">
        <v>32</v>
      </c>
      <c r="M103" s="428"/>
      <c r="N103" s="440"/>
      <c r="O103" s="430" t="s">
        <v>56</v>
      </c>
      <c r="P103" s="184">
        <f>P96</f>
        <v>1.247675319272501</v>
      </c>
      <c r="Q103" s="428" t="s">
        <v>32</v>
      </c>
      <c r="R103" s="428"/>
      <c r="S103" s="440"/>
      <c r="T103" s="430" t="s">
        <v>56</v>
      </c>
      <c r="U103" s="200">
        <f>U96</f>
        <v>1.2472981067274167</v>
      </c>
      <c r="V103" s="136" t="s">
        <v>32</v>
      </c>
      <c r="W103" s="140"/>
      <c r="X103" s="243"/>
      <c r="Y103" s="132" t="s">
        <v>56</v>
      </c>
      <c r="Z103" s="175">
        <f>Z96</f>
        <v>1.2479880931643479</v>
      </c>
      <c r="AA103" s="453" t="s">
        <v>32</v>
      </c>
      <c r="AB103" s="453"/>
      <c r="AC103" s="455"/>
      <c r="AD103" s="454" t="s">
        <v>56</v>
      </c>
      <c r="AE103" s="184">
        <f>AE96</f>
        <v>1.2472782998981524</v>
      </c>
      <c r="AF103" s="184" t="s">
        <v>32</v>
      </c>
      <c r="AG103" s="184"/>
      <c r="AH103" s="184"/>
      <c r="AI103" s="184" t="s">
        <v>56</v>
      </c>
      <c r="AJ103" s="184">
        <f>AJ96</f>
        <v>1.2469858157444136</v>
      </c>
      <c r="AK103" s="453" t="s">
        <v>32</v>
      </c>
      <c r="AL103" s="453"/>
      <c r="AM103" s="455"/>
      <c r="AN103" s="454" t="s">
        <v>56</v>
      </c>
      <c r="AO103" s="200">
        <f>AO96</f>
        <v>1.2468378885030029</v>
      </c>
      <c r="AP103" s="136" t="s">
        <v>32</v>
      </c>
      <c r="AQ103" s="140"/>
      <c r="AR103" s="243"/>
      <c r="AS103" s="132" t="s">
        <v>56</v>
      </c>
      <c r="AT103" s="747">
        <f>AT96</f>
        <v>1.2471053071443974</v>
      </c>
      <c r="AU103" s="453" t="s">
        <v>32</v>
      </c>
      <c r="AV103" s="453"/>
      <c r="AW103" s="455"/>
      <c r="AX103" s="454" t="s">
        <v>56</v>
      </c>
      <c r="AY103" s="184">
        <f>AY96</f>
        <v>1.2468285081353374</v>
      </c>
      <c r="AZ103" s="184" t="s">
        <v>32</v>
      </c>
      <c r="BA103" s="184"/>
      <c r="BB103" s="184"/>
      <c r="BC103" s="184" t="s">
        <v>56</v>
      </c>
      <c r="BD103" s="184">
        <f>BD96</f>
        <v>1.2467144477070742</v>
      </c>
      <c r="BE103" s="453" t="s">
        <v>32</v>
      </c>
      <c r="BF103" s="453"/>
      <c r="BG103" s="455"/>
      <c r="BH103" s="454" t="s">
        <v>56</v>
      </c>
      <c r="BI103" s="200">
        <f>BI96</f>
        <v>1.2466567603271208</v>
      </c>
      <c r="BJ103" s="136" t="s">
        <v>32</v>
      </c>
      <c r="BL103" s="106"/>
    </row>
    <row r="104" spans="3:64" x14ac:dyDescent="0.25">
      <c r="C104" s="140"/>
      <c r="D104" s="481" t="s">
        <v>65</v>
      </c>
      <c r="E104" s="144" t="s">
        <v>57</v>
      </c>
      <c r="F104" s="178">
        <f>IF(F97&lt;F98,F97,F98)</f>
        <v>1.7547267304337246</v>
      </c>
      <c r="G104" s="441" t="s">
        <v>32</v>
      </c>
      <c r="H104" s="428"/>
      <c r="I104" s="442" t="s">
        <v>65</v>
      </c>
      <c r="J104" s="443" t="s">
        <v>57</v>
      </c>
      <c r="K104" s="176">
        <f>IF(K97&lt;K98,K97,K98)</f>
        <v>1.4862352105561365</v>
      </c>
      <c r="L104" s="441" t="s">
        <v>32</v>
      </c>
      <c r="M104" s="428"/>
      <c r="N104" s="442" t="s">
        <v>65</v>
      </c>
      <c r="O104" s="443" t="s">
        <v>57</v>
      </c>
      <c r="P104" s="179">
        <f>IF(P97&lt;P98,P97,P98)</f>
        <v>1.3123221406557029</v>
      </c>
      <c r="Q104" s="441" t="s">
        <v>32</v>
      </c>
      <c r="R104" s="428"/>
      <c r="S104" s="442" t="s">
        <v>65</v>
      </c>
      <c r="T104" s="443" t="s">
        <v>57</v>
      </c>
      <c r="U104" s="197">
        <f>IF(U97&lt;U98,U97,U98)</f>
        <v>1.1879556123070729</v>
      </c>
      <c r="V104" s="216" t="s">
        <v>32</v>
      </c>
      <c r="W104" s="140"/>
      <c r="X104" s="247" t="s">
        <v>65</v>
      </c>
      <c r="Y104" s="144" t="s">
        <v>57</v>
      </c>
      <c r="Z104" s="178">
        <f>IF(Z97&lt;Z98,Z97,Z98)</f>
        <v>1.3934354382936365</v>
      </c>
      <c r="AA104" s="441" t="s">
        <v>32</v>
      </c>
      <c r="AB104" s="428"/>
      <c r="AC104" s="442" t="s">
        <v>65</v>
      </c>
      <c r="AD104" s="443" t="s">
        <v>57</v>
      </c>
      <c r="AE104" s="179">
        <f>IF(AE97&lt;AE98,AE97,AE98)</f>
        <v>1.1802252602129288</v>
      </c>
      <c r="AF104" s="179" t="s">
        <v>32</v>
      </c>
      <c r="AG104" s="179"/>
      <c r="AH104" s="179" t="s">
        <v>65</v>
      </c>
      <c r="AI104" s="179" t="s">
        <v>57</v>
      </c>
      <c r="AJ104" s="179">
        <f>IF(AJ97&lt;AJ98,AJ97,AJ98)</f>
        <v>1.042120203409125</v>
      </c>
      <c r="AK104" s="441" t="s">
        <v>32</v>
      </c>
      <c r="AL104" s="428"/>
      <c r="AM104" s="442" t="s">
        <v>65</v>
      </c>
      <c r="AN104" s="443" t="s">
        <v>57</v>
      </c>
      <c r="AO104" s="197">
        <f>IF(AO97&lt;AO98,AO97,AO98)</f>
        <v>0.94336025125652034</v>
      </c>
      <c r="AP104" s="216" t="s">
        <v>32</v>
      </c>
      <c r="AQ104" s="140"/>
      <c r="AR104" s="247" t="s">
        <v>65</v>
      </c>
      <c r="AS104" s="253" t="s">
        <v>57</v>
      </c>
      <c r="AT104" s="748">
        <f>IF(AT97&lt;AT98,AT97,AT98)</f>
        <v>1.105009220292023</v>
      </c>
      <c r="AU104" s="441" t="s">
        <v>32</v>
      </c>
      <c r="AV104" s="428"/>
      <c r="AW104" s="442" t="s">
        <v>65</v>
      </c>
      <c r="AX104" s="443" t="s">
        <v>57</v>
      </c>
      <c r="AY104" s="179">
        <f>IF(AY97&lt;AY98,AY97,AY98)</f>
        <v>0.93593126650623837</v>
      </c>
      <c r="AZ104" s="179" t="s">
        <v>32</v>
      </c>
      <c r="BA104" s="179"/>
      <c r="BB104" s="179" t="s">
        <v>65</v>
      </c>
      <c r="BC104" s="179" t="s">
        <v>57</v>
      </c>
      <c r="BD104" s="179">
        <f>IF(BD97&lt;BD98,BD97,BD98)</f>
        <v>0.82641247794719641</v>
      </c>
      <c r="BE104" s="441" t="s">
        <v>32</v>
      </c>
      <c r="BF104" s="428"/>
      <c r="BG104" s="442" t="s">
        <v>65</v>
      </c>
      <c r="BH104" s="443" t="s">
        <v>57</v>
      </c>
      <c r="BI104" s="197">
        <f>IF(BI97&lt;BI98,BI97,BI98)</f>
        <v>0.74809477859410267</v>
      </c>
      <c r="BJ104" s="216" t="s">
        <v>32</v>
      </c>
    </row>
    <row r="105" spans="3:64" x14ac:dyDescent="0.25">
      <c r="C105" s="140"/>
      <c r="D105" s="480" t="s">
        <v>66</v>
      </c>
      <c r="E105" s="132" t="s">
        <v>60</v>
      </c>
      <c r="F105" s="181">
        <f>F99</f>
        <v>2.1662420286551165</v>
      </c>
      <c r="G105" s="444" t="s">
        <v>32</v>
      </c>
      <c r="H105" s="428"/>
      <c r="I105" s="440" t="s">
        <v>66</v>
      </c>
      <c r="J105" s="430" t="s">
        <v>60</v>
      </c>
      <c r="K105" s="182">
        <f>K99</f>
        <v>2.1631059530868488</v>
      </c>
      <c r="L105" s="444" t="s">
        <v>32</v>
      </c>
      <c r="M105" s="428"/>
      <c r="N105" s="440" t="s">
        <v>66</v>
      </c>
      <c r="O105" s="430" t="s">
        <v>60</v>
      </c>
      <c r="P105" s="182">
        <f>P99</f>
        <v>2.1618136720068089</v>
      </c>
      <c r="Q105" s="444" t="s">
        <v>32</v>
      </c>
      <c r="R105" s="428"/>
      <c r="S105" s="440" t="s">
        <v>66</v>
      </c>
      <c r="T105" s="430" t="s">
        <v>60</v>
      </c>
      <c r="U105" s="198">
        <f>U99</f>
        <v>2.1611600859138407</v>
      </c>
      <c r="V105" s="217" t="s">
        <v>32</v>
      </c>
      <c r="W105" s="140"/>
      <c r="X105" s="243" t="s">
        <v>66</v>
      </c>
      <c r="Y105" s="132" t="s">
        <v>60</v>
      </c>
      <c r="Z105" s="181">
        <f>Z99</f>
        <v>2.1623556069679299</v>
      </c>
      <c r="AA105" s="444" t="s">
        <v>32</v>
      </c>
      <c r="AB105" s="428"/>
      <c r="AC105" s="440" t="s">
        <v>66</v>
      </c>
      <c r="AD105" s="430" t="s">
        <v>60</v>
      </c>
      <c r="AE105" s="182">
        <f>AE99</f>
        <v>2.1611257671502639</v>
      </c>
      <c r="AF105" s="182" t="s">
        <v>32</v>
      </c>
      <c r="AG105" s="182"/>
      <c r="AH105" s="182" t="s">
        <v>66</v>
      </c>
      <c r="AI105" s="182" t="s">
        <v>60</v>
      </c>
      <c r="AJ105" s="182">
        <f>AJ99</f>
        <v>2.1606189876759641</v>
      </c>
      <c r="AK105" s="444" t="s">
        <v>32</v>
      </c>
      <c r="AL105" s="428"/>
      <c r="AM105" s="440" t="s">
        <v>66</v>
      </c>
      <c r="AN105" s="430" t="s">
        <v>60</v>
      </c>
      <c r="AO105" s="198">
        <f>AO99</f>
        <v>2.1603626780992626</v>
      </c>
      <c r="AP105" s="217" t="s">
        <v>32</v>
      </c>
      <c r="AQ105" s="140"/>
      <c r="AR105" s="243" t="s">
        <v>66</v>
      </c>
      <c r="AS105" s="252" t="s">
        <v>60</v>
      </c>
      <c r="AT105" s="749">
        <f>AT99</f>
        <v>2.1608260272303919</v>
      </c>
      <c r="AU105" s="444" t="s">
        <v>32</v>
      </c>
      <c r="AV105" s="428"/>
      <c r="AW105" s="440" t="s">
        <v>66</v>
      </c>
      <c r="AX105" s="430" t="s">
        <v>60</v>
      </c>
      <c r="AY105" s="182">
        <f>AY99</f>
        <v>2.160346424986971</v>
      </c>
      <c r="AZ105" s="182" t="s">
        <v>32</v>
      </c>
      <c r="BA105" s="182"/>
      <c r="BB105" s="182" t="s">
        <v>66</v>
      </c>
      <c r="BC105" s="182" t="s">
        <v>60</v>
      </c>
      <c r="BD105" s="182">
        <f>BD99</f>
        <v>2.1601487955320593</v>
      </c>
      <c r="BE105" s="444" t="s">
        <v>32</v>
      </c>
      <c r="BF105" s="428"/>
      <c r="BG105" s="440" t="s">
        <v>66</v>
      </c>
      <c r="BH105" s="430" t="s">
        <v>60</v>
      </c>
      <c r="BI105" s="198">
        <f>BI99</f>
        <v>2.1600488421509523</v>
      </c>
      <c r="BJ105" s="217" t="s">
        <v>32</v>
      </c>
    </row>
    <row r="106" spans="3:64" ht="15.75" thickBot="1" x14ac:dyDescent="0.3">
      <c r="C106" s="140"/>
      <c r="D106" s="482"/>
      <c r="E106" s="145" t="s">
        <v>61</v>
      </c>
      <c r="F106" s="258">
        <f>IF(F100&lt;F101,F100,F101)</f>
        <v>3.0403680972861564</v>
      </c>
      <c r="G106" s="436" t="s">
        <v>32</v>
      </c>
      <c r="H106" s="428"/>
      <c r="I106" s="445"/>
      <c r="J106" s="439" t="s">
        <v>61</v>
      </c>
      <c r="K106" s="193">
        <f>IF(K100&lt;K101,K100,K101)</f>
        <v>2.5751600182903358</v>
      </c>
      <c r="L106" s="436" t="s">
        <v>32</v>
      </c>
      <c r="M106" s="428"/>
      <c r="N106" s="440"/>
      <c r="O106" s="439" t="s">
        <v>61</v>
      </c>
      <c r="P106" s="193">
        <f>IF(P100&lt;P101,P100,P101)</f>
        <v>2.273825491235129</v>
      </c>
      <c r="Q106" s="436" t="s">
        <v>32</v>
      </c>
      <c r="R106" s="428"/>
      <c r="S106" s="445"/>
      <c r="T106" s="439" t="s">
        <v>61</v>
      </c>
      <c r="U106" s="199">
        <f>IF(U100&lt;U101,U100,U101)</f>
        <v>2.0583389322152255</v>
      </c>
      <c r="V106" s="214" t="s">
        <v>32</v>
      </c>
      <c r="W106" s="140"/>
      <c r="X106" s="246"/>
      <c r="Y106" s="145" t="s">
        <v>61</v>
      </c>
      <c r="Z106" s="258">
        <f>IF(Z100&lt;Z101,Z100,Z101)</f>
        <v>2.4143683336770931</v>
      </c>
      <c r="AA106" s="436" t="s">
        <v>32</v>
      </c>
      <c r="AB106" s="428"/>
      <c r="AC106" s="445"/>
      <c r="AD106" s="439" t="s">
        <v>61</v>
      </c>
      <c r="AE106" s="193">
        <f>IF(AE100&lt;AE101,AE100,AE101)</f>
        <v>2.0449447577946787</v>
      </c>
      <c r="AF106" s="193" t="s">
        <v>32</v>
      </c>
      <c r="AG106" s="193"/>
      <c r="AH106" s="193"/>
      <c r="AI106" s="193" t="s">
        <v>61</v>
      </c>
      <c r="AJ106" s="193">
        <f>IF(AJ100&lt;AJ101,AJ100,AJ101)</f>
        <v>1.8056538177880881</v>
      </c>
      <c r="AK106" s="436" t="s">
        <v>32</v>
      </c>
      <c r="AL106" s="428"/>
      <c r="AM106" s="445"/>
      <c r="AN106" s="439" t="s">
        <v>61</v>
      </c>
      <c r="AO106" s="199">
        <f>IF(AO100&lt;AO101,AO100,AO101)</f>
        <v>1.6345350888108026</v>
      </c>
      <c r="AP106" s="214" t="s">
        <v>32</v>
      </c>
      <c r="AQ106" s="140"/>
      <c r="AR106" s="246"/>
      <c r="AS106" s="238" t="s">
        <v>61</v>
      </c>
      <c r="AT106" s="750">
        <f>IF(AT100&lt;AT101,AT100,AT101)</f>
        <v>1.9146199361495448</v>
      </c>
      <c r="AU106" s="436" t="s">
        <v>32</v>
      </c>
      <c r="AV106" s="428"/>
      <c r="AW106" s="445"/>
      <c r="AX106" s="439" t="s">
        <v>61</v>
      </c>
      <c r="AY106" s="193">
        <f>IF(AY100&lt;AY101,AY100,AY101)</f>
        <v>1.6216630855306111</v>
      </c>
      <c r="AZ106" s="193" t="s">
        <v>32</v>
      </c>
      <c r="BA106" s="193"/>
      <c r="BB106" s="193"/>
      <c r="BC106" s="193" t="s">
        <v>61</v>
      </c>
      <c r="BD106" s="193">
        <f>IF(BD100&lt;BD101,BD100,BD101)</f>
        <v>1.4319028083243504</v>
      </c>
      <c r="BE106" s="436" t="s">
        <v>32</v>
      </c>
      <c r="BF106" s="428"/>
      <c r="BG106" s="445"/>
      <c r="BH106" s="439" t="s">
        <v>61</v>
      </c>
      <c r="BI106" s="199">
        <f>IF(BI100&lt;BI101,BI100,BI101)</f>
        <v>1.2962038242967127</v>
      </c>
      <c r="BJ106" s="214" t="s">
        <v>32</v>
      </c>
    </row>
    <row r="107" spans="3:64" x14ac:dyDescent="0.25">
      <c r="C107" s="242"/>
      <c r="D107" s="2"/>
      <c r="E107" s="484" t="s">
        <v>75</v>
      </c>
      <c r="F107" s="721">
        <f>(0.2529+2.7683*10^-4*F93)*SQRT(F$86)/$F$68*$F$69*$F$71/$F$72</f>
        <v>1.6449868276450812</v>
      </c>
      <c r="G107" s="428"/>
      <c r="H107" s="431"/>
      <c r="I107" s="446"/>
      <c r="J107" s="447" t="s">
        <v>75</v>
      </c>
      <c r="K107" s="723">
        <f>(0.2529+2.7683*10^-4*K93)*SQRT(F$86)/$F$68*$F$69*$F$71/$F$72</f>
        <v>1.6426053749117029</v>
      </c>
      <c r="L107" s="723"/>
      <c r="M107" s="724"/>
      <c r="N107" s="725"/>
      <c r="O107" s="726" t="s">
        <v>75</v>
      </c>
      <c r="P107" s="727">
        <f>(0.2529+2.7683*10^-4*P93)*SQRT(F$86)/$F$68*$F$69*$F$71/$F$72</f>
        <v>1.6416240508831961</v>
      </c>
      <c r="Q107" s="728"/>
      <c r="R107" s="724"/>
      <c r="S107" s="725"/>
      <c r="T107" s="726" t="s">
        <v>75</v>
      </c>
      <c r="U107" s="729">
        <f>(0.2529+2.7683*10^-4*U93)*SQRT(F$86)/$F$68*$F$69*$F$71/$F$72</f>
        <v>1.6411277349132156</v>
      </c>
      <c r="V107" s="136"/>
      <c r="W107" s="242"/>
      <c r="X107" s="2"/>
      <c r="Y107" s="43" t="s">
        <v>75</v>
      </c>
      <c r="Z107" s="730">
        <f>(0.2529+2.7683*10^-4*Z93)*SQRT(Z$79)/$F$68*$F$69*$F$71/$F$72</f>
        <v>1.6420355819405257</v>
      </c>
      <c r="AA107" s="731"/>
      <c r="AB107" s="732"/>
      <c r="AC107" s="733"/>
      <c r="AD107" s="734" t="s">
        <v>75</v>
      </c>
      <c r="AE107" s="735">
        <f>(0.2529+2.7683*10^-4*AE93)*SQRT(Z$79)/$F$68*$F$69*$F$71/$F$72</f>
        <v>1.6411016741530244</v>
      </c>
      <c r="AF107" s="735"/>
      <c r="AG107" s="735"/>
      <c r="AH107" s="735"/>
      <c r="AI107" s="735" t="s">
        <v>75</v>
      </c>
      <c r="AJ107" s="735">
        <f>(0.2529+2.7683*10^-4*AJ93)*SQRT(Z$79)/$F$68*$F$69*$F$71/$F$72</f>
        <v>1.6407168392413587</v>
      </c>
      <c r="AK107" s="731"/>
      <c r="AL107" s="732"/>
      <c r="AM107" s="733"/>
      <c r="AN107" s="734" t="s">
        <v>75</v>
      </c>
      <c r="AO107" s="736">
        <f>(0.2529+2.7683*10^-4*AO93)*SQRT(Z$79)/$F$68*$F$69*$F$71/$F$72</f>
        <v>1.6405222045366969</v>
      </c>
      <c r="AP107" s="737"/>
      <c r="AQ107" s="738"/>
      <c r="AR107" s="739"/>
      <c r="AS107" s="117" t="s">
        <v>75</v>
      </c>
      <c r="AT107" s="730">
        <f>(0.2529+2.7683*10^-4*AT93)*SQRT(AT$79)/$F$68*$F$69*$F$71/$F$72</f>
        <v>1.640874059595931</v>
      </c>
      <c r="AU107" s="731"/>
      <c r="AV107" s="732"/>
      <c r="AW107" s="733"/>
      <c r="AX107" s="734" t="s">
        <v>75</v>
      </c>
      <c r="AY107" s="735">
        <f>(0.2529+2.7683*10^-4*AY93)*SQRT(AT$79)/$F$68*$F$69*$F$71/$F$72</f>
        <v>1.6405098623536563</v>
      </c>
      <c r="AZ107" s="735"/>
      <c r="BA107" s="735"/>
      <c r="BB107" s="735"/>
      <c r="BC107" s="735" t="s">
        <v>75</v>
      </c>
      <c r="BD107" s="735">
        <f>(0.2529+2.7683*10^-4*BD93)*SQRT(AT$79)/$F$68*$F$69*$F$71/$F$72</f>
        <v>1.6403597877794471</v>
      </c>
      <c r="BE107" s="731"/>
      <c r="BF107" s="732"/>
      <c r="BG107" s="733"/>
      <c r="BH107" s="734" t="s">
        <v>75</v>
      </c>
      <c r="BI107" s="736">
        <f>(0.2529+2.7683*10^-4*BI93)*SQRT(AT$79)/$F$68*$F$69*$F$71/$F$72</f>
        <v>1.6402838858289148</v>
      </c>
      <c r="BJ107" s="136"/>
    </row>
    <row r="108" spans="3:64" x14ac:dyDescent="0.25">
      <c r="C108" s="242"/>
      <c r="D108" s="2"/>
      <c r="E108" s="484" t="s">
        <v>76</v>
      </c>
      <c r="F108" s="740">
        <f>(0.675+9.273*10^-3*F93)*SQRT(F$86)*$F$68*$F$70/$F$71*$F$72</f>
        <v>3.0097622164883866</v>
      </c>
      <c r="G108" s="428"/>
      <c r="H108" s="431"/>
      <c r="I108" s="450"/>
      <c r="J108" s="451" t="s">
        <v>76</v>
      </c>
      <c r="K108" s="400">
        <f>(0.675+9.273*10^-3*K93)*SQRT(F$86)*$F$68*$F$70/$F$71*$F$72</f>
        <v>2.9568805671447147</v>
      </c>
      <c r="L108" s="452"/>
      <c r="M108" s="431"/>
      <c r="N108" s="433"/>
      <c r="O108" s="434" t="s">
        <v>76</v>
      </c>
      <c r="P108" s="231">
        <f>(0.675+9.273*10^-3*P93)*SQRT(F$86)*$F$68*$F$70/$F$71*$F$72</f>
        <v>2.9350896525316772</v>
      </c>
      <c r="Q108" s="428"/>
      <c r="R108" s="431"/>
      <c r="S108" s="433"/>
      <c r="T108" s="434" t="s">
        <v>76</v>
      </c>
      <c r="U108" s="233">
        <f>(0.675+9.273*10^-3*U93)*SQRT(F$86)*$F$68*$F$70/$F$71*$F$72</f>
        <v>2.9240686455974214</v>
      </c>
      <c r="V108" s="136"/>
      <c r="W108" s="242"/>
      <c r="X108" s="2"/>
      <c r="Y108" s="43" t="s">
        <v>76</v>
      </c>
      <c r="Z108" s="230">
        <f>(0.675+9.273*10^-3*Z93)*SQRT(Z$79)*$F$68*$F$70/$F$71*$F$72</f>
        <v>2.9442279573834766</v>
      </c>
      <c r="AA108" s="428"/>
      <c r="AB108" s="431"/>
      <c r="AC108" s="450"/>
      <c r="AD108" s="451" t="s">
        <v>76</v>
      </c>
      <c r="AE108" s="231">
        <f>(0.675+9.273*10^-3*AE93)*SQRT(Z$79)*$F$68*$F$70/$F$71*$F$72</f>
        <v>2.9234899500966645</v>
      </c>
      <c r="AF108" s="231"/>
      <c r="AG108" s="231"/>
      <c r="AH108" s="231"/>
      <c r="AI108" s="231" t="s">
        <v>76</v>
      </c>
      <c r="AJ108" s="231">
        <f>(0.675+9.273*10^-3*AJ93)*SQRT(Z$79)*$F$68*$F$70/$F$71*$F$72</f>
        <v>2.9149444498779657</v>
      </c>
      <c r="AK108" s="428"/>
      <c r="AL108" s="431"/>
      <c r="AM108" s="450"/>
      <c r="AN108" s="451" t="s">
        <v>76</v>
      </c>
      <c r="AO108" s="233">
        <f>(0.675+9.273*10^-3*AO93)*SQRT(Z$79)*$F$68*$F$70/$F$71*$F$72</f>
        <v>2.9106224643698124</v>
      </c>
      <c r="AP108" s="136"/>
      <c r="AQ108" s="242"/>
      <c r="AR108" s="2"/>
      <c r="AS108" s="43" t="s">
        <v>76</v>
      </c>
      <c r="AT108" s="740">
        <f>(0.675+9.273*10^-3*AT93)*SQRT(AT$79)*$F$68*$F$70/$F$71*$F$72</f>
        <v>2.9184356263114326</v>
      </c>
      <c r="AU108" s="428"/>
      <c r="AV108" s="431"/>
      <c r="AW108" s="450"/>
      <c r="AX108" s="451" t="s">
        <v>76</v>
      </c>
      <c r="AY108" s="231">
        <f>(0.675+9.273*10^-3*AY93)*SQRT(AT$79)*$F$68*$F$70/$F$71*$F$72</f>
        <v>2.910348398466021</v>
      </c>
      <c r="AZ108" s="231"/>
      <c r="BA108" s="231"/>
      <c r="BB108" s="231"/>
      <c r="BC108" s="231" t="s">
        <v>76</v>
      </c>
      <c r="BD108" s="741">
        <f>(0.675+9.273*10^-3*BD93)*SQRT(AT$79)*$F$68*$F$70/$F$71*$F$72</f>
        <v>2.9070158985606134</v>
      </c>
      <c r="BE108" s="428"/>
      <c r="BF108" s="431"/>
      <c r="BG108" s="450"/>
      <c r="BH108" s="451" t="s">
        <v>76</v>
      </c>
      <c r="BI108" s="233">
        <f>(0.675+9.273*10^-3*BI93)*SQRT(AT$79)*$F$68*$F$70/$F$71*$F$72</f>
        <v>2.9053304482149946</v>
      </c>
      <c r="BJ108" s="136"/>
    </row>
    <row r="109" spans="3:64" ht="15.75" thickBot="1" x14ac:dyDescent="0.3">
      <c r="C109" s="242"/>
      <c r="D109" s="2"/>
      <c r="E109" s="484" t="s">
        <v>77</v>
      </c>
      <c r="F109" s="742">
        <f>IF(($F$67*(F$86*10^-3)/SQRT($D$79*10^-3*F$91*10^-3)*$F$68/$F$70^2*$F$72)&lt;(4*$F$82*$F$72),($F$67*(F$86*10^-3)/SQRT($D$79*10^-3*F$91*10^-3)*$F$68/$F$70^2*$F$72),(4*$F$82*$F$72))</f>
        <v>2.3087750145504748</v>
      </c>
      <c r="G109" s="428"/>
      <c r="H109" s="431"/>
      <c r="I109" s="450"/>
      <c r="J109" s="451" t="s">
        <v>77</v>
      </c>
      <c r="K109" s="385">
        <f>IF(($F$67*(F$86*10^-3)/SQRT($D$79*10^-3*$K$91*10^-3)*$F$68/$F$70^2*$F$72)&lt;(4*$F$82*$F$72),($F$67*(F$86*10^-3)/SQRT($D$79*10^-3*$K$91*10^-3)*$F$68/$F$70^2*$F$72),(4*$F$82*$F$72))</f>
        <v>1.9555083195370371</v>
      </c>
      <c r="L109" s="452"/>
      <c r="M109" s="431"/>
      <c r="N109" s="433"/>
      <c r="O109" s="434" t="s">
        <v>77</v>
      </c>
      <c r="P109" s="209">
        <f>IF(($F$67*(F$86*10^-3)/SQRT($D$79*10^-3*$P$91*10^-3)*$F$68/$F$70^2*$F$72)&lt;(4*$F$82*$F$72),($F$67*(F$86*10^-3)/SQRT($D$79*10^-3*$P$91*10^-3)*$F$68/$F$70^2*$F$72),(4*$F$82*$F$72))</f>
        <v>1.726682859979215</v>
      </c>
      <c r="Q109" s="428"/>
      <c r="R109" s="431"/>
      <c r="S109" s="438"/>
      <c r="T109" s="434" t="s">
        <v>77</v>
      </c>
      <c r="U109" s="213">
        <f>IF(($F$67*(F$86*10^-3)/SQRT($D$79*10^-3*$U$91*10^-3)*$F$68/$F$70^2*$F$72)&lt;(4*$F$82*$F$72),($F$67*(F$86*10^-3)/SQRT($D$79*10^-3*$U$91*10^-3)*$F$68/$F$70^2*$F$72),(4*$F$82*$F$72))</f>
        <v>1.5630480738226675</v>
      </c>
      <c r="V109" s="136"/>
      <c r="W109" s="242"/>
      <c r="X109" s="2"/>
      <c r="Y109" s="43" t="s">
        <v>77</v>
      </c>
      <c r="Z109" s="211">
        <f>IF(($F$67*(Z$79*10^-3)/SQRT($X$79*10^-3*$Z$91*10^-3)*$F$68/$F$70^2*$F$72)&lt;(4*$F$82*$F$72),($F$67*(Z$79*10^-3)/SQRT($X$79*10^-3*$Z$91*10^-3)*$F$68/$F$70^2*$F$72),(4*$F$82*$F$72))</f>
        <v>1.8334073725122682</v>
      </c>
      <c r="AA109" s="428"/>
      <c r="AB109" s="431"/>
      <c r="AC109" s="450"/>
      <c r="AD109" s="451" t="s">
        <v>77</v>
      </c>
      <c r="AE109" s="209">
        <f>IF(($F$67*(Z$79*10^-3)/SQRT($X$79*10^-3*$AE$91*10^-3)*$F$68/$F$70^2*$F$72)&lt;(4*$F$82*$F$72),($F$67*(Z$79*10^-3)/SQRT($X$79*10^-3*$AE$91*10^-3)*$F$68/$F$70^2*$F$72),(4*$F$82*$F$72))</f>
        <v>1.5528768924876535</v>
      </c>
      <c r="AF109" s="209"/>
      <c r="AG109" s="209"/>
      <c r="AH109" s="209"/>
      <c r="AI109" s="209" t="s">
        <v>77</v>
      </c>
      <c r="AJ109" s="209">
        <f>IF(($F$67*(Z$79*10^-3)/SQRT($X$79*10^-3*$AJ$91*10^-3)*$F$68/$F$70^2*$F$72)&lt;(4*$F$82*$F$72),($F$67*(Z$79*10^-3)/SQRT($X$79*10^-3*$AJ$91*10^-3)*$F$68/$F$70^2*$F$72),(4*$F$82*$F$72))</f>
        <v>1.3711656898248414</v>
      </c>
      <c r="AK109" s="428"/>
      <c r="AL109" s="431"/>
      <c r="AM109" s="450"/>
      <c r="AN109" s="451" t="s">
        <v>77</v>
      </c>
      <c r="AO109" s="213">
        <f>IF(($F$67*(Z$79*10^-3)/SQRT($X$79*10^-3*$AO$91*10^-3)*$F$68/$F$70^2*$F$72)&lt;(4*$F$82*$F$72),($F$67*(Z$79*10^-3)/SQRT($X$79*10^-3*$AO$91*10^-3)*$F$68/$F$70^2*$F$72),(4*$F$82*$F$72))</f>
        <v>1.2412226588026978</v>
      </c>
      <c r="AP109" s="214"/>
      <c r="AQ109" s="242"/>
      <c r="AR109" s="2"/>
      <c r="AS109" s="43" t="s">
        <v>77</v>
      </c>
      <c r="AT109" s="742">
        <f>IF(($F$67*(AT$79*10^-3)/SQRT($AR$79*10^-3*$AT$91*10^-3)*$F$68/$F$70^2*$F$72)&lt;(4*$F$82*$F$72),($F$67*(AT$79*10^-3)/SQRT($AR$79*10^-3*$AT$91*10^-3)*$F$68/$F$70^2*$F$72),(4*$F$82*$F$72))</f>
        <v>1.4539116743423217</v>
      </c>
      <c r="AU109" s="428"/>
      <c r="AV109" s="431"/>
      <c r="AW109" s="450"/>
      <c r="AX109" s="451" t="s">
        <v>77</v>
      </c>
      <c r="AY109" s="209">
        <f>IF(($F$67*(AT$79*10^-3)/SQRT($AR$79*10^-3*$AY$91*10^-3)*$F$68/$F$70^2*$F$72)&lt;(4*$F$82*$F$72),($F$67*(AT$79*10^-3)/SQRT($AR$79*10^-3*$AY$91*10^-3)*$F$68/$F$70^2*$F$72),(4*$F$82*$F$72))</f>
        <v>1.231448000402932</v>
      </c>
      <c r="AZ109" s="209"/>
      <c r="BA109" s="209"/>
      <c r="BB109" s="209"/>
      <c r="BC109" s="209" t="s">
        <v>77</v>
      </c>
      <c r="BD109" s="743">
        <f>IF(($F$67*(AT$79*10^-3)/SQRT($AR$79*10^-3*$BD$91*10^-3)*$F$68/$F$70^2*$F$72)&lt;(4*$F$82*$F$72),($F$67*(AT$79*10^-3)/SQRT($AR$79*10^-3*$BD$91*10^-3)*$F$68/$F$70^2*$F$72),(4*$F$82*$F$72))</f>
        <v>1.0873490713426486</v>
      </c>
      <c r="BE109" s="428"/>
      <c r="BF109" s="431"/>
      <c r="BG109" s="450"/>
      <c r="BH109" s="451" t="s">
        <v>77</v>
      </c>
      <c r="BI109" s="213">
        <f>IF(($F$67*(AT$79*10^-3)/SQRT($AR$79*10^-3*$BI$91*10^-3)*$F$68/$F$70^2*$F$72)&lt;(4*$F$82*$F$72),($F$67*(AT$79*10^-3)/SQRT($AR$79*10^-3*$BI$91*10^-3)*$F$68/$F$70^2*$F$72),(4*$F$82*$F$72))</f>
        <v>0.98430285660879935</v>
      </c>
      <c r="BJ109" s="136"/>
    </row>
    <row r="110" spans="3:64" x14ac:dyDescent="0.25">
      <c r="C110" s="140"/>
      <c r="D110" s="480"/>
      <c r="E110" s="328" t="s">
        <v>56</v>
      </c>
      <c r="F110" s="747">
        <f>F107</f>
        <v>1.6449868276450812</v>
      </c>
      <c r="G110" s="453" t="s">
        <v>32</v>
      </c>
      <c r="H110" s="428"/>
      <c r="I110" s="440"/>
      <c r="J110" s="454" t="s">
        <v>56</v>
      </c>
      <c r="K110" s="184">
        <f>K107</f>
        <v>1.6426053749117029</v>
      </c>
      <c r="L110" s="453" t="s">
        <v>32</v>
      </c>
      <c r="M110" s="428"/>
      <c r="N110" s="440"/>
      <c r="O110" s="454" t="s">
        <v>56</v>
      </c>
      <c r="P110" s="184">
        <f>P107</f>
        <v>1.6416240508831961</v>
      </c>
      <c r="Q110" s="453" t="s">
        <v>32</v>
      </c>
      <c r="R110" s="428"/>
      <c r="S110" s="455"/>
      <c r="T110" s="454" t="s">
        <v>56</v>
      </c>
      <c r="U110" s="200">
        <f>U107</f>
        <v>1.6411277349132156</v>
      </c>
      <c r="V110" s="215" t="s">
        <v>32</v>
      </c>
      <c r="W110" s="140"/>
      <c r="X110" s="243"/>
      <c r="Y110" s="328" t="s">
        <v>56</v>
      </c>
      <c r="Z110" s="255">
        <f>Z107</f>
        <v>1.6420355819405257</v>
      </c>
      <c r="AA110" s="453" t="s">
        <v>32</v>
      </c>
      <c r="AB110" s="428"/>
      <c r="AC110" s="440"/>
      <c r="AD110" s="454" t="s">
        <v>56</v>
      </c>
      <c r="AE110" s="184">
        <f>AE107</f>
        <v>1.6411016741530244</v>
      </c>
      <c r="AF110" s="176" t="s">
        <v>32</v>
      </c>
      <c r="AG110" s="176"/>
      <c r="AH110" s="176"/>
      <c r="AI110" s="176" t="s">
        <v>56</v>
      </c>
      <c r="AJ110" s="184">
        <f>AJ107</f>
        <v>1.6407168392413587</v>
      </c>
      <c r="AK110" s="453" t="s">
        <v>32</v>
      </c>
      <c r="AL110" s="428"/>
      <c r="AM110" s="440"/>
      <c r="AN110" s="454" t="s">
        <v>56</v>
      </c>
      <c r="AO110" s="200">
        <f>AO107</f>
        <v>1.6405222045366969</v>
      </c>
      <c r="AP110" s="215" t="s">
        <v>32</v>
      </c>
      <c r="AQ110" s="140"/>
      <c r="AR110" s="243"/>
      <c r="AS110" s="239" t="s">
        <v>56</v>
      </c>
      <c r="AT110" s="747">
        <f>AT107</f>
        <v>1.640874059595931</v>
      </c>
      <c r="AU110" s="453" t="s">
        <v>32</v>
      </c>
      <c r="AV110" s="428"/>
      <c r="AW110" s="440"/>
      <c r="AX110" s="454" t="s">
        <v>56</v>
      </c>
      <c r="AY110" s="184">
        <f>AY107</f>
        <v>1.6405098623536563</v>
      </c>
      <c r="AZ110" s="176" t="s">
        <v>32</v>
      </c>
      <c r="BA110" s="176"/>
      <c r="BB110" s="176"/>
      <c r="BC110" s="176" t="s">
        <v>56</v>
      </c>
      <c r="BD110" s="520">
        <f>BD107</f>
        <v>1.6403597877794471</v>
      </c>
      <c r="BE110" s="453" t="s">
        <v>32</v>
      </c>
      <c r="BF110" s="428"/>
      <c r="BG110" s="440"/>
      <c r="BH110" s="454" t="s">
        <v>56</v>
      </c>
      <c r="BI110" s="200">
        <f>BI107</f>
        <v>1.6402838858289148</v>
      </c>
      <c r="BJ110" s="215" t="s">
        <v>32</v>
      </c>
    </row>
    <row r="111" spans="3:64" x14ac:dyDescent="0.25">
      <c r="C111" s="254">
        <v>99</v>
      </c>
      <c r="D111" s="483" t="s">
        <v>58</v>
      </c>
      <c r="E111" s="144" t="s">
        <v>57</v>
      </c>
      <c r="F111" s="748">
        <f>IF(F108&lt;F109,F108,F109)</f>
        <v>2.3087750145504748</v>
      </c>
      <c r="G111" s="441" t="s">
        <v>32</v>
      </c>
      <c r="H111" s="456">
        <v>138</v>
      </c>
      <c r="I111" s="457" t="s">
        <v>58</v>
      </c>
      <c r="J111" s="443" t="s">
        <v>57</v>
      </c>
      <c r="K111" s="176">
        <f>IF(K108&lt;K109,K108,K109)</f>
        <v>1.9555083195370371</v>
      </c>
      <c r="L111" s="441" t="s">
        <v>32</v>
      </c>
      <c r="M111" s="456">
        <v>177</v>
      </c>
      <c r="N111" s="457" t="s">
        <v>58</v>
      </c>
      <c r="O111" s="443" t="s">
        <v>57</v>
      </c>
      <c r="P111" s="179">
        <f>IF(P108&lt;P109,P108,P109)</f>
        <v>1.726682859979215</v>
      </c>
      <c r="Q111" s="441" t="s">
        <v>32</v>
      </c>
      <c r="R111" s="456">
        <v>216</v>
      </c>
      <c r="S111" s="457" t="s">
        <v>58</v>
      </c>
      <c r="T111" s="443" t="s">
        <v>57</v>
      </c>
      <c r="U111" s="197">
        <f>IF(U108&lt;U109,U108,U109)</f>
        <v>1.5630480738226675</v>
      </c>
      <c r="V111" s="216" t="s">
        <v>32</v>
      </c>
      <c r="W111" s="254">
        <v>99</v>
      </c>
      <c r="X111" s="244" t="s">
        <v>58</v>
      </c>
      <c r="Y111" s="144" t="s">
        <v>57</v>
      </c>
      <c r="Z111" s="178">
        <f>IF(Z108&lt;Z109,Z108,Z109)</f>
        <v>1.8334073725122682</v>
      </c>
      <c r="AA111" s="441" t="s">
        <v>32</v>
      </c>
      <c r="AB111" s="456">
        <v>138</v>
      </c>
      <c r="AC111" s="457" t="s">
        <v>58</v>
      </c>
      <c r="AD111" s="443" t="s">
        <v>57</v>
      </c>
      <c r="AE111" s="179">
        <f>IF(AE108&lt;AE109,AE108,AE109)</f>
        <v>1.5528768924876535</v>
      </c>
      <c r="AF111" s="179" t="s">
        <v>32</v>
      </c>
      <c r="AG111" s="179">
        <v>177</v>
      </c>
      <c r="AH111" s="179" t="s">
        <v>58</v>
      </c>
      <c r="AI111" s="179" t="s">
        <v>57</v>
      </c>
      <c r="AJ111" s="179">
        <f>IF(AJ108&lt;AJ109,AJ108,AJ109)</f>
        <v>1.3711656898248414</v>
      </c>
      <c r="AK111" s="441" t="s">
        <v>32</v>
      </c>
      <c r="AL111" s="456">
        <v>216</v>
      </c>
      <c r="AM111" s="457" t="s">
        <v>58</v>
      </c>
      <c r="AN111" s="443" t="s">
        <v>57</v>
      </c>
      <c r="AO111" s="197">
        <f>IF(AO108&lt;AO109,AO108,AO109)</f>
        <v>1.2412226588026978</v>
      </c>
      <c r="AP111" s="216" t="s">
        <v>32</v>
      </c>
      <c r="AQ111" s="254">
        <v>99</v>
      </c>
      <c r="AR111" s="244" t="s">
        <v>58</v>
      </c>
      <c r="AS111" s="253" t="s">
        <v>57</v>
      </c>
      <c r="AT111" s="748">
        <f>IF(AT108&lt;AT109,AT108,AT109)</f>
        <v>1.4539116743423217</v>
      </c>
      <c r="AU111" s="441" t="s">
        <v>32</v>
      </c>
      <c r="AV111" s="456">
        <v>138</v>
      </c>
      <c r="AW111" s="457" t="s">
        <v>58</v>
      </c>
      <c r="AX111" s="443" t="s">
        <v>57</v>
      </c>
      <c r="AY111" s="179">
        <f>IF(AY108&lt;AY109,AY108,AY109)</f>
        <v>1.231448000402932</v>
      </c>
      <c r="AZ111" s="179" t="s">
        <v>32</v>
      </c>
      <c r="BA111" s="179">
        <v>177</v>
      </c>
      <c r="BB111" s="179" t="s">
        <v>58</v>
      </c>
      <c r="BC111" s="179" t="s">
        <v>57</v>
      </c>
      <c r="BD111" s="179">
        <f>IF(BD108&lt;BD109,BD108,BD109)</f>
        <v>1.0873490713426486</v>
      </c>
      <c r="BE111" s="441" t="s">
        <v>32</v>
      </c>
      <c r="BF111" s="456">
        <v>216</v>
      </c>
      <c r="BG111" s="457" t="s">
        <v>58</v>
      </c>
      <c r="BH111" s="443" t="s">
        <v>57</v>
      </c>
      <c r="BI111" s="197">
        <f>IF(BI108&lt;BI109,BI108,BI109)</f>
        <v>0.98430285660879935</v>
      </c>
      <c r="BJ111" s="216" t="s">
        <v>32</v>
      </c>
    </row>
    <row r="112" spans="3:64" x14ac:dyDescent="0.25">
      <c r="C112" s="254" t="s">
        <v>37</v>
      </c>
      <c r="D112" s="480" t="s">
        <v>59</v>
      </c>
      <c r="E112" s="132" t="s">
        <v>60</v>
      </c>
      <c r="F112" s="749">
        <f>F107</f>
        <v>1.6449868276450812</v>
      </c>
      <c r="G112" s="444" t="s">
        <v>32</v>
      </c>
      <c r="H112" s="456" t="s">
        <v>40</v>
      </c>
      <c r="I112" s="440" t="s">
        <v>59</v>
      </c>
      <c r="J112" s="430" t="s">
        <v>60</v>
      </c>
      <c r="K112" s="182">
        <f>K107</f>
        <v>1.6426053749117029</v>
      </c>
      <c r="L112" s="444" t="s">
        <v>32</v>
      </c>
      <c r="M112" s="456" t="s">
        <v>44</v>
      </c>
      <c r="N112" s="440" t="s">
        <v>59</v>
      </c>
      <c r="O112" s="430" t="s">
        <v>60</v>
      </c>
      <c r="P112" s="182">
        <f>P107</f>
        <v>1.6416240508831961</v>
      </c>
      <c r="Q112" s="444" t="s">
        <v>32</v>
      </c>
      <c r="R112" s="456" t="s">
        <v>45</v>
      </c>
      <c r="S112" s="440" t="s">
        <v>59</v>
      </c>
      <c r="T112" s="430" t="s">
        <v>60</v>
      </c>
      <c r="U112" s="198">
        <f>U107</f>
        <v>1.6411277349132156</v>
      </c>
      <c r="V112" s="217" t="s">
        <v>32</v>
      </c>
      <c r="W112" s="254" t="s">
        <v>37</v>
      </c>
      <c r="X112" s="243" t="s">
        <v>59</v>
      </c>
      <c r="Y112" s="132" t="s">
        <v>60</v>
      </c>
      <c r="Z112" s="181">
        <f>Z107</f>
        <v>1.6420355819405257</v>
      </c>
      <c r="AA112" s="444" t="s">
        <v>32</v>
      </c>
      <c r="AB112" s="456" t="s">
        <v>40</v>
      </c>
      <c r="AC112" s="440" t="s">
        <v>59</v>
      </c>
      <c r="AD112" s="430" t="s">
        <v>60</v>
      </c>
      <c r="AE112" s="182">
        <f>AE107</f>
        <v>1.6411016741530244</v>
      </c>
      <c r="AF112" s="182" t="s">
        <v>32</v>
      </c>
      <c r="AG112" s="182" t="s">
        <v>44</v>
      </c>
      <c r="AH112" s="182" t="s">
        <v>59</v>
      </c>
      <c r="AI112" s="182" t="s">
        <v>60</v>
      </c>
      <c r="AJ112" s="182">
        <f>AJ107</f>
        <v>1.6407168392413587</v>
      </c>
      <c r="AK112" s="444" t="s">
        <v>32</v>
      </c>
      <c r="AL112" s="456" t="s">
        <v>45</v>
      </c>
      <c r="AM112" s="440" t="s">
        <v>59</v>
      </c>
      <c r="AN112" s="430" t="s">
        <v>60</v>
      </c>
      <c r="AO112" s="198">
        <f>AO107</f>
        <v>1.6405222045366969</v>
      </c>
      <c r="AP112" s="217" t="s">
        <v>32</v>
      </c>
      <c r="AQ112" s="254" t="s">
        <v>37</v>
      </c>
      <c r="AR112" s="243" t="s">
        <v>59</v>
      </c>
      <c r="AS112" s="252" t="s">
        <v>60</v>
      </c>
      <c r="AT112" s="749">
        <f>AT107</f>
        <v>1.640874059595931</v>
      </c>
      <c r="AU112" s="444" t="s">
        <v>32</v>
      </c>
      <c r="AV112" s="456" t="s">
        <v>40</v>
      </c>
      <c r="AW112" s="440" t="s">
        <v>59</v>
      </c>
      <c r="AX112" s="430" t="s">
        <v>60</v>
      </c>
      <c r="AY112" s="182">
        <f>AY107</f>
        <v>1.6405098623536563</v>
      </c>
      <c r="AZ112" s="182" t="s">
        <v>32</v>
      </c>
      <c r="BA112" s="182" t="s">
        <v>44</v>
      </c>
      <c r="BB112" s="182" t="s">
        <v>59</v>
      </c>
      <c r="BC112" s="182" t="s">
        <v>60</v>
      </c>
      <c r="BD112" s="182">
        <f>BD107</f>
        <v>1.6403597877794471</v>
      </c>
      <c r="BE112" s="444" t="s">
        <v>32</v>
      </c>
      <c r="BF112" s="456" t="s">
        <v>45</v>
      </c>
      <c r="BG112" s="440" t="s">
        <v>59</v>
      </c>
      <c r="BH112" s="430" t="s">
        <v>60</v>
      </c>
      <c r="BI112" s="198">
        <f>BI107</f>
        <v>1.6402838858289148</v>
      </c>
      <c r="BJ112" s="217" t="s">
        <v>32</v>
      </c>
      <c r="BL112" s="106"/>
    </row>
    <row r="113" spans="3:62" ht="15.75" thickBot="1" x14ac:dyDescent="0.3">
      <c r="C113" s="141"/>
      <c r="D113" s="482"/>
      <c r="E113" s="145" t="s">
        <v>61</v>
      </c>
      <c r="F113" s="750">
        <f>IF(F108&lt;F109,F108,F109)</f>
        <v>2.3087750145504748</v>
      </c>
      <c r="G113" s="436" t="s">
        <v>32</v>
      </c>
      <c r="H113" s="458"/>
      <c r="I113" s="445"/>
      <c r="J113" s="439" t="s">
        <v>61</v>
      </c>
      <c r="K113" s="193">
        <f>IF(K108&lt;K109,K108,K109)</f>
        <v>1.9555083195370371</v>
      </c>
      <c r="L113" s="436" t="s">
        <v>32</v>
      </c>
      <c r="M113" s="458"/>
      <c r="N113" s="445"/>
      <c r="O113" s="439" t="s">
        <v>61</v>
      </c>
      <c r="P113" s="193">
        <f>IF(P108&lt;P109,P108,P109)</f>
        <v>1.726682859979215</v>
      </c>
      <c r="Q113" s="436" t="s">
        <v>32</v>
      </c>
      <c r="R113" s="458"/>
      <c r="S113" s="445"/>
      <c r="T113" s="439" t="s">
        <v>61</v>
      </c>
      <c r="U113" s="199">
        <f>IF(U108&lt;U109,U108,U109)</f>
        <v>1.5630480738226675</v>
      </c>
      <c r="V113" s="214" t="s">
        <v>32</v>
      </c>
      <c r="W113" s="141"/>
      <c r="X113" s="246"/>
      <c r="Y113" s="145" t="s">
        <v>61</v>
      </c>
      <c r="Z113" s="258">
        <f>IF(Z108&lt;Z109,Z108,Z109)</f>
        <v>1.8334073725122682</v>
      </c>
      <c r="AA113" s="436" t="s">
        <v>32</v>
      </c>
      <c r="AB113" s="458"/>
      <c r="AC113" s="445"/>
      <c r="AD113" s="439" t="s">
        <v>61</v>
      </c>
      <c r="AE113" s="193">
        <f>IF(AE108&lt;AE109,AE108,AE109)</f>
        <v>1.5528768924876535</v>
      </c>
      <c r="AF113" s="193" t="s">
        <v>32</v>
      </c>
      <c r="AG113" s="193"/>
      <c r="AH113" s="193"/>
      <c r="AI113" s="193" t="s">
        <v>61</v>
      </c>
      <c r="AJ113" s="193">
        <f>IF(AJ108&lt;AJ109,AJ108,AJ109)</f>
        <v>1.3711656898248414</v>
      </c>
      <c r="AK113" s="436" t="s">
        <v>32</v>
      </c>
      <c r="AL113" s="458"/>
      <c r="AM113" s="445"/>
      <c r="AN113" s="439" t="s">
        <v>61</v>
      </c>
      <c r="AO113" s="199">
        <f>IF(AO108&lt;AO109,AO108,AO109)</f>
        <v>1.2412226588026978</v>
      </c>
      <c r="AP113" s="214" t="s">
        <v>32</v>
      </c>
      <c r="AQ113" s="141"/>
      <c r="AR113" s="246"/>
      <c r="AS113" s="238" t="s">
        <v>61</v>
      </c>
      <c r="AT113" s="750">
        <f>IF(AT108&lt;AT109,AT108,AT109)</f>
        <v>1.4539116743423217</v>
      </c>
      <c r="AU113" s="436" t="s">
        <v>32</v>
      </c>
      <c r="AV113" s="458"/>
      <c r="AW113" s="445"/>
      <c r="AX113" s="439" t="s">
        <v>61</v>
      </c>
      <c r="AY113" s="193">
        <f>IF(AY108&lt;AY109,AY108,AY109)</f>
        <v>1.231448000402932</v>
      </c>
      <c r="AZ113" s="193" t="s">
        <v>32</v>
      </c>
      <c r="BA113" s="193"/>
      <c r="BB113" s="193"/>
      <c r="BC113" s="193" t="s">
        <v>61</v>
      </c>
      <c r="BD113" s="193">
        <f>IF(BD108&lt;BD109,BD108,BD109)</f>
        <v>1.0873490713426486</v>
      </c>
      <c r="BE113" s="436" t="s">
        <v>32</v>
      </c>
      <c r="BF113" s="458"/>
      <c r="BG113" s="445"/>
      <c r="BH113" s="439" t="s">
        <v>61</v>
      </c>
      <c r="BI113" s="199">
        <f>IF(BI108&lt;BI109,BI108,BI109)</f>
        <v>0.98430285660879935</v>
      </c>
      <c r="BJ113" s="214" t="s">
        <v>32</v>
      </c>
    </row>
    <row r="114" spans="3:62" x14ac:dyDescent="0.25">
      <c r="C114" s="242"/>
      <c r="D114" s="2"/>
      <c r="E114" s="484" t="s">
        <v>71</v>
      </c>
      <c r="F114" s="740">
        <f>1.07*1.22*F107</f>
        <v>2.147365804807889</v>
      </c>
      <c r="G114" s="428"/>
      <c r="H114" s="431"/>
      <c r="I114" s="433"/>
      <c r="J114" s="434" t="s">
        <v>71</v>
      </c>
      <c r="K114" s="184">
        <f>1.07*1.22*K107</f>
        <v>2.144257056409737</v>
      </c>
      <c r="L114" s="428"/>
      <c r="M114" s="431"/>
      <c r="N114" s="433"/>
      <c r="O114" s="434" t="s">
        <v>71</v>
      </c>
      <c r="P114" s="231">
        <f>1.07*1.22*P107</f>
        <v>2.1429760360229242</v>
      </c>
      <c r="Q114" s="428"/>
      <c r="R114" s="431"/>
      <c r="S114" s="433"/>
      <c r="T114" s="434" t="s">
        <v>71</v>
      </c>
      <c r="U114" s="233">
        <f>1.07*1.22*U107</f>
        <v>2.1423281451557119</v>
      </c>
      <c r="V114" s="136"/>
      <c r="W114" s="242"/>
      <c r="X114" s="2"/>
      <c r="Y114" s="43" t="s">
        <v>71</v>
      </c>
      <c r="Z114" s="230">
        <f>1.07*1.22*Z107</f>
        <v>2.1435132486651622</v>
      </c>
      <c r="AA114" s="428"/>
      <c r="AB114" s="431"/>
      <c r="AC114" s="433"/>
      <c r="AD114" s="434" t="s">
        <v>71</v>
      </c>
      <c r="AE114" s="231">
        <f>1.07*1.22*AE107</f>
        <v>2.1422941254393582</v>
      </c>
      <c r="AF114" s="231"/>
      <c r="AG114" s="231"/>
      <c r="AH114" s="231"/>
      <c r="AI114" s="231" t="s">
        <v>71</v>
      </c>
      <c r="AJ114" s="231">
        <f>1.07*1.22*AJ107</f>
        <v>2.1417917619456697</v>
      </c>
      <c r="AK114" s="428"/>
      <c r="AL114" s="431"/>
      <c r="AM114" s="433"/>
      <c r="AN114" s="434" t="s">
        <v>71</v>
      </c>
      <c r="AO114" s="233">
        <f>1.07*1.22*AO107</f>
        <v>2.1415376858022044</v>
      </c>
      <c r="AP114" s="136"/>
      <c r="AQ114" s="242"/>
      <c r="AR114" s="2"/>
      <c r="AS114" s="43" t="s">
        <v>71</v>
      </c>
      <c r="AT114" s="230">
        <f>1.07*1.22*AT107</f>
        <v>2.1419969973965287</v>
      </c>
      <c r="AU114" s="428"/>
      <c r="AV114" s="431"/>
      <c r="AW114" s="433"/>
      <c r="AX114" s="434" t="s">
        <v>71</v>
      </c>
      <c r="AY114" s="231">
        <f>1.07*1.22*AY107</f>
        <v>2.1415215743164633</v>
      </c>
      <c r="AZ114" s="231"/>
      <c r="BA114" s="231"/>
      <c r="BB114" s="231"/>
      <c r="BC114" s="231" t="s">
        <v>71</v>
      </c>
      <c r="BD114" s="231">
        <f>1.07*1.22*BD107</f>
        <v>2.1413256669672904</v>
      </c>
      <c r="BE114" s="428"/>
      <c r="BF114" s="431"/>
      <c r="BG114" s="433"/>
      <c r="BH114" s="434" t="s">
        <v>71</v>
      </c>
      <c r="BI114" s="233">
        <f>1.07*1.22*BI107</f>
        <v>2.1412265845610654</v>
      </c>
      <c r="BJ114" s="136"/>
    </row>
    <row r="115" spans="3:62" x14ac:dyDescent="0.25">
      <c r="C115" s="242"/>
      <c r="D115" s="2"/>
      <c r="E115" s="484" t="s">
        <v>72</v>
      </c>
      <c r="F115" s="740">
        <f>1.07*1.22*F108</f>
        <v>3.9289435974039404</v>
      </c>
      <c r="G115" s="428"/>
      <c r="H115" s="431"/>
      <c r="I115" s="433"/>
      <c r="J115" s="434" t="s">
        <v>72</v>
      </c>
      <c r="K115" s="176">
        <f>1.07*1.22*K108</f>
        <v>3.859911892350711</v>
      </c>
      <c r="L115" s="428"/>
      <c r="M115" s="431"/>
      <c r="N115" s="433"/>
      <c r="O115" s="434" t="s">
        <v>72</v>
      </c>
      <c r="P115" s="231">
        <f>1.07*1.22*P108</f>
        <v>3.831466032414852</v>
      </c>
      <c r="Q115" s="428"/>
      <c r="R115" s="431"/>
      <c r="S115" s="433"/>
      <c r="T115" s="434" t="s">
        <v>72</v>
      </c>
      <c r="U115" s="233">
        <f>1.07*1.22*U108</f>
        <v>3.8170792099628743</v>
      </c>
      <c r="V115" s="136"/>
      <c r="W115" s="242"/>
      <c r="X115" s="2"/>
      <c r="Y115" s="43" t="s">
        <v>72</v>
      </c>
      <c r="Z115" s="230">
        <f>1.07*1.22*Z108</f>
        <v>3.8433951755683906</v>
      </c>
      <c r="AA115" s="428"/>
      <c r="AB115" s="431"/>
      <c r="AC115" s="433"/>
      <c r="AD115" s="434" t="s">
        <v>72</v>
      </c>
      <c r="AE115" s="231">
        <f>1.07*1.22*AE108</f>
        <v>3.8163237808561861</v>
      </c>
      <c r="AF115" s="231"/>
      <c r="AG115" s="231"/>
      <c r="AH115" s="231"/>
      <c r="AI115" s="231" t="s">
        <v>72</v>
      </c>
      <c r="AJ115" s="231">
        <f>1.07*1.22*AJ108</f>
        <v>3.805168484870697</v>
      </c>
      <c r="AK115" s="428"/>
      <c r="AL115" s="431"/>
      <c r="AM115" s="433"/>
      <c r="AN115" s="434" t="s">
        <v>72</v>
      </c>
      <c r="AO115" s="233">
        <f>1.07*1.22*AO108</f>
        <v>3.7995265649883536</v>
      </c>
      <c r="AP115" s="136"/>
      <c r="AQ115" s="242"/>
      <c r="AR115" s="2"/>
      <c r="AS115" s="43" t="s">
        <v>72</v>
      </c>
      <c r="AT115" s="230">
        <f>1.07*1.22*AT108</f>
        <v>3.8097258665869447</v>
      </c>
      <c r="AU115" s="428"/>
      <c r="AV115" s="431"/>
      <c r="AW115" s="433"/>
      <c r="AX115" s="434" t="s">
        <v>72</v>
      </c>
      <c r="AY115" s="231">
        <f>1.07*1.22*AY108</f>
        <v>3.799168799357544</v>
      </c>
      <c r="AZ115" s="231"/>
      <c r="BA115" s="231"/>
      <c r="BB115" s="231"/>
      <c r="BC115" s="231" t="s">
        <v>72</v>
      </c>
      <c r="BD115" s="231">
        <f>1.07*1.22*BD108</f>
        <v>3.7948185539810249</v>
      </c>
      <c r="BE115" s="428"/>
      <c r="BF115" s="431"/>
      <c r="BG115" s="433"/>
      <c r="BH115" s="434" t="s">
        <v>72</v>
      </c>
      <c r="BI115" s="233">
        <f>1.07*1.22*BI108</f>
        <v>3.7926183670998546</v>
      </c>
      <c r="BJ115" s="136"/>
    </row>
    <row r="116" spans="3:62" x14ac:dyDescent="0.25">
      <c r="C116" s="242"/>
      <c r="D116" s="2"/>
      <c r="E116" s="484" t="s">
        <v>79</v>
      </c>
      <c r="F116" s="740">
        <f>1.07*1.22*F109</f>
        <v>3.0138749039941901</v>
      </c>
      <c r="G116" s="428"/>
      <c r="H116" s="431"/>
      <c r="I116" s="433"/>
      <c r="J116" s="434" t="s">
        <v>79</v>
      </c>
      <c r="K116" s="176">
        <f>1.07*1.22*K109</f>
        <v>2.5527205603236482</v>
      </c>
      <c r="L116" s="428"/>
      <c r="M116" s="431"/>
      <c r="N116" s="433"/>
      <c r="O116" s="434" t="s">
        <v>79</v>
      </c>
      <c r="P116" s="231">
        <f>1.07*1.22*P109</f>
        <v>2.2540118054168676</v>
      </c>
      <c r="Q116" s="428"/>
      <c r="R116" s="431"/>
      <c r="S116" s="433"/>
      <c r="T116" s="434" t="s">
        <v>79</v>
      </c>
      <c r="U116" s="233">
        <f>1.07*1.22*U109</f>
        <v>2.0404029555681102</v>
      </c>
      <c r="V116" s="136"/>
      <c r="W116" s="242"/>
      <c r="X116" s="2"/>
      <c r="Y116" s="43" t="s">
        <v>79</v>
      </c>
      <c r="Z116" s="230">
        <f>1.07*1.22*Z109</f>
        <v>2.3933299840775151</v>
      </c>
      <c r="AA116" s="428"/>
      <c r="AB116" s="431"/>
      <c r="AC116" s="433"/>
      <c r="AD116" s="434" t="s">
        <v>79</v>
      </c>
      <c r="AE116" s="231">
        <f>1.07*1.22*AE109</f>
        <v>2.0271254954533831</v>
      </c>
      <c r="AF116" s="231"/>
      <c r="AG116" s="231"/>
      <c r="AH116" s="231"/>
      <c r="AI116" s="231" t="s">
        <v>79</v>
      </c>
      <c r="AJ116" s="231">
        <f>1.07*1.22*AJ109</f>
        <v>1.7899196914973481</v>
      </c>
      <c r="AK116" s="428"/>
      <c r="AL116" s="431"/>
      <c r="AM116" s="433"/>
      <c r="AN116" s="434" t="s">
        <v>79</v>
      </c>
      <c r="AO116" s="233">
        <f>1.07*1.22*AO109</f>
        <v>1.6202920588010419</v>
      </c>
      <c r="AP116" s="136"/>
      <c r="AQ116" s="242"/>
      <c r="AR116" s="2"/>
      <c r="AS116" s="43" t="s">
        <v>79</v>
      </c>
      <c r="AT116" s="230">
        <f>1.07*1.22*AT109</f>
        <v>1.897936299686467</v>
      </c>
      <c r="AU116" s="428"/>
      <c r="AV116" s="431"/>
      <c r="AW116" s="433"/>
      <c r="AX116" s="434" t="s">
        <v>79</v>
      </c>
      <c r="AY116" s="231">
        <f>1.07*1.22*AY109</f>
        <v>1.6075322197259876</v>
      </c>
      <c r="AZ116" s="231"/>
      <c r="BA116" s="231"/>
      <c r="BB116" s="231"/>
      <c r="BC116" s="231" t="s">
        <v>79</v>
      </c>
      <c r="BD116" s="231">
        <f>1.07*1.22*BD109</f>
        <v>1.4194254777306936</v>
      </c>
      <c r="BE116" s="428"/>
      <c r="BF116" s="431"/>
      <c r="BG116" s="433"/>
      <c r="BH116" s="434" t="s">
        <v>79</v>
      </c>
      <c r="BI116" s="233">
        <f>1.07*1.22*BI109</f>
        <v>1.2849089490171268</v>
      </c>
      <c r="BJ116" s="136"/>
    </row>
    <row r="117" spans="3:62" x14ac:dyDescent="0.25">
      <c r="C117" s="242"/>
      <c r="D117" s="2"/>
      <c r="E117" s="484" t="s">
        <v>73</v>
      </c>
      <c r="F117" s="740">
        <f>1.07*0.707*F107</f>
        <v>1.2444160852452275</v>
      </c>
      <c r="G117" s="428"/>
      <c r="H117" s="431"/>
      <c r="I117" s="433"/>
      <c r="J117" s="434" t="s">
        <v>73</v>
      </c>
      <c r="K117" s="176">
        <f>1.07*0.707*K107</f>
        <v>1.2426145400669542</v>
      </c>
      <c r="L117" s="428"/>
      <c r="M117" s="431"/>
      <c r="N117" s="433"/>
      <c r="O117" s="434" t="s">
        <v>73</v>
      </c>
      <c r="P117" s="231">
        <f>1.07*0.707*P107</f>
        <v>1.241872178252629</v>
      </c>
      <c r="Q117" s="428"/>
      <c r="R117" s="431"/>
      <c r="S117" s="433"/>
      <c r="T117" s="434" t="s">
        <v>73</v>
      </c>
      <c r="U117" s="233">
        <f>1.07*0.707*U107</f>
        <v>1.2414967201844984</v>
      </c>
      <c r="V117" s="136"/>
      <c r="W117" s="242"/>
      <c r="X117" s="2"/>
      <c r="Y117" s="43" t="s">
        <v>73</v>
      </c>
      <c r="Z117" s="230">
        <f>1.07*0.707*Z107</f>
        <v>1.2421834973821884</v>
      </c>
      <c r="AA117" s="428"/>
      <c r="AB117" s="431"/>
      <c r="AC117" s="433"/>
      <c r="AD117" s="434" t="s">
        <v>73</v>
      </c>
      <c r="AE117" s="231">
        <f>1.07*0.707*AE107</f>
        <v>1.2414770054800215</v>
      </c>
      <c r="AF117" s="231"/>
      <c r="AG117" s="231"/>
      <c r="AH117" s="231"/>
      <c r="AI117" s="231" t="s">
        <v>73</v>
      </c>
      <c r="AJ117" s="231">
        <f>1.07*0.707*AJ107</f>
        <v>1.2411858817176955</v>
      </c>
      <c r="AK117" s="428"/>
      <c r="AL117" s="431"/>
      <c r="AM117" s="433"/>
      <c r="AN117" s="434" t="s">
        <v>73</v>
      </c>
      <c r="AO117" s="233">
        <f>1.07*0.707*AO107</f>
        <v>1.2410386425099658</v>
      </c>
      <c r="AP117" s="136"/>
      <c r="AQ117" s="242"/>
      <c r="AR117" s="2"/>
      <c r="AS117" s="43" t="s">
        <v>73</v>
      </c>
      <c r="AT117" s="230">
        <f>1.07*0.707*AT107</f>
        <v>1.2413048173437258</v>
      </c>
      <c r="AU117" s="428"/>
      <c r="AV117" s="431"/>
      <c r="AW117" s="433"/>
      <c r="AX117" s="434" t="s">
        <v>73</v>
      </c>
      <c r="AY117" s="231">
        <f>1.07*0.707*AY107</f>
        <v>1.2410293057719175</v>
      </c>
      <c r="AZ117" s="231"/>
      <c r="BA117" s="231"/>
      <c r="BB117" s="231"/>
      <c r="BC117" s="231" t="s">
        <v>73</v>
      </c>
      <c r="BD117" s="231">
        <f>1.07*0.707*BD107</f>
        <v>1.240915775857274</v>
      </c>
      <c r="BE117" s="428"/>
      <c r="BF117" s="431"/>
      <c r="BG117" s="433"/>
      <c r="BH117" s="434" t="s">
        <v>73</v>
      </c>
      <c r="BI117" s="233">
        <f>1.07*0.707*BI107</f>
        <v>1.2408583567907159</v>
      </c>
      <c r="BJ117" s="136"/>
    </row>
    <row r="118" spans="3:62" x14ac:dyDescent="0.25">
      <c r="C118" s="242"/>
      <c r="D118" s="2"/>
      <c r="E118" s="484" t="s">
        <v>74</v>
      </c>
      <c r="F118" s="740">
        <f>1.07*0.707*F108</f>
        <v>2.2768550191512995</v>
      </c>
      <c r="G118" s="428"/>
      <c r="H118" s="431"/>
      <c r="I118" s="433"/>
      <c r="J118" s="434" t="s">
        <v>74</v>
      </c>
      <c r="K118" s="176">
        <f>1.07*0.707*K108</f>
        <v>2.2368505802393051</v>
      </c>
      <c r="L118" s="428"/>
      <c r="M118" s="431"/>
      <c r="N118" s="433"/>
      <c r="O118" s="434" t="s">
        <v>74</v>
      </c>
      <c r="P118" s="231">
        <f>1.07*0.707*P108</f>
        <v>2.2203659712436883</v>
      </c>
      <c r="Q118" s="428"/>
      <c r="R118" s="431"/>
      <c r="S118" s="433"/>
      <c r="T118" s="434" t="s">
        <v>74</v>
      </c>
      <c r="U118" s="233">
        <f>1.07*0.707*U108</f>
        <v>2.2120286897079935</v>
      </c>
      <c r="V118" s="136"/>
      <c r="W118" s="242"/>
      <c r="X118" s="2"/>
      <c r="Y118" s="43" t="s">
        <v>74</v>
      </c>
      <c r="Z118" s="230">
        <f>1.07*0.707*Z108</f>
        <v>2.2272790074810263</v>
      </c>
      <c r="AA118" s="428"/>
      <c r="AB118" s="431"/>
      <c r="AC118" s="433"/>
      <c r="AD118" s="434" t="s">
        <v>74</v>
      </c>
      <c r="AE118" s="231">
        <f>1.07*0.707*AE108</f>
        <v>2.2115909123486257</v>
      </c>
      <c r="AF118" s="231"/>
      <c r="AG118" s="231"/>
      <c r="AH118" s="231"/>
      <c r="AI118" s="231" t="s">
        <v>74</v>
      </c>
      <c r="AJ118" s="231">
        <f>1.07*0.707*AJ108</f>
        <v>2.2051263268881822</v>
      </c>
      <c r="AK118" s="428"/>
      <c r="AL118" s="431"/>
      <c r="AM118" s="433"/>
      <c r="AN118" s="434" t="s">
        <v>74</v>
      </c>
      <c r="AO118" s="233">
        <f>1.07*0.707*AO108</f>
        <v>2.2018567880711193</v>
      </c>
      <c r="AP118" s="136"/>
      <c r="AQ118" s="242"/>
      <c r="AR118" s="2"/>
      <c r="AS118" s="43" t="s">
        <v>74</v>
      </c>
      <c r="AT118" s="230">
        <f>1.07*0.707*AT108</f>
        <v>2.2077673669483358</v>
      </c>
      <c r="AU118" s="428"/>
      <c r="AV118" s="431"/>
      <c r="AW118" s="433"/>
      <c r="AX118" s="434" t="s">
        <v>74</v>
      </c>
      <c r="AY118" s="231">
        <f>1.07*0.707*AY108</f>
        <v>2.2016494599555601</v>
      </c>
      <c r="AZ118" s="231"/>
      <c r="BA118" s="231"/>
      <c r="BB118" s="231"/>
      <c r="BC118" s="231" t="s">
        <v>74</v>
      </c>
      <c r="BD118" s="231">
        <f>1.07*0.707*BD108</f>
        <v>2.1991284571021184</v>
      </c>
      <c r="BE118" s="428"/>
      <c r="BF118" s="431"/>
      <c r="BG118" s="433"/>
      <c r="BH118" s="434" t="s">
        <v>74</v>
      </c>
      <c r="BI118" s="233">
        <f>1.07*0.707*BI108</f>
        <v>2.1978534307701612</v>
      </c>
      <c r="BJ118" s="136"/>
    </row>
    <row r="119" spans="3:62" ht="15.75" thickBot="1" x14ac:dyDescent="0.3">
      <c r="C119" s="242"/>
      <c r="D119" s="2"/>
      <c r="E119" s="484" t="s">
        <v>80</v>
      </c>
      <c r="F119" s="740">
        <f>1.07*0.707*F109</f>
        <v>1.7465652107572887</v>
      </c>
      <c r="G119" s="428"/>
      <c r="H119" s="431"/>
      <c r="I119" s="433"/>
      <c r="J119" s="434" t="s">
        <v>80</v>
      </c>
      <c r="K119" s="193">
        <f>1.07*0.707*K109</f>
        <v>1.4793224886465732</v>
      </c>
      <c r="L119" s="428"/>
      <c r="M119" s="431"/>
      <c r="N119" s="433"/>
      <c r="O119" s="434" t="s">
        <v>80</v>
      </c>
      <c r="P119" s="231">
        <f>1.07*0.707*P109</f>
        <v>1.3062183167456765</v>
      </c>
      <c r="Q119" s="428"/>
      <c r="R119" s="431"/>
      <c r="S119" s="433"/>
      <c r="T119" s="434" t="s">
        <v>80</v>
      </c>
      <c r="U119" s="233">
        <f>1.07*0.707*U109</f>
        <v>1.1824302373661097</v>
      </c>
      <c r="V119" s="136"/>
      <c r="W119" s="242"/>
      <c r="X119" s="2"/>
      <c r="Y119" s="43" t="s">
        <v>80</v>
      </c>
      <c r="Z119" s="230">
        <f>1.07*0.707*Z109</f>
        <v>1.3869543432318057</v>
      </c>
      <c r="AA119" s="428"/>
      <c r="AB119" s="431"/>
      <c r="AC119" s="433"/>
      <c r="AD119" s="434" t="s">
        <v>80</v>
      </c>
      <c r="AE119" s="231">
        <f>1.07*0.707*AE109</f>
        <v>1.1747358403979851</v>
      </c>
      <c r="AF119" s="231"/>
      <c r="AG119" s="231"/>
      <c r="AH119" s="231"/>
      <c r="AI119" s="231" t="s">
        <v>80</v>
      </c>
      <c r="AJ119" s="231">
        <f>1.07*0.707*AJ109</f>
        <v>1.0372731326955944</v>
      </c>
      <c r="AK119" s="428"/>
      <c r="AL119" s="431"/>
      <c r="AM119" s="433"/>
      <c r="AN119" s="434" t="s">
        <v>80</v>
      </c>
      <c r="AO119" s="233">
        <f>1.07*0.707*AO109</f>
        <v>0.93897252915765284</v>
      </c>
      <c r="AP119" s="136"/>
      <c r="AQ119" s="242"/>
      <c r="AR119" s="2"/>
      <c r="AS119" s="43" t="s">
        <v>80</v>
      </c>
      <c r="AT119" s="230">
        <f>1.07*0.707*AT109</f>
        <v>1.0998696425232231</v>
      </c>
      <c r="AU119" s="428"/>
      <c r="AV119" s="431"/>
      <c r="AW119" s="433"/>
      <c r="AX119" s="434" t="s">
        <v>80</v>
      </c>
      <c r="AY119" s="231">
        <f>1.07*0.707*AY109</f>
        <v>0.93157809782481404</v>
      </c>
      <c r="AZ119" s="231"/>
      <c r="BA119" s="231"/>
      <c r="BB119" s="231"/>
      <c r="BC119" s="231" t="s">
        <v>80</v>
      </c>
      <c r="BD119" s="231">
        <f>1.07*0.707*BD109</f>
        <v>0.82256869898000018</v>
      </c>
      <c r="BE119" s="428"/>
      <c r="BF119" s="431"/>
      <c r="BG119" s="433"/>
      <c r="BH119" s="434" t="s">
        <v>80</v>
      </c>
      <c r="BI119" s="233">
        <f>1.07*0.707*BI109</f>
        <v>0.74461526799599065</v>
      </c>
      <c r="BJ119" s="136"/>
    </row>
    <row r="120" spans="3:62" x14ac:dyDescent="0.25">
      <c r="C120" s="142"/>
      <c r="D120" s="480"/>
      <c r="E120" s="328" t="s">
        <v>56</v>
      </c>
      <c r="F120" s="751">
        <f>F114</f>
        <v>2.147365804807889</v>
      </c>
      <c r="G120" s="453" t="s">
        <v>32</v>
      </c>
      <c r="H120" s="434"/>
      <c r="I120" s="440"/>
      <c r="J120" s="454" t="s">
        <v>56</v>
      </c>
      <c r="K120" s="184">
        <f>K114</f>
        <v>2.144257056409737</v>
      </c>
      <c r="L120" s="453" t="s">
        <v>32</v>
      </c>
      <c r="M120" s="434"/>
      <c r="N120" s="440"/>
      <c r="O120" s="454" t="s">
        <v>56</v>
      </c>
      <c r="P120" s="184">
        <f>P114</f>
        <v>2.1429760360229242</v>
      </c>
      <c r="Q120" s="453" t="s">
        <v>32</v>
      </c>
      <c r="R120" s="434"/>
      <c r="S120" s="440"/>
      <c r="T120" s="454" t="s">
        <v>56</v>
      </c>
      <c r="U120" s="200">
        <f>U114</f>
        <v>2.1423281451557119</v>
      </c>
      <c r="V120" s="215" t="s">
        <v>32</v>
      </c>
      <c r="W120" s="142"/>
      <c r="X120" s="243"/>
      <c r="Y120" s="328" t="s">
        <v>56</v>
      </c>
      <c r="Z120" s="255">
        <f>Z114</f>
        <v>2.1435132486651622</v>
      </c>
      <c r="AA120" s="453" t="s">
        <v>32</v>
      </c>
      <c r="AB120" s="434"/>
      <c r="AC120" s="440"/>
      <c r="AD120" s="454" t="s">
        <v>56</v>
      </c>
      <c r="AE120" s="184">
        <f>AE114</f>
        <v>2.1422941254393582</v>
      </c>
      <c r="AF120" s="176" t="s">
        <v>32</v>
      </c>
      <c r="AG120" s="176"/>
      <c r="AH120" s="176"/>
      <c r="AI120" s="176" t="s">
        <v>56</v>
      </c>
      <c r="AJ120" s="184">
        <f>AJ114</f>
        <v>2.1417917619456697</v>
      </c>
      <c r="AK120" s="453" t="s">
        <v>32</v>
      </c>
      <c r="AL120" s="434"/>
      <c r="AM120" s="440"/>
      <c r="AN120" s="454" t="s">
        <v>56</v>
      </c>
      <c r="AO120" s="200">
        <f>AO114</f>
        <v>2.1415376858022044</v>
      </c>
      <c r="AP120" s="215" t="s">
        <v>32</v>
      </c>
      <c r="AQ120" s="142"/>
      <c r="AR120" s="243"/>
      <c r="AS120" s="239" t="s">
        <v>56</v>
      </c>
      <c r="AT120" s="175">
        <f>AT114</f>
        <v>2.1419969973965287</v>
      </c>
      <c r="AU120" s="453" t="s">
        <v>32</v>
      </c>
      <c r="AV120" s="434"/>
      <c r="AW120" s="440"/>
      <c r="AX120" s="454" t="s">
        <v>56</v>
      </c>
      <c r="AY120" s="184">
        <f>AY114</f>
        <v>2.1415215743164633</v>
      </c>
      <c r="AZ120" s="176" t="s">
        <v>32</v>
      </c>
      <c r="BA120" s="176"/>
      <c r="BB120" s="176"/>
      <c r="BC120" s="176" t="s">
        <v>56</v>
      </c>
      <c r="BD120" s="184">
        <f>BD114</f>
        <v>2.1413256669672904</v>
      </c>
      <c r="BE120" s="453" t="s">
        <v>32</v>
      </c>
      <c r="BF120" s="434"/>
      <c r="BG120" s="440"/>
      <c r="BH120" s="454" t="s">
        <v>56</v>
      </c>
      <c r="BI120" s="200">
        <f>BI114</f>
        <v>2.1412265845610654</v>
      </c>
      <c r="BJ120" s="215" t="s">
        <v>32</v>
      </c>
    </row>
    <row r="121" spans="3:62" x14ac:dyDescent="0.25">
      <c r="C121" s="141"/>
      <c r="D121" s="483" t="s">
        <v>67</v>
      </c>
      <c r="E121" s="144" t="s">
        <v>57</v>
      </c>
      <c r="F121" s="748">
        <f>IF(F115&lt;F116,F115,F116)</f>
        <v>3.0138749039941901</v>
      </c>
      <c r="G121" s="441" t="s">
        <v>32</v>
      </c>
      <c r="H121" s="458"/>
      <c r="I121" s="457" t="s">
        <v>67</v>
      </c>
      <c r="J121" s="443" t="s">
        <v>57</v>
      </c>
      <c r="K121" s="176">
        <f>IF(K115&lt;K116,K115,K116)</f>
        <v>2.5527205603236482</v>
      </c>
      <c r="L121" s="441" t="s">
        <v>32</v>
      </c>
      <c r="M121" s="458"/>
      <c r="N121" s="457" t="s">
        <v>67</v>
      </c>
      <c r="O121" s="443" t="s">
        <v>57</v>
      </c>
      <c r="P121" s="179">
        <f>IF(P115&lt;P116,P115,P116)</f>
        <v>2.2540118054168676</v>
      </c>
      <c r="Q121" s="441" t="s">
        <v>32</v>
      </c>
      <c r="R121" s="458"/>
      <c r="S121" s="457" t="s">
        <v>67</v>
      </c>
      <c r="T121" s="443" t="s">
        <v>57</v>
      </c>
      <c r="U121" s="197">
        <f>IF(U115&lt;U116,U115,U116)</f>
        <v>2.0404029555681102</v>
      </c>
      <c r="V121" s="216" t="s">
        <v>32</v>
      </c>
      <c r="W121" s="141"/>
      <c r="X121" s="244" t="s">
        <v>67</v>
      </c>
      <c r="Y121" s="144" t="s">
        <v>57</v>
      </c>
      <c r="Z121" s="178">
        <f>IF(Z115&lt;Z116,Z115,Z116)</f>
        <v>2.3933299840775151</v>
      </c>
      <c r="AA121" s="441" t="s">
        <v>32</v>
      </c>
      <c r="AB121" s="458"/>
      <c r="AC121" s="457" t="s">
        <v>67</v>
      </c>
      <c r="AD121" s="443" t="s">
        <v>57</v>
      </c>
      <c r="AE121" s="179">
        <f>IF(AE115&lt;AE116,AE115,AE116)</f>
        <v>2.0271254954533831</v>
      </c>
      <c r="AF121" s="179" t="s">
        <v>32</v>
      </c>
      <c r="AG121" s="179"/>
      <c r="AH121" s="179" t="s">
        <v>67</v>
      </c>
      <c r="AI121" s="179" t="s">
        <v>57</v>
      </c>
      <c r="AJ121" s="179">
        <f>IF(AJ115&lt;AJ116,AJ115,AJ116)</f>
        <v>1.7899196914973481</v>
      </c>
      <c r="AK121" s="441" t="s">
        <v>32</v>
      </c>
      <c r="AL121" s="458"/>
      <c r="AM121" s="457" t="s">
        <v>67</v>
      </c>
      <c r="AN121" s="443" t="s">
        <v>57</v>
      </c>
      <c r="AO121" s="197">
        <f>IF(AO115&lt;AO116,AO115,AO116)</f>
        <v>1.6202920588010419</v>
      </c>
      <c r="AP121" s="216" t="s">
        <v>32</v>
      </c>
      <c r="AQ121" s="141"/>
      <c r="AR121" s="244" t="s">
        <v>67</v>
      </c>
      <c r="AS121" s="253" t="s">
        <v>57</v>
      </c>
      <c r="AT121" s="178">
        <f>IF(AT115&lt;AT116,AT115,AT116)</f>
        <v>1.897936299686467</v>
      </c>
      <c r="AU121" s="441" t="s">
        <v>32</v>
      </c>
      <c r="AV121" s="458"/>
      <c r="AW121" s="457" t="s">
        <v>67</v>
      </c>
      <c r="AX121" s="443" t="s">
        <v>57</v>
      </c>
      <c r="AY121" s="179">
        <f>IF(AY115&lt;AY116,AY115,AY116)</f>
        <v>1.6075322197259876</v>
      </c>
      <c r="AZ121" s="179" t="s">
        <v>32</v>
      </c>
      <c r="BA121" s="179"/>
      <c r="BB121" s="179" t="s">
        <v>67</v>
      </c>
      <c r="BC121" s="179" t="s">
        <v>57</v>
      </c>
      <c r="BD121" s="179">
        <f>IF(BD115&lt;BD116,BD115,BD116)</f>
        <v>1.4194254777306936</v>
      </c>
      <c r="BE121" s="441" t="s">
        <v>32</v>
      </c>
      <c r="BF121" s="458"/>
      <c r="BG121" s="457" t="s">
        <v>67</v>
      </c>
      <c r="BH121" s="443" t="s">
        <v>57</v>
      </c>
      <c r="BI121" s="197">
        <f>IF(BI115&lt;BI116,BI115,BI116)</f>
        <v>1.2849089490171268</v>
      </c>
      <c r="BJ121" s="216" t="s">
        <v>32</v>
      </c>
    </row>
    <row r="122" spans="3:62" x14ac:dyDescent="0.25">
      <c r="C122" s="142"/>
      <c r="D122" s="480" t="s">
        <v>68</v>
      </c>
      <c r="E122" s="132" t="s">
        <v>60</v>
      </c>
      <c r="F122" s="749">
        <f>F117</f>
        <v>1.2444160852452275</v>
      </c>
      <c r="G122" s="444" t="s">
        <v>32</v>
      </c>
      <c r="H122" s="434"/>
      <c r="I122" s="440" t="s">
        <v>68</v>
      </c>
      <c r="J122" s="430" t="s">
        <v>60</v>
      </c>
      <c r="K122" s="182">
        <f>K117</f>
        <v>1.2426145400669542</v>
      </c>
      <c r="L122" s="444" t="s">
        <v>32</v>
      </c>
      <c r="M122" s="434"/>
      <c r="N122" s="440" t="s">
        <v>68</v>
      </c>
      <c r="O122" s="430" t="s">
        <v>60</v>
      </c>
      <c r="P122" s="182">
        <f>P117</f>
        <v>1.241872178252629</v>
      </c>
      <c r="Q122" s="444" t="s">
        <v>32</v>
      </c>
      <c r="R122" s="434"/>
      <c r="S122" s="440" t="s">
        <v>68</v>
      </c>
      <c r="T122" s="430" t="s">
        <v>60</v>
      </c>
      <c r="U122" s="198">
        <f>U117</f>
        <v>1.2414967201844984</v>
      </c>
      <c r="V122" s="217" t="s">
        <v>32</v>
      </c>
      <c r="W122" s="142"/>
      <c r="X122" s="243" t="s">
        <v>68</v>
      </c>
      <c r="Y122" s="132" t="s">
        <v>60</v>
      </c>
      <c r="Z122" s="181">
        <f>Z117</f>
        <v>1.2421834973821884</v>
      </c>
      <c r="AA122" s="444" t="s">
        <v>32</v>
      </c>
      <c r="AB122" s="434"/>
      <c r="AC122" s="440" t="s">
        <v>68</v>
      </c>
      <c r="AD122" s="430" t="s">
        <v>60</v>
      </c>
      <c r="AE122" s="182">
        <f>AE117</f>
        <v>1.2414770054800215</v>
      </c>
      <c r="AF122" s="182" t="s">
        <v>32</v>
      </c>
      <c r="AG122" s="182"/>
      <c r="AH122" s="182" t="s">
        <v>68</v>
      </c>
      <c r="AI122" s="182" t="s">
        <v>60</v>
      </c>
      <c r="AJ122" s="182">
        <f>AJ117</f>
        <v>1.2411858817176955</v>
      </c>
      <c r="AK122" s="444" t="s">
        <v>32</v>
      </c>
      <c r="AL122" s="434"/>
      <c r="AM122" s="440" t="s">
        <v>68</v>
      </c>
      <c r="AN122" s="430" t="s">
        <v>60</v>
      </c>
      <c r="AO122" s="198">
        <f>AO117</f>
        <v>1.2410386425099658</v>
      </c>
      <c r="AP122" s="217" t="s">
        <v>32</v>
      </c>
      <c r="AQ122" s="142"/>
      <c r="AR122" s="243" t="s">
        <v>68</v>
      </c>
      <c r="AS122" s="252" t="s">
        <v>60</v>
      </c>
      <c r="AT122" s="181">
        <f>AT117</f>
        <v>1.2413048173437258</v>
      </c>
      <c r="AU122" s="444" t="s">
        <v>32</v>
      </c>
      <c r="AV122" s="434"/>
      <c r="AW122" s="440" t="s">
        <v>68</v>
      </c>
      <c r="AX122" s="430" t="s">
        <v>60</v>
      </c>
      <c r="AY122" s="182">
        <f>AY117</f>
        <v>1.2410293057719175</v>
      </c>
      <c r="AZ122" s="182" t="s">
        <v>32</v>
      </c>
      <c r="BA122" s="182"/>
      <c r="BB122" s="182" t="s">
        <v>68</v>
      </c>
      <c r="BC122" s="182" t="s">
        <v>60</v>
      </c>
      <c r="BD122" s="182">
        <f>BD117</f>
        <v>1.240915775857274</v>
      </c>
      <c r="BE122" s="444" t="s">
        <v>32</v>
      </c>
      <c r="BF122" s="434"/>
      <c r="BG122" s="440" t="s">
        <v>68</v>
      </c>
      <c r="BH122" s="430" t="s">
        <v>60</v>
      </c>
      <c r="BI122" s="198">
        <f>BI117</f>
        <v>1.2408583567907159</v>
      </c>
      <c r="BJ122" s="217" t="s">
        <v>32</v>
      </c>
    </row>
    <row r="123" spans="3:62" ht="15.75" thickBot="1" x14ac:dyDescent="0.3">
      <c r="C123" s="141"/>
      <c r="D123" s="249"/>
      <c r="E123" s="146" t="s">
        <v>61</v>
      </c>
      <c r="F123" s="752">
        <f>IF(F118&lt;F119,F118,F119)</f>
        <v>1.7465652107572887</v>
      </c>
      <c r="G123" s="459" t="s">
        <v>32</v>
      </c>
      <c r="H123" s="460"/>
      <c r="I123" s="461"/>
      <c r="J123" s="462" t="s">
        <v>61</v>
      </c>
      <c r="K123" s="187">
        <f>IF(K118&lt;K119,K118,K119)</f>
        <v>1.4793224886465732</v>
      </c>
      <c r="L123" s="459" t="s">
        <v>32</v>
      </c>
      <c r="M123" s="460"/>
      <c r="N123" s="461"/>
      <c r="O123" s="462" t="s">
        <v>61</v>
      </c>
      <c r="P123" s="187">
        <f>IF(P118&lt;P119,P118,P119)</f>
        <v>1.3062183167456765</v>
      </c>
      <c r="Q123" s="459" t="s">
        <v>32</v>
      </c>
      <c r="R123" s="460"/>
      <c r="S123" s="461"/>
      <c r="T123" s="462" t="s">
        <v>61</v>
      </c>
      <c r="U123" s="201">
        <f>IF(U118&lt;U119,U118,U119)</f>
        <v>1.1824302373661097</v>
      </c>
      <c r="V123" s="130" t="s">
        <v>32</v>
      </c>
      <c r="W123" s="143"/>
      <c r="X123" s="249"/>
      <c r="Y123" s="146" t="s">
        <v>61</v>
      </c>
      <c r="Z123" s="186">
        <f>IF(Z118&lt;Z119,Z118,Z119)</f>
        <v>1.3869543432318057</v>
      </c>
      <c r="AA123" s="459" t="s">
        <v>32</v>
      </c>
      <c r="AB123" s="460"/>
      <c r="AC123" s="461"/>
      <c r="AD123" s="462" t="s">
        <v>61</v>
      </c>
      <c r="AE123" s="187">
        <f>IF(AE118&lt;AE119,AE118,AE119)</f>
        <v>1.1747358403979851</v>
      </c>
      <c r="AF123" s="187" t="s">
        <v>32</v>
      </c>
      <c r="AG123" s="187"/>
      <c r="AH123" s="187"/>
      <c r="AI123" s="187" t="s">
        <v>61</v>
      </c>
      <c r="AJ123" s="187">
        <f>IF(AJ118&lt;AJ119,AJ118,AJ119)</f>
        <v>1.0372731326955944</v>
      </c>
      <c r="AK123" s="459" t="s">
        <v>32</v>
      </c>
      <c r="AL123" s="460"/>
      <c r="AM123" s="461"/>
      <c r="AN123" s="462" t="s">
        <v>61</v>
      </c>
      <c r="AO123" s="201">
        <f>IF(AO118&lt;AO119,AO118,AO119)</f>
        <v>0.93897252915765284</v>
      </c>
      <c r="AP123" s="130" t="s">
        <v>32</v>
      </c>
      <c r="AQ123" s="143"/>
      <c r="AR123" s="249"/>
      <c r="AS123" s="237" t="s">
        <v>61</v>
      </c>
      <c r="AT123" s="186">
        <f>IF(AT118&lt;AT119,AT118,AT119)</f>
        <v>1.0998696425232231</v>
      </c>
      <c r="AU123" s="459" t="s">
        <v>32</v>
      </c>
      <c r="AV123" s="460"/>
      <c r="AW123" s="461"/>
      <c r="AX123" s="462" t="s">
        <v>61</v>
      </c>
      <c r="AY123" s="187">
        <f>IF(AY118&lt;AY119,AY118,AY119)</f>
        <v>0.93157809782481404</v>
      </c>
      <c r="AZ123" s="187" t="s">
        <v>32</v>
      </c>
      <c r="BA123" s="187"/>
      <c r="BB123" s="187"/>
      <c r="BC123" s="187" t="s">
        <v>61</v>
      </c>
      <c r="BD123" s="187">
        <f>IF(BD118&lt;BD119,BD118,BD119)</f>
        <v>0.82256869898000018</v>
      </c>
      <c r="BE123" s="459" t="s">
        <v>32</v>
      </c>
      <c r="BF123" s="460"/>
      <c r="BG123" s="461"/>
      <c r="BH123" s="462" t="s">
        <v>61</v>
      </c>
      <c r="BI123" s="201">
        <f>IF(BI118&lt;BI119,BI118,BI119)</f>
        <v>0.74461526799599065</v>
      </c>
      <c r="BJ123" s="130" t="s">
        <v>32</v>
      </c>
    </row>
    <row r="124" spans="3:62" ht="15.75" thickTop="1" x14ac:dyDescent="0.25">
      <c r="F124">
        <v>1</v>
      </c>
      <c r="K124">
        <v>2</v>
      </c>
      <c r="P124">
        <v>3</v>
      </c>
      <c r="U124">
        <v>4</v>
      </c>
      <c r="V124"/>
      <c r="W124"/>
      <c r="X124"/>
      <c r="Y124"/>
      <c r="Z124">
        <v>5</v>
      </c>
      <c r="AA124"/>
      <c r="AB124"/>
      <c r="AC124"/>
      <c r="AD124"/>
      <c r="AE124">
        <v>6</v>
      </c>
      <c r="AF124"/>
      <c r="AG124"/>
      <c r="AH124"/>
      <c r="AI124"/>
      <c r="AJ124">
        <v>7</v>
      </c>
      <c r="AK124"/>
      <c r="AL124"/>
      <c r="AM124"/>
      <c r="AN124"/>
      <c r="AO124">
        <v>8</v>
      </c>
      <c r="AP124"/>
      <c r="AT124">
        <v>9</v>
      </c>
      <c r="AY124">
        <v>10</v>
      </c>
      <c r="BD124">
        <v>11</v>
      </c>
      <c r="BI124">
        <v>12</v>
      </c>
    </row>
    <row r="125" spans="3:62" x14ac:dyDescent="0.25">
      <c r="F125">
        <f>F86*SQRT('BMW-AD-Std Size Calculator'!$E$12/'DN600, DN950, DN1500 Calculator'!F93)</f>
        <v>92.517095406581007</v>
      </c>
      <c r="K125">
        <f>$F$86*SQRT('BMW-AD-Std Size Calculator'!$E$12/'DN600, DN950, DN1500 Calculator'!K93)</f>
        <v>129.61162754173105</v>
      </c>
      <c r="P125">
        <f>$F$86*SQRT('BMW-AD-Std Size Calculator'!$E$12/'DN600, DN950, DN1500 Calculator'!P93)</f>
        <v>166.86696468795304</v>
      </c>
      <c r="U125">
        <f>$F$86*SQRT('BMW-AD-Std Size Calculator'!$E$12/'DN600, DN950, DN1500 Calculator'!U93)</f>
        <v>204.24747970880534</v>
      </c>
      <c r="V125"/>
      <c r="W125"/>
      <c r="X125"/>
      <c r="Y125"/>
      <c r="Z125">
        <f>$F$86*SQRT('BMW-AD-Std Size Calculator'!$E$12/'DN600, DN950, DN1500 Calculator'!Z93)</f>
        <v>147.73757774523773</v>
      </c>
      <c r="AA125"/>
      <c r="AB125"/>
      <c r="AC125"/>
      <c r="AD125"/>
      <c r="AE125">
        <f>$F$86*SQRT('BMW-AD-Std Size Calculator'!$E$12/'DN600, DN950, DN1500 Calculator'!AE93)</f>
        <v>206.97264453106911</v>
      </c>
      <c r="AF125"/>
      <c r="AG125"/>
      <c r="AH125"/>
      <c r="AI125"/>
      <c r="AJ125">
        <f>$F$86*SQRT('BMW-AD-Std Size Calculator'!$E$12/'DN600, DN950, DN1500 Calculator'!AJ93)</f>
        <v>266.46449567357149</v>
      </c>
      <c r="AK125"/>
      <c r="AL125"/>
      <c r="AM125"/>
      <c r="AN125"/>
      <c r="AO125">
        <f>$F$86*SQRT('BMW-AD-Std Size Calculator'!$E$12/'DN600, DN950, DN1500 Calculator'!AO93)</f>
        <v>326.15623934300527</v>
      </c>
      <c r="AP125"/>
      <c r="AT125">
        <f>$F$86*SQRT('BMW-AD-Std Size Calculator'!$E$12/'DN600, DN950, DN1500 Calculator'!AT93)</f>
        <v>236.57815804641751</v>
      </c>
      <c r="AY125">
        <f>$F$86*SQRT('BMW-AD-Std Size Calculator'!$E$12/'DN600, DN950, DN1500 Calculator'!AY93)</f>
        <v>331.43366607507971</v>
      </c>
      <c r="BD125">
        <f>$F$86*SQRT('BMW-AD-Std Size Calculator'!$E$12/'DN600, DN950, DN1500 Calculator'!BD93)</f>
        <v>426.7003732789521</v>
      </c>
      <c r="BI125">
        <f>$F$86*SQRT('BMW-AD-Std Size Calculator'!$E$12/'DN600, DN950, DN1500 Calculator'!BI93)</f>
        <v>522.28717647025303</v>
      </c>
    </row>
    <row r="126" spans="3:62" x14ac:dyDescent="0.25"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</row>
    <row r="127" spans="3:62" x14ac:dyDescent="0.25"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</row>
    <row r="128" spans="3:62" x14ac:dyDescent="0.25"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</row>
    <row r="129" spans="1:62" ht="20.25" thickBot="1" x14ac:dyDescent="0.35">
      <c r="A129" s="691" t="s">
        <v>234</v>
      </c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</row>
    <row r="130" spans="1:62" ht="15.75" thickTop="1" x14ac:dyDescent="0.25"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</row>
    <row r="131" spans="1:62" ht="15.75" x14ac:dyDescent="0.25">
      <c r="C131" s="676" t="s">
        <v>141</v>
      </c>
      <c r="E131" t="s">
        <v>212</v>
      </c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</row>
    <row r="132" spans="1:62" ht="15.75" x14ac:dyDescent="0.25">
      <c r="C132" s="676" t="s">
        <v>138</v>
      </c>
      <c r="E132" t="s">
        <v>213</v>
      </c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</row>
    <row r="133" spans="1:62" ht="15.75" x14ac:dyDescent="0.25">
      <c r="C133" s="676" t="s">
        <v>144</v>
      </c>
      <c r="E133" t="s">
        <v>214</v>
      </c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</row>
    <row r="134" spans="1:62" ht="15.75" x14ac:dyDescent="0.25">
      <c r="C134" s="676" t="s">
        <v>208</v>
      </c>
      <c r="E134" t="s">
        <v>215</v>
      </c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</row>
    <row r="135" spans="1:62" ht="15.75" x14ac:dyDescent="0.25">
      <c r="C135" s="679" t="s">
        <v>209</v>
      </c>
      <c r="E135" t="s">
        <v>216</v>
      </c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</row>
    <row r="136" spans="1:62" ht="15.75" x14ac:dyDescent="0.25">
      <c r="C136" s="522" t="s">
        <v>210</v>
      </c>
      <c r="E136" t="s">
        <v>22</v>
      </c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</row>
    <row r="137" spans="1:62" ht="15.75" x14ac:dyDescent="0.25">
      <c r="C137" s="680" t="s">
        <v>142</v>
      </c>
      <c r="E137" t="s">
        <v>46</v>
      </c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</row>
    <row r="138" spans="1:62" ht="15.75" x14ac:dyDescent="0.25">
      <c r="C138" s="681" t="s">
        <v>211</v>
      </c>
      <c r="E138" t="s">
        <v>23</v>
      </c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</row>
    <row r="139" spans="1:62" ht="15.75" x14ac:dyDescent="0.25">
      <c r="C139" s="677" t="s">
        <v>143</v>
      </c>
      <c r="E139" t="s">
        <v>93</v>
      </c>
      <c r="F139" s="93">
        <f t="shared" ref="F139:AK139" si="50">MAX(F37,F102)</f>
        <v>2.1080598388940128</v>
      </c>
      <c r="G139" s="93">
        <f t="shared" si="50"/>
        <v>0</v>
      </c>
      <c r="H139" s="93">
        <f t="shared" si="50"/>
        <v>0</v>
      </c>
      <c r="I139" s="93">
        <f t="shared" si="50"/>
        <v>0</v>
      </c>
      <c r="J139" s="93">
        <f t="shared" si="50"/>
        <v>0</v>
      </c>
      <c r="K139" s="93">
        <f t="shared" si="50"/>
        <v>2.1080598388940128</v>
      </c>
      <c r="L139" s="93">
        <f t="shared" si="50"/>
        <v>0</v>
      </c>
      <c r="M139" s="93">
        <f t="shared" si="50"/>
        <v>0</v>
      </c>
      <c r="N139" s="93">
        <f t="shared" si="50"/>
        <v>0</v>
      </c>
      <c r="O139" s="93">
        <f t="shared" si="50"/>
        <v>0</v>
      </c>
      <c r="P139" s="93">
        <f t="shared" si="50"/>
        <v>2.1080598388940128</v>
      </c>
      <c r="Q139" s="93">
        <f t="shared" si="50"/>
        <v>0</v>
      </c>
      <c r="R139" s="93">
        <f t="shared" si="50"/>
        <v>0</v>
      </c>
      <c r="S139" s="93">
        <f t="shared" si="50"/>
        <v>0</v>
      </c>
      <c r="T139" s="93">
        <f t="shared" si="50"/>
        <v>0</v>
      </c>
      <c r="U139" s="93">
        <f t="shared" si="50"/>
        <v>2.1080598388940128</v>
      </c>
      <c r="V139" s="93">
        <f t="shared" si="50"/>
        <v>0</v>
      </c>
      <c r="W139" s="93">
        <f t="shared" si="50"/>
        <v>0</v>
      </c>
      <c r="X139" s="93">
        <f t="shared" si="50"/>
        <v>0</v>
      </c>
      <c r="Y139" s="93">
        <f t="shared" si="50"/>
        <v>0</v>
      </c>
      <c r="Z139" s="93">
        <f t="shared" si="50"/>
        <v>2.0681426525047488</v>
      </c>
      <c r="AA139" s="93">
        <f t="shared" si="50"/>
        <v>0</v>
      </c>
      <c r="AB139" s="93">
        <f t="shared" si="50"/>
        <v>0</v>
      </c>
      <c r="AC139" s="93">
        <f t="shared" si="50"/>
        <v>0</v>
      </c>
      <c r="AD139" s="93">
        <f t="shared" si="50"/>
        <v>0</v>
      </c>
      <c r="AE139" s="93">
        <f t="shared" si="50"/>
        <v>2.0681426525047488</v>
      </c>
      <c r="AF139" s="93">
        <f t="shared" si="50"/>
        <v>0</v>
      </c>
      <c r="AG139" s="93">
        <f t="shared" si="50"/>
        <v>0</v>
      </c>
      <c r="AH139" s="93">
        <f t="shared" si="50"/>
        <v>0</v>
      </c>
      <c r="AI139" s="93">
        <f t="shared" si="50"/>
        <v>0</v>
      </c>
      <c r="AJ139" s="93">
        <f t="shared" si="50"/>
        <v>2.0681426525047488</v>
      </c>
      <c r="AK139" s="93">
        <f t="shared" si="50"/>
        <v>0</v>
      </c>
      <c r="AL139" s="93">
        <f t="shared" ref="AL139:BI139" si="51">MAX(AL37,AL102)</f>
        <v>0</v>
      </c>
      <c r="AM139" s="93">
        <f t="shared" si="51"/>
        <v>0</v>
      </c>
      <c r="AN139" s="93">
        <f t="shared" si="51"/>
        <v>0</v>
      </c>
      <c r="AO139" s="93">
        <f t="shared" si="51"/>
        <v>2.0681426525047488</v>
      </c>
      <c r="AP139" s="93">
        <f t="shared" si="51"/>
        <v>0</v>
      </c>
      <c r="AQ139" s="93">
        <f t="shared" si="51"/>
        <v>0</v>
      </c>
      <c r="AR139" s="93">
        <f t="shared" si="51"/>
        <v>0</v>
      </c>
      <c r="AS139" s="93">
        <f t="shared" si="51"/>
        <v>0</v>
      </c>
      <c r="AT139" s="93">
        <f t="shared" si="51"/>
        <v>2.0428525959050483</v>
      </c>
      <c r="AU139" s="93">
        <f t="shared" si="51"/>
        <v>0</v>
      </c>
      <c r="AV139" s="93">
        <f t="shared" si="51"/>
        <v>0</v>
      </c>
      <c r="AW139" s="93">
        <f t="shared" si="51"/>
        <v>0</v>
      </c>
      <c r="AX139" s="93">
        <f t="shared" si="51"/>
        <v>0</v>
      </c>
      <c r="AY139" s="93">
        <f t="shared" si="51"/>
        <v>2.0428525959050483</v>
      </c>
      <c r="AZ139" s="93">
        <f t="shared" si="51"/>
        <v>0</v>
      </c>
      <c r="BA139" s="93">
        <f t="shared" si="51"/>
        <v>0</v>
      </c>
      <c r="BB139" s="93">
        <f t="shared" si="51"/>
        <v>0</v>
      </c>
      <c r="BC139" s="93">
        <f t="shared" si="51"/>
        <v>0</v>
      </c>
      <c r="BD139" s="93">
        <f t="shared" si="51"/>
        <v>2.0428525959050483</v>
      </c>
      <c r="BE139" s="93">
        <f t="shared" si="51"/>
        <v>0</v>
      </c>
      <c r="BF139" s="93">
        <f t="shared" si="51"/>
        <v>0</v>
      </c>
      <c r="BG139" s="93">
        <f t="shared" si="51"/>
        <v>0</v>
      </c>
      <c r="BH139" s="93">
        <f t="shared" si="51"/>
        <v>0</v>
      </c>
      <c r="BI139" s="93">
        <f t="shared" si="51"/>
        <v>2.0428525959050483</v>
      </c>
      <c r="BJ139" s="93"/>
    </row>
    <row r="140" spans="1:62" ht="15" customHeight="1" x14ac:dyDescent="0.25">
      <c r="C140" s="1065" t="s">
        <v>130</v>
      </c>
      <c r="E140" t="s">
        <v>139</v>
      </c>
      <c r="F140" s="106">
        <f t="shared" ref="F140:AK140" si="52">MAX(F38,F103)</f>
        <v>1.2502311136809527</v>
      </c>
      <c r="G140" s="106">
        <f t="shared" si="52"/>
        <v>0</v>
      </c>
      <c r="H140" s="106">
        <f t="shared" si="52"/>
        <v>0</v>
      </c>
      <c r="I140" s="106">
        <f t="shared" si="52"/>
        <v>0</v>
      </c>
      <c r="J140" s="106">
        <f t="shared" si="52"/>
        <v>0</v>
      </c>
      <c r="K140" s="106">
        <f t="shared" si="52"/>
        <v>1.2484211500672668</v>
      </c>
      <c r="L140" s="106">
        <f t="shared" si="52"/>
        <v>0</v>
      </c>
      <c r="M140" s="106">
        <f t="shared" si="52"/>
        <v>0</v>
      </c>
      <c r="N140" s="106">
        <f t="shared" si="52"/>
        <v>0</v>
      </c>
      <c r="O140" s="106">
        <f t="shared" si="52"/>
        <v>0</v>
      </c>
      <c r="P140" s="106">
        <f t="shared" si="52"/>
        <v>1.247675319272501</v>
      </c>
      <c r="Q140" s="106">
        <f t="shared" si="52"/>
        <v>0</v>
      </c>
      <c r="R140" s="106">
        <f t="shared" si="52"/>
        <v>0</v>
      </c>
      <c r="S140" s="106">
        <f t="shared" si="52"/>
        <v>0</v>
      </c>
      <c r="T140" s="106">
        <f t="shared" si="52"/>
        <v>0</v>
      </c>
      <c r="U140" s="106">
        <f t="shared" si="52"/>
        <v>1.2472981067274167</v>
      </c>
      <c r="V140" s="106">
        <f t="shared" si="52"/>
        <v>0</v>
      </c>
      <c r="W140" s="106">
        <f t="shared" si="52"/>
        <v>0</v>
      </c>
      <c r="X140" s="106">
        <f t="shared" si="52"/>
        <v>0</v>
      </c>
      <c r="Y140" s="106">
        <f t="shared" si="52"/>
        <v>0</v>
      </c>
      <c r="Z140" s="106">
        <f t="shared" si="52"/>
        <v>1.2479880931643479</v>
      </c>
      <c r="AA140" s="106">
        <f t="shared" si="52"/>
        <v>0</v>
      </c>
      <c r="AB140" s="106">
        <f t="shared" si="52"/>
        <v>0</v>
      </c>
      <c r="AC140" s="106">
        <f t="shared" si="52"/>
        <v>0</v>
      </c>
      <c r="AD140" s="106">
        <f t="shared" si="52"/>
        <v>0</v>
      </c>
      <c r="AE140" s="106">
        <f t="shared" si="52"/>
        <v>1.2472782998981524</v>
      </c>
      <c r="AF140" s="106">
        <f t="shared" si="52"/>
        <v>0</v>
      </c>
      <c r="AG140" s="106">
        <f t="shared" si="52"/>
        <v>0</v>
      </c>
      <c r="AH140" s="106">
        <f t="shared" si="52"/>
        <v>0</v>
      </c>
      <c r="AI140" s="106">
        <f t="shared" si="52"/>
        <v>0</v>
      </c>
      <c r="AJ140" s="106">
        <f t="shared" si="52"/>
        <v>1.2469858157444136</v>
      </c>
      <c r="AK140" s="106">
        <f t="shared" si="52"/>
        <v>0</v>
      </c>
      <c r="AL140" s="106">
        <f t="shared" ref="AL140:BI140" si="53">MAX(AL38,AL103)</f>
        <v>0</v>
      </c>
      <c r="AM140" s="106">
        <f t="shared" si="53"/>
        <v>0</v>
      </c>
      <c r="AN140" s="106">
        <f t="shared" si="53"/>
        <v>0</v>
      </c>
      <c r="AO140" s="106">
        <f t="shared" si="53"/>
        <v>1.2468378885030029</v>
      </c>
      <c r="AP140" s="106">
        <f t="shared" si="53"/>
        <v>0</v>
      </c>
      <c r="AQ140" s="106">
        <f t="shared" si="53"/>
        <v>0</v>
      </c>
      <c r="AR140" s="106">
        <f t="shared" si="53"/>
        <v>0</v>
      </c>
      <c r="AS140" s="106">
        <f t="shared" si="53"/>
        <v>0</v>
      </c>
      <c r="AT140" s="106">
        <f t="shared" si="53"/>
        <v>1.2471053071443974</v>
      </c>
      <c r="AU140" s="106">
        <f t="shared" si="53"/>
        <v>0</v>
      </c>
      <c r="AV140" s="106">
        <f t="shared" si="53"/>
        <v>0</v>
      </c>
      <c r="AW140" s="106">
        <f t="shared" si="53"/>
        <v>0</v>
      </c>
      <c r="AX140" s="106">
        <f t="shared" si="53"/>
        <v>0</v>
      </c>
      <c r="AY140" s="106">
        <f t="shared" si="53"/>
        <v>1.2468285081353374</v>
      </c>
      <c r="AZ140" s="106">
        <f t="shared" si="53"/>
        <v>0</v>
      </c>
      <c r="BA140" s="106">
        <f t="shared" si="53"/>
        <v>0</v>
      </c>
      <c r="BB140" s="106">
        <f t="shared" si="53"/>
        <v>0</v>
      </c>
      <c r="BC140" s="106">
        <f t="shared" si="53"/>
        <v>0</v>
      </c>
      <c r="BD140" s="106">
        <f t="shared" si="53"/>
        <v>1.2467144477070742</v>
      </c>
      <c r="BE140" s="106">
        <f t="shared" si="53"/>
        <v>0</v>
      </c>
      <c r="BF140" s="106">
        <f t="shared" si="53"/>
        <v>0</v>
      </c>
      <c r="BG140" s="106">
        <f t="shared" si="53"/>
        <v>0</v>
      </c>
      <c r="BH140" s="106">
        <f t="shared" si="53"/>
        <v>0</v>
      </c>
      <c r="BI140" s="106">
        <f t="shared" si="53"/>
        <v>1.2466567603271208</v>
      </c>
    </row>
    <row r="141" spans="1:62" ht="15" customHeight="1" x14ac:dyDescent="0.25">
      <c r="C141" s="1066"/>
      <c r="E141" t="s">
        <v>57</v>
      </c>
      <c r="F141" s="106">
        <f t="shared" ref="F141:AK141" si="54">MIN(F39,F104)</f>
        <v>1.7547267304337246</v>
      </c>
      <c r="G141" s="106">
        <f t="shared" si="54"/>
        <v>0</v>
      </c>
      <c r="H141" s="106">
        <f t="shared" si="54"/>
        <v>0</v>
      </c>
      <c r="I141" s="106">
        <f t="shared" si="54"/>
        <v>0</v>
      </c>
      <c r="J141" s="106">
        <f t="shared" si="54"/>
        <v>0</v>
      </c>
      <c r="K141" s="106">
        <f t="shared" si="54"/>
        <v>1.4862352105561365</v>
      </c>
      <c r="L141" s="106">
        <f t="shared" si="54"/>
        <v>0</v>
      </c>
      <c r="M141" s="106">
        <f t="shared" si="54"/>
        <v>0</v>
      </c>
      <c r="N141" s="106">
        <f t="shared" si="54"/>
        <v>0</v>
      </c>
      <c r="O141" s="106">
        <f t="shared" si="54"/>
        <v>0</v>
      </c>
      <c r="P141" s="106">
        <f t="shared" si="54"/>
        <v>1.3123221406557029</v>
      </c>
      <c r="Q141" s="106">
        <f t="shared" si="54"/>
        <v>0</v>
      </c>
      <c r="R141" s="106">
        <f t="shared" si="54"/>
        <v>0</v>
      </c>
      <c r="S141" s="106">
        <f t="shared" si="54"/>
        <v>0</v>
      </c>
      <c r="T141" s="106">
        <f t="shared" si="54"/>
        <v>0</v>
      </c>
      <c r="U141" s="106">
        <f t="shared" si="54"/>
        <v>1.1879556123070729</v>
      </c>
      <c r="V141" s="106">
        <f t="shared" si="54"/>
        <v>0</v>
      </c>
      <c r="W141" s="106">
        <f t="shared" si="54"/>
        <v>0</v>
      </c>
      <c r="X141" s="106">
        <f t="shared" si="54"/>
        <v>0</v>
      </c>
      <c r="Y141" s="106">
        <f t="shared" si="54"/>
        <v>0</v>
      </c>
      <c r="Z141" s="106">
        <f t="shared" si="54"/>
        <v>1.3934354382936365</v>
      </c>
      <c r="AA141" s="106">
        <f t="shared" si="54"/>
        <v>0</v>
      </c>
      <c r="AB141" s="106">
        <f t="shared" si="54"/>
        <v>0</v>
      </c>
      <c r="AC141" s="106">
        <f t="shared" si="54"/>
        <v>0</v>
      </c>
      <c r="AD141" s="106">
        <f t="shared" si="54"/>
        <v>0</v>
      </c>
      <c r="AE141" s="106">
        <f t="shared" si="54"/>
        <v>1.1802252602129288</v>
      </c>
      <c r="AF141" s="106">
        <f t="shared" si="54"/>
        <v>0</v>
      </c>
      <c r="AG141" s="106">
        <f t="shared" si="54"/>
        <v>0</v>
      </c>
      <c r="AH141" s="106">
        <f t="shared" si="54"/>
        <v>0</v>
      </c>
      <c r="AI141" s="106">
        <f t="shared" si="54"/>
        <v>0</v>
      </c>
      <c r="AJ141" s="106">
        <f t="shared" si="54"/>
        <v>1.042120203409125</v>
      </c>
      <c r="AK141" s="106">
        <f t="shared" si="54"/>
        <v>0</v>
      </c>
      <c r="AL141" s="106">
        <f t="shared" ref="AL141:BI141" si="55">MIN(AL39,AL104)</f>
        <v>0</v>
      </c>
      <c r="AM141" s="106">
        <f t="shared" si="55"/>
        <v>0</v>
      </c>
      <c r="AN141" s="106">
        <f t="shared" si="55"/>
        <v>0</v>
      </c>
      <c r="AO141" s="106">
        <f t="shared" si="55"/>
        <v>0.94336025125652034</v>
      </c>
      <c r="AP141" s="106">
        <f t="shared" si="55"/>
        <v>0</v>
      </c>
      <c r="AQ141" s="106">
        <f t="shared" si="55"/>
        <v>0</v>
      </c>
      <c r="AR141" s="106">
        <f t="shared" si="55"/>
        <v>0</v>
      </c>
      <c r="AS141" s="106">
        <f t="shared" si="55"/>
        <v>0</v>
      </c>
      <c r="AT141" s="106">
        <f t="shared" si="55"/>
        <v>1.105009220292023</v>
      </c>
      <c r="AU141" s="106">
        <f t="shared" si="55"/>
        <v>0</v>
      </c>
      <c r="AV141" s="106">
        <f t="shared" si="55"/>
        <v>0</v>
      </c>
      <c r="AW141" s="106">
        <f t="shared" si="55"/>
        <v>0</v>
      </c>
      <c r="AX141" s="106">
        <f t="shared" si="55"/>
        <v>0</v>
      </c>
      <c r="AY141" s="106">
        <f t="shared" si="55"/>
        <v>0.93593126650623837</v>
      </c>
      <c r="AZ141" s="106">
        <f t="shared" si="55"/>
        <v>0</v>
      </c>
      <c r="BA141" s="106">
        <f t="shared" si="55"/>
        <v>0</v>
      </c>
      <c r="BB141" s="106">
        <f t="shared" si="55"/>
        <v>0</v>
      </c>
      <c r="BC141" s="106">
        <f t="shared" si="55"/>
        <v>0</v>
      </c>
      <c r="BD141" s="106">
        <f t="shared" si="55"/>
        <v>0.82641247794719641</v>
      </c>
      <c r="BE141" s="106">
        <f t="shared" si="55"/>
        <v>0</v>
      </c>
      <c r="BF141" s="106">
        <f t="shared" si="55"/>
        <v>0</v>
      </c>
      <c r="BG141" s="106">
        <f t="shared" si="55"/>
        <v>0</v>
      </c>
      <c r="BH141" s="106">
        <f t="shared" si="55"/>
        <v>0</v>
      </c>
      <c r="BI141" s="106">
        <f t="shared" si="55"/>
        <v>0.74809477859410267</v>
      </c>
    </row>
    <row r="142" spans="1:62" ht="15" customHeight="1" x14ac:dyDescent="0.25">
      <c r="C142" s="1066"/>
      <c r="E142" t="s">
        <v>145</v>
      </c>
      <c r="F142" s="106">
        <f t="shared" ref="F142:AK142" si="56">MAX(F40,F105)</f>
        <v>2.1662420286551165</v>
      </c>
      <c r="G142" s="106">
        <f t="shared" si="56"/>
        <v>0</v>
      </c>
      <c r="H142" s="106">
        <f t="shared" si="56"/>
        <v>0</v>
      </c>
      <c r="I142" s="106">
        <f t="shared" si="56"/>
        <v>0</v>
      </c>
      <c r="J142" s="106">
        <f t="shared" si="56"/>
        <v>0</v>
      </c>
      <c r="K142" s="106">
        <f t="shared" si="56"/>
        <v>2.1631059530868488</v>
      </c>
      <c r="L142" s="106">
        <f t="shared" si="56"/>
        <v>0</v>
      </c>
      <c r="M142" s="106">
        <f t="shared" si="56"/>
        <v>0</v>
      </c>
      <c r="N142" s="106">
        <f t="shared" si="56"/>
        <v>0</v>
      </c>
      <c r="O142" s="106">
        <f t="shared" si="56"/>
        <v>0</v>
      </c>
      <c r="P142" s="106">
        <f t="shared" si="56"/>
        <v>2.1618136720068089</v>
      </c>
      <c r="Q142" s="106">
        <f t="shared" si="56"/>
        <v>0</v>
      </c>
      <c r="R142" s="106">
        <f t="shared" si="56"/>
        <v>0</v>
      </c>
      <c r="S142" s="106">
        <f t="shared" si="56"/>
        <v>0</v>
      </c>
      <c r="T142" s="106">
        <f t="shared" si="56"/>
        <v>0</v>
      </c>
      <c r="U142" s="106">
        <f t="shared" si="56"/>
        <v>2.1611600859138407</v>
      </c>
      <c r="V142" s="106">
        <f t="shared" si="56"/>
        <v>0</v>
      </c>
      <c r="W142" s="106">
        <f t="shared" si="56"/>
        <v>0</v>
      </c>
      <c r="X142" s="106">
        <f t="shared" si="56"/>
        <v>0</v>
      </c>
      <c r="Y142" s="106">
        <f t="shared" si="56"/>
        <v>0</v>
      </c>
      <c r="Z142" s="106">
        <f t="shared" si="56"/>
        <v>2.1623556069679299</v>
      </c>
      <c r="AA142" s="106">
        <f t="shared" si="56"/>
        <v>0</v>
      </c>
      <c r="AB142" s="106">
        <f t="shared" si="56"/>
        <v>0</v>
      </c>
      <c r="AC142" s="106">
        <f t="shared" si="56"/>
        <v>0</v>
      </c>
      <c r="AD142" s="106">
        <f t="shared" si="56"/>
        <v>0</v>
      </c>
      <c r="AE142" s="106">
        <f t="shared" si="56"/>
        <v>2.1611257671502639</v>
      </c>
      <c r="AF142" s="106">
        <f t="shared" si="56"/>
        <v>0</v>
      </c>
      <c r="AG142" s="106">
        <f t="shared" si="56"/>
        <v>0</v>
      </c>
      <c r="AH142" s="106">
        <f t="shared" si="56"/>
        <v>0</v>
      </c>
      <c r="AI142" s="106">
        <f t="shared" si="56"/>
        <v>0</v>
      </c>
      <c r="AJ142" s="106">
        <f t="shared" si="56"/>
        <v>2.1606189876759641</v>
      </c>
      <c r="AK142" s="106">
        <f t="shared" si="56"/>
        <v>0</v>
      </c>
      <c r="AL142" s="106">
        <f t="shared" ref="AL142:BI142" si="57">MAX(AL40,AL105)</f>
        <v>0</v>
      </c>
      <c r="AM142" s="106">
        <f t="shared" si="57"/>
        <v>0</v>
      </c>
      <c r="AN142" s="106">
        <f t="shared" si="57"/>
        <v>0</v>
      </c>
      <c r="AO142" s="106">
        <f t="shared" si="57"/>
        <v>2.1603626780992626</v>
      </c>
      <c r="AP142" s="106">
        <f t="shared" si="57"/>
        <v>0</v>
      </c>
      <c r="AQ142" s="106">
        <f t="shared" si="57"/>
        <v>0</v>
      </c>
      <c r="AR142" s="106">
        <f t="shared" si="57"/>
        <v>0</v>
      </c>
      <c r="AS142" s="106">
        <f t="shared" si="57"/>
        <v>0</v>
      </c>
      <c r="AT142" s="106">
        <f t="shared" si="57"/>
        <v>2.1608260272303919</v>
      </c>
      <c r="AU142" s="106">
        <f t="shared" si="57"/>
        <v>0</v>
      </c>
      <c r="AV142" s="106">
        <f t="shared" si="57"/>
        <v>0</v>
      </c>
      <c r="AW142" s="106">
        <f t="shared" si="57"/>
        <v>0</v>
      </c>
      <c r="AX142" s="106">
        <f t="shared" si="57"/>
        <v>0</v>
      </c>
      <c r="AY142" s="106">
        <f t="shared" si="57"/>
        <v>2.160346424986971</v>
      </c>
      <c r="AZ142" s="106">
        <f t="shared" si="57"/>
        <v>0</v>
      </c>
      <c r="BA142" s="106">
        <f t="shared" si="57"/>
        <v>0</v>
      </c>
      <c r="BB142" s="106">
        <f t="shared" si="57"/>
        <v>0</v>
      </c>
      <c r="BC142" s="106">
        <f t="shared" si="57"/>
        <v>0</v>
      </c>
      <c r="BD142" s="106">
        <f t="shared" si="57"/>
        <v>2.1601487955320593</v>
      </c>
      <c r="BE142" s="106">
        <f t="shared" si="57"/>
        <v>0</v>
      </c>
      <c r="BF142" s="106">
        <f t="shared" si="57"/>
        <v>0</v>
      </c>
      <c r="BG142" s="106">
        <f t="shared" si="57"/>
        <v>0</v>
      </c>
      <c r="BH142" s="106">
        <f t="shared" si="57"/>
        <v>0</v>
      </c>
      <c r="BI142" s="106">
        <f t="shared" si="57"/>
        <v>2.1600488421509523</v>
      </c>
    </row>
    <row r="143" spans="1:62" ht="15" customHeight="1" x14ac:dyDescent="0.25">
      <c r="C143" s="1092"/>
      <c r="E143" t="s">
        <v>148</v>
      </c>
      <c r="F143" s="106">
        <f t="shared" ref="F143:AK143" si="58">MIN(F41,F106)</f>
        <v>3.0403680972861564</v>
      </c>
      <c r="G143" s="106">
        <f t="shared" si="58"/>
        <v>0</v>
      </c>
      <c r="H143" s="106">
        <f t="shared" si="58"/>
        <v>0</v>
      </c>
      <c r="I143" s="106">
        <f t="shared" si="58"/>
        <v>0</v>
      </c>
      <c r="J143" s="106">
        <f t="shared" si="58"/>
        <v>0</v>
      </c>
      <c r="K143" s="106">
        <f t="shared" si="58"/>
        <v>2.5751600182903358</v>
      </c>
      <c r="L143" s="106">
        <f t="shared" si="58"/>
        <v>0</v>
      </c>
      <c r="M143" s="106">
        <f t="shared" si="58"/>
        <v>0</v>
      </c>
      <c r="N143" s="106">
        <f t="shared" si="58"/>
        <v>0</v>
      </c>
      <c r="O143" s="106">
        <f t="shared" si="58"/>
        <v>0</v>
      </c>
      <c r="P143" s="106">
        <f t="shared" si="58"/>
        <v>2.273825491235129</v>
      </c>
      <c r="Q143" s="106">
        <f t="shared" si="58"/>
        <v>0</v>
      </c>
      <c r="R143" s="106">
        <f t="shared" si="58"/>
        <v>0</v>
      </c>
      <c r="S143" s="106">
        <f t="shared" si="58"/>
        <v>0</v>
      </c>
      <c r="T143" s="106">
        <f t="shared" si="58"/>
        <v>0</v>
      </c>
      <c r="U143" s="106">
        <f t="shared" si="58"/>
        <v>2.0583389322152255</v>
      </c>
      <c r="V143" s="106">
        <f t="shared" si="58"/>
        <v>0</v>
      </c>
      <c r="W143" s="106">
        <f t="shared" si="58"/>
        <v>0</v>
      </c>
      <c r="X143" s="106">
        <f t="shared" si="58"/>
        <v>0</v>
      </c>
      <c r="Y143" s="106">
        <f t="shared" si="58"/>
        <v>0</v>
      </c>
      <c r="Z143" s="106">
        <f t="shared" si="58"/>
        <v>2.4143683336770931</v>
      </c>
      <c r="AA143" s="106">
        <f t="shared" si="58"/>
        <v>0</v>
      </c>
      <c r="AB143" s="106">
        <f t="shared" si="58"/>
        <v>0</v>
      </c>
      <c r="AC143" s="106">
        <f t="shared" si="58"/>
        <v>0</v>
      </c>
      <c r="AD143" s="106">
        <f t="shared" si="58"/>
        <v>0</v>
      </c>
      <c r="AE143" s="106">
        <f t="shared" si="58"/>
        <v>2.0449447577946787</v>
      </c>
      <c r="AF143" s="106">
        <f t="shared" si="58"/>
        <v>0</v>
      </c>
      <c r="AG143" s="106">
        <f t="shared" si="58"/>
        <v>0</v>
      </c>
      <c r="AH143" s="106">
        <f t="shared" si="58"/>
        <v>0</v>
      </c>
      <c r="AI143" s="106">
        <f t="shared" si="58"/>
        <v>0</v>
      </c>
      <c r="AJ143" s="106">
        <f t="shared" si="58"/>
        <v>1.8056538177880881</v>
      </c>
      <c r="AK143" s="106">
        <f t="shared" si="58"/>
        <v>0</v>
      </c>
      <c r="AL143" s="106">
        <f t="shared" ref="AL143:BI143" si="59">MIN(AL41,AL106)</f>
        <v>0</v>
      </c>
      <c r="AM143" s="106">
        <f t="shared" si="59"/>
        <v>0</v>
      </c>
      <c r="AN143" s="106">
        <f t="shared" si="59"/>
        <v>0</v>
      </c>
      <c r="AO143" s="106">
        <f t="shared" si="59"/>
        <v>1.6345350888108026</v>
      </c>
      <c r="AP143" s="106">
        <f t="shared" si="59"/>
        <v>0</v>
      </c>
      <c r="AQ143" s="106">
        <f t="shared" si="59"/>
        <v>0</v>
      </c>
      <c r="AR143" s="106">
        <f t="shared" si="59"/>
        <v>0</v>
      </c>
      <c r="AS143" s="106">
        <f t="shared" si="59"/>
        <v>0</v>
      </c>
      <c r="AT143" s="106">
        <f t="shared" si="59"/>
        <v>1.9146199361495448</v>
      </c>
      <c r="AU143" s="106">
        <f t="shared" si="59"/>
        <v>0</v>
      </c>
      <c r="AV143" s="106">
        <f t="shared" si="59"/>
        <v>0</v>
      </c>
      <c r="AW143" s="106">
        <f t="shared" si="59"/>
        <v>0</v>
      </c>
      <c r="AX143" s="106">
        <f t="shared" si="59"/>
        <v>0</v>
      </c>
      <c r="AY143" s="106">
        <f t="shared" si="59"/>
        <v>1.6216630855306111</v>
      </c>
      <c r="AZ143" s="106">
        <f t="shared" si="59"/>
        <v>0</v>
      </c>
      <c r="BA143" s="106">
        <f t="shared" si="59"/>
        <v>0</v>
      </c>
      <c r="BB143" s="106">
        <f t="shared" si="59"/>
        <v>0</v>
      </c>
      <c r="BC143" s="106">
        <f t="shared" si="59"/>
        <v>0</v>
      </c>
      <c r="BD143" s="106">
        <f t="shared" si="59"/>
        <v>1.4319028083243504</v>
      </c>
      <c r="BE143" s="106">
        <f t="shared" si="59"/>
        <v>0</v>
      </c>
      <c r="BF143" s="106">
        <f t="shared" si="59"/>
        <v>0</v>
      </c>
      <c r="BG143" s="106">
        <f t="shared" si="59"/>
        <v>0</v>
      </c>
      <c r="BH143" s="106">
        <f t="shared" si="59"/>
        <v>0</v>
      </c>
      <c r="BI143" s="106">
        <f t="shared" si="59"/>
        <v>1.2962038242967127</v>
      </c>
    </row>
    <row r="144" spans="1:62" ht="15" customHeight="1" x14ac:dyDescent="0.25">
      <c r="C144" s="1093" t="s">
        <v>131</v>
      </c>
      <c r="E144" t="s">
        <v>56</v>
      </c>
      <c r="F144" s="106">
        <f t="shared" ref="F144:AK144" si="60">MAX(F45,F110)</f>
        <v>1.6449868276450812</v>
      </c>
      <c r="G144" s="106">
        <f t="shared" si="60"/>
        <v>0</v>
      </c>
      <c r="H144" s="106">
        <f t="shared" si="60"/>
        <v>0</v>
      </c>
      <c r="I144" s="106">
        <f t="shared" si="60"/>
        <v>0</v>
      </c>
      <c r="J144" s="106">
        <f t="shared" si="60"/>
        <v>0</v>
      </c>
      <c r="K144" s="106">
        <f t="shared" si="60"/>
        <v>1.6426053749117029</v>
      </c>
      <c r="L144" s="106">
        <f t="shared" si="60"/>
        <v>0</v>
      </c>
      <c r="M144" s="106">
        <f t="shared" si="60"/>
        <v>0</v>
      </c>
      <c r="N144" s="106">
        <f t="shared" si="60"/>
        <v>0</v>
      </c>
      <c r="O144" s="106">
        <f t="shared" si="60"/>
        <v>0</v>
      </c>
      <c r="P144" s="106">
        <f t="shared" si="60"/>
        <v>1.6416240508831961</v>
      </c>
      <c r="Q144" s="106">
        <f t="shared" si="60"/>
        <v>0</v>
      </c>
      <c r="R144" s="106">
        <f t="shared" si="60"/>
        <v>0</v>
      </c>
      <c r="S144" s="106">
        <f t="shared" si="60"/>
        <v>0</v>
      </c>
      <c r="T144" s="106">
        <f t="shared" si="60"/>
        <v>0</v>
      </c>
      <c r="U144" s="106">
        <f t="shared" si="60"/>
        <v>1.6411277349132156</v>
      </c>
      <c r="V144" s="106">
        <f t="shared" si="60"/>
        <v>0</v>
      </c>
      <c r="W144" s="106">
        <f t="shared" si="60"/>
        <v>0</v>
      </c>
      <c r="X144" s="106">
        <f t="shared" si="60"/>
        <v>0</v>
      </c>
      <c r="Y144" s="106">
        <f t="shared" si="60"/>
        <v>0</v>
      </c>
      <c r="Z144" s="106">
        <f t="shared" si="60"/>
        <v>1.6420355819405257</v>
      </c>
      <c r="AA144" s="106">
        <f t="shared" si="60"/>
        <v>0</v>
      </c>
      <c r="AB144" s="106">
        <f t="shared" si="60"/>
        <v>0</v>
      </c>
      <c r="AC144" s="106">
        <f t="shared" si="60"/>
        <v>0</v>
      </c>
      <c r="AD144" s="106">
        <f t="shared" si="60"/>
        <v>0</v>
      </c>
      <c r="AE144" s="106">
        <f t="shared" si="60"/>
        <v>1.6411016741530244</v>
      </c>
      <c r="AF144" s="106">
        <f t="shared" si="60"/>
        <v>0</v>
      </c>
      <c r="AG144" s="106">
        <f t="shared" si="60"/>
        <v>0</v>
      </c>
      <c r="AH144" s="106">
        <f t="shared" si="60"/>
        <v>0</v>
      </c>
      <c r="AI144" s="106">
        <f t="shared" si="60"/>
        <v>0</v>
      </c>
      <c r="AJ144" s="106">
        <f t="shared" si="60"/>
        <v>1.6407168392413587</v>
      </c>
      <c r="AK144" s="106">
        <f t="shared" si="60"/>
        <v>0</v>
      </c>
      <c r="AL144" s="106">
        <f t="shared" ref="AL144:BI144" si="61">MAX(AL45,AL110)</f>
        <v>0</v>
      </c>
      <c r="AM144" s="106">
        <f t="shared" si="61"/>
        <v>0</v>
      </c>
      <c r="AN144" s="106">
        <f t="shared" si="61"/>
        <v>0</v>
      </c>
      <c r="AO144" s="106">
        <f t="shared" si="61"/>
        <v>1.6405222045366969</v>
      </c>
      <c r="AP144" s="106">
        <f t="shared" si="61"/>
        <v>0</v>
      </c>
      <c r="AQ144" s="106">
        <f t="shared" si="61"/>
        <v>0</v>
      </c>
      <c r="AR144" s="106">
        <f t="shared" si="61"/>
        <v>0</v>
      </c>
      <c r="AS144" s="106">
        <f t="shared" si="61"/>
        <v>0</v>
      </c>
      <c r="AT144" s="106">
        <f t="shared" si="61"/>
        <v>1.640874059595931</v>
      </c>
      <c r="AU144" s="106">
        <f t="shared" si="61"/>
        <v>0</v>
      </c>
      <c r="AV144" s="106">
        <f t="shared" si="61"/>
        <v>0</v>
      </c>
      <c r="AW144" s="106">
        <f t="shared" si="61"/>
        <v>0</v>
      </c>
      <c r="AX144" s="106">
        <f t="shared" si="61"/>
        <v>0</v>
      </c>
      <c r="AY144" s="106">
        <f t="shared" si="61"/>
        <v>1.6405098623536563</v>
      </c>
      <c r="AZ144" s="106">
        <f t="shared" si="61"/>
        <v>0</v>
      </c>
      <c r="BA144" s="106">
        <f t="shared" si="61"/>
        <v>0</v>
      </c>
      <c r="BB144" s="106">
        <f t="shared" si="61"/>
        <v>0</v>
      </c>
      <c r="BC144" s="106">
        <f t="shared" si="61"/>
        <v>0</v>
      </c>
      <c r="BD144" s="106">
        <f t="shared" si="61"/>
        <v>1.6403597877794471</v>
      </c>
      <c r="BE144" s="106">
        <f t="shared" si="61"/>
        <v>0</v>
      </c>
      <c r="BF144" s="106">
        <f t="shared" si="61"/>
        <v>0</v>
      </c>
      <c r="BG144" s="106">
        <f t="shared" si="61"/>
        <v>0</v>
      </c>
      <c r="BH144" s="106">
        <f t="shared" si="61"/>
        <v>0</v>
      </c>
      <c r="BI144" s="106">
        <f t="shared" si="61"/>
        <v>1.6402838858289148</v>
      </c>
    </row>
    <row r="145" spans="3:61" ht="15" customHeight="1" x14ac:dyDescent="0.25">
      <c r="C145" s="1066"/>
      <c r="E145" t="s">
        <v>140</v>
      </c>
      <c r="F145" s="106">
        <f t="shared" ref="F145:AK145" si="62">MIN(F46,F111)</f>
        <v>2.3087750145504748</v>
      </c>
      <c r="G145" s="106">
        <f t="shared" si="62"/>
        <v>0</v>
      </c>
      <c r="H145" s="106">
        <f t="shared" si="62"/>
        <v>138</v>
      </c>
      <c r="I145" s="106">
        <f t="shared" si="62"/>
        <v>0</v>
      </c>
      <c r="J145" s="106">
        <f t="shared" si="62"/>
        <v>0</v>
      </c>
      <c r="K145" s="106">
        <f t="shared" si="62"/>
        <v>1.9555083195370371</v>
      </c>
      <c r="L145" s="106">
        <f t="shared" si="62"/>
        <v>0</v>
      </c>
      <c r="M145" s="106">
        <f t="shared" si="62"/>
        <v>177</v>
      </c>
      <c r="N145" s="106">
        <f t="shared" si="62"/>
        <v>0</v>
      </c>
      <c r="O145" s="106">
        <f t="shared" si="62"/>
        <v>0</v>
      </c>
      <c r="P145" s="106">
        <f t="shared" si="62"/>
        <v>1.726682859979215</v>
      </c>
      <c r="Q145" s="106">
        <f t="shared" si="62"/>
        <v>0</v>
      </c>
      <c r="R145" s="106">
        <f t="shared" si="62"/>
        <v>216</v>
      </c>
      <c r="S145" s="106">
        <f t="shared" si="62"/>
        <v>0</v>
      </c>
      <c r="T145" s="106">
        <f t="shared" si="62"/>
        <v>0</v>
      </c>
      <c r="U145" s="106">
        <f t="shared" si="62"/>
        <v>1.5630480738226675</v>
      </c>
      <c r="V145" s="106">
        <f t="shared" si="62"/>
        <v>0</v>
      </c>
      <c r="W145" s="106">
        <f t="shared" si="62"/>
        <v>99</v>
      </c>
      <c r="X145" s="106">
        <f t="shared" si="62"/>
        <v>0</v>
      </c>
      <c r="Y145" s="106">
        <f t="shared" si="62"/>
        <v>0</v>
      </c>
      <c r="Z145" s="106">
        <f t="shared" si="62"/>
        <v>1.8334073725122682</v>
      </c>
      <c r="AA145" s="106">
        <f t="shared" si="62"/>
        <v>0</v>
      </c>
      <c r="AB145" s="106">
        <f t="shared" si="62"/>
        <v>138</v>
      </c>
      <c r="AC145" s="106">
        <f t="shared" si="62"/>
        <v>0</v>
      </c>
      <c r="AD145" s="106">
        <f t="shared" si="62"/>
        <v>0</v>
      </c>
      <c r="AE145" s="106">
        <f t="shared" si="62"/>
        <v>1.5528768924876535</v>
      </c>
      <c r="AF145" s="106">
        <f t="shared" si="62"/>
        <v>0</v>
      </c>
      <c r="AG145" s="106">
        <f t="shared" si="62"/>
        <v>177</v>
      </c>
      <c r="AH145" s="106">
        <f t="shared" si="62"/>
        <v>0</v>
      </c>
      <c r="AI145" s="106">
        <f t="shared" si="62"/>
        <v>0</v>
      </c>
      <c r="AJ145" s="106">
        <f t="shared" si="62"/>
        <v>1.3711656898248414</v>
      </c>
      <c r="AK145" s="106">
        <f t="shared" si="62"/>
        <v>0</v>
      </c>
      <c r="AL145" s="106">
        <f t="shared" ref="AL145:BI145" si="63">MIN(AL46,AL111)</f>
        <v>216</v>
      </c>
      <c r="AM145" s="106">
        <f t="shared" si="63"/>
        <v>0</v>
      </c>
      <c r="AN145" s="106">
        <f t="shared" si="63"/>
        <v>0</v>
      </c>
      <c r="AO145" s="106">
        <f t="shared" si="63"/>
        <v>1.2412226588026978</v>
      </c>
      <c r="AP145" s="106">
        <f t="shared" si="63"/>
        <v>0</v>
      </c>
      <c r="AQ145" s="106">
        <f t="shared" si="63"/>
        <v>99</v>
      </c>
      <c r="AR145" s="106">
        <f t="shared" si="63"/>
        <v>0</v>
      </c>
      <c r="AS145" s="106">
        <f t="shared" si="63"/>
        <v>0</v>
      </c>
      <c r="AT145" s="106">
        <f t="shared" si="63"/>
        <v>1.4539116743423217</v>
      </c>
      <c r="AU145" s="106">
        <f t="shared" si="63"/>
        <v>0</v>
      </c>
      <c r="AV145" s="106">
        <f t="shared" si="63"/>
        <v>138</v>
      </c>
      <c r="AW145" s="106">
        <f t="shared" si="63"/>
        <v>0</v>
      </c>
      <c r="AX145" s="106">
        <f t="shared" si="63"/>
        <v>0</v>
      </c>
      <c r="AY145" s="106">
        <f t="shared" si="63"/>
        <v>1.231448000402932</v>
      </c>
      <c r="AZ145" s="106">
        <f t="shared" si="63"/>
        <v>0</v>
      </c>
      <c r="BA145" s="106">
        <f t="shared" si="63"/>
        <v>177</v>
      </c>
      <c r="BB145" s="106">
        <f t="shared" si="63"/>
        <v>0</v>
      </c>
      <c r="BC145" s="106">
        <f t="shared" si="63"/>
        <v>0</v>
      </c>
      <c r="BD145" s="106">
        <f t="shared" si="63"/>
        <v>1.0873490713426486</v>
      </c>
      <c r="BE145" s="106">
        <f t="shared" si="63"/>
        <v>0</v>
      </c>
      <c r="BF145" s="106">
        <f t="shared" si="63"/>
        <v>216</v>
      </c>
      <c r="BG145" s="106">
        <f t="shared" si="63"/>
        <v>0</v>
      </c>
      <c r="BH145" s="106">
        <f t="shared" si="63"/>
        <v>0</v>
      </c>
      <c r="BI145" s="106">
        <f t="shared" si="63"/>
        <v>0.98430285660879935</v>
      </c>
    </row>
    <row r="146" spans="3:61" ht="15" customHeight="1" x14ac:dyDescent="0.25">
      <c r="C146" s="1066"/>
      <c r="E146" t="s">
        <v>145</v>
      </c>
      <c r="F146" s="106">
        <f t="shared" ref="F146:AK146" si="64">MAX(F47,F112)</f>
        <v>1.6449868276450812</v>
      </c>
      <c r="G146" s="106">
        <f t="shared" si="64"/>
        <v>0</v>
      </c>
      <c r="H146" s="106">
        <f t="shared" si="64"/>
        <v>0</v>
      </c>
      <c r="I146" s="106">
        <f t="shared" si="64"/>
        <v>0</v>
      </c>
      <c r="J146" s="106">
        <f t="shared" si="64"/>
        <v>0</v>
      </c>
      <c r="K146" s="106">
        <f t="shared" si="64"/>
        <v>1.6426053749117029</v>
      </c>
      <c r="L146" s="106">
        <f t="shared" si="64"/>
        <v>0</v>
      </c>
      <c r="M146" s="106">
        <f t="shared" si="64"/>
        <v>0</v>
      </c>
      <c r="N146" s="106">
        <f t="shared" si="64"/>
        <v>0</v>
      </c>
      <c r="O146" s="106">
        <f t="shared" si="64"/>
        <v>0</v>
      </c>
      <c r="P146" s="106">
        <f t="shared" si="64"/>
        <v>1.6416240508831961</v>
      </c>
      <c r="Q146" s="106">
        <f t="shared" si="64"/>
        <v>0</v>
      </c>
      <c r="R146" s="106">
        <f t="shared" si="64"/>
        <v>0</v>
      </c>
      <c r="S146" s="106">
        <f t="shared" si="64"/>
        <v>0</v>
      </c>
      <c r="T146" s="106">
        <f t="shared" si="64"/>
        <v>0</v>
      </c>
      <c r="U146" s="106">
        <f t="shared" si="64"/>
        <v>1.6411277349132156</v>
      </c>
      <c r="V146" s="106">
        <f t="shared" si="64"/>
        <v>0</v>
      </c>
      <c r="W146" s="106">
        <f t="shared" si="64"/>
        <v>0</v>
      </c>
      <c r="X146" s="106">
        <f t="shared" si="64"/>
        <v>0</v>
      </c>
      <c r="Y146" s="106">
        <f t="shared" si="64"/>
        <v>0</v>
      </c>
      <c r="Z146" s="106">
        <f t="shared" si="64"/>
        <v>1.6420355819405257</v>
      </c>
      <c r="AA146" s="106">
        <f t="shared" si="64"/>
        <v>0</v>
      </c>
      <c r="AB146" s="106">
        <f t="shared" si="64"/>
        <v>0</v>
      </c>
      <c r="AC146" s="106">
        <f t="shared" si="64"/>
        <v>0</v>
      </c>
      <c r="AD146" s="106">
        <f t="shared" si="64"/>
        <v>0</v>
      </c>
      <c r="AE146" s="106">
        <f t="shared" si="64"/>
        <v>1.6411016741530244</v>
      </c>
      <c r="AF146" s="106">
        <f t="shared" si="64"/>
        <v>0</v>
      </c>
      <c r="AG146" s="106">
        <f t="shared" si="64"/>
        <v>0</v>
      </c>
      <c r="AH146" s="106">
        <f t="shared" si="64"/>
        <v>0</v>
      </c>
      <c r="AI146" s="106">
        <f t="shared" si="64"/>
        <v>0</v>
      </c>
      <c r="AJ146" s="106">
        <f t="shared" si="64"/>
        <v>1.6407168392413587</v>
      </c>
      <c r="AK146" s="106">
        <f t="shared" si="64"/>
        <v>0</v>
      </c>
      <c r="AL146" s="106">
        <f t="shared" ref="AL146:BI146" si="65">MAX(AL47,AL112)</f>
        <v>0</v>
      </c>
      <c r="AM146" s="106">
        <f t="shared" si="65"/>
        <v>0</v>
      </c>
      <c r="AN146" s="106">
        <f t="shared" si="65"/>
        <v>0</v>
      </c>
      <c r="AO146" s="106">
        <f t="shared" si="65"/>
        <v>1.6405222045366969</v>
      </c>
      <c r="AP146" s="106">
        <f t="shared" si="65"/>
        <v>0</v>
      </c>
      <c r="AQ146" s="106">
        <f t="shared" si="65"/>
        <v>0</v>
      </c>
      <c r="AR146" s="106">
        <f t="shared" si="65"/>
        <v>0</v>
      </c>
      <c r="AS146" s="106">
        <f t="shared" si="65"/>
        <v>0</v>
      </c>
      <c r="AT146" s="106">
        <f t="shared" si="65"/>
        <v>1.640874059595931</v>
      </c>
      <c r="AU146" s="106">
        <f t="shared" si="65"/>
        <v>0</v>
      </c>
      <c r="AV146" s="106">
        <f t="shared" si="65"/>
        <v>0</v>
      </c>
      <c r="AW146" s="106">
        <f t="shared" si="65"/>
        <v>0</v>
      </c>
      <c r="AX146" s="106">
        <f t="shared" si="65"/>
        <v>0</v>
      </c>
      <c r="AY146" s="106">
        <f t="shared" si="65"/>
        <v>1.6405098623536563</v>
      </c>
      <c r="AZ146" s="106">
        <f t="shared" si="65"/>
        <v>0</v>
      </c>
      <c r="BA146" s="106">
        <f t="shared" si="65"/>
        <v>0</v>
      </c>
      <c r="BB146" s="106">
        <f t="shared" si="65"/>
        <v>0</v>
      </c>
      <c r="BC146" s="106">
        <f t="shared" si="65"/>
        <v>0</v>
      </c>
      <c r="BD146" s="106">
        <f t="shared" si="65"/>
        <v>1.6403597877794471</v>
      </c>
      <c r="BE146" s="106">
        <f t="shared" si="65"/>
        <v>0</v>
      </c>
      <c r="BF146" s="106">
        <f t="shared" si="65"/>
        <v>0</v>
      </c>
      <c r="BG146" s="106">
        <f t="shared" si="65"/>
        <v>0</v>
      </c>
      <c r="BH146" s="106">
        <f t="shared" si="65"/>
        <v>0</v>
      </c>
      <c r="BI146" s="106">
        <f t="shared" si="65"/>
        <v>1.6402838858289148</v>
      </c>
    </row>
    <row r="147" spans="3:61" ht="15" customHeight="1" x14ac:dyDescent="0.25">
      <c r="C147" s="1066"/>
      <c r="E147" t="s">
        <v>148</v>
      </c>
      <c r="F147" s="106">
        <f t="shared" ref="F147:AK147" si="66">MIN(F48,F113)</f>
        <v>2.3087750145504748</v>
      </c>
      <c r="G147" s="106">
        <f t="shared" si="66"/>
        <v>0</v>
      </c>
      <c r="H147" s="106">
        <f t="shared" si="66"/>
        <v>0</v>
      </c>
      <c r="I147" s="106">
        <f t="shared" si="66"/>
        <v>0</v>
      </c>
      <c r="J147" s="106">
        <f t="shared" si="66"/>
        <v>0</v>
      </c>
      <c r="K147" s="106">
        <f t="shared" si="66"/>
        <v>1.9555083195370371</v>
      </c>
      <c r="L147" s="106">
        <f t="shared" si="66"/>
        <v>0</v>
      </c>
      <c r="M147" s="106">
        <f t="shared" si="66"/>
        <v>0</v>
      </c>
      <c r="N147" s="106">
        <f t="shared" si="66"/>
        <v>0</v>
      </c>
      <c r="O147" s="106">
        <f t="shared" si="66"/>
        <v>0</v>
      </c>
      <c r="P147" s="106">
        <f t="shared" si="66"/>
        <v>1.726682859979215</v>
      </c>
      <c r="Q147" s="106">
        <f t="shared" si="66"/>
        <v>0</v>
      </c>
      <c r="R147" s="106">
        <f t="shared" si="66"/>
        <v>0</v>
      </c>
      <c r="S147" s="106">
        <f t="shared" si="66"/>
        <v>0</v>
      </c>
      <c r="T147" s="106">
        <f t="shared" si="66"/>
        <v>0</v>
      </c>
      <c r="U147" s="106">
        <f t="shared" si="66"/>
        <v>1.5630480738226675</v>
      </c>
      <c r="V147" s="106">
        <f t="shared" si="66"/>
        <v>0</v>
      </c>
      <c r="W147" s="106">
        <f t="shared" si="66"/>
        <v>0</v>
      </c>
      <c r="X147" s="106">
        <f t="shared" si="66"/>
        <v>0</v>
      </c>
      <c r="Y147" s="106">
        <f t="shared" si="66"/>
        <v>0</v>
      </c>
      <c r="Z147" s="106">
        <f t="shared" si="66"/>
        <v>1.8334073725122682</v>
      </c>
      <c r="AA147" s="106">
        <f t="shared" si="66"/>
        <v>0</v>
      </c>
      <c r="AB147" s="106">
        <f t="shared" si="66"/>
        <v>0</v>
      </c>
      <c r="AC147" s="106">
        <f t="shared" si="66"/>
        <v>0</v>
      </c>
      <c r="AD147" s="106">
        <f t="shared" si="66"/>
        <v>0</v>
      </c>
      <c r="AE147" s="106">
        <f t="shared" si="66"/>
        <v>1.5528768924876535</v>
      </c>
      <c r="AF147" s="106">
        <f t="shared" si="66"/>
        <v>0</v>
      </c>
      <c r="AG147" s="106">
        <f t="shared" si="66"/>
        <v>0</v>
      </c>
      <c r="AH147" s="106">
        <f t="shared" si="66"/>
        <v>0</v>
      </c>
      <c r="AI147" s="106">
        <f t="shared" si="66"/>
        <v>0</v>
      </c>
      <c r="AJ147" s="106">
        <f t="shared" si="66"/>
        <v>1.3711656898248414</v>
      </c>
      <c r="AK147" s="106">
        <f t="shared" si="66"/>
        <v>0</v>
      </c>
      <c r="AL147" s="106">
        <f t="shared" ref="AL147:BI147" si="67">MIN(AL48,AL113)</f>
        <v>0</v>
      </c>
      <c r="AM147" s="106">
        <f t="shared" si="67"/>
        <v>0</v>
      </c>
      <c r="AN147" s="106">
        <f t="shared" si="67"/>
        <v>0</v>
      </c>
      <c r="AO147" s="106">
        <f t="shared" si="67"/>
        <v>1.2412226588026978</v>
      </c>
      <c r="AP147" s="106">
        <f t="shared" si="67"/>
        <v>0</v>
      </c>
      <c r="AQ147" s="106">
        <f t="shared" si="67"/>
        <v>0</v>
      </c>
      <c r="AR147" s="106">
        <f t="shared" si="67"/>
        <v>0</v>
      </c>
      <c r="AS147" s="106">
        <f t="shared" si="67"/>
        <v>0</v>
      </c>
      <c r="AT147" s="106">
        <f t="shared" si="67"/>
        <v>1.4539116743423217</v>
      </c>
      <c r="AU147" s="106">
        <f t="shared" si="67"/>
        <v>0</v>
      </c>
      <c r="AV147" s="106">
        <f t="shared" si="67"/>
        <v>0</v>
      </c>
      <c r="AW147" s="106">
        <f t="shared" si="67"/>
        <v>0</v>
      </c>
      <c r="AX147" s="106">
        <f t="shared" si="67"/>
        <v>0</v>
      </c>
      <c r="AY147" s="106">
        <f t="shared" si="67"/>
        <v>1.231448000402932</v>
      </c>
      <c r="AZ147" s="106">
        <f t="shared" si="67"/>
        <v>0</v>
      </c>
      <c r="BA147" s="106">
        <f t="shared" si="67"/>
        <v>0</v>
      </c>
      <c r="BB147" s="106">
        <f t="shared" si="67"/>
        <v>0</v>
      </c>
      <c r="BC147" s="106">
        <f t="shared" si="67"/>
        <v>0</v>
      </c>
      <c r="BD147" s="106">
        <f t="shared" si="67"/>
        <v>1.0873490713426486</v>
      </c>
      <c r="BE147" s="106">
        <f t="shared" si="67"/>
        <v>0</v>
      </c>
      <c r="BF147" s="106">
        <f t="shared" si="67"/>
        <v>0</v>
      </c>
      <c r="BG147" s="106">
        <f t="shared" si="67"/>
        <v>0</v>
      </c>
      <c r="BH147" s="106">
        <f t="shared" si="67"/>
        <v>0</v>
      </c>
      <c r="BI147" s="106">
        <f t="shared" si="67"/>
        <v>0.98430285660879935</v>
      </c>
    </row>
    <row r="148" spans="3:61" ht="15" customHeight="1" x14ac:dyDescent="0.25">
      <c r="C148" s="1093" t="s">
        <v>132</v>
      </c>
      <c r="E148" t="s">
        <v>139</v>
      </c>
      <c r="F148" s="106">
        <f t="shared" ref="F148:AK148" si="68">MAX(F55,F120)</f>
        <v>2.147365804807889</v>
      </c>
      <c r="G148" s="106">
        <f t="shared" si="68"/>
        <v>0</v>
      </c>
      <c r="H148" s="106">
        <f t="shared" si="68"/>
        <v>0</v>
      </c>
      <c r="I148" s="106">
        <f t="shared" si="68"/>
        <v>0</v>
      </c>
      <c r="J148" s="106">
        <f t="shared" si="68"/>
        <v>0</v>
      </c>
      <c r="K148" s="106">
        <f t="shared" si="68"/>
        <v>2.144257056409737</v>
      </c>
      <c r="L148" s="106">
        <f t="shared" si="68"/>
        <v>0</v>
      </c>
      <c r="M148" s="106">
        <f t="shared" si="68"/>
        <v>0</v>
      </c>
      <c r="N148" s="106">
        <f t="shared" si="68"/>
        <v>0</v>
      </c>
      <c r="O148" s="106">
        <f t="shared" si="68"/>
        <v>0</v>
      </c>
      <c r="P148" s="106">
        <f t="shared" si="68"/>
        <v>2.1429760360229242</v>
      </c>
      <c r="Q148" s="106">
        <f t="shared" si="68"/>
        <v>0</v>
      </c>
      <c r="R148" s="106">
        <f t="shared" si="68"/>
        <v>0</v>
      </c>
      <c r="S148" s="106">
        <f t="shared" si="68"/>
        <v>0</v>
      </c>
      <c r="T148" s="106">
        <f t="shared" si="68"/>
        <v>0</v>
      </c>
      <c r="U148" s="106">
        <f t="shared" si="68"/>
        <v>2.1423281451557119</v>
      </c>
      <c r="V148" s="106">
        <f t="shared" si="68"/>
        <v>0</v>
      </c>
      <c r="W148" s="106">
        <f t="shared" si="68"/>
        <v>0</v>
      </c>
      <c r="X148" s="106">
        <f t="shared" si="68"/>
        <v>0</v>
      </c>
      <c r="Y148" s="106">
        <f t="shared" si="68"/>
        <v>0</v>
      </c>
      <c r="Z148" s="106">
        <f t="shared" si="68"/>
        <v>2.1435132486651622</v>
      </c>
      <c r="AA148" s="106">
        <f t="shared" si="68"/>
        <v>0</v>
      </c>
      <c r="AB148" s="106">
        <f t="shared" si="68"/>
        <v>0</v>
      </c>
      <c r="AC148" s="106">
        <f t="shared" si="68"/>
        <v>0</v>
      </c>
      <c r="AD148" s="106">
        <f t="shared" si="68"/>
        <v>0</v>
      </c>
      <c r="AE148" s="106">
        <f t="shared" si="68"/>
        <v>2.1422941254393582</v>
      </c>
      <c r="AF148" s="106">
        <f t="shared" si="68"/>
        <v>0</v>
      </c>
      <c r="AG148" s="106">
        <f t="shared" si="68"/>
        <v>0</v>
      </c>
      <c r="AH148" s="106">
        <f t="shared" si="68"/>
        <v>0</v>
      </c>
      <c r="AI148" s="106">
        <f t="shared" si="68"/>
        <v>0</v>
      </c>
      <c r="AJ148" s="106">
        <f t="shared" si="68"/>
        <v>2.1417917619456697</v>
      </c>
      <c r="AK148" s="106">
        <f t="shared" si="68"/>
        <v>0</v>
      </c>
      <c r="AL148" s="106">
        <f t="shared" ref="AL148:BI148" si="69">MAX(AL55,AL120)</f>
        <v>0</v>
      </c>
      <c r="AM148" s="106">
        <f t="shared" si="69"/>
        <v>0</v>
      </c>
      <c r="AN148" s="106">
        <f t="shared" si="69"/>
        <v>0</v>
      </c>
      <c r="AO148" s="106">
        <f t="shared" si="69"/>
        <v>2.1415376858022044</v>
      </c>
      <c r="AP148" s="106">
        <f t="shared" si="69"/>
        <v>0</v>
      </c>
      <c r="AQ148" s="106">
        <f t="shared" si="69"/>
        <v>0</v>
      </c>
      <c r="AR148" s="106">
        <f t="shared" si="69"/>
        <v>0</v>
      </c>
      <c r="AS148" s="106">
        <f t="shared" si="69"/>
        <v>0</v>
      </c>
      <c r="AT148" s="106">
        <f t="shared" si="69"/>
        <v>2.1419969973965287</v>
      </c>
      <c r="AU148" s="106">
        <f t="shared" si="69"/>
        <v>0</v>
      </c>
      <c r="AV148" s="106">
        <f t="shared" si="69"/>
        <v>0</v>
      </c>
      <c r="AW148" s="106">
        <f t="shared" si="69"/>
        <v>0</v>
      </c>
      <c r="AX148" s="106">
        <f t="shared" si="69"/>
        <v>0</v>
      </c>
      <c r="AY148" s="106">
        <f t="shared" si="69"/>
        <v>2.1415215743164633</v>
      </c>
      <c r="AZ148" s="106">
        <f t="shared" si="69"/>
        <v>0</v>
      </c>
      <c r="BA148" s="106">
        <f t="shared" si="69"/>
        <v>0</v>
      </c>
      <c r="BB148" s="106">
        <f t="shared" si="69"/>
        <v>0</v>
      </c>
      <c r="BC148" s="106">
        <f t="shared" si="69"/>
        <v>0</v>
      </c>
      <c r="BD148" s="106">
        <f t="shared" si="69"/>
        <v>2.1413256669672904</v>
      </c>
      <c r="BE148" s="106">
        <f t="shared" si="69"/>
        <v>0</v>
      </c>
      <c r="BF148" s="106">
        <f t="shared" si="69"/>
        <v>0</v>
      </c>
      <c r="BG148" s="106">
        <f t="shared" si="69"/>
        <v>0</v>
      </c>
      <c r="BH148" s="106">
        <f t="shared" si="69"/>
        <v>0</v>
      </c>
      <c r="BI148" s="106">
        <f t="shared" si="69"/>
        <v>2.1412265845610654</v>
      </c>
    </row>
    <row r="149" spans="3:61" x14ac:dyDescent="0.25">
      <c r="C149" s="1066"/>
      <c r="E149" t="s">
        <v>140</v>
      </c>
      <c r="F149" s="106">
        <f t="shared" ref="F149:AK149" si="70">MIN(F56,F121)</f>
        <v>3.0138749039941901</v>
      </c>
      <c r="G149" s="106">
        <f t="shared" si="70"/>
        <v>0</v>
      </c>
      <c r="H149" s="106">
        <f t="shared" si="70"/>
        <v>0</v>
      </c>
      <c r="I149" s="106">
        <f t="shared" si="70"/>
        <v>0</v>
      </c>
      <c r="J149" s="106">
        <f t="shared" si="70"/>
        <v>0</v>
      </c>
      <c r="K149" s="106">
        <f t="shared" si="70"/>
        <v>2.5527205603236482</v>
      </c>
      <c r="L149" s="106">
        <f t="shared" si="70"/>
        <v>0</v>
      </c>
      <c r="M149" s="106">
        <f t="shared" si="70"/>
        <v>0</v>
      </c>
      <c r="N149" s="106">
        <f t="shared" si="70"/>
        <v>0</v>
      </c>
      <c r="O149" s="106">
        <f t="shared" si="70"/>
        <v>0</v>
      </c>
      <c r="P149" s="106">
        <f t="shared" si="70"/>
        <v>2.2540118054168676</v>
      </c>
      <c r="Q149" s="106">
        <f t="shared" si="70"/>
        <v>0</v>
      </c>
      <c r="R149" s="106">
        <f t="shared" si="70"/>
        <v>0</v>
      </c>
      <c r="S149" s="106">
        <f t="shared" si="70"/>
        <v>0</v>
      </c>
      <c r="T149" s="106">
        <f t="shared" si="70"/>
        <v>0</v>
      </c>
      <c r="U149" s="106">
        <f t="shared" si="70"/>
        <v>2.0404029555681102</v>
      </c>
      <c r="V149" s="106">
        <f t="shared" si="70"/>
        <v>0</v>
      </c>
      <c r="W149" s="106">
        <f t="shared" si="70"/>
        <v>0</v>
      </c>
      <c r="X149" s="106">
        <f t="shared" si="70"/>
        <v>0</v>
      </c>
      <c r="Y149" s="106">
        <f t="shared" si="70"/>
        <v>0</v>
      </c>
      <c r="Z149" s="106">
        <f t="shared" si="70"/>
        <v>2.3933299840775151</v>
      </c>
      <c r="AA149" s="106">
        <f t="shared" si="70"/>
        <v>0</v>
      </c>
      <c r="AB149" s="106">
        <f t="shared" si="70"/>
        <v>0</v>
      </c>
      <c r="AC149" s="106">
        <f t="shared" si="70"/>
        <v>0</v>
      </c>
      <c r="AD149" s="106">
        <f t="shared" si="70"/>
        <v>0</v>
      </c>
      <c r="AE149" s="106">
        <f t="shared" si="70"/>
        <v>2.0271254954533831</v>
      </c>
      <c r="AF149" s="106">
        <f t="shared" si="70"/>
        <v>0</v>
      </c>
      <c r="AG149" s="106">
        <f t="shared" si="70"/>
        <v>0</v>
      </c>
      <c r="AH149" s="106">
        <f t="shared" si="70"/>
        <v>0</v>
      </c>
      <c r="AI149" s="106">
        <f t="shared" si="70"/>
        <v>0</v>
      </c>
      <c r="AJ149" s="106">
        <f t="shared" si="70"/>
        <v>1.7899196914973481</v>
      </c>
      <c r="AK149" s="106">
        <f t="shared" si="70"/>
        <v>0</v>
      </c>
      <c r="AL149" s="106">
        <f t="shared" ref="AL149:BI149" si="71">MIN(AL56,AL121)</f>
        <v>0</v>
      </c>
      <c r="AM149" s="106">
        <f t="shared" si="71"/>
        <v>0</v>
      </c>
      <c r="AN149" s="106">
        <f t="shared" si="71"/>
        <v>0</v>
      </c>
      <c r="AO149" s="106">
        <f t="shared" si="71"/>
        <v>1.6202920588010419</v>
      </c>
      <c r="AP149" s="106">
        <f t="shared" si="71"/>
        <v>0</v>
      </c>
      <c r="AQ149" s="106">
        <f t="shared" si="71"/>
        <v>0</v>
      </c>
      <c r="AR149" s="106">
        <f t="shared" si="71"/>
        <v>0</v>
      </c>
      <c r="AS149" s="106">
        <f t="shared" si="71"/>
        <v>0</v>
      </c>
      <c r="AT149" s="106">
        <f t="shared" si="71"/>
        <v>1.897936299686467</v>
      </c>
      <c r="AU149" s="106">
        <f t="shared" si="71"/>
        <v>0</v>
      </c>
      <c r="AV149" s="106">
        <f t="shared" si="71"/>
        <v>0</v>
      </c>
      <c r="AW149" s="106">
        <f t="shared" si="71"/>
        <v>0</v>
      </c>
      <c r="AX149" s="106">
        <f t="shared" si="71"/>
        <v>0</v>
      </c>
      <c r="AY149" s="106">
        <f t="shared" si="71"/>
        <v>1.6075322197259876</v>
      </c>
      <c r="AZ149" s="106">
        <f t="shared" si="71"/>
        <v>0</v>
      </c>
      <c r="BA149" s="106">
        <f t="shared" si="71"/>
        <v>0</v>
      </c>
      <c r="BB149" s="106">
        <f t="shared" si="71"/>
        <v>0</v>
      </c>
      <c r="BC149" s="106">
        <f t="shared" si="71"/>
        <v>0</v>
      </c>
      <c r="BD149" s="106">
        <f t="shared" si="71"/>
        <v>1.4194254777306936</v>
      </c>
      <c r="BE149" s="106">
        <f t="shared" si="71"/>
        <v>0</v>
      </c>
      <c r="BF149" s="106">
        <f t="shared" si="71"/>
        <v>0</v>
      </c>
      <c r="BG149" s="106">
        <f t="shared" si="71"/>
        <v>0</v>
      </c>
      <c r="BH149" s="106">
        <f t="shared" si="71"/>
        <v>0</v>
      </c>
      <c r="BI149" s="106">
        <f t="shared" si="71"/>
        <v>1.2849089490171268</v>
      </c>
    </row>
    <row r="150" spans="3:61" ht="15" customHeight="1" x14ac:dyDescent="0.25">
      <c r="C150" s="1066"/>
      <c r="E150" t="s">
        <v>145</v>
      </c>
      <c r="F150" s="106">
        <f t="shared" ref="F150:AK150" si="72">MAX(F57,F122)</f>
        <v>1.2444160852452275</v>
      </c>
      <c r="G150" s="106">
        <f t="shared" si="72"/>
        <v>0</v>
      </c>
      <c r="H150" s="106">
        <f t="shared" si="72"/>
        <v>0</v>
      </c>
      <c r="I150" s="106">
        <f t="shared" si="72"/>
        <v>0</v>
      </c>
      <c r="J150" s="106">
        <f t="shared" si="72"/>
        <v>0</v>
      </c>
      <c r="K150" s="106">
        <f t="shared" si="72"/>
        <v>1.2426145400669542</v>
      </c>
      <c r="L150" s="106">
        <f t="shared" si="72"/>
        <v>0</v>
      </c>
      <c r="M150" s="106">
        <f t="shared" si="72"/>
        <v>0</v>
      </c>
      <c r="N150" s="106">
        <f t="shared" si="72"/>
        <v>0</v>
      </c>
      <c r="O150" s="106">
        <f t="shared" si="72"/>
        <v>0</v>
      </c>
      <c r="P150" s="106">
        <f t="shared" si="72"/>
        <v>1.241872178252629</v>
      </c>
      <c r="Q150" s="106">
        <f t="shared" si="72"/>
        <v>0</v>
      </c>
      <c r="R150" s="106">
        <f t="shared" si="72"/>
        <v>0</v>
      </c>
      <c r="S150" s="106">
        <f t="shared" si="72"/>
        <v>0</v>
      </c>
      <c r="T150" s="106">
        <f t="shared" si="72"/>
        <v>0</v>
      </c>
      <c r="U150" s="106">
        <f t="shared" si="72"/>
        <v>1.2414967201844984</v>
      </c>
      <c r="V150" s="106">
        <f t="shared" si="72"/>
        <v>0</v>
      </c>
      <c r="W150" s="106">
        <f t="shared" si="72"/>
        <v>0</v>
      </c>
      <c r="X150" s="106">
        <f t="shared" si="72"/>
        <v>0</v>
      </c>
      <c r="Y150" s="106">
        <f t="shared" si="72"/>
        <v>0</v>
      </c>
      <c r="Z150" s="106">
        <f t="shared" si="72"/>
        <v>1.2421834973821884</v>
      </c>
      <c r="AA150" s="106">
        <f t="shared" si="72"/>
        <v>0</v>
      </c>
      <c r="AB150" s="106">
        <f t="shared" si="72"/>
        <v>0</v>
      </c>
      <c r="AC150" s="106">
        <f t="shared" si="72"/>
        <v>0</v>
      </c>
      <c r="AD150" s="106">
        <f t="shared" si="72"/>
        <v>0</v>
      </c>
      <c r="AE150" s="106">
        <f t="shared" si="72"/>
        <v>1.2414770054800215</v>
      </c>
      <c r="AF150" s="106">
        <f t="shared" si="72"/>
        <v>0</v>
      </c>
      <c r="AG150" s="106">
        <f t="shared" si="72"/>
        <v>0</v>
      </c>
      <c r="AH150" s="106">
        <f t="shared" si="72"/>
        <v>0</v>
      </c>
      <c r="AI150" s="106">
        <f t="shared" si="72"/>
        <v>0</v>
      </c>
      <c r="AJ150" s="106">
        <f t="shared" si="72"/>
        <v>1.2411858817176955</v>
      </c>
      <c r="AK150" s="106">
        <f t="shared" si="72"/>
        <v>0</v>
      </c>
      <c r="AL150" s="106">
        <f t="shared" ref="AL150:BI150" si="73">MAX(AL57,AL122)</f>
        <v>0</v>
      </c>
      <c r="AM150" s="106">
        <f t="shared" si="73"/>
        <v>0</v>
      </c>
      <c r="AN150" s="106">
        <f t="shared" si="73"/>
        <v>0</v>
      </c>
      <c r="AO150" s="106">
        <f t="shared" si="73"/>
        <v>1.2410386425099658</v>
      </c>
      <c r="AP150" s="106">
        <f t="shared" si="73"/>
        <v>0</v>
      </c>
      <c r="AQ150" s="106">
        <f t="shared" si="73"/>
        <v>0</v>
      </c>
      <c r="AR150" s="106">
        <f t="shared" si="73"/>
        <v>0</v>
      </c>
      <c r="AS150" s="106">
        <f t="shared" si="73"/>
        <v>0</v>
      </c>
      <c r="AT150" s="106">
        <f t="shared" si="73"/>
        <v>1.2413048173437258</v>
      </c>
      <c r="AU150" s="106">
        <f t="shared" si="73"/>
        <v>0</v>
      </c>
      <c r="AV150" s="106">
        <f t="shared" si="73"/>
        <v>0</v>
      </c>
      <c r="AW150" s="106">
        <f t="shared" si="73"/>
        <v>0</v>
      </c>
      <c r="AX150" s="106">
        <f t="shared" si="73"/>
        <v>0</v>
      </c>
      <c r="AY150" s="106">
        <f t="shared" si="73"/>
        <v>1.2410293057719175</v>
      </c>
      <c r="AZ150" s="106">
        <f t="shared" si="73"/>
        <v>0</v>
      </c>
      <c r="BA150" s="106">
        <f t="shared" si="73"/>
        <v>0</v>
      </c>
      <c r="BB150" s="106">
        <f t="shared" si="73"/>
        <v>0</v>
      </c>
      <c r="BC150" s="106">
        <f t="shared" si="73"/>
        <v>0</v>
      </c>
      <c r="BD150" s="106">
        <f t="shared" si="73"/>
        <v>1.240915775857274</v>
      </c>
      <c r="BE150" s="106">
        <f t="shared" si="73"/>
        <v>0</v>
      </c>
      <c r="BF150" s="106">
        <f t="shared" si="73"/>
        <v>0</v>
      </c>
      <c r="BG150" s="106">
        <f t="shared" si="73"/>
        <v>0</v>
      </c>
      <c r="BH150" s="106">
        <f t="shared" si="73"/>
        <v>0</v>
      </c>
      <c r="BI150" s="106">
        <f t="shared" si="73"/>
        <v>1.2408583567907159</v>
      </c>
    </row>
    <row r="151" spans="3:61" ht="15" customHeight="1" x14ac:dyDescent="0.25">
      <c r="C151" s="1067"/>
      <c r="E151" t="s">
        <v>146</v>
      </c>
      <c r="F151" s="106">
        <f t="shared" ref="F151:AK151" si="74">MIN(F58,F123)</f>
        <v>1.7465652107572887</v>
      </c>
      <c r="G151" s="106">
        <f t="shared" si="74"/>
        <v>0</v>
      </c>
      <c r="H151" s="106">
        <f t="shared" si="74"/>
        <v>0</v>
      </c>
      <c r="I151" s="106">
        <f t="shared" si="74"/>
        <v>0</v>
      </c>
      <c r="J151" s="106">
        <f t="shared" si="74"/>
        <v>0</v>
      </c>
      <c r="K151" s="106">
        <f t="shared" si="74"/>
        <v>1.4793224886465732</v>
      </c>
      <c r="L151" s="106">
        <f t="shared" si="74"/>
        <v>0</v>
      </c>
      <c r="M151" s="106">
        <f t="shared" si="74"/>
        <v>0</v>
      </c>
      <c r="N151" s="106">
        <f t="shared" si="74"/>
        <v>0</v>
      </c>
      <c r="O151" s="106">
        <f t="shared" si="74"/>
        <v>0</v>
      </c>
      <c r="P151" s="106">
        <f t="shared" si="74"/>
        <v>1.3062183167456765</v>
      </c>
      <c r="Q151" s="106">
        <f t="shared" si="74"/>
        <v>0</v>
      </c>
      <c r="R151" s="106">
        <f t="shared" si="74"/>
        <v>0</v>
      </c>
      <c r="S151" s="106">
        <f t="shared" si="74"/>
        <v>0</v>
      </c>
      <c r="T151" s="106">
        <f t="shared" si="74"/>
        <v>0</v>
      </c>
      <c r="U151" s="106">
        <f t="shared" si="74"/>
        <v>1.1824302373661097</v>
      </c>
      <c r="V151" s="106">
        <f t="shared" si="74"/>
        <v>0</v>
      </c>
      <c r="W151" s="106">
        <f t="shared" si="74"/>
        <v>0</v>
      </c>
      <c r="X151" s="106">
        <f t="shared" si="74"/>
        <v>0</v>
      </c>
      <c r="Y151" s="106">
        <f t="shared" si="74"/>
        <v>0</v>
      </c>
      <c r="Z151" s="106">
        <f t="shared" si="74"/>
        <v>1.3869543432318057</v>
      </c>
      <c r="AA151" s="106">
        <f t="shared" si="74"/>
        <v>0</v>
      </c>
      <c r="AB151" s="106">
        <f t="shared" si="74"/>
        <v>0</v>
      </c>
      <c r="AC151" s="106">
        <f t="shared" si="74"/>
        <v>0</v>
      </c>
      <c r="AD151" s="106">
        <f t="shared" si="74"/>
        <v>0</v>
      </c>
      <c r="AE151" s="106">
        <f t="shared" si="74"/>
        <v>1.1747358403979851</v>
      </c>
      <c r="AF151" s="106">
        <f t="shared" si="74"/>
        <v>0</v>
      </c>
      <c r="AG151" s="106">
        <f t="shared" si="74"/>
        <v>0</v>
      </c>
      <c r="AH151" s="106">
        <f t="shared" si="74"/>
        <v>0</v>
      </c>
      <c r="AI151" s="106">
        <f t="shared" si="74"/>
        <v>0</v>
      </c>
      <c r="AJ151" s="106">
        <f t="shared" si="74"/>
        <v>1.0372731326955944</v>
      </c>
      <c r="AK151" s="106">
        <f t="shared" si="74"/>
        <v>0</v>
      </c>
      <c r="AL151" s="106">
        <f t="shared" ref="AL151:BI151" si="75">MIN(AL58,AL123)</f>
        <v>0</v>
      </c>
      <c r="AM151" s="106">
        <f t="shared" si="75"/>
        <v>0</v>
      </c>
      <c r="AN151" s="106">
        <f t="shared" si="75"/>
        <v>0</v>
      </c>
      <c r="AO151" s="106">
        <f t="shared" si="75"/>
        <v>0.93897252915765284</v>
      </c>
      <c r="AP151" s="106">
        <f t="shared" si="75"/>
        <v>0</v>
      </c>
      <c r="AQ151" s="106">
        <f t="shared" si="75"/>
        <v>0</v>
      </c>
      <c r="AR151" s="106">
        <f t="shared" si="75"/>
        <v>0</v>
      </c>
      <c r="AS151" s="106">
        <f t="shared" si="75"/>
        <v>0</v>
      </c>
      <c r="AT151" s="106">
        <f t="shared" si="75"/>
        <v>1.0998696425232231</v>
      </c>
      <c r="AU151" s="106">
        <f t="shared" si="75"/>
        <v>0</v>
      </c>
      <c r="AV151" s="106">
        <f t="shared" si="75"/>
        <v>0</v>
      </c>
      <c r="AW151" s="106">
        <f t="shared" si="75"/>
        <v>0</v>
      </c>
      <c r="AX151" s="106">
        <f t="shared" si="75"/>
        <v>0</v>
      </c>
      <c r="AY151" s="106">
        <f t="shared" si="75"/>
        <v>0.93157809782481404</v>
      </c>
      <c r="AZ151" s="106">
        <f t="shared" si="75"/>
        <v>0</v>
      </c>
      <c r="BA151" s="106">
        <f t="shared" si="75"/>
        <v>0</v>
      </c>
      <c r="BB151" s="106">
        <f t="shared" si="75"/>
        <v>0</v>
      </c>
      <c r="BC151" s="106">
        <f t="shared" si="75"/>
        <v>0</v>
      </c>
      <c r="BD151" s="106">
        <f t="shared" si="75"/>
        <v>0.82256869898000018</v>
      </c>
      <c r="BE151" s="106">
        <f t="shared" si="75"/>
        <v>0</v>
      </c>
      <c r="BF151" s="106">
        <f t="shared" si="75"/>
        <v>0</v>
      </c>
      <c r="BG151" s="106">
        <f t="shared" si="75"/>
        <v>0</v>
      </c>
      <c r="BH151" s="106">
        <f t="shared" si="75"/>
        <v>0</v>
      </c>
      <c r="BI151" s="106">
        <f t="shared" si="75"/>
        <v>0.74461526799599065</v>
      </c>
    </row>
    <row r="152" spans="3:61" ht="15.75" x14ac:dyDescent="0.25">
      <c r="C152" s="678" t="s">
        <v>172</v>
      </c>
      <c r="E152" t="s">
        <v>217</v>
      </c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</row>
    <row r="153" spans="3:61" ht="15.75" x14ac:dyDescent="0.25">
      <c r="C153" s="678" t="s">
        <v>219</v>
      </c>
      <c r="E153" t="s">
        <v>156</v>
      </c>
      <c r="V153"/>
      <c r="W153"/>
      <c r="X153" s="2"/>
      <c r="Y153"/>
      <c r="Z153" s="106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spans="3:61" ht="15.75" x14ac:dyDescent="0.25">
      <c r="C154" s="678" t="s">
        <v>174</v>
      </c>
      <c r="E154" t="s">
        <v>181</v>
      </c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</row>
    <row r="155" spans="3:61" ht="15.75" x14ac:dyDescent="0.25">
      <c r="C155" s="678" t="s">
        <v>221</v>
      </c>
      <c r="E155" t="s">
        <v>220</v>
      </c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</row>
    <row r="156" spans="3:61" x14ac:dyDescent="0.25"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</row>
    <row r="157" spans="3:61" x14ac:dyDescent="0.25"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</row>
    <row r="158" spans="3:61" x14ac:dyDescent="0.25">
      <c r="H158" s="714"/>
      <c r="I158" s="106"/>
      <c r="J158" s="106"/>
      <c r="K158" s="106"/>
      <c r="L158" s="106"/>
      <c r="M158" s="106"/>
      <c r="N158" s="106"/>
      <c r="O158" s="106"/>
      <c r="P158" s="106"/>
      <c r="Q158" s="106">
        <f>AY28</f>
        <v>0.21072837189722987</v>
      </c>
      <c r="R158" s="106">
        <f>BD28</f>
        <v>0.12713648719480891</v>
      </c>
      <c r="S158" s="106">
        <f>BI28</f>
        <v>8.48589253158024E-2</v>
      </c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</row>
    <row r="159" spans="3:61" x14ac:dyDescent="0.25">
      <c r="H159" s="714"/>
      <c r="I159" s="106"/>
      <c r="J159" s="106"/>
      <c r="K159" s="106"/>
      <c r="L159" s="106"/>
      <c r="M159" s="106"/>
      <c r="N159" s="106"/>
      <c r="O159" s="106"/>
      <c r="P159" s="106"/>
      <c r="Q159" s="106" t="str">
        <f>AY29</f>
        <v>&lt;15</v>
      </c>
      <c r="R159" s="106" t="str">
        <f>BD29</f>
        <v>&lt;15</v>
      </c>
      <c r="S159" s="106" t="str">
        <f>BI29</f>
        <v>&lt;15</v>
      </c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</row>
    <row r="160" spans="3:61" x14ac:dyDescent="0.25">
      <c r="H160" s="714"/>
      <c r="I160" s="106"/>
      <c r="J160" s="106"/>
      <c r="K160" s="106"/>
      <c r="L160" s="106"/>
      <c r="M160" s="106"/>
      <c r="N160" s="106"/>
      <c r="O160" s="106"/>
      <c r="P160" s="106"/>
      <c r="Q160" s="106" t="str">
        <f>AY30</f>
        <v>&lt;5</v>
      </c>
      <c r="R160" s="106" t="str">
        <f>BD30</f>
        <v>&lt;5</v>
      </c>
      <c r="S160" s="106" t="str">
        <f>BI30</f>
        <v>&lt;5</v>
      </c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</row>
    <row r="161" spans="12:42" x14ac:dyDescent="0.25"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</row>
    <row r="162" spans="12:42" x14ac:dyDescent="0.25"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</row>
    <row r="163" spans="12:42" x14ac:dyDescent="0.25"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</row>
    <row r="164" spans="12:42" x14ac:dyDescent="0.25"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</row>
    <row r="165" spans="12:42" x14ac:dyDescent="0.25"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</row>
    <row r="166" spans="12:42" x14ac:dyDescent="0.25">
      <c r="L166" s="106">
        <f>AY28</f>
        <v>0.21072837189722987</v>
      </c>
      <c r="M166" s="106">
        <f>BD28</f>
        <v>0.12713648719480891</v>
      </c>
      <c r="N166" s="106">
        <f>BI28</f>
        <v>8.48589253158024E-2</v>
      </c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</row>
    <row r="167" spans="12:42" x14ac:dyDescent="0.25">
      <c r="L167" s="106" t="str">
        <f>AY29</f>
        <v>&lt;15</v>
      </c>
      <c r="M167" s="106" t="str">
        <f>BD29</f>
        <v>&lt;15</v>
      </c>
      <c r="N167" s="106" t="str">
        <f>BI29</f>
        <v>&lt;15</v>
      </c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</row>
    <row r="168" spans="12:42" x14ac:dyDescent="0.25">
      <c r="L168" s="106" t="str">
        <f>AY30</f>
        <v>&lt;5</v>
      </c>
      <c r="M168" s="106" t="str">
        <f>BD30</f>
        <v>&lt;5</v>
      </c>
      <c r="N168" s="106" t="str">
        <f>BI30</f>
        <v>&lt;5</v>
      </c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</row>
    <row r="169" spans="12:42" x14ac:dyDescent="0.25"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</row>
    <row r="170" spans="12:42" x14ac:dyDescent="0.25"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</row>
    <row r="171" spans="12:42" x14ac:dyDescent="0.25"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</row>
    <row r="172" spans="12:42" x14ac:dyDescent="0.25"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</row>
    <row r="173" spans="12:42" x14ac:dyDescent="0.25"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</row>
    <row r="174" spans="12:42" x14ac:dyDescent="0.25"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</row>
    <row r="175" spans="12:42" x14ac:dyDescent="0.25"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</row>
    <row r="176" spans="12:42" x14ac:dyDescent="0.25"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</row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</sheetData>
  <sheetProtection selectLockedCells="1"/>
  <mergeCells count="3">
    <mergeCell ref="C140:C143"/>
    <mergeCell ref="C144:C147"/>
    <mergeCell ref="C148:C151"/>
  </mergeCells>
  <conditionalFormatting sqref="F18">
    <cfRule type="expression" dxfId="1172" priority="902" stopIfTrue="1">
      <formula>IF(F18&lt;2,TRUE,FALSE)</formula>
    </cfRule>
    <cfRule type="expression" dxfId="1171" priority="903">
      <formula>IF(F18&gt;4.5,TRUE,FALSE)</formula>
    </cfRule>
  </conditionalFormatting>
  <conditionalFormatting sqref="F19">
    <cfRule type="expression" dxfId="1170" priority="900" stopIfTrue="1">
      <formula>IF(ABS(F19)&gt;12,TRUE,FALSE)</formula>
    </cfRule>
    <cfRule type="expression" dxfId="1169" priority="901">
      <formula>IF(ABS(F19)&lt;8,TRUE,FALSE)</formula>
    </cfRule>
  </conditionalFormatting>
  <conditionalFormatting sqref="F20">
    <cfRule type="expression" dxfId="1168" priority="898" stopIfTrue="1">
      <formula>IF(F20&gt;95,TRUE,FALSE)</formula>
    </cfRule>
    <cfRule type="expression" dxfId="1167" priority="899">
      <formula>IF(F20&lt;70,TRUE,FALSE)</formula>
    </cfRule>
  </conditionalFormatting>
  <conditionalFormatting sqref="F21">
    <cfRule type="expression" dxfId="1166" priority="896" stopIfTrue="1">
      <formula>IF(F21&gt;600,TRUE,FALSE)</formula>
    </cfRule>
    <cfRule type="expression" dxfId="1165" priority="897">
      <formula>IF(F21&lt;30,TRUE,FALSE)</formula>
    </cfRule>
  </conditionalFormatting>
  <conditionalFormatting sqref="F28">
    <cfRule type="cellIs" dxfId="1164" priority="1023" operator="lessThan">
      <formula>3</formula>
    </cfRule>
    <cfRule type="cellIs" dxfId="1163" priority="1024" operator="lessThanOrEqual">
      <formula>20</formula>
    </cfRule>
    <cfRule type="cellIs" dxfId="1162" priority="1025" operator="lessThanOrEqual">
      <formula>30</formula>
    </cfRule>
    <cfRule type="cellIs" dxfId="1161" priority="1026" operator="lessThanOrEqual">
      <formula>40</formula>
    </cfRule>
    <cfRule type="cellIs" dxfId="1160" priority="1027" operator="greaterThan">
      <formula>40</formula>
    </cfRule>
  </conditionalFormatting>
  <conditionalFormatting sqref="F29">
    <cfRule type="cellIs" dxfId="1159" priority="983" operator="equal">
      <formula>"&lt;15"</formula>
    </cfRule>
    <cfRule type="cellIs" dxfId="1158" priority="984" operator="lessThanOrEqual">
      <formula>40</formula>
    </cfRule>
    <cfRule type="cellIs" dxfId="1157" priority="985" operator="lessThanOrEqual">
      <formula>45</formula>
    </cfRule>
    <cfRule type="cellIs" dxfId="1156" priority="986" operator="lessThanOrEqual">
      <formula>50</formula>
    </cfRule>
    <cfRule type="cellIs" dxfId="1155" priority="987" operator="greaterThan">
      <formula>50</formula>
    </cfRule>
  </conditionalFormatting>
  <conditionalFormatting sqref="F30">
    <cfRule type="cellIs" dxfId="1154" priority="1018" operator="equal">
      <formula>"&lt;5"</formula>
    </cfRule>
    <cfRule type="cellIs" dxfId="1153" priority="1019" operator="lessThanOrEqual">
      <formula>25</formula>
    </cfRule>
    <cfRule type="cellIs" dxfId="1152" priority="1020" operator="lessThanOrEqual">
      <formula>30</formula>
    </cfRule>
    <cfRule type="cellIs" dxfId="1151" priority="1021" operator="lessThanOrEqual">
      <formula>35</formula>
    </cfRule>
    <cfRule type="cellIs" dxfId="1150" priority="1022" operator="greaterThan">
      <formula>35</formula>
    </cfRule>
  </conditionalFormatting>
  <conditionalFormatting sqref="F37">
    <cfRule type="expression" dxfId="1149" priority="916">
      <formula>IF(F37&gt;$F$18,TRUE,FALSE)</formula>
    </cfRule>
  </conditionalFormatting>
  <conditionalFormatting sqref="F38:F41">
    <cfRule type="expression" dxfId="1148" priority="962">
      <formula>$F$28&gt;50</formula>
    </cfRule>
    <cfRule type="expression" dxfId="1147" priority="963">
      <formula>$F$28&lt;3</formula>
    </cfRule>
  </conditionalFormatting>
  <conditionalFormatting sqref="F45:F48">
    <cfRule type="expression" dxfId="1146" priority="952">
      <formula>$F$28&gt;50</formula>
    </cfRule>
    <cfRule type="expression" dxfId="1145" priority="953">
      <formula>$F$28&lt;3</formula>
    </cfRule>
  </conditionalFormatting>
  <conditionalFormatting sqref="F55:F58">
    <cfRule type="expression" dxfId="1144" priority="954">
      <formula>$F$28&gt;50</formula>
    </cfRule>
    <cfRule type="expression" dxfId="1143" priority="955">
      <formula>$F$28&lt;3</formula>
    </cfRule>
  </conditionalFormatting>
  <conditionalFormatting sqref="F82">
    <cfRule type="expression" dxfId="1142" priority="207" stopIfTrue="1">
      <formula>IF(F82&lt;2,TRUE,FALSE)</formula>
    </cfRule>
    <cfRule type="expression" dxfId="1141" priority="208">
      <formula>IF(F82&gt;4.5,TRUE,FALSE)</formula>
    </cfRule>
  </conditionalFormatting>
  <conditionalFormatting sqref="F83">
    <cfRule type="expression" dxfId="1140" priority="205" stopIfTrue="1">
      <formula>IF(ABS(F83)&gt;12,TRUE,FALSE)</formula>
    </cfRule>
    <cfRule type="expression" dxfId="1139" priority="206">
      <formula>IF(ABS(F83)&lt;8,TRUE,FALSE)</formula>
    </cfRule>
  </conditionalFormatting>
  <conditionalFormatting sqref="F84">
    <cfRule type="expression" dxfId="1138" priority="203" stopIfTrue="1">
      <formula>IF(F84&gt;95,TRUE,FALSE)</formula>
    </cfRule>
    <cfRule type="expression" dxfId="1137" priority="204">
      <formula>IF(F84&lt;70,TRUE,FALSE)</formula>
    </cfRule>
  </conditionalFormatting>
  <conditionalFormatting sqref="F86">
    <cfRule type="expression" dxfId="1136" priority="201" stopIfTrue="1">
      <formula>IF(F86&gt;600,TRUE,FALSE)</formula>
    </cfRule>
    <cfRule type="expression" dxfId="1135" priority="202">
      <formula>IF(F86&lt;30,TRUE,FALSE)</formula>
    </cfRule>
  </conditionalFormatting>
  <conditionalFormatting sqref="F93">
    <cfRule type="cellIs" dxfId="1134" priority="298" operator="lessThan">
      <formula>3</formula>
    </cfRule>
    <cfRule type="cellIs" dxfId="1133" priority="299" operator="lessThanOrEqual">
      <formula>20</formula>
    </cfRule>
    <cfRule type="cellIs" dxfId="1132" priority="300" operator="lessThanOrEqual">
      <formula>30</formula>
    </cfRule>
    <cfRule type="cellIs" dxfId="1131" priority="301" operator="lessThanOrEqual">
      <formula>40</formula>
    </cfRule>
    <cfRule type="cellIs" dxfId="1130" priority="302" operator="greaterThan">
      <formula>40</formula>
    </cfRule>
  </conditionalFormatting>
  <conditionalFormatting sqref="F94">
    <cfRule type="cellIs" dxfId="1129" priority="258" operator="equal">
      <formula>"&lt;15"</formula>
    </cfRule>
    <cfRule type="cellIs" dxfId="1128" priority="259" operator="lessThanOrEqual">
      <formula>40</formula>
    </cfRule>
    <cfRule type="cellIs" dxfId="1127" priority="260" operator="lessThanOrEqual">
      <formula>45</formula>
    </cfRule>
    <cfRule type="cellIs" dxfId="1126" priority="261" operator="lessThanOrEqual">
      <formula>50</formula>
    </cfRule>
    <cfRule type="cellIs" dxfId="1125" priority="262" operator="greaterThan">
      <formula>50</formula>
    </cfRule>
  </conditionalFormatting>
  <conditionalFormatting sqref="F95">
    <cfRule type="cellIs" dxfId="1124" priority="293" operator="equal">
      <formula>"&lt;5"</formula>
    </cfRule>
    <cfRule type="cellIs" dxfId="1123" priority="294" operator="lessThanOrEqual">
      <formula>25</formula>
    </cfRule>
    <cfRule type="cellIs" dxfId="1122" priority="295" operator="lessThanOrEqual">
      <formula>30</formula>
    </cfRule>
    <cfRule type="cellIs" dxfId="1121" priority="296" operator="lessThanOrEqual">
      <formula>35</formula>
    </cfRule>
    <cfRule type="cellIs" dxfId="1120" priority="297" operator="greaterThan">
      <formula>35</formula>
    </cfRule>
  </conditionalFormatting>
  <conditionalFormatting sqref="F102">
    <cfRule type="expression" dxfId="1119" priority="209">
      <formula>IF(F102&gt;$F$18,TRUE,FALSE)</formula>
    </cfRule>
  </conditionalFormatting>
  <conditionalFormatting sqref="F103:F106">
    <cfRule type="expression" dxfId="1118" priority="237">
      <formula>$F$28&gt;50</formula>
    </cfRule>
    <cfRule type="expression" dxfId="1117" priority="238">
      <formula>$F$28&lt;3</formula>
    </cfRule>
  </conditionalFormatting>
  <conditionalFormatting sqref="F110:F113">
    <cfRule type="expression" dxfId="1116" priority="227">
      <formula>$F$28&gt;50</formula>
    </cfRule>
    <cfRule type="expression" dxfId="1115" priority="228">
      <formula>$F$28&lt;3</formula>
    </cfRule>
  </conditionalFormatting>
  <conditionalFormatting sqref="F120:F123">
    <cfRule type="expression" dxfId="1114" priority="229">
      <formula>$F$28&gt;50</formula>
    </cfRule>
    <cfRule type="expression" dxfId="1113" priority="230">
      <formula>$F$28&lt;3</formula>
    </cfRule>
  </conditionalFormatting>
  <conditionalFormatting sqref="K28">
    <cfRule type="cellIs" dxfId="1112" priority="1013" operator="lessThan">
      <formula>3</formula>
    </cfRule>
    <cfRule type="cellIs" dxfId="1111" priority="1014" operator="lessThanOrEqual">
      <formula>20</formula>
    </cfRule>
    <cfRule type="cellIs" dxfId="1110" priority="1015" operator="lessThanOrEqual">
      <formula>30</formula>
    </cfRule>
    <cfRule type="cellIs" dxfId="1109" priority="1016" operator="lessThanOrEqual">
      <formula>40</formula>
    </cfRule>
    <cfRule type="cellIs" dxfId="1108" priority="1017" operator="greaterThan">
      <formula>40</formula>
    </cfRule>
  </conditionalFormatting>
  <conditionalFormatting sqref="K29">
    <cfRule type="cellIs" dxfId="1107" priority="978" operator="equal">
      <formula>"&lt;15"</formula>
    </cfRule>
    <cfRule type="cellIs" dxfId="1106" priority="979" operator="lessThanOrEqual">
      <formula>40</formula>
    </cfRule>
    <cfRule type="cellIs" dxfId="1105" priority="980" operator="lessThanOrEqual">
      <formula>45</formula>
    </cfRule>
    <cfRule type="cellIs" dxfId="1104" priority="981" operator="lessThanOrEqual">
      <formula>50</formula>
    </cfRule>
    <cfRule type="cellIs" dxfId="1103" priority="982" operator="greaterThan">
      <formula>50</formula>
    </cfRule>
  </conditionalFormatting>
  <conditionalFormatting sqref="K30">
    <cfRule type="cellIs" dxfId="1102" priority="1008" operator="equal">
      <formula>"&lt;5"</formula>
    </cfRule>
    <cfRule type="cellIs" dxfId="1101" priority="1009" operator="lessThanOrEqual">
      <formula>25</formula>
    </cfRule>
    <cfRule type="cellIs" dxfId="1100" priority="1010" operator="lessThanOrEqual">
      <formula>30</formula>
    </cfRule>
    <cfRule type="cellIs" dxfId="1099" priority="1011" operator="lessThanOrEqual">
      <formula>35</formula>
    </cfRule>
    <cfRule type="cellIs" dxfId="1098" priority="1012" operator="greaterThan">
      <formula>35</formula>
    </cfRule>
  </conditionalFormatting>
  <conditionalFormatting sqref="K37">
    <cfRule type="expression" dxfId="1097" priority="917">
      <formula>IF(K37&gt;$F$18,TRUE,FALSE)</formula>
    </cfRule>
  </conditionalFormatting>
  <conditionalFormatting sqref="K38:K58">
    <cfRule type="expression" dxfId="1096" priority="950">
      <formula>$K$28&gt;50</formula>
    </cfRule>
    <cfRule type="expression" dxfId="1095" priority="951">
      <formula>$K$28&lt;3</formula>
    </cfRule>
  </conditionalFormatting>
  <conditionalFormatting sqref="K93">
    <cfRule type="cellIs" dxfId="1094" priority="288" operator="lessThan">
      <formula>3</formula>
    </cfRule>
    <cfRule type="cellIs" dxfId="1093" priority="289" operator="lessThanOrEqual">
      <formula>20</formula>
    </cfRule>
    <cfRule type="cellIs" dxfId="1092" priority="290" operator="lessThanOrEqual">
      <formula>30</formula>
    </cfRule>
    <cfRule type="cellIs" dxfId="1091" priority="291" operator="lessThanOrEqual">
      <formula>40</formula>
    </cfRule>
    <cfRule type="cellIs" dxfId="1090" priority="292" operator="greaterThan">
      <formula>40</formula>
    </cfRule>
  </conditionalFormatting>
  <conditionalFormatting sqref="K94">
    <cfRule type="cellIs" dxfId="1089" priority="253" operator="equal">
      <formula>"&lt;15"</formula>
    </cfRule>
    <cfRule type="cellIs" dxfId="1088" priority="254" operator="lessThanOrEqual">
      <formula>40</formula>
    </cfRule>
    <cfRule type="cellIs" dxfId="1087" priority="255" operator="lessThanOrEqual">
      <formula>45</formula>
    </cfRule>
    <cfRule type="cellIs" dxfId="1086" priority="256" operator="lessThanOrEqual">
      <formula>50</formula>
    </cfRule>
    <cfRule type="cellIs" dxfId="1085" priority="257" operator="greaterThan">
      <formula>50</formula>
    </cfRule>
  </conditionalFormatting>
  <conditionalFormatting sqref="K95">
    <cfRule type="cellIs" dxfId="1084" priority="283" operator="equal">
      <formula>"&lt;5"</formula>
    </cfRule>
    <cfRule type="cellIs" dxfId="1083" priority="284" operator="lessThanOrEqual">
      <formula>25</formula>
    </cfRule>
    <cfRule type="cellIs" dxfId="1082" priority="285" operator="lessThanOrEqual">
      <formula>30</formula>
    </cfRule>
    <cfRule type="cellIs" dxfId="1081" priority="286" operator="lessThanOrEqual">
      <formula>35</formula>
    </cfRule>
    <cfRule type="cellIs" dxfId="1080" priority="287" operator="greaterThan">
      <formula>35</formula>
    </cfRule>
  </conditionalFormatting>
  <conditionalFormatting sqref="K102">
    <cfRule type="expression" dxfId="1079" priority="210">
      <formula>IF(K102&gt;$F$18,TRUE,FALSE)</formula>
    </cfRule>
  </conditionalFormatting>
  <conditionalFormatting sqref="K103:K123">
    <cfRule type="expression" dxfId="1078" priority="225">
      <formula>$K$28&gt;50</formula>
    </cfRule>
    <cfRule type="expression" dxfId="1077" priority="226">
      <formula>$K$28&lt;3</formula>
    </cfRule>
  </conditionalFormatting>
  <conditionalFormatting sqref="P28">
    <cfRule type="cellIs" dxfId="1076" priority="1003" operator="lessThan">
      <formula>3</formula>
    </cfRule>
    <cfRule type="cellIs" dxfId="1075" priority="1004" operator="lessThanOrEqual">
      <formula>20</formula>
    </cfRule>
    <cfRule type="cellIs" dxfId="1074" priority="1005" operator="lessThanOrEqual">
      <formula>30</formula>
    </cfRule>
    <cfRule type="cellIs" dxfId="1073" priority="1006" operator="lessThanOrEqual">
      <formula>40</formula>
    </cfRule>
    <cfRule type="cellIs" dxfId="1072" priority="1007" operator="greaterThan">
      <formula>40</formula>
    </cfRule>
  </conditionalFormatting>
  <conditionalFormatting sqref="P29">
    <cfRule type="cellIs" dxfId="1071" priority="973" operator="equal">
      <formula>"&lt;15"</formula>
    </cfRule>
    <cfRule type="cellIs" dxfId="1070" priority="974" operator="lessThanOrEqual">
      <formula>40</formula>
    </cfRule>
    <cfRule type="cellIs" dxfId="1069" priority="975" operator="lessThanOrEqual">
      <formula>45</formula>
    </cfRule>
    <cfRule type="cellIs" dxfId="1068" priority="976" operator="lessThanOrEqual">
      <formula>50</formula>
    </cfRule>
    <cfRule type="cellIs" dxfId="1067" priority="977" operator="greaterThan">
      <formula>50</formula>
    </cfRule>
  </conditionalFormatting>
  <conditionalFormatting sqref="P30">
    <cfRule type="cellIs" dxfId="1066" priority="998" operator="equal">
      <formula>"&lt;5"</formula>
    </cfRule>
    <cfRule type="cellIs" dxfId="1065" priority="999" operator="lessThanOrEqual">
      <formula>25</formula>
    </cfRule>
    <cfRule type="cellIs" dxfId="1064" priority="1000" operator="lessThanOrEqual">
      <formula>30</formula>
    </cfRule>
    <cfRule type="cellIs" dxfId="1063" priority="1001" operator="lessThanOrEqual">
      <formula>35</formula>
    </cfRule>
    <cfRule type="cellIs" dxfId="1062" priority="1002" operator="greaterThan">
      <formula>35</formula>
    </cfRule>
  </conditionalFormatting>
  <conditionalFormatting sqref="P37">
    <cfRule type="expression" dxfId="1061" priority="919">
      <formula>IF(P37&gt;$F$18,TRUE,FALSE)</formula>
    </cfRule>
  </conditionalFormatting>
  <conditionalFormatting sqref="P38:P41">
    <cfRule type="expression" dxfId="1060" priority="948">
      <formula>$P$28&gt;50</formula>
    </cfRule>
    <cfRule type="expression" dxfId="1059" priority="949">
      <formula>$P$28&lt;3</formula>
    </cfRule>
  </conditionalFormatting>
  <conditionalFormatting sqref="P45:P48">
    <cfRule type="expression" dxfId="1058" priority="946">
      <formula>$P$28&gt;50</formula>
    </cfRule>
    <cfRule type="expression" dxfId="1057" priority="947">
      <formula>$P$28&lt;3</formula>
    </cfRule>
  </conditionalFormatting>
  <conditionalFormatting sqref="P55:P58">
    <cfRule type="expression" dxfId="1056" priority="944">
      <formula>$P$28&gt;50</formula>
    </cfRule>
    <cfRule type="expression" dxfId="1055" priority="945">
      <formula>$P$28&lt;3</formula>
    </cfRule>
  </conditionalFormatting>
  <conditionalFormatting sqref="P93">
    <cfRule type="cellIs" dxfId="1054" priority="278" operator="lessThan">
      <formula>3</formula>
    </cfRule>
    <cfRule type="cellIs" dxfId="1053" priority="279" operator="lessThanOrEqual">
      <formula>20</formula>
    </cfRule>
    <cfRule type="cellIs" dxfId="1052" priority="280" operator="lessThanOrEqual">
      <formula>30</formula>
    </cfRule>
    <cfRule type="cellIs" dxfId="1051" priority="281" operator="lessThanOrEqual">
      <formula>40</formula>
    </cfRule>
    <cfRule type="cellIs" dxfId="1050" priority="282" operator="greaterThan">
      <formula>40</formula>
    </cfRule>
  </conditionalFormatting>
  <conditionalFormatting sqref="P94">
    <cfRule type="cellIs" dxfId="1049" priority="248" operator="equal">
      <formula>"&lt;15"</formula>
    </cfRule>
    <cfRule type="cellIs" dxfId="1048" priority="249" operator="lessThanOrEqual">
      <formula>40</formula>
    </cfRule>
    <cfRule type="cellIs" dxfId="1047" priority="250" operator="lessThanOrEqual">
      <formula>45</formula>
    </cfRule>
    <cfRule type="cellIs" dxfId="1046" priority="251" operator="lessThanOrEqual">
      <formula>50</formula>
    </cfRule>
    <cfRule type="cellIs" dxfId="1045" priority="252" operator="greaterThan">
      <formula>50</formula>
    </cfRule>
  </conditionalFormatting>
  <conditionalFormatting sqref="P95">
    <cfRule type="cellIs" dxfId="1044" priority="273" operator="equal">
      <formula>"&lt;5"</formula>
    </cfRule>
    <cfRule type="cellIs" dxfId="1043" priority="274" operator="lessThanOrEqual">
      <formula>25</formula>
    </cfRule>
    <cfRule type="cellIs" dxfId="1042" priority="275" operator="lessThanOrEqual">
      <formula>30</formula>
    </cfRule>
    <cfRule type="cellIs" dxfId="1041" priority="276" operator="lessThanOrEqual">
      <formula>35</formula>
    </cfRule>
    <cfRule type="cellIs" dxfId="1040" priority="277" operator="greaterThan">
      <formula>35</formula>
    </cfRule>
  </conditionalFormatting>
  <conditionalFormatting sqref="P102">
    <cfRule type="expression" dxfId="1039" priority="212">
      <formula>IF(P102&gt;$F$18,TRUE,FALSE)</formula>
    </cfRule>
  </conditionalFormatting>
  <conditionalFormatting sqref="P103:P106">
    <cfRule type="expression" dxfId="1038" priority="223">
      <formula>$P$28&gt;50</formula>
    </cfRule>
    <cfRule type="expression" dxfId="1037" priority="224">
      <formula>$P$28&lt;3</formula>
    </cfRule>
  </conditionalFormatting>
  <conditionalFormatting sqref="P110:P113">
    <cfRule type="expression" dxfId="1036" priority="221">
      <formula>$P$28&gt;50</formula>
    </cfRule>
    <cfRule type="expression" dxfId="1035" priority="222">
      <formula>$P$28&lt;3</formula>
    </cfRule>
  </conditionalFormatting>
  <conditionalFormatting sqref="P120:P123">
    <cfRule type="expression" dxfId="1034" priority="219">
      <formula>$P$28&gt;50</formula>
    </cfRule>
    <cfRule type="expression" dxfId="1033" priority="220">
      <formula>$P$28&lt;3</formula>
    </cfRule>
  </conditionalFormatting>
  <conditionalFormatting sqref="U28">
    <cfRule type="cellIs" dxfId="1032" priority="993" operator="lessThan">
      <formula>3</formula>
    </cfRule>
    <cfRule type="cellIs" dxfId="1031" priority="994" operator="lessThanOrEqual">
      <formula>20</formula>
    </cfRule>
    <cfRule type="cellIs" dxfId="1030" priority="995" operator="lessThanOrEqual">
      <formula>30</formula>
    </cfRule>
    <cfRule type="cellIs" dxfId="1029" priority="996" operator="lessThanOrEqual">
      <formula>40</formula>
    </cfRule>
    <cfRule type="cellIs" dxfId="1028" priority="997" operator="greaterThan">
      <formula>40</formula>
    </cfRule>
  </conditionalFormatting>
  <conditionalFormatting sqref="U29">
    <cfRule type="cellIs" dxfId="1027" priority="968" operator="equal">
      <formula>"&lt;15"</formula>
    </cfRule>
    <cfRule type="cellIs" dxfId="1026" priority="969" operator="lessThanOrEqual">
      <formula>40</formula>
    </cfRule>
    <cfRule type="cellIs" dxfId="1025" priority="970" operator="lessThanOrEqual">
      <formula>45</formula>
    </cfRule>
    <cfRule type="cellIs" dxfId="1024" priority="971" operator="lessThanOrEqual">
      <formula>50</formula>
    </cfRule>
    <cfRule type="cellIs" dxfId="1023" priority="972" operator="greaterThan">
      <formula>50</formula>
    </cfRule>
  </conditionalFormatting>
  <conditionalFormatting sqref="U30">
    <cfRule type="cellIs" dxfId="1022" priority="988" operator="equal">
      <formula>"&lt;5"</formula>
    </cfRule>
    <cfRule type="cellIs" dxfId="1021" priority="989" operator="lessThanOrEqual">
      <formula>25</formula>
    </cfRule>
    <cfRule type="cellIs" dxfId="1020" priority="990" operator="lessThanOrEqual">
      <formula>30</formula>
    </cfRule>
    <cfRule type="cellIs" dxfId="1019" priority="991" operator="lessThanOrEqual">
      <formula>35</formula>
    </cfRule>
    <cfRule type="cellIs" dxfId="1018" priority="992" operator="greaterThan">
      <formula>35</formula>
    </cfRule>
  </conditionalFormatting>
  <conditionalFormatting sqref="U37">
    <cfRule type="expression" dxfId="1017" priority="918">
      <formula>IF(U37&gt;$F$18,TRUE,FALSE)</formula>
    </cfRule>
  </conditionalFormatting>
  <conditionalFormatting sqref="U38:U41">
    <cfRule type="expression" dxfId="1016" priority="942">
      <formula>$U$28&gt;50</formula>
    </cfRule>
    <cfRule type="expression" dxfId="1015" priority="943">
      <formula>$U$28&lt;3</formula>
    </cfRule>
  </conditionalFormatting>
  <conditionalFormatting sqref="U45:U48">
    <cfRule type="expression" dxfId="1014" priority="940">
      <formula>$U$28&gt;50</formula>
    </cfRule>
    <cfRule type="expression" dxfId="1013" priority="941">
      <formula>$U$28&lt;3</formula>
    </cfRule>
  </conditionalFormatting>
  <conditionalFormatting sqref="U55:U58">
    <cfRule type="expression" dxfId="1012" priority="938">
      <formula>$U$28&gt;50</formula>
    </cfRule>
    <cfRule type="expression" dxfId="1011" priority="939">
      <formula>$U$28&lt;3</formula>
    </cfRule>
  </conditionalFormatting>
  <conditionalFormatting sqref="U93">
    <cfRule type="cellIs" dxfId="1010" priority="268" operator="lessThan">
      <formula>3</formula>
    </cfRule>
    <cfRule type="cellIs" dxfId="1009" priority="269" operator="lessThanOrEqual">
      <formula>20</formula>
    </cfRule>
    <cfRule type="cellIs" dxfId="1008" priority="270" operator="lessThanOrEqual">
      <formula>30</formula>
    </cfRule>
    <cfRule type="cellIs" dxfId="1007" priority="271" operator="lessThanOrEqual">
      <formula>40</formula>
    </cfRule>
    <cfRule type="cellIs" dxfId="1006" priority="272" operator="greaterThan">
      <formula>40</formula>
    </cfRule>
  </conditionalFormatting>
  <conditionalFormatting sqref="U94">
    <cfRule type="cellIs" dxfId="1005" priority="243" operator="equal">
      <formula>"&lt;15"</formula>
    </cfRule>
    <cfRule type="cellIs" dxfId="1004" priority="244" operator="lessThanOrEqual">
      <formula>40</formula>
    </cfRule>
    <cfRule type="cellIs" dxfId="1003" priority="245" operator="lessThanOrEqual">
      <formula>45</formula>
    </cfRule>
    <cfRule type="cellIs" dxfId="1002" priority="246" operator="lessThanOrEqual">
      <formula>50</formula>
    </cfRule>
    <cfRule type="cellIs" dxfId="1001" priority="247" operator="greaterThan">
      <formula>50</formula>
    </cfRule>
  </conditionalFormatting>
  <conditionalFormatting sqref="U95">
    <cfRule type="cellIs" dxfId="1000" priority="263" operator="equal">
      <formula>"&lt;5"</formula>
    </cfRule>
    <cfRule type="cellIs" dxfId="999" priority="264" operator="lessThanOrEqual">
      <formula>25</formula>
    </cfRule>
    <cfRule type="cellIs" dxfId="998" priority="265" operator="lessThanOrEqual">
      <formula>30</formula>
    </cfRule>
    <cfRule type="cellIs" dxfId="997" priority="266" operator="lessThanOrEqual">
      <formula>35</formula>
    </cfRule>
    <cfRule type="cellIs" dxfId="996" priority="267" operator="greaterThan">
      <formula>35</formula>
    </cfRule>
  </conditionalFormatting>
  <conditionalFormatting sqref="U102">
    <cfRule type="expression" dxfId="995" priority="211">
      <formula>IF(U102&gt;$F$18,TRUE,FALSE)</formula>
    </cfRule>
  </conditionalFormatting>
  <conditionalFormatting sqref="U103:U106">
    <cfRule type="expression" dxfId="994" priority="217">
      <formula>$U$28&gt;50</formula>
    </cfRule>
    <cfRule type="expression" dxfId="993" priority="218">
      <formula>$U$28&lt;3</formula>
    </cfRule>
  </conditionalFormatting>
  <conditionalFormatting sqref="U110:U113">
    <cfRule type="expression" dxfId="992" priority="215">
      <formula>$U$28&gt;50</formula>
    </cfRule>
    <cfRule type="expression" dxfId="991" priority="216">
      <formula>$U$28&lt;3</formula>
    </cfRule>
  </conditionalFormatting>
  <conditionalFormatting sqref="U120:U123">
    <cfRule type="expression" dxfId="990" priority="213">
      <formula>$U$28&gt;50</formula>
    </cfRule>
    <cfRule type="expression" dxfId="989" priority="214">
      <formula>$U$28&lt;3</formula>
    </cfRule>
  </conditionalFormatting>
  <conditionalFormatting sqref="Z12">
    <cfRule type="expression" dxfId="988" priority="710" stopIfTrue="1">
      <formula>IF(Z12&lt;2,TRUE,FALSE)</formula>
    </cfRule>
    <cfRule type="expression" dxfId="987" priority="711">
      <formula>IF(Z12&gt;4.5,TRUE,FALSE)</formula>
    </cfRule>
  </conditionalFormatting>
  <conditionalFormatting sqref="Z13">
    <cfRule type="expression" dxfId="986" priority="708" stopIfTrue="1">
      <formula>IF(ABS(Z13)&gt;12,TRUE,FALSE)</formula>
    </cfRule>
    <cfRule type="expression" dxfId="985" priority="709">
      <formula>IF(ABS(Z13)&lt;8,TRUE,FALSE)</formula>
    </cfRule>
  </conditionalFormatting>
  <conditionalFormatting sqref="Z14">
    <cfRule type="expression" dxfId="984" priority="706" stopIfTrue="1">
      <formula>IF(Z14&gt;95,TRUE,FALSE)</formula>
    </cfRule>
    <cfRule type="expression" dxfId="983" priority="707">
      <formula>IF(Z14&lt;70,TRUE,FALSE)</formula>
    </cfRule>
  </conditionalFormatting>
  <conditionalFormatting sqref="Z15">
    <cfRule type="expression" dxfId="982" priority="704" stopIfTrue="1">
      <formula>IF(Z15&gt;400,TRUE,FALSE)</formula>
    </cfRule>
    <cfRule type="expression" dxfId="981" priority="705">
      <formula>IF(Z15&lt;50,TRUE,FALSE)</formula>
    </cfRule>
  </conditionalFormatting>
  <conditionalFormatting sqref="Z28">
    <cfRule type="cellIs" dxfId="980" priority="891" operator="lessThan">
      <formula>3</formula>
    </cfRule>
    <cfRule type="cellIs" dxfId="979" priority="892" operator="lessThanOrEqual">
      <formula>20</formula>
    </cfRule>
    <cfRule type="cellIs" dxfId="978" priority="893" operator="lessThanOrEqual">
      <formula>30</formula>
    </cfRule>
    <cfRule type="cellIs" dxfId="977" priority="894" operator="lessThanOrEqual">
      <formula>40</formula>
    </cfRule>
    <cfRule type="cellIs" dxfId="976" priority="895" operator="greaterThan">
      <formula>40</formula>
    </cfRule>
  </conditionalFormatting>
  <conditionalFormatting sqref="Z29">
    <cfRule type="cellIs" dxfId="975" priority="841" operator="equal">
      <formula>"&lt;15"</formula>
    </cfRule>
    <cfRule type="cellIs" dxfId="974" priority="842" operator="lessThanOrEqual">
      <formula>40</formula>
    </cfRule>
    <cfRule type="cellIs" dxfId="973" priority="843" operator="lessThanOrEqual">
      <formula>45</formula>
    </cfRule>
    <cfRule type="cellIs" dxfId="972" priority="844" operator="lessThanOrEqual">
      <formula>50</formula>
    </cfRule>
    <cfRule type="cellIs" dxfId="971" priority="845" operator="greaterThan">
      <formula>50</formula>
    </cfRule>
  </conditionalFormatting>
  <conditionalFormatting sqref="Z30">
    <cfRule type="cellIs" dxfId="970" priority="886" operator="equal">
      <formula>"&lt;5"</formula>
    </cfRule>
    <cfRule type="cellIs" dxfId="969" priority="887" operator="lessThanOrEqual">
      <formula>25</formula>
    </cfRule>
    <cfRule type="cellIs" dxfId="968" priority="888" operator="lessThanOrEqual">
      <formula>30</formula>
    </cfRule>
    <cfRule type="cellIs" dxfId="967" priority="889" operator="lessThanOrEqual">
      <formula>35</formula>
    </cfRule>
    <cfRule type="cellIs" dxfId="966" priority="890" operator="greaterThan">
      <formula>35</formula>
    </cfRule>
  </conditionalFormatting>
  <conditionalFormatting sqref="Z37">
    <cfRule type="expression" dxfId="965" priority="742">
      <formula>IF(Z37&gt;$F$18,TRUE,FALSE)</formula>
    </cfRule>
  </conditionalFormatting>
  <conditionalFormatting sqref="Z38:Z41">
    <cfRule type="expression" dxfId="964" priority="431">
      <formula>$Z$28&gt;50</formula>
    </cfRule>
    <cfRule type="expression" dxfId="963" priority="432">
      <formula>$Z$28&lt;3</formula>
    </cfRule>
  </conditionalFormatting>
  <conditionalFormatting sqref="Z45:Z48">
    <cfRule type="expression" dxfId="962" priority="375">
      <formula>$Z$28&gt;50</formula>
    </cfRule>
    <cfRule type="expression" dxfId="961" priority="376">
      <formula>$Z$28&lt;3</formula>
    </cfRule>
  </conditionalFormatting>
  <conditionalFormatting sqref="Z55:Z58">
    <cfRule type="expression" dxfId="960" priority="373">
      <formula>$Z$28&gt;50</formula>
    </cfRule>
    <cfRule type="expression" dxfId="959" priority="374">
      <formula>$Z$28&lt;3</formula>
    </cfRule>
  </conditionalFormatting>
  <conditionalFormatting sqref="Z76">
    <cfRule type="expression" dxfId="958" priority="135" stopIfTrue="1">
      <formula>IF(Z76&lt;2,TRUE,FALSE)</formula>
    </cfRule>
    <cfRule type="expression" dxfId="957" priority="136">
      <formula>IF(Z76&gt;4.5,TRUE,FALSE)</formula>
    </cfRule>
  </conditionalFormatting>
  <conditionalFormatting sqref="Z77">
    <cfRule type="expression" dxfId="956" priority="133" stopIfTrue="1">
      <formula>IF(ABS(Z77)&gt;12,TRUE,FALSE)</formula>
    </cfRule>
    <cfRule type="expression" dxfId="955" priority="134">
      <formula>IF(ABS(Z77)&lt;8,TRUE,FALSE)</formula>
    </cfRule>
  </conditionalFormatting>
  <conditionalFormatting sqref="Z78">
    <cfRule type="expression" dxfId="954" priority="131" stopIfTrue="1">
      <formula>IF(Z78&gt;95,TRUE,FALSE)</formula>
    </cfRule>
    <cfRule type="expression" dxfId="953" priority="132">
      <formula>IF(Z78&lt;70,TRUE,FALSE)</formula>
    </cfRule>
  </conditionalFormatting>
  <conditionalFormatting sqref="Z79">
    <cfRule type="expression" dxfId="952" priority="129" stopIfTrue="1">
      <formula>IF(Z79&gt;400,TRUE,FALSE)</formula>
    </cfRule>
    <cfRule type="expression" dxfId="951" priority="130">
      <formula>IF(Z79&lt;50,TRUE,FALSE)</formula>
    </cfRule>
  </conditionalFormatting>
  <conditionalFormatting sqref="Z93">
    <cfRule type="cellIs" dxfId="950" priority="196" operator="lessThan">
      <formula>3</formula>
    </cfRule>
    <cfRule type="cellIs" dxfId="949" priority="197" operator="lessThanOrEqual">
      <formula>20</formula>
    </cfRule>
    <cfRule type="cellIs" dxfId="948" priority="198" operator="lessThanOrEqual">
      <formula>30</formula>
    </cfRule>
    <cfRule type="cellIs" dxfId="947" priority="199" operator="lessThanOrEqual">
      <formula>40</formula>
    </cfRule>
    <cfRule type="cellIs" dxfId="946" priority="200" operator="greaterThan">
      <formula>40</formula>
    </cfRule>
  </conditionalFormatting>
  <conditionalFormatting sqref="Z94">
    <cfRule type="cellIs" dxfId="945" priority="186" operator="equal">
      <formula>"&lt;15"</formula>
    </cfRule>
    <cfRule type="cellIs" dxfId="944" priority="187" operator="lessThanOrEqual">
      <formula>40</formula>
    </cfRule>
    <cfRule type="cellIs" dxfId="943" priority="188" operator="lessThanOrEqual">
      <formula>45</formula>
    </cfRule>
    <cfRule type="cellIs" dxfId="942" priority="189" operator="lessThanOrEqual">
      <formula>50</formula>
    </cfRule>
    <cfRule type="cellIs" dxfId="941" priority="190" operator="greaterThan">
      <formula>50</formula>
    </cfRule>
  </conditionalFormatting>
  <conditionalFormatting sqref="Z95">
    <cfRule type="cellIs" dxfId="940" priority="191" operator="equal">
      <formula>"&lt;5"</formula>
    </cfRule>
    <cfRule type="cellIs" dxfId="939" priority="192" operator="lessThanOrEqual">
      <formula>25</formula>
    </cfRule>
    <cfRule type="cellIs" dxfId="938" priority="193" operator="lessThanOrEqual">
      <formula>30</formula>
    </cfRule>
    <cfRule type="cellIs" dxfId="937" priority="194" operator="lessThanOrEqual">
      <formula>35</formula>
    </cfRule>
    <cfRule type="cellIs" dxfId="936" priority="195" operator="greaterThan">
      <formula>35</formula>
    </cfRule>
  </conditionalFormatting>
  <conditionalFormatting sqref="Z102">
    <cfRule type="expression" dxfId="935" priority="137">
      <formula>IF(Z102&gt;$F$18,TRUE,FALSE)</formula>
    </cfRule>
  </conditionalFormatting>
  <conditionalFormatting sqref="Z103:Z106">
    <cfRule type="expression" dxfId="934" priority="55">
      <formula>$Z$28&gt;50</formula>
    </cfRule>
    <cfRule type="expression" dxfId="933" priority="56">
      <formula>$Z$28&lt;3</formula>
    </cfRule>
  </conditionalFormatting>
  <conditionalFormatting sqref="Z110:Z113">
    <cfRule type="expression" dxfId="932" priority="53">
      <formula>$Z$28&gt;50</formula>
    </cfRule>
    <cfRule type="expression" dxfId="931" priority="54">
      <formula>$Z$28&lt;3</formula>
    </cfRule>
  </conditionalFormatting>
  <conditionalFormatting sqref="Z120:Z123">
    <cfRule type="expression" dxfId="930" priority="51">
      <formula>$Z$28&gt;50</formula>
    </cfRule>
    <cfRule type="expression" dxfId="929" priority="52">
      <formula>$Z$28&lt;3</formula>
    </cfRule>
  </conditionalFormatting>
  <conditionalFormatting sqref="AE28">
    <cfRule type="cellIs" dxfId="928" priority="816" operator="lessThan">
      <formula>3</formula>
    </cfRule>
    <cfRule type="cellIs" dxfId="927" priority="817" operator="lessThanOrEqual">
      <formula>20</formula>
    </cfRule>
    <cfRule type="cellIs" dxfId="926" priority="818" operator="lessThanOrEqual">
      <formula>30</formula>
    </cfRule>
    <cfRule type="cellIs" dxfId="925" priority="819" operator="lessThanOrEqual">
      <formula>40</formula>
    </cfRule>
    <cfRule type="cellIs" dxfId="924" priority="820" operator="greaterThan">
      <formula>40</formula>
    </cfRule>
  </conditionalFormatting>
  <conditionalFormatting sqref="AE29">
    <cfRule type="cellIs" dxfId="923" priority="786" operator="equal">
      <formula>"&lt;15"</formula>
    </cfRule>
    <cfRule type="cellIs" dxfId="922" priority="787" operator="lessThanOrEqual">
      <formula>40</formula>
    </cfRule>
    <cfRule type="cellIs" dxfId="921" priority="788" operator="lessThanOrEqual">
      <formula>45</formula>
    </cfRule>
    <cfRule type="cellIs" dxfId="920" priority="789" operator="lessThanOrEqual">
      <formula>50</formula>
    </cfRule>
    <cfRule type="cellIs" dxfId="919" priority="790" operator="greaterThan">
      <formula>50</formula>
    </cfRule>
  </conditionalFormatting>
  <conditionalFormatting sqref="AE30">
    <cfRule type="cellIs" dxfId="918" priority="811" operator="equal">
      <formula>"&lt;5"</formula>
    </cfRule>
    <cfRule type="cellIs" dxfId="917" priority="812" operator="lessThanOrEqual">
      <formula>25</formula>
    </cfRule>
    <cfRule type="cellIs" dxfId="916" priority="813" operator="lessThanOrEqual">
      <formula>30</formula>
    </cfRule>
    <cfRule type="cellIs" dxfId="915" priority="814" operator="lessThanOrEqual">
      <formula>35</formula>
    </cfRule>
    <cfRule type="cellIs" dxfId="914" priority="815" operator="greaterThan">
      <formula>35</formula>
    </cfRule>
  </conditionalFormatting>
  <conditionalFormatting sqref="AE37">
    <cfRule type="expression" dxfId="913" priority="743">
      <formula>IF(AE37&gt;$F$18,TRUE,FALSE)</formula>
    </cfRule>
  </conditionalFormatting>
  <conditionalFormatting sqref="AE45:AE48">
    <cfRule type="expression" dxfId="912" priority="329">
      <formula>$AE$28&gt;50</formula>
    </cfRule>
    <cfRule type="expression" dxfId="911" priority="330">
      <formula>$AE$28&lt;3</formula>
    </cfRule>
  </conditionalFormatting>
  <conditionalFormatting sqref="AE55:AE58">
    <cfRule type="expression" dxfId="910" priority="327">
      <formula>$AE$28&gt;50</formula>
    </cfRule>
    <cfRule type="expression" dxfId="909" priority="328">
      <formula>$AE$28&lt;3</formula>
    </cfRule>
  </conditionalFormatting>
  <conditionalFormatting sqref="AE93">
    <cfRule type="cellIs" dxfId="908" priority="181" operator="lessThan">
      <formula>3</formula>
    </cfRule>
    <cfRule type="cellIs" dxfId="907" priority="182" operator="lessThanOrEqual">
      <formula>20</formula>
    </cfRule>
    <cfRule type="cellIs" dxfId="906" priority="183" operator="lessThanOrEqual">
      <formula>30</formula>
    </cfRule>
    <cfRule type="cellIs" dxfId="905" priority="184" operator="lessThanOrEqual">
      <formula>40</formula>
    </cfRule>
    <cfRule type="cellIs" dxfId="904" priority="185" operator="greaterThan">
      <formula>40</formula>
    </cfRule>
  </conditionalFormatting>
  <conditionalFormatting sqref="AE94">
    <cfRule type="cellIs" dxfId="903" priority="151" operator="equal">
      <formula>"&lt;15"</formula>
    </cfRule>
    <cfRule type="cellIs" dxfId="902" priority="152" operator="lessThanOrEqual">
      <formula>40</formula>
    </cfRule>
    <cfRule type="cellIs" dxfId="901" priority="153" operator="lessThanOrEqual">
      <formula>45</formula>
    </cfRule>
    <cfRule type="cellIs" dxfId="900" priority="154" operator="lessThanOrEqual">
      <formula>50</formula>
    </cfRule>
    <cfRule type="cellIs" dxfId="899" priority="155" operator="greaterThan">
      <formula>50</formula>
    </cfRule>
  </conditionalFormatting>
  <conditionalFormatting sqref="AE95">
    <cfRule type="cellIs" dxfId="898" priority="176" operator="equal">
      <formula>"&lt;5"</formula>
    </cfRule>
    <cfRule type="cellIs" dxfId="897" priority="177" operator="lessThanOrEqual">
      <formula>25</formula>
    </cfRule>
    <cfRule type="cellIs" dxfId="896" priority="178" operator="lessThanOrEqual">
      <formula>30</formula>
    </cfRule>
    <cfRule type="cellIs" dxfId="895" priority="179" operator="lessThanOrEqual">
      <formula>35</formula>
    </cfRule>
    <cfRule type="cellIs" dxfId="894" priority="180" operator="greaterThan">
      <formula>35</formula>
    </cfRule>
  </conditionalFormatting>
  <conditionalFormatting sqref="AE102">
    <cfRule type="expression" dxfId="893" priority="138">
      <formula>IF(AE102&gt;$F$18,TRUE,FALSE)</formula>
    </cfRule>
  </conditionalFormatting>
  <conditionalFormatting sqref="AE110:AE113">
    <cfRule type="expression" dxfId="892" priority="27">
      <formula>$AE$28&gt;50</formula>
    </cfRule>
    <cfRule type="expression" dxfId="891" priority="28">
      <formula>$AE$28&lt;3</formula>
    </cfRule>
  </conditionalFormatting>
  <conditionalFormatting sqref="AE120:AE123">
    <cfRule type="expression" dxfId="890" priority="25">
      <formula>$AE$28&gt;50</formula>
    </cfRule>
    <cfRule type="expression" dxfId="889" priority="26">
      <formula>$AE$28&lt;3</formula>
    </cfRule>
  </conditionalFormatting>
  <conditionalFormatting sqref="AE38:AI41">
    <cfRule type="expression" dxfId="888" priority="371">
      <formula>$AE$28&gt;50</formula>
    </cfRule>
    <cfRule type="expression" dxfId="887" priority="372">
      <formula>$AE$28&lt;3</formula>
    </cfRule>
  </conditionalFormatting>
  <conditionalFormatting sqref="AE103:AI106">
    <cfRule type="expression" dxfId="886" priority="49">
      <formula>$AE$28&gt;50</formula>
    </cfRule>
    <cfRule type="expression" dxfId="885" priority="50">
      <formula>$AE$28&lt;3</formula>
    </cfRule>
  </conditionalFormatting>
  <conditionalFormatting sqref="AF45:AI48">
    <cfRule type="expression" dxfId="884" priority="369">
      <formula>$Z$28&gt;50</formula>
    </cfRule>
    <cfRule type="expression" dxfId="883" priority="370">
      <formula>$Z$28&lt;3</formula>
    </cfRule>
  </conditionalFormatting>
  <conditionalFormatting sqref="AF55:AI58">
    <cfRule type="expression" dxfId="882" priority="367">
      <formula>$Z$28&gt;50</formula>
    </cfRule>
    <cfRule type="expression" dxfId="881" priority="368">
      <formula>$Z$28&lt;3</formula>
    </cfRule>
  </conditionalFormatting>
  <conditionalFormatting sqref="AF110:AI113">
    <cfRule type="expression" dxfId="880" priority="47">
      <formula>$Z$28&gt;50</formula>
    </cfRule>
    <cfRule type="expression" dxfId="879" priority="48">
      <formula>$Z$28&lt;3</formula>
    </cfRule>
  </conditionalFormatting>
  <conditionalFormatting sqref="AF120:AI123">
    <cfRule type="expression" dxfId="878" priority="45">
      <formula>$Z$28&gt;50</formula>
    </cfRule>
    <cfRule type="expression" dxfId="877" priority="46">
      <formula>$Z$28&lt;3</formula>
    </cfRule>
  </conditionalFormatting>
  <conditionalFormatting sqref="AJ28">
    <cfRule type="cellIs" dxfId="876" priority="806" operator="lessThan">
      <formula>3</formula>
    </cfRule>
    <cfRule type="cellIs" dxfId="875" priority="807" operator="lessThanOrEqual">
      <formula>20</formula>
    </cfRule>
    <cfRule type="cellIs" dxfId="874" priority="808" operator="lessThanOrEqual">
      <formula>30</formula>
    </cfRule>
    <cfRule type="cellIs" dxfId="873" priority="809" operator="lessThanOrEqual">
      <formula>40</formula>
    </cfRule>
    <cfRule type="cellIs" dxfId="872" priority="810" operator="greaterThan">
      <formula>40</formula>
    </cfRule>
  </conditionalFormatting>
  <conditionalFormatting sqref="AJ29">
    <cfRule type="cellIs" dxfId="871" priority="781" operator="equal">
      <formula>"&lt;15"</formula>
    </cfRule>
    <cfRule type="cellIs" dxfId="870" priority="782" operator="lessThanOrEqual">
      <formula>40</formula>
    </cfRule>
    <cfRule type="cellIs" dxfId="869" priority="783" operator="lessThanOrEqual">
      <formula>45</formula>
    </cfRule>
    <cfRule type="cellIs" dxfId="868" priority="784" operator="lessThanOrEqual">
      <formula>50</formula>
    </cfRule>
    <cfRule type="cellIs" dxfId="867" priority="785" operator="greaterThan">
      <formula>50</formula>
    </cfRule>
  </conditionalFormatting>
  <conditionalFormatting sqref="AJ30">
    <cfRule type="cellIs" dxfId="866" priority="801" operator="equal">
      <formula>"&lt;5"</formula>
    </cfRule>
    <cfRule type="cellIs" dxfId="865" priority="802" operator="lessThanOrEqual">
      <formula>25</formula>
    </cfRule>
    <cfRule type="cellIs" dxfId="864" priority="803" operator="lessThanOrEqual">
      <formula>30</formula>
    </cfRule>
    <cfRule type="cellIs" dxfId="863" priority="804" operator="lessThanOrEqual">
      <formula>35</formula>
    </cfRule>
    <cfRule type="cellIs" dxfId="862" priority="805" operator="greaterThan">
      <formula>35</formula>
    </cfRule>
  </conditionalFormatting>
  <conditionalFormatting sqref="AJ37">
    <cfRule type="expression" dxfId="861" priority="745">
      <formula>IF(AJ37&gt;$F$18,TRUE,FALSE)</formula>
    </cfRule>
  </conditionalFormatting>
  <conditionalFormatting sqref="AJ38:AJ41">
    <cfRule type="expression" dxfId="860" priority="365">
      <formula>$AJ$28&gt;50</formula>
    </cfRule>
    <cfRule type="expression" dxfId="859" priority="366">
      <formula>$AJ$28&lt;3</formula>
    </cfRule>
  </conditionalFormatting>
  <conditionalFormatting sqref="AJ45:AJ48">
    <cfRule type="expression" dxfId="858" priority="325">
      <formula>$AJ$28&gt;50</formula>
    </cfRule>
    <cfRule type="expression" dxfId="857" priority="326">
      <formula>$AJ$28&lt;3</formula>
    </cfRule>
  </conditionalFormatting>
  <conditionalFormatting sqref="AJ55:AJ58">
    <cfRule type="expression" dxfId="856" priority="323">
      <formula>$AJ$28&gt;50</formula>
    </cfRule>
    <cfRule type="expression" dxfId="855" priority="324">
      <formula>$AJ$28&lt;3</formula>
    </cfRule>
  </conditionalFormatting>
  <conditionalFormatting sqref="AJ93">
    <cfRule type="cellIs" dxfId="854" priority="171" operator="lessThan">
      <formula>3</formula>
    </cfRule>
    <cfRule type="cellIs" dxfId="853" priority="172" operator="lessThanOrEqual">
      <formula>20</formula>
    </cfRule>
    <cfRule type="cellIs" dxfId="852" priority="173" operator="lessThanOrEqual">
      <formula>30</formula>
    </cfRule>
    <cfRule type="cellIs" dxfId="851" priority="174" operator="lessThanOrEqual">
      <formula>40</formula>
    </cfRule>
    <cfRule type="cellIs" dxfId="850" priority="175" operator="greaterThan">
      <formula>40</formula>
    </cfRule>
  </conditionalFormatting>
  <conditionalFormatting sqref="AJ94">
    <cfRule type="cellIs" dxfId="849" priority="146" operator="equal">
      <formula>"&lt;15"</formula>
    </cfRule>
    <cfRule type="cellIs" dxfId="848" priority="147" operator="lessThanOrEqual">
      <formula>40</formula>
    </cfRule>
    <cfRule type="cellIs" dxfId="847" priority="148" operator="lessThanOrEqual">
      <formula>45</formula>
    </cfRule>
    <cfRule type="cellIs" dxfId="846" priority="149" operator="lessThanOrEqual">
      <formula>50</formula>
    </cfRule>
    <cfRule type="cellIs" dxfId="845" priority="150" operator="greaterThan">
      <formula>50</formula>
    </cfRule>
  </conditionalFormatting>
  <conditionalFormatting sqref="AJ95">
    <cfRule type="cellIs" dxfId="844" priority="166" operator="equal">
      <formula>"&lt;5"</formula>
    </cfRule>
    <cfRule type="cellIs" dxfId="843" priority="167" operator="lessThanOrEqual">
      <formula>25</formula>
    </cfRule>
    <cfRule type="cellIs" dxfId="842" priority="168" operator="lessThanOrEqual">
      <formula>30</formula>
    </cfRule>
    <cfRule type="cellIs" dxfId="841" priority="169" operator="lessThanOrEqual">
      <formula>35</formula>
    </cfRule>
    <cfRule type="cellIs" dxfId="840" priority="170" operator="greaterThan">
      <formula>35</formula>
    </cfRule>
  </conditionalFormatting>
  <conditionalFormatting sqref="AJ102">
    <cfRule type="expression" dxfId="839" priority="140">
      <formula>IF(AJ102&gt;$F$18,TRUE,FALSE)</formula>
    </cfRule>
  </conditionalFormatting>
  <conditionalFormatting sqref="AJ103:AJ106">
    <cfRule type="expression" dxfId="838" priority="43">
      <formula>$AJ$28&gt;50</formula>
    </cfRule>
    <cfRule type="expression" dxfId="837" priority="44">
      <formula>$AJ$28&lt;3</formula>
    </cfRule>
  </conditionalFormatting>
  <conditionalFormatting sqref="AJ110:AJ113">
    <cfRule type="expression" dxfId="836" priority="23">
      <formula>$AJ$28&gt;50</formula>
    </cfRule>
    <cfRule type="expression" dxfId="835" priority="24">
      <formula>$AJ$28&lt;3</formula>
    </cfRule>
  </conditionalFormatting>
  <conditionalFormatting sqref="AJ120:AJ123">
    <cfRule type="expression" dxfId="834" priority="21">
      <formula>$AJ$28&gt;50</formula>
    </cfRule>
    <cfRule type="expression" dxfId="833" priority="22">
      <formula>$AJ$28&lt;3</formula>
    </cfRule>
  </conditionalFormatting>
  <conditionalFormatting sqref="AO28">
    <cfRule type="cellIs" dxfId="832" priority="796" operator="lessThan">
      <formula>3</formula>
    </cfRule>
    <cfRule type="cellIs" dxfId="831" priority="797" operator="lessThanOrEqual">
      <formula>20</formula>
    </cfRule>
    <cfRule type="cellIs" dxfId="830" priority="798" operator="lessThanOrEqual">
      <formula>30</formula>
    </cfRule>
    <cfRule type="cellIs" dxfId="829" priority="799" operator="lessThanOrEqual">
      <formula>40</formula>
    </cfRule>
    <cfRule type="cellIs" dxfId="828" priority="800" operator="greaterThan">
      <formula>40</formula>
    </cfRule>
  </conditionalFormatting>
  <conditionalFormatting sqref="AO29">
    <cfRule type="cellIs" dxfId="827" priority="776" operator="equal">
      <formula>"&lt;15"</formula>
    </cfRule>
    <cfRule type="cellIs" dxfId="826" priority="777" operator="lessThanOrEqual">
      <formula>40</formula>
    </cfRule>
    <cfRule type="cellIs" dxfId="825" priority="778" operator="lessThanOrEqual">
      <formula>45</formula>
    </cfRule>
    <cfRule type="cellIs" dxfId="824" priority="779" operator="lessThanOrEqual">
      <formula>50</formula>
    </cfRule>
    <cfRule type="cellIs" dxfId="823" priority="780" operator="greaterThan">
      <formula>50</formula>
    </cfRule>
  </conditionalFormatting>
  <conditionalFormatting sqref="AO30">
    <cfRule type="cellIs" dxfId="822" priority="791" operator="equal">
      <formula>"&lt;5"</formula>
    </cfRule>
    <cfRule type="cellIs" dxfId="821" priority="792" operator="lessThanOrEqual">
      <formula>25</formula>
    </cfRule>
    <cfRule type="cellIs" dxfId="820" priority="793" operator="lessThanOrEqual">
      <formula>30</formula>
    </cfRule>
    <cfRule type="cellIs" dxfId="819" priority="794" operator="lessThanOrEqual">
      <formula>35</formula>
    </cfRule>
    <cfRule type="cellIs" dxfId="818" priority="795" operator="greaterThan">
      <formula>35</formula>
    </cfRule>
  </conditionalFormatting>
  <conditionalFormatting sqref="AO37">
    <cfRule type="expression" dxfId="817" priority="744">
      <formula>IF(AO37&gt;$F$18,TRUE,FALSE)</formula>
    </cfRule>
  </conditionalFormatting>
  <conditionalFormatting sqref="AO38:AO41">
    <cfRule type="expression" dxfId="816" priority="359">
      <formula>$AO$28&gt;50</formula>
    </cfRule>
    <cfRule type="expression" dxfId="815" priority="360">
      <formula>$AO$28&lt;3</formula>
    </cfRule>
  </conditionalFormatting>
  <conditionalFormatting sqref="AO45:AO48">
    <cfRule type="expression" dxfId="814" priority="321">
      <formula>$AO$28&gt;50</formula>
    </cfRule>
    <cfRule type="expression" dxfId="813" priority="322">
      <formula>$AO$28&lt;3</formula>
    </cfRule>
  </conditionalFormatting>
  <conditionalFormatting sqref="AO55:AO58">
    <cfRule type="expression" dxfId="812" priority="319">
      <formula>$AO$28&gt;50</formula>
    </cfRule>
    <cfRule type="expression" dxfId="811" priority="320">
      <formula>$AO$28&lt;3</formula>
    </cfRule>
  </conditionalFormatting>
  <conditionalFormatting sqref="AO93">
    <cfRule type="cellIs" dxfId="810" priority="161" operator="lessThan">
      <formula>3</formula>
    </cfRule>
    <cfRule type="cellIs" dxfId="809" priority="162" operator="lessThanOrEqual">
      <formula>20</formula>
    </cfRule>
    <cfRule type="cellIs" dxfId="808" priority="163" operator="lessThanOrEqual">
      <formula>30</formula>
    </cfRule>
    <cfRule type="cellIs" dxfId="807" priority="164" operator="lessThanOrEqual">
      <formula>40</formula>
    </cfRule>
    <cfRule type="cellIs" dxfId="806" priority="165" operator="greaterThan">
      <formula>40</formula>
    </cfRule>
  </conditionalFormatting>
  <conditionalFormatting sqref="AO94">
    <cfRule type="cellIs" dxfId="805" priority="141" operator="equal">
      <formula>"&lt;15"</formula>
    </cfRule>
    <cfRule type="cellIs" dxfId="804" priority="142" operator="lessThanOrEqual">
      <formula>40</formula>
    </cfRule>
    <cfRule type="cellIs" dxfId="803" priority="143" operator="lessThanOrEqual">
      <formula>45</formula>
    </cfRule>
    <cfRule type="cellIs" dxfId="802" priority="144" operator="lessThanOrEqual">
      <formula>50</formula>
    </cfRule>
    <cfRule type="cellIs" dxfId="801" priority="145" operator="greaterThan">
      <formula>50</formula>
    </cfRule>
  </conditionalFormatting>
  <conditionalFormatting sqref="AO95">
    <cfRule type="cellIs" dxfId="800" priority="156" operator="equal">
      <formula>"&lt;5"</formula>
    </cfRule>
    <cfRule type="cellIs" dxfId="799" priority="157" operator="lessThanOrEqual">
      <formula>25</formula>
    </cfRule>
    <cfRule type="cellIs" dxfId="798" priority="158" operator="lessThanOrEqual">
      <formula>30</formula>
    </cfRule>
    <cfRule type="cellIs" dxfId="797" priority="159" operator="lessThanOrEqual">
      <formula>35</formula>
    </cfRule>
    <cfRule type="cellIs" dxfId="796" priority="160" operator="greaterThan">
      <formula>35</formula>
    </cfRule>
  </conditionalFormatting>
  <conditionalFormatting sqref="AO102">
    <cfRule type="expression" dxfId="795" priority="139">
      <formula>IF(AO102&gt;$F$18,TRUE,FALSE)</formula>
    </cfRule>
  </conditionalFormatting>
  <conditionalFormatting sqref="AO103:AO106">
    <cfRule type="expression" dxfId="794" priority="41">
      <formula>$AO$28&gt;50</formula>
    </cfRule>
    <cfRule type="expression" dxfId="793" priority="42">
      <formula>$AO$28&lt;3</formula>
    </cfRule>
  </conditionalFormatting>
  <conditionalFormatting sqref="AO110:AO113">
    <cfRule type="expression" dxfId="792" priority="19">
      <formula>$AO$28&gt;50</formula>
    </cfRule>
    <cfRule type="expression" dxfId="791" priority="20">
      <formula>$AO$28&lt;3</formula>
    </cfRule>
  </conditionalFormatting>
  <conditionalFormatting sqref="AO120:AO123">
    <cfRule type="expression" dxfId="790" priority="17">
      <formula>$AO$28&gt;50</formula>
    </cfRule>
    <cfRule type="expression" dxfId="789" priority="18">
      <formula>$AO$28&lt;3</formula>
    </cfRule>
  </conditionalFormatting>
  <conditionalFormatting sqref="AT12">
    <cfRule type="expression" dxfId="788" priority="457" stopIfTrue="1">
      <formula>IF(AT12&lt;2,TRUE,FALSE)</formula>
    </cfRule>
    <cfRule type="expression" dxfId="787" priority="458">
      <formula>IF(AT12&gt;4.5,TRUE,FALSE)</formula>
    </cfRule>
  </conditionalFormatting>
  <conditionalFormatting sqref="AT13">
    <cfRule type="expression" dxfId="786" priority="455" stopIfTrue="1">
      <formula>IF(ABS(AT13)&gt;12,TRUE,FALSE)</formula>
    </cfRule>
    <cfRule type="expression" dxfId="785" priority="456">
      <formula>IF(ABS(AT13)&lt;8,TRUE,FALSE)</formula>
    </cfRule>
  </conditionalFormatting>
  <conditionalFormatting sqref="AT14">
    <cfRule type="expression" dxfId="784" priority="453" stopIfTrue="1">
      <formula>IF(AT14&gt;95,TRUE,FALSE)</formula>
    </cfRule>
    <cfRule type="expression" dxfId="783" priority="454">
      <formula>IF(AT14&lt;70,TRUE,FALSE)</formula>
    </cfRule>
  </conditionalFormatting>
  <conditionalFormatting sqref="AT15">
    <cfRule type="expression" dxfId="782" priority="451" stopIfTrue="1">
      <formula>IF(AT15&gt;600,TRUE,FALSE)</formula>
    </cfRule>
    <cfRule type="expression" dxfId="781" priority="452">
      <formula>IF(AT15&lt;90,TRUE,FALSE)</formula>
    </cfRule>
  </conditionalFormatting>
  <conditionalFormatting sqref="AT28">
    <cfRule type="cellIs" dxfId="780" priority="578" operator="lessThan">
      <formula>3</formula>
    </cfRule>
    <cfRule type="cellIs" dxfId="779" priority="579" operator="lessThanOrEqual">
      <formula>20</formula>
    </cfRule>
    <cfRule type="cellIs" dxfId="778" priority="580" operator="lessThanOrEqual">
      <formula>30</formula>
    </cfRule>
    <cfRule type="cellIs" dxfId="777" priority="581" operator="lessThanOrEqual">
      <formula>40</formula>
    </cfRule>
    <cfRule type="cellIs" dxfId="776" priority="582" operator="greaterThan">
      <formula>40</formula>
    </cfRule>
  </conditionalFormatting>
  <conditionalFormatting sqref="AT29">
    <cfRule type="cellIs" dxfId="775" priority="568" operator="equal">
      <formula>"&lt;15"</formula>
    </cfRule>
    <cfRule type="cellIs" dxfId="774" priority="569" operator="lessThanOrEqual">
      <formula>40</formula>
    </cfRule>
    <cfRule type="cellIs" dxfId="773" priority="570" operator="lessThanOrEqual">
      <formula>45</formula>
    </cfRule>
    <cfRule type="cellIs" dxfId="772" priority="571" operator="lessThanOrEqual">
      <formula>50</formula>
    </cfRule>
    <cfRule type="cellIs" dxfId="771" priority="572" operator="greaterThan">
      <formula>50</formula>
    </cfRule>
  </conditionalFormatting>
  <conditionalFormatting sqref="AT30">
    <cfRule type="cellIs" dxfId="770" priority="573" operator="equal">
      <formula>"&lt;5"</formula>
    </cfRule>
    <cfRule type="cellIs" dxfId="769" priority="574" operator="lessThanOrEqual">
      <formula>25</formula>
    </cfRule>
    <cfRule type="cellIs" dxfId="768" priority="575" operator="lessThanOrEqual">
      <formula>30</formula>
    </cfRule>
    <cfRule type="cellIs" dxfId="767" priority="576" operator="lessThanOrEqual">
      <formula>35</formula>
    </cfRule>
    <cfRule type="cellIs" dxfId="766" priority="577" operator="greaterThan">
      <formula>35</formula>
    </cfRule>
  </conditionalFormatting>
  <conditionalFormatting sqref="AT37">
    <cfRule type="expression" dxfId="765" priority="489">
      <formula>IF(AT37&gt;$F$18,TRUE,FALSE)</formula>
    </cfRule>
  </conditionalFormatting>
  <conditionalFormatting sqref="AT38:AT41">
    <cfRule type="expression" dxfId="764" priority="353">
      <formula>$AT$28&gt;50</formula>
    </cfRule>
    <cfRule type="expression" dxfId="763" priority="354">
      <formula>$AT$28&lt;3</formula>
    </cfRule>
  </conditionalFormatting>
  <conditionalFormatting sqref="AT45:AT48">
    <cfRule type="expression" dxfId="762" priority="317">
      <formula>$AT$28&gt;50</formula>
    </cfRule>
    <cfRule type="expression" dxfId="761" priority="318">
      <formula>$AT$28&lt;3</formula>
    </cfRule>
  </conditionalFormatting>
  <conditionalFormatting sqref="AT55:AT58">
    <cfRule type="expression" dxfId="760" priority="315">
      <formula>$AT$28&gt;50</formula>
    </cfRule>
    <cfRule type="expression" dxfId="759" priority="316">
      <formula>$AT$28&lt;3</formula>
    </cfRule>
  </conditionalFormatting>
  <conditionalFormatting sqref="AT76">
    <cfRule type="expression" dxfId="758" priority="63" stopIfTrue="1">
      <formula>IF(AT76&lt;2,TRUE,FALSE)</formula>
    </cfRule>
    <cfRule type="expression" dxfId="757" priority="64">
      <formula>IF(AT76&gt;4.5,TRUE,FALSE)</formula>
    </cfRule>
  </conditionalFormatting>
  <conditionalFormatting sqref="AT77">
    <cfRule type="expression" dxfId="756" priority="61" stopIfTrue="1">
      <formula>IF(ABS(AT77)&gt;12,TRUE,FALSE)</formula>
    </cfRule>
    <cfRule type="expression" dxfId="755" priority="62">
      <formula>IF(ABS(AT77)&lt;8,TRUE,FALSE)</formula>
    </cfRule>
  </conditionalFormatting>
  <conditionalFormatting sqref="AT78">
    <cfRule type="expression" dxfId="754" priority="59" stopIfTrue="1">
      <formula>IF(AT78&gt;95,TRUE,FALSE)</formula>
    </cfRule>
    <cfRule type="expression" dxfId="753" priority="60">
      <formula>IF(AT78&lt;70,TRUE,FALSE)</formula>
    </cfRule>
  </conditionalFormatting>
  <conditionalFormatting sqref="AT79">
    <cfRule type="expression" dxfId="752" priority="57" stopIfTrue="1">
      <formula>IF(AT79&gt;600,TRUE,FALSE)</formula>
    </cfRule>
    <cfRule type="expression" dxfId="751" priority="58">
      <formula>IF(AT79&lt;90,TRUE,FALSE)</formula>
    </cfRule>
  </conditionalFormatting>
  <conditionalFormatting sqref="AT93">
    <cfRule type="cellIs" dxfId="750" priority="124" operator="lessThan">
      <formula>3</formula>
    </cfRule>
    <cfRule type="cellIs" dxfId="749" priority="125" operator="lessThanOrEqual">
      <formula>20</formula>
    </cfRule>
    <cfRule type="cellIs" dxfId="748" priority="126" operator="lessThanOrEqual">
      <formula>30</formula>
    </cfRule>
    <cfRule type="cellIs" dxfId="747" priority="127" operator="lessThanOrEqual">
      <formula>40</formula>
    </cfRule>
    <cfRule type="cellIs" dxfId="746" priority="128" operator="greaterThan">
      <formula>40</formula>
    </cfRule>
  </conditionalFormatting>
  <conditionalFormatting sqref="AT94">
    <cfRule type="cellIs" dxfId="745" priority="114" operator="equal">
      <formula>"&lt;15"</formula>
    </cfRule>
    <cfRule type="cellIs" dxfId="744" priority="115" operator="lessThanOrEqual">
      <formula>40</formula>
    </cfRule>
    <cfRule type="cellIs" dxfId="743" priority="116" operator="lessThanOrEqual">
      <formula>45</formula>
    </cfRule>
    <cfRule type="cellIs" dxfId="742" priority="117" operator="lessThanOrEqual">
      <formula>50</formula>
    </cfRule>
    <cfRule type="cellIs" dxfId="741" priority="118" operator="greaterThan">
      <formula>50</formula>
    </cfRule>
  </conditionalFormatting>
  <conditionalFormatting sqref="AT95">
    <cfRule type="cellIs" dxfId="740" priority="119" operator="equal">
      <formula>"&lt;5"</formula>
    </cfRule>
    <cfRule type="cellIs" dxfId="739" priority="120" operator="lessThanOrEqual">
      <formula>25</formula>
    </cfRule>
    <cfRule type="cellIs" dxfId="738" priority="121" operator="lessThanOrEqual">
      <formula>30</formula>
    </cfRule>
    <cfRule type="cellIs" dxfId="737" priority="122" operator="lessThanOrEqual">
      <formula>35</formula>
    </cfRule>
    <cfRule type="cellIs" dxfId="736" priority="123" operator="greaterThan">
      <formula>35</formula>
    </cfRule>
  </conditionalFormatting>
  <conditionalFormatting sqref="AT102">
    <cfRule type="expression" dxfId="735" priority="65">
      <formula>IF(AT102&gt;$F$18,TRUE,FALSE)</formula>
    </cfRule>
  </conditionalFormatting>
  <conditionalFormatting sqref="AT103:AT106">
    <cfRule type="expression" dxfId="734" priority="39">
      <formula>$AT$28&gt;50</formula>
    </cfRule>
    <cfRule type="expression" dxfId="733" priority="40">
      <formula>$AT$28&lt;3</formula>
    </cfRule>
  </conditionalFormatting>
  <conditionalFormatting sqref="AT110:AT113">
    <cfRule type="expression" dxfId="732" priority="15">
      <formula>$AT$28&gt;50</formula>
    </cfRule>
    <cfRule type="expression" dxfId="731" priority="16">
      <formula>$AT$28&lt;3</formula>
    </cfRule>
  </conditionalFormatting>
  <conditionalFormatting sqref="AT120:AT123">
    <cfRule type="expression" dxfId="730" priority="13">
      <formula>$AT$28&gt;50</formula>
    </cfRule>
    <cfRule type="expression" dxfId="729" priority="14">
      <formula>$AT$28&lt;3</formula>
    </cfRule>
  </conditionalFormatting>
  <conditionalFormatting sqref="AY28">
    <cfRule type="cellIs" dxfId="728" priority="563" operator="lessThan">
      <formula>3</formula>
    </cfRule>
    <cfRule type="cellIs" dxfId="727" priority="564" operator="lessThanOrEqual">
      <formula>20</formula>
    </cfRule>
    <cfRule type="cellIs" dxfId="726" priority="565" operator="lessThanOrEqual">
      <formula>30</formula>
    </cfRule>
    <cfRule type="cellIs" dxfId="725" priority="566" operator="lessThanOrEqual">
      <formula>40</formula>
    </cfRule>
    <cfRule type="cellIs" dxfId="724" priority="567" operator="greaterThan">
      <formula>40</formula>
    </cfRule>
  </conditionalFormatting>
  <conditionalFormatting sqref="AY29">
    <cfRule type="cellIs" dxfId="723" priority="533" operator="equal">
      <formula>"&lt;15"</formula>
    </cfRule>
    <cfRule type="cellIs" dxfId="722" priority="534" operator="lessThanOrEqual">
      <formula>40</formula>
    </cfRule>
    <cfRule type="cellIs" dxfId="721" priority="535" operator="lessThanOrEqual">
      <formula>45</formula>
    </cfRule>
    <cfRule type="cellIs" dxfId="720" priority="536" operator="lessThanOrEqual">
      <formula>50</formula>
    </cfRule>
    <cfRule type="cellIs" dxfId="719" priority="537" operator="greaterThan">
      <formula>50</formula>
    </cfRule>
  </conditionalFormatting>
  <conditionalFormatting sqref="AY30">
    <cfRule type="cellIs" dxfId="718" priority="558" operator="equal">
      <formula>"&lt;5"</formula>
    </cfRule>
    <cfRule type="cellIs" dxfId="717" priority="559" operator="lessThanOrEqual">
      <formula>25</formula>
    </cfRule>
    <cfRule type="cellIs" dxfId="716" priority="560" operator="lessThanOrEqual">
      <formula>30</formula>
    </cfRule>
    <cfRule type="cellIs" dxfId="715" priority="561" operator="lessThanOrEqual">
      <formula>35</formula>
    </cfRule>
    <cfRule type="cellIs" dxfId="714" priority="562" operator="greaterThan">
      <formula>35</formula>
    </cfRule>
  </conditionalFormatting>
  <conditionalFormatting sqref="AY37">
    <cfRule type="expression" dxfId="713" priority="490">
      <formula>IF(AY37&gt;$F$18,TRUE,FALSE)</formula>
    </cfRule>
  </conditionalFormatting>
  <conditionalFormatting sqref="AY45:AY48">
    <cfRule type="expression" dxfId="712" priority="313">
      <formula>$AY$28&gt;50</formula>
    </cfRule>
    <cfRule type="expression" dxfId="711" priority="314">
      <formula>$AY$28&lt;3</formula>
    </cfRule>
  </conditionalFormatting>
  <conditionalFormatting sqref="AY55:AY58">
    <cfRule type="expression" dxfId="710" priority="311">
      <formula>$AY$28&gt;50</formula>
    </cfRule>
    <cfRule type="expression" dxfId="709" priority="312">
      <formula>$AY$28&lt;3</formula>
    </cfRule>
  </conditionalFormatting>
  <conditionalFormatting sqref="AY93">
    <cfRule type="cellIs" dxfId="708" priority="109" operator="lessThan">
      <formula>3</formula>
    </cfRule>
    <cfRule type="cellIs" dxfId="707" priority="110" operator="lessThanOrEqual">
      <formula>20</formula>
    </cfRule>
    <cfRule type="cellIs" dxfId="706" priority="111" operator="lessThanOrEqual">
      <formula>30</formula>
    </cfRule>
    <cfRule type="cellIs" dxfId="705" priority="112" operator="lessThanOrEqual">
      <formula>40</formula>
    </cfRule>
    <cfRule type="cellIs" dxfId="704" priority="113" operator="greaterThan">
      <formula>40</formula>
    </cfRule>
  </conditionalFormatting>
  <conditionalFormatting sqref="AY94">
    <cfRule type="cellIs" dxfId="703" priority="79" operator="equal">
      <formula>"&lt;15"</formula>
    </cfRule>
    <cfRule type="cellIs" dxfId="702" priority="80" operator="lessThanOrEqual">
      <formula>40</formula>
    </cfRule>
    <cfRule type="cellIs" dxfId="701" priority="81" operator="lessThanOrEqual">
      <formula>45</formula>
    </cfRule>
    <cfRule type="cellIs" dxfId="700" priority="82" operator="lessThanOrEqual">
      <formula>50</formula>
    </cfRule>
    <cfRule type="cellIs" dxfId="699" priority="83" operator="greaterThan">
      <formula>50</formula>
    </cfRule>
  </conditionalFormatting>
  <conditionalFormatting sqref="AY95">
    <cfRule type="cellIs" dxfId="698" priority="104" operator="equal">
      <formula>"&lt;5"</formula>
    </cfRule>
    <cfRule type="cellIs" dxfId="697" priority="105" operator="lessThanOrEqual">
      <formula>25</formula>
    </cfRule>
    <cfRule type="cellIs" dxfId="696" priority="106" operator="lessThanOrEqual">
      <formula>30</formula>
    </cfRule>
    <cfRule type="cellIs" dxfId="695" priority="107" operator="lessThanOrEqual">
      <formula>35</formula>
    </cfRule>
    <cfRule type="cellIs" dxfId="694" priority="108" operator="greaterThan">
      <formula>35</formula>
    </cfRule>
  </conditionalFormatting>
  <conditionalFormatting sqref="AY102">
    <cfRule type="expression" dxfId="693" priority="66">
      <formula>IF(AY102&gt;$F$18,TRUE,FALSE)</formula>
    </cfRule>
  </conditionalFormatting>
  <conditionalFormatting sqref="AY110:AY113">
    <cfRule type="expression" dxfId="692" priority="11">
      <formula>$AY$28&gt;50</formula>
    </cfRule>
    <cfRule type="expression" dxfId="691" priority="12">
      <formula>$AY$28&lt;3</formula>
    </cfRule>
  </conditionalFormatting>
  <conditionalFormatting sqref="AY120:AY123">
    <cfRule type="expression" dxfId="690" priority="9">
      <formula>$AY$28&gt;50</formula>
    </cfRule>
    <cfRule type="expression" dxfId="689" priority="10">
      <formula>$AY$28&lt;3</formula>
    </cfRule>
  </conditionalFormatting>
  <conditionalFormatting sqref="AY38:BC41">
    <cfRule type="expression" dxfId="688" priority="347">
      <formula>$AY$28&gt;50</formula>
    </cfRule>
    <cfRule type="expression" dxfId="687" priority="348">
      <formula>$AY$28&lt;3</formula>
    </cfRule>
  </conditionalFormatting>
  <conditionalFormatting sqref="AY103:BC106">
    <cfRule type="expression" dxfId="686" priority="37">
      <formula>$AY$28&gt;50</formula>
    </cfRule>
    <cfRule type="expression" dxfId="685" priority="38">
      <formula>$AY$28&lt;3</formula>
    </cfRule>
  </conditionalFormatting>
  <conditionalFormatting sqref="AZ45:BC48">
    <cfRule type="expression" dxfId="684" priority="345">
      <formula>$Z$28&gt;50</formula>
    </cfRule>
    <cfRule type="expression" dxfId="683" priority="346">
      <formula>$Z$28&lt;3</formula>
    </cfRule>
  </conditionalFormatting>
  <conditionalFormatting sqref="AZ55:BC58">
    <cfRule type="expression" dxfId="682" priority="343">
      <formula>$Z$28&gt;50</formula>
    </cfRule>
    <cfRule type="expression" dxfId="681" priority="344">
      <formula>$Z$28&lt;3</formula>
    </cfRule>
  </conditionalFormatting>
  <conditionalFormatting sqref="AZ110:BC113">
    <cfRule type="expression" dxfId="680" priority="35">
      <formula>$Z$28&gt;50</formula>
    </cfRule>
    <cfRule type="expression" dxfId="679" priority="36">
      <formula>$Z$28&lt;3</formula>
    </cfRule>
  </conditionalFormatting>
  <conditionalFormatting sqref="AZ120:BC123">
    <cfRule type="expression" dxfId="678" priority="33">
      <formula>$Z$28&gt;50</formula>
    </cfRule>
    <cfRule type="expression" dxfId="677" priority="34">
      <formula>$Z$28&lt;3</formula>
    </cfRule>
  </conditionalFormatting>
  <conditionalFormatting sqref="BD28">
    <cfRule type="cellIs" dxfId="676" priority="553" operator="lessThan">
      <formula>3</formula>
    </cfRule>
    <cfRule type="cellIs" dxfId="675" priority="554" operator="lessThanOrEqual">
      <formula>20</formula>
    </cfRule>
    <cfRule type="cellIs" dxfId="674" priority="555" operator="lessThanOrEqual">
      <formula>30</formula>
    </cfRule>
    <cfRule type="cellIs" dxfId="673" priority="556" operator="lessThanOrEqual">
      <formula>40</formula>
    </cfRule>
    <cfRule type="cellIs" dxfId="672" priority="557" operator="greaterThan">
      <formula>40</formula>
    </cfRule>
  </conditionalFormatting>
  <conditionalFormatting sqref="BD29">
    <cfRule type="cellIs" dxfId="671" priority="528" operator="equal">
      <formula>"&lt;15"</formula>
    </cfRule>
    <cfRule type="cellIs" dxfId="670" priority="529" operator="lessThanOrEqual">
      <formula>40</formula>
    </cfRule>
    <cfRule type="cellIs" dxfId="669" priority="530" operator="lessThanOrEqual">
      <formula>45</formula>
    </cfRule>
    <cfRule type="cellIs" dxfId="668" priority="531" operator="lessThanOrEqual">
      <formula>50</formula>
    </cfRule>
    <cfRule type="cellIs" dxfId="667" priority="532" operator="greaterThan">
      <formula>50</formula>
    </cfRule>
  </conditionalFormatting>
  <conditionalFormatting sqref="BD30">
    <cfRule type="cellIs" dxfId="666" priority="548" operator="equal">
      <formula>"&lt;5"</formula>
    </cfRule>
    <cfRule type="cellIs" dxfId="665" priority="549" operator="lessThanOrEqual">
      <formula>25</formula>
    </cfRule>
    <cfRule type="cellIs" dxfId="664" priority="550" operator="lessThanOrEqual">
      <formula>30</formula>
    </cfRule>
    <cfRule type="cellIs" dxfId="663" priority="551" operator="lessThanOrEqual">
      <formula>35</formula>
    </cfRule>
    <cfRule type="cellIs" dxfId="662" priority="552" operator="greaterThan">
      <formula>35</formula>
    </cfRule>
  </conditionalFormatting>
  <conditionalFormatting sqref="BD37">
    <cfRule type="expression" dxfId="661" priority="492">
      <formula>IF(BD37&gt;$F$18,TRUE,FALSE)</formula>
    </cfRule>
  </conditionalFormatting>
  <conditionalFormatting sqref="BD38:BD41">
    <cfRule type="expression" dxfId="660" priority="341">
      <formula>$BD$28&gt;50</formula>
    </cfRule>
    <cfRule type="expression" dxfId="659" priority="342">
      <formula>$BD$28&lt;3</formula>
    </cfRule>
  </conditionalFormatting>
  <conditionalFormatting sqref="BD45:BD48">
    <cfRule type="expression" dxfId="658" priority="309">
      <formula>$BD$28&gt;50</formula>
    </cfRule>
    <cfRule type="expression" dxfId="657" priority="310">
      <formula>$BD$28&lt;3</formula>
    </cfRule>
  </conditionalFormatting>
  <conditionalFormatting sqref="BD55:BD58">
    <cfRule type="expression" dxfId="656" priority="307">
      <formula>$BD$28&gt;50</formula>
    </cfRule>
    <cfRule type="expression" dxfId="655" priority="308">
      <formula>$BD$28&lt;3</formula>
    </cfRule>
  </conditionalFormatting>
  <conditionalFormatting sqref="BD93">
    <cfRule type="cellIs" dxfId="654" priority="99" operator="lessThan">
      <formula>3</formula>
    </cfRule>
    <cfRule type="cellIs" dxfId="653" priority="100" operator="lessThanOrEqual">
      <formula>20</formula>
    </cfRule>
    <cfRule type="cellIs" dxfId="652" priority="101" operator="lessThanOrEqual">
      <formula>30</formula>
    </cfRule>
    <cfRule type="cellIs" dxfId="651" priority="102" operator="lessThanOrEqual">
      <formula>40</formula>
    </cfRule>
    <cfRule type="cellIs" dxfId="650" priority="103" operator="greaterThan">
      <formula>40</formula>
    </cfRule>
  </conditionalFormatting>
  <conditionalFormatting sqref="BD94">
    <cfRule type="cellIs" dxfId="649" priority="74" operator="equal">
      <formula>"&lt;15"</formula>
    </cfRule>
    <cfRule type="cellIs" dxfId="648" priority="75" operator="lessThanOrEqual">
      <formula>40</formula>
    </cfRule>
    <cfRule type="cellIs" dxfId="647" priority="76" operator="lessThanOrEqual">
      <formula>45</formula>
    </cfRule>
    <cfRule type="cellIs" dxfId="646" priority="77" operator="lessThanOrEqual">
      <formula>50</formula>
    </cfRule>
    <cfRule type="cellIs" dxfId="645" priority="78" operator="greaterThan">
      <formula>50</formula>
    </cfRule>
  </conditionalFormatting>
  <conditionalFormatting sqref="BD95">
    <cfRule type="cellIs" dxfId="644" priority="94" operator="equal">
      <formula>"&lt;5"</formula>
    </cfRule>
    <cfRule type="cellIs" dxfId="643" priority="95" operator="lessThanOrEqual">
      <formula>25</formula>
    </cfRule>
    <cfRule type="cellIs" dxfId="642" priority="96" operator="lessThanOrEqual">
      <formula>30</formula>
    </cfRule>
    <cfRule type="cellIs" dxfId="641" priority="97" operator="lessThanOrEqual">
      <formula>35</formula>
    </cfRule>
    <cfRule type="cellIs" dxfId="640" priority="98" operator="greaterThan">
      <formula>35</formula>
    </cfRule>
  </conditionalFormatting>
  <conditionalFormatting sqref="BD102">
    <cfRule type="expression" dxfId="639" priority="68">
      <formula>IF(BD102&gt;$F$18,TRUE,FALSE)</formula>
    </cfRule>
  </conditionalFormatting>
  <conditionalFormatting sqref="BD103:BD106">
    <cfRule type="expression" dxfId="638" priority="31">
      <formula>$BD$28&gt;50</formula>
    </cfRule>
    <cfRule type="expression" dxfId="637" priority="32">
      <formula>$BD$28&lt;3</formula>
    </cfRule>
  </conditionalFormatting>
  <conditionalFormatting sqref="BD110:BD113">
    <cfRule type="expression" dxfId="636" priority="7">
      <formula>$BD$28&gt;50</formula>
    </cfRule>
    <cfRule type="expression" dxfId="635" priority="8">
      <formula>$BD$28&lt;3</formula>
    </cfRule>
  </conditionalFormatting>
  <conditionalFormatting sqref="BD120:BD123">
    <cfRule type="expression" dxfId="634" priority="5">
      <formula>$BD$28&gt;50</formula>
    </cfRule>
    <cfRule type="expression" dxfId="633" priority="6">
      <formula>$BD$28&lt;3</formula>
    </cfRule>
  </conditionalFormatting>
  <conditionalFormatting sqref="BI28">
    <cfRule type="cellIs" dxfId="632" priority="543" operator="lessThan">
      <formula>3</formula>
    </cfRule>
    <cfRule type="cellIs" dxfId="631" priority="544" operator="lessThanOrEqual">
      <formula>20</formula>
    </cfRule>
    <cfRule type="cellIs" dxfId="630" priority="545" operator="lessThanOrEqual">
      <formula>30</formula>
    </cfRule>
    <cfRule type="cellIs" dxfId="629" priority="546" operator="lessThanOrEqual">
      <formula>40</formula>
    </cfRule>
    <cfRule type="cellIs" dxfId="628" priority="547" operator="greaterThan">
      <formula>40</formula>
    </cfRule>
  </conditionalFormatting>
  <conditionalFormatting sqref="BI29">
    <cfRule type="cellIs" dxfId="627" priority="523" operator="equal">
      <formula>"&lt;15"</formula>
    </cfRule>
    <cfRule type="cellIs" dxfId="626" priority="524" operator="lessThanOrEqual">
      <formula>40</formula>
    </cfRule>
    <cfRule type="cellIs" dxfId="625" priority="525" operator="lessThanOrEqual">
      <formula>45</formula>
    </cfRule>
    <cfRule type="cellIs" dxfId="624" priority="526" operator="lessThanOrEqual">
      <formula>50</formula>
    </cfRule>
    <cfRule type="cellIs" dxfId="623" priority="527" operator="greaterThan">
      <formula>50</formula>
    </cfRule>
  </conditionalFormatting>
  <conditionalFormatting sqref="BI30">
    <cfRule type="cellIs" dxfId="622" priority="538" operator="equal">
      <formula>"&lt;5"</formula>
    </cfRule>
    <cfRule type="cellIs" dxfId="621" priority="539" operator="lessThanOrEqual">
      <formula>25</formula>
    </cfRule>
    <cfRule type="cellIs" dxfId="620" priority="540" operator="lessThanOrEqual">
      <formula>30</formula>
    </cfRule>
    <cfRule type="cellIs" dxfId="619" priority="541" operator="lessThanOrEqual">
      <formula>35</formula>
    </cfRule>
    <cfRule type="cellIs" dxfId="618" priority="542" operator="greaterThan">
      <formula>35</formula>
    </cfRule>
  </conditionalFormatting>
  <conditionalFormatting sqref="BI37">
    <cfRule type="expression" dxfId="617" priority="491">
      <formula>IF(BI37&gt;$F$18,TRUE,FALSE)</formula>
    </cfRule>
  </conditionalFormatting>
  <conditionalFormatting sqref="BI38:BI41">
    <cfRule type="expression" dxfId="616" priority="335">
      <formula>$BI$28&gt;50</formula>
    </cfRule>
    <cfRule type="expression" dxfId="615" priority="336">
      <formula>$BI$28&lt;3</formula>
    </cfRule>
  </conditionalFormatting>
  <conditionalFormatting sqref="BI45:BI48">
    <cfRule type="expression" dxfId="614" priority="305">
      <formula>$BI$28&gt;50</formula>
    </cfRule>
    <cfRule type="expression" dxfId="613" priority="306">
      <formula>$BI$28&lt;3</formula>
    </cfRule>
  </conditionalFormatting>
  <conditionalFormatting sqref="BI55:BI58">
    <cfRule type="expression" dxfId="612" priority="303">
      <formula>$BI$28&gt;50</formula>
    </cfRule>
    <cfRule type="expression" dxfId="611" priority="304">
      <formula>$BI$28&lt;3</formula>
    </cfRule>
  </conditionalFormatting>
  <conditionalFormatting sqref="BI93">
    <cfRule type="cellIs" dxfId="610" priority="89" operator="lessThan">
      <formula>3</formula>
    </cfRule>
    <cfRule type="cellIs" dxfId="609" priority="90" operator="lessThanOrEqual">
      <formula>20</formula>
    </cfRule>
    <cfRule type="cellIs" dxfId="608" priority="91" operator="lessThanOrEqual">
      <formula>30</formula>
    </cfRule>
    <cfRule type="cellIs" dxfId="607" priority="92" operator="lessThanOrEqual">
      <formula>40</formula>
    </cfRule>
    <cfRule type="cellIs" dxfId="606" priority="93" operator="greaterThan">
      <formula>40</formula>
    </cfRule>
  </conditionalFormatting>
  <conditionalFormatting sqref="BI94">
    <cfRule type="cellIs" dxfId="605" priority="69" operator="equal">
      <formula>"&lt;15"</formula>
    </cfRule>
    <cfRule type="cellIs" dxfId="604" priority="70" operator="lessThanOrEqual">
      <formula>40</formula>
    </cfRule>
    <cfRule type="cellIs" dxfId="603" priority="71" operator="lessThanOrEqual">
      <formula>45</formula>
    </cfRule>
    <cfRule type="cellIs" dxfId="602" priority="72" operator="lessThanOrEqual">
      <formula>50</formula>
    </cfRule>
    <cfRule type="cellIs" dxfId="601" priority="73" operator="greaterThan">
      <formula>50</formula>
    </cfRule>
  </conditionalFormatting>
  <conditionalFormatting sqref="BI95">
    <cfRule type="cellIs" dxfId="600" priority="84" operator="equal">
      <formula>"&lt;5"</formula>
    </cfRule>
    <cfRule type="cellIs" dxfId="599" priority="85" operator="lessThanOrEqual">
      <formula>25</formula>
    </cfRule>
    <cfRule type="cellIs" dxfId="598" priority="86" operator="lessThanOrEqual">
      <formula>30</formula>
    </cfRule>
    <cfRule type="cellIs" dxfId="597" priority="87" operator="lessThanOrEqual">
      <formula>35</formula>
    </cfRule>
    <cfRule type="cellIs" dxfId="596" priority="88" operator="greaterThan">
      <formula>35</formula>
    </cfRule>
  </conditionalFormatting>
  <conditionalFormatting sqref="BI102">
    <cfRule type="expression" dxfId="595" priority="67">
      <formula>IF(BI102&gt;$F$18,TRUE,FALSE)</formula>
    </cfRule>
  </conditionalFormatting>
  <conditionalFormatting sqref="BI103:BI106">
    <cfRule type="expression" dxfId="594" priority="29">
      <formula>$BI$28&gt;50</formula>
    </cfRule>
    <cfRule type="expression" dxfId="593" priority="30">
      <formula>$BI$28&lt;3</formula>
    </cfRule>
  </conditionalFormatting>
  <conditionalFormatting sqref="BI110:BI113">
    <cfRule type="expression" dxfId="592" priority="3">
      <formula>$BI$28&gt;50</formula>
    </cfRule>
    <cfRule type="expression" dxfId="591" priority="4">
      <formula>$BI$28&lt;3</formula>
    </cfRule>
  </conditionalFormatting>
  <conditionalFormatting sqref="BI120:BI123">
    <cfRule type="expression" dxfId="590" priority="1">
      <formula>$BI$28&gt;50</formula>
    </cfRule>
    <cfRule type="expression" dxfId="589" priority="2">
      <formula>$BI$28&lt;3</formula>
    </cfRule>
  </conditionalFormatting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11265" r:id="rId4">
          <objectPr defaultSize="0" autoPict="0" r:id="rId5">
            <anchor moveWithCells="1">
              <from>
                <xdr:col>4</xdr:col>
                <xdr:colOff>28575</xdr:colOff>
                <xdr:row>20</xdr:row>
                <xdr:rowOff>19050</xdr:rowOff>
              </from>
              <to>
                <xdr:col>4</xdr:col>
                <xdr:colOff>152400</xdr:colOff>
                <xdr:row>21</xdr:row>
                <xdr:rowOff>0</xdr:rowOff>
              </to>
            </anchor>
          </objectPr>
        </oleObject>
      </mc:Choice>
      <mc:Fallback>
        <oleObject progId="Equation.3" shapeId="11265" r:id="rId4"/>
      </mc:Fallback>
    </mc:AlternateContent>
    <mc:AlternateContent xmlns:mc="http://schemas.openxmlformats.org/markup-compatibility/2006">
      <mc:Choice Requires="x14">
        <oleObject progId="Equation.3" shapeId="11266" r:id="rId6">
          <objectPr defaultSize="0" autoPict="0" r:id="rId5">
            <anchor moveWithCells="1">
              <from>
                <xdr:col>4</xdr:col>
                <xdr:colOff>28575</xdr:colOff>
                <xdr:row>20</xdr:row>
                <xdr:rowOff>19050</xdr:rowOff>
              </from>
              <to>
                <xdr:col>4</xdr:col>
                <xdr:colOff>152400</xdr:colOff>
                <xdr:row>21</xdr:row>
                <xdr:rowOff>0</xdr:rowOff>
              </to>
            </anchor>
          </objectPr>
        </oleObject>
      </mc:Choice>
      <mc:Fallback>
        <oleObject progId="Equation.3" shapeId="11266" r:id="rId6"/>
      </mc:Fallback>
    </mc:AlternateContent>
    <mc:AlternateContent xmlns:mc="http://schemas.openxmlformats.org/markup-compatibility/2006">
      <mc:Choice Requires="x14">
        <oleObject progId="Equation.3" shapeId="11267" r:id="rId7">
          <objectPr defaultSize="0" autoPict="0" r:id="rId5">
            <anchor moveWithCells="1">
              <from>
                <xdr:col>4</xdr:col>
                <xdr:colOff>28575</xdr:colOff>
                <xdr:row>20</xdr:row>
                <xdr:rowOff>19050</xdr:rowOff>
              </from>
              <to>
                <xdr:col>4</xdr:col>
                <xdr:colOff>152400</xdr:colOff>
                <xdr:row>21</xdr:row>
                <xdr:rowOff>0</xdr:rowOff>
              </to>
            </anchor>
          </objectPr>
        </oleObject>
      </mc:Choice>
      <mc:Fallback>
        <oleObject progId="Equation.3" shapeId="11267" r:id="rId7"/>
      </mc:Fallback>
    </mc:AlternateContent>
    <mc:AlternateContent xmlns:mc="http://schemas.openxmlformats.org/markup-compatibility/2006">
      <mc:Choice Requires="x14">
        <oleObject progId="Equation.3" shapeId="11268" r:id="rId8">
          <objectPr defaultSize="0" autoPict="0" r:id="rId5">
            <anchor moveWithCells="1">
              <from>
                <xdr:col>4</xdr:col>
                <xdr:colOff>28575</xdr:colOff>
                <xdr:row>85</xdr:row>
                <xdr:rowOff>19050</xdr:rowOff>
              </from>
              <to>
                <xdr:col>4</xdr:col>
                <xdr:colOff>152400</xdr:colOff>
                <xdr:row>86</xdr:row>
                <xdr:rowOff>0</xdr:rowOff>
              </to>
            </anchor>
          </objectPr>
        </oleObject>
      </mc:Choice>
      <mc:Fallback>
        <oleObject progId="Equation.3" shapeId="11268" r:id="rId8"/>
      </mc:Fallback>
    </mc:AlternateContent>
    <mc:AlternateContent xmlns:mc="http://schemas.openxmlformats.org/markup-compatibility/2006">
      <mc:Choice Requires="x14">
        <oleObject progId="Equation.3" shapeId="11269" r:id="rId9">
          <objectPr defaultSize="0" autoPict="0" r:id="rId5">
            <anchor moveWithCells="1">
              <from>
                <xdr:col>4</xdr:col>
                <xdr:colOff>28575</xdr:colOff>
                <xdr:row>85</xdr:row>
                <xdr:rowOff>19050</xdr:rowOff>
              </from>
              <to>
                <xdr:col>4</xdr:col>
                <xdr:colOff>152400</xdr:colOff>
                <xdr:row>86</xdr:row>
                <xdr:rowOff>0</xdr:rowOff>
              </to>
            </anchor>
          </objectPr>
        </oleObject>
      </mc:Choice>
      <mc:Fallback>
        <oleObject progId="Equation.3" shapeId="11269" r:id="rId9"/>
      </mc:Fallback>
    </mc:AlternateContent>
    <mc:AlternateContent xmlns:mc="http://schemas.openxmlformats.org/markup-compatibility/2006">
      <mc:Choice Requires="x14">
        <oleObject progId="Equation.3" shapeId="11270" r:id="rId10">
          <objectPr defaultSize="0" autoPict="0" r:id="rId5">
            <anchor moveWithCells="1">
              <from>
                <xdr:col>4</xdr:col>
                <xdr:colOff>28575</xdr:colOff>
                <xdr:row>85</xdr:row>
                <xdr:rowOff>19050</xdr:rowOff>
              </from>
              <to>
                <xdr:col>4</xdr:col>
                <xdr:colOff>152400</xdr:colOff>
                <xdr:row>86</xdr:row>
                <xdr:rowOff>0</xdr:rowOff>
              </to>
            </anchor>
          </objectPr>
        </oleObject>
      </mc:Choice>
      <mc:Fallback>
        <oleObject progId="Equation.3" shapeId="11270" r:id="rId10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AI128"/>
  <sheetViews>
    <sheetView workbookViewId="0"/>
  </sheetViews>
  <sheetFormatPr defaultColWidth="8.7109375" defaultRowHeight="15" x14ac:dyDescent="0.25"/>
  <cols>
    <col min="1" max="1" width="13.7109375" customWidth="1"/>
    <col min="2" max="2" width="12.28515625" style="2" customWidth="1"/>
    <col min="3" max="3" width="10.28515625" style="2" customWidth="1"/>
    <col min="4" max="4" width="5" style="2" customWidth="1"/>
    <col min="5" max="5" width="8.7109375" style="2" customWidth="1"/>
    <col min="6" max="6" width="10.28515625" customWidth="1"/>
    <col min="8" max="8" width="12.28515625" customWidth="1"/>
    <col min="9" max="9" width="9.7109375" customWidth="1"/>
    <col min="10" max="10" width="5.5703125" customWidth="1"/>
    <col min="11" max="11" width="5" style="3" customWidth="1"/>
    <col min="12" max="12" width="8" style="3" customWidth="1"/>
    <col min="13" max="13" width="7.7109375" style="3" customWidth="1"/>
    <col min="14" max="14" width="12.28515625" style="3" customWidth="1"/>
    <col min="15" max="15" width="8.28515625" style="3" customWidth="1"/>
    <col min="16" max="17" width="5" style="3" customWidth="1"/>
    <col min="18" max="18" width="7.7109375" style="2" customWidth="1"/>
    <col min="19" max="19" width="7.28515625" style="2" customWidth="1"/>
    <col min="20" max="20" width="12.28515625" style="2" customWidth="1"/>
    <col min="21" max="21" width="8.28515625" style="2" customWidth="1"/>
    <col min="22" max="23" width="5" style="2" customWidth="1"/>
    <col min="24" max="24" width="7.28515625" style="2" customWidth="1"/>
    <col min="25" max="26" width="6.28515625" style="2" customWidth="1"/>
    <col min="27" max="27" width="5.7109375" style="2" customWidth="1"/>
    <col min="28" max="31" width="5" style="2" customWidth="1"/>
    <col min="32" max="32" width="5.28515625" customWidth="1"/>
    <col min="33" max="33" width="6" customWidth="1"/>
  </cols>
  <sheetData>
    <row r="1" spans="1:33" x14ac:dyDescent="0.25">
      <c r="A1" t="s">
        <v>185</v>
      </c>
      <c r="B1"/>
    </row>
    <row r="2" spans="1:33" x14ac:dyDescent="0.25">
      <c r="A2" t="s">
        <v>186</v>
      </c>
      <c r="B2">
        <v>1</v>
      </c>
      <c r="E2" s="2" t="s">
        <v>206</v>
      </c>
      <c r="F2">
        <f>ROUND(9*B3,1)</f>
        <v>9</v>
      </c>
      <c r="H2" t="str">
        <f>F2 &amp;" - " &amp;F3&amp;" "&amp;B4</f>
        <v>9 - 600 L/s</v>
      </c>
    </row>
    <row r="3" spans="1:33" x14ac:dyDescent="0.25">
      <c r="A3" t="s">
        <v>188</v>
      </c>
      <c r="B3">
        <f>IF(B2=1,1,3.6)</f>
        <v>1</v>
      </c>
      <c r="E3" s="2" t="s">
        <v>207</v>
      </c>
      <c r="F3">
        <f>ROUND(600*B3,1)</f>
        <v>600</v>
      </c>
    </row>
    <row r="4" spans="1:33" x14ac:dyDescent="0.25">
      <c r="A4" t="s">
        <v>186</v>
      </c>
      <c r="B4" t="str">
        <f>IF(B2=1,"L/s","m³/h")</f>
        <v>L/s</v>
      </c>
    </row>
    <row r="5" spans="1:33" x14ac:dyDescent="0.25">
      <c r="A5" t="s">
        <v>189</v>
      </c>
      <c r="B5" t="str">
        <f>IF(B2=1,"L/s/m²","m³/h/m²")</f>
        <v>L/s/m²</v>
      </c>
    </row>
    <row r="6" spans="1:33" x14ac:dyDescent="0.25">
      <c r="F6" s="2" t="s">
        <v>62</v>
      </c>
      <c r="H6" s="43" t="s">
        <v>69</v>
      </c>
      <c r="I6" s="93">
        <v>7</v>
      </c>
      <c r="J6" s="260"/>
    </row>
    <row r="7" spans="1:33" x14ac:dyDescent="0.25">
      <c r="F7" s="2"/>
      <c r="H7" s="43" t="s">
        <v>70</v>
      </c>
      <c r="I7" s="93">
        <v>21</v>
      </c>
      <c r="J7" s="260"/>
    </row>
    <row r="8" spans="1:33" x14ac:dyDescent="0.25">
      <c r="F8" s="2"/>
      <c r="H8" s="43" t="s">
        <v>78</v>
      </c>
      <c r="I8" s="93">
        <f>SQRT(ABS(12/I20))</f>
        <v>1</v>
      </c>
      <c r="J8" s="260" t="s">
        <v>85</v>
      </c>
    </row>
    <row r="9" spans="1:33" x14ac:dyDescent="0.25">
      <c r="F9" s="2"/>
      <c r="H9" s="43" t="s">
        <v>81</v>
      </c>
      <c r="I9" s="93">
        <f>SQRT(1.209*I19^-0.199)</f>
        <v>1.0037328076321883</v>
      </c>
      <c r="J9" s="260" t="s">
        <v>86</v>
      </c>
    </row>
    <row r="10" spans="1:33" x14ac:dyDescent="0.25">
      <c r="F10" s="2"/>
      <c r="H10" s="43" t="s">
        <v>82</v>
      </c>
      <c r="I10" s="93">
        <f>SQRT(2.5/I19)</f>
        <v>1</v>
      </c>
      <c r="J10" s="260" t="s">
        <v>87</v>
      </c>
    </row>
    <row r="11" spans="1:33" x14ac:dyDescent="0.25">
      <c r="F11" s="2"/>
      <c r="H11" s="43" t="s">
        <v>83</v>
      </c>
      <c r="I11" s="277">
        <f>SQRT(195/145)</f>
        <v>1.1596670152276025</v>
      </c>
      <c r="J11" s="260" t="s">
        <v>84</v>
      </c>
    </row>
    <row r="12" spans="1:33" x14ac:dyDescent="0.25">
      <c r="F12" s="2"/>
      <c r="H12" s="43" t="s">
        <v>91</v>
      </c>
      <c r="I12" s="277">
        <f>SQRT(19.92*I13^2.153)</f>
        <v>0.94595466606773282</v>
      </c>
      <c r="J12" s="260" t="s">
        <v>92</v>
      </c>
    </row>
    <row r="13" spans="1:33" x14ac:dyDescent="0.25">
      <c r="F13" s="2"/>
      <c r="H13" s="43" t="s">
        <v>52</v>
      </c>
      <c r="I13" s="276">
        <f>0.679-4.915*10^-3*I21</f>
        <v>0.23665000000000003</v>
      </c>
      <c r="J13" s="260" t="s">
        <v>90</v>
      </c>
    </row>
    <row r="14" spans="1:33" x14ac:dyDescent="0.25">
      <c r="F14" s="2"/>
      <c r="H14" s="43" t="s">
        <v>94</v>
      </c>
      <c r="I14" s="277">
        <v>1.9</v>
      </c>
      <c r="J14" s="260"/>
    </row>
    <row r="15" spans="1:33" ht="15.75" thickBot="1" x14ac:dyDescent="0.3">
      <c r="B15" s="13"/>
      <c r="C15" s="260"/>
      <c r="D15" s="260"/>
      <c r="E15"/>
      <c r="F15" s="2"/>
      <c r="H15" s="13"/>
      <c r="J15" s="260"/>
      <c r="L15"/>
      <c r="M15" s="2"/>
      <c r="N15" s="13"/>
      <c r="O15"/>
      <c r="P15" s="260"/>
      <c r="R15"/>
      <c r="T15" s="13"/>
      <c r="U15"/>
      <c r="V15" s="260"/>
      <c r="W15" s="260"/>
      <c r="X15" s="260"/>
      <c r="Y15" s="260"/>
      <c r="Z15" s="260"/>
      <c r="AA15" s="260"/>
      <c r="AB15" s="260"/>
      <c r="AC15" s="260"/>
      <c r="AD15" s="260"/>
      <c r="AE15" s="260"/>
    </row>
    <row r="16" spans="1:33" ht="16.5" thickTop="1" thickBot="1" x14ac:dyDescent="0.3">
      <c r="B16" s="138"/>
      <c r="C16"/>
      <c r="D16"/>
      <c r="E16" s="337"/>
      <c r="F16" s="2"/>
      <c r="H16" s="13"/>
      <c r="I16" s="344" t="s">
        <v>41</v>
      </c>
      <c r="J16" s="171"/>
      <c r="K16" s="308"/>
      <c r="L16" s="307"/>
      <c r="M16" s="309"/>
      <c r="N16" s="329"/>
      <c r="O16" s="375" t="s">
        <v>41</v>
      </c>
      <c r="P16" s="171"/>
      <c r="Q16" s="308"/>
      <c r="R16" s="307"/>
      <c r="S16" s="309"/>
      <c r="T16" s="329"/>
      <c r="U16" s="346" t="s">
        <v>41</v>
      </c>
      <c r="V16"/>
      <c r="W16"/>
      <c r="X16"/>
      <c r="Y16"/>
      <c r="Z16"/>
      <c r="AA16"/>
      <c r="AB16"/>
      <c r="AC16"/>
      <c r="AD16"/>
      <c r="AE16"/>
      <c r="AG16" s="3"/>
    </row>
    <row r="17" spans="2:35" ht="15.75" thickTop="1" x14ac:dyDescent="0.25">
      <c r="B17" s="13"/>
      <c r="C17"/>
      <c r="D17"/>
      <c r="E17" s="337"/>
      <c r="F17" s="2"/>
      <c r="H17" s="125" t="s">
        <v>99</v>
      </c>
      <c r="I17" s="348"/>
      <c r="J17" s="307"/>
      <c r="K17" s="308"/>
      <c r="L17" s="307"/>
      <c r="M17" s="309"/>
      <c r="N17" s="329"/>
      <c r="O17" s="372">
        <f>'BMW-AD Bespoke Calculator'!N9</f>
        <v>600</v>
      </c>
      <c r="P17" s="171"/>
      <c r="Q17" s="308"/>
      <c r="R17" s="307"/>
      <c r="S17" s="309"/>
      <c r="T17" s="25"/>
      <c r="U17" s="360"/>
      <c r="V17" s="361"/>
      <c r="W17"/>
      <c r="X17" s="123" t="s">
        <v>104</v>
      </c>
      <c r="Y17"/>
      <c r="Z17"/>
      <c r="AA17"/>
      <c r="AB17"/>
      <c r="AC17"/>
      <c r="AD17"/>
      <c r="AE17"/>
      <c r="AG17" s="3"/>
    </row>
    <row r="18" spans="2:35" ht="15.75" thickBot="1" x14ac:dyDescent="0.3">
      <c r="B18" s="13"/>
      <c r="C18"/>
      <c r="D18"/>
      <c r="E18" s="337"/>
      <c r="F18" s="2"/>
      <c r="H18" s="132" t="s">
        <v>118</v>
      </c>
      <c r="I18" s="330"/>
      <c r="J18" s="307"/>
      <c r="K18" s="308"/>
      <c r="L18" s="307"/>
      <c r="M18" s="309"/>
      <c r="N18" s="329"/>
      <c r="O18" s="372">
        <f>'BMW-AD Bespoke Calculator'!N11</f>
        <v>2</v>
      </c>
      <c r="P18" s="171"/>
      <c r="Q18" s="308"/>
      <c r="R18" s="307"/>
      <c r="S18" s="309"/>
      <c r="T18" s="25"/>
      <c r="U18" s="362"/>
      <c r="V18" s="305"/>
      <c r="W18"/>
      <c r="X18" s="123" t="s">
        <v>103</v>
      </c>
      <c r="Y18"/>
      <c r="Z18"/>
      <c r="AA18"/>
      <c r="AB18"/>
      <c r="AC18"/>
      <c r="AD18"/>
      <c r="AE18"/>
      <c r="AG18" s="3"/>
    </row>
    <row r="19" spans="2:35" ht="16.5" thickTop="1" thickBot="1" x14ac:dyDescent="0.3">
      <c r="B19" s="133" t="s">
        <v>54</v>
      </c>
      <c r="C19" s="343" t="s">
        <v>32</v>
      </c>
      <c r="D19" s="261">
        <f>U19</f>
        <v>2.5</v>
      </c>
      <c r="E19"/>
      <c r="F19" s="2"/>
      <c r="H19" s="132" t="s">
        <v>54</v>
      </c>
      <c r="I19" s="345">
        <f>O19</f>
        <v>2.5</v>
      </c>
      <c r="J19" s="310" t="s">
        <v>32</v>
      </c>
      <c r="K19" s="308"/>
      <c r="L19" s="307"/>
      <c r="M19" s="309"/>
      <c r="N19" s="335" t="s">
        <v>54</v>
      </c>
      <c r="O19" s="363">
        <f>'BMW-AD Bespoke Calculator'!E15</f>
        <v>2.5</v>
      </c>
      <c r="P19" s="373" t="s">
        <v>32</v>
      </c>
      <c r="Q19" s="308"/>
      <c r="R19" s="307"/>
      <c r="S19" s="309"/>
      <c r="T19" s="311" t="s">
        <v>54</v>
      </c>
      <c r="U19" s="347">
        <f>O19</f>
        <v>2.5</v>
      </c>
      <c r="V19" s="153" t="s">
        <v>32</v>
      </c>
      <c r="W19" s="43"/>
      <c r="X19" s="123" t="s">
        <v>102</v>
      </c>
      <c r="Z19"/>
      <c r="AA19"/>
      <c r="AB19" s="43"/>
      <c r="AC19" s="43"/>
      <c r="AD19" s="43"/>
      <c r="AE19" s="43"/>
      <c r="AG19" s="3"/>
    </row>
    <row r="20" spans="2:35" ht="15.75" thickTop="1" x14ac:dyDescent="0.25">
      <c r="B20" s="329" t="s">
        <v>53</v>
      </c>
      <c r="C20" s="153" t="s">
        <v>34</v>
      </c>
      <c r="D20" s="340">
        <f>U20</f>
        <v>-12</v>
      </c>
      <c r="E20"/>
      <c r="H20" s="132" t="s">
        <v>53</v>
      </c>
      <c r="I20" s="330">
        <f>O20</f>
        <v>-12</v>
      </c>
      <c r="J20" s="312" t="s">
        <v>34</v>
      </c>
      <c r="K20" s="308"/>
      <c r="L20" s="313" t="s">
        <v>63</v>
      </c>
      <c r="M20" s="314" t="s">
        <v>39</v>
      </c>
      <c r="N20" s="329" t="s">
        <v>53</v>
      </c>
      <c r="O20" s="364">
        <f>IF('BMW-AD Bespoke Calculator'!E17&gt;-8,-8,'BMW-AD Bespoke Calculator'!E17)</f>
        <v>-12</v>
      </c>
      <c r="P20" s="374" t="s">
        <v>34</v>
      </c>
      <c r="Q20" s="308"/>
      <c r="R20" s="313" t="s">
        <v>63</v>
      </c>
      <c r="S20" s="314" t="s">
        <v>39</v>
      </c>
      <c r="T20" s="25" t="s">
        <v>53</v>
      </c>
      <c r="U20" s="332">
        <f>O20</f>
        <v>-12</v>
      </c>
      <c r="V20" s="153" t="s">
        <v>34</v>
      </c>
      <c r="W20" s="43"/>
      <c r="X20" s="123" t="s">
        <v>100</v>
      </c>
      <c r="Z20"/>
      <c r="AA20"/>
      <c r="AB20" s="43"/>
      <c r="AC20" s="43"/>
      <c r="AD20" s="43"/>
      <c r="AE20" s="43"/>
    </row>
    <row r="21" spans="2:35" ht="15.75" thickBot="1" x14ac:dyDescent="0.3">
      <c r="B21"/>
      <c r="C21"/>
      <c r="D21"/>
      <c r="E21"/>
      <c r="H21" s="132" t="s">
        <v>88</v>
      </c>
      <c r="I21" s="330">
        <f>O21</f>
        <v>90</v>
      </c>
      <c r="J21" s="312" t="s">
        <v>89</v>
      </c>
      <c r="K21" s="308"/>
      <c r="L21" s="315" t="s">
        <v>64</v>
      </c>
      <c r="M21" s="316" t="s">
        <v>33</v>
      </c>
      <c r="N21" s="329" t="s">
        <v>88</v>
      </c>
      <c r="O21" s="372">
        <f>'BMW-AD Bespoke Calculator'!E22*100</f>
        <v>90</v>
      </c>
      <c r="P21" s="374" t="s">
        <v>89</v>
      </c>
      <c r="Q21" s="308"/>
      <c r="R21" s="315" t="s">
        <v>64</v>
      </c>
      <c r="S21" s="316" t="s">
        <v>33</v>
      </c>
      <c r="T21" s="25" t="s">
        <v>88</v>
      </c>
      <c r="U21" s="332">
        <f>O21</f>
        <v>90</v>
      </c>
      <c r="V21" s="153" t="s">
        <v>89</v>
      </c>
      <c r="W21" s="43"/>
      <c r="X21" s="123" t="s">
        <v>101</v>
      </c>
      <c r="Z21"/>
      <c r="AA21"/>
      <c r="AB21" s="43"/>
      <c r="AC21" s="43"/>
      <c r="AD21" s="43"/>
      <c r="AE21" s="43"/>
      <c r="AI21" s="341"/>
    </row>
    <row r="22" spans="2:35" ht="15.75" thickBot="1" x14ac:dyDescent="0.3">
      <c r="B22"/>
      <c r="C22"/>
      <c r="D22" s="341">
        <f>U22</f>
        <v>100</v>
      </c>
      <c r="E22"/>
      <c r="H22" s="146" t="s">
        <v>55</v>
      </c>
      <c r="I22" s="331">
        <f>O22</f>
        <v>100</v>
      </c>
      <c r="J22" s="317" t="s">
        <v>15</v>
      </c>
      <c r="K22" s="148"/>
      <c r="L22" s="318" t="s">
        <v>95</v>
      </c>
      <c r="M22" s="319">
        <v>915</v>
      </c>
      <c r="N22" s="336" t="s">
        <v>55</v>
      </c>
      <c r="O22" s="372">
        <f>'BMW-AD Bespoke Calculator'!E9/B3</f>
        <v>100</v>
      </c>
      <c r="P22" s="367" t="s">
        <v>15</v>
      </c>
      <c r="Q22" s="148"/>
      <c r="R22" s="318" t="s">
        <v>96</v>
      </c>
      <c r="S22" s="319">
        <v>1455</v>
      </c>
      <c r="T22" s="26" t="s">
        <v>55</v>
      </c>
      <c r="U22" s="333">
        <f>O22</f>
        <v>100</v>
      </c>
      <c r="V22" s="262" t="s">
        <v>15</v>
      </c>
      <c r="W22" s="334"/>
      <c r="X22" s="43" t="s">
        <v>105</v>
      </c>
      <c r="Y22" s="12"/>
      <c r="Z22"/>
      <c r="AA22"/>
      <c r="AB22" s="334"/>
      <c r="AC22" s="334"/>
      <c r="AD22" s="334"/>
      <c r="AE22" s="334"/>
      <c r="AH22" s="334"/>
      <c r="AI22" s="334"/>
    </row>
    <row r="23" spans="2:35" ht="16.5" thickTop="1" thickBot="1" x14ac:dyDescent="0.3">
      <c r="B23"/>
      <c r="C23"/>
      <c r="D23"/>
      <c r="E23"/>
      <c r="I23" s="306" t="s">
        <v>461</v>
      </c>
      <c r="J23" s="320"/>
      <c r="K23" s="148"/>
      <c r="L23" s="315"/>
      <c r="M23" s="148"/>
      <c r="N23" s="329"/>
      <c r="O23" s="300" t="s">
        <v>98</v>
      </c>
      <c r="P23" s="353"/>
      <c r="Q23" s="148"/>
      <c r="R23" s="315"/>
      <c r="S23" s="148"/>
      <c r="T23" s="25"/>
      <c r="V23" s="359"/>
      <c r="W23" s="334"/>
      <c r="X23" s="12"/>
      <c r="Y23" s="12"/>
      <c r="Z23"/>
      <c r="AA23"/>
      <c r="AB23" s="334"/>
      <c r="AC23" s="334"/>
      <c r="AD23" s="334"/>
      <c r="AE23" s="334"/>
      <c r="AH23" s="334"/>
      <c r="AI23" s="334"/>
    </row>
    <row r="24" spans="2:35" ht="15.75" thickTop="1" x14ac:dyDescent="0.25">
      <c r="B24" s="314"/>
      <c r="C24" s="335" t="s">
        <v>22</v>
      </c>
      <c r="D24" s="149" t="s">
        <v>6</v>
      </c>
      <c r="E24"/>
      <c r="F24" s="241"/>
      <c r="G24" s="139"/>
      <c r="H24" s="139"/>
      <c r="I24" s="125" t="s">
        <v>22</v>
      </c>
      <c r="J24" s="320"/>
      <c r="K24" s="148"/>
      <c r="L24" s="349"/>
      <c r="M24" s="148"/>
      <c r="N24" s="329"/>
      <c r="O24" s="218">
        <f>1.359*10^-3*(D$22/($F$41*10^-3*$G41*10^-3)*(0.507*0.171))^2.0302</f>
        <v>3.3041759542804228E-3</v>
      </c>
      <c r="P24" s="353"/>
      <c r="Q24" s="148"/>
      <c r="R24" s="349"/>
      <c r="S24" s="148"/>
      <c r="T24" s="25"/>
      <c r="U24" s="159"/>
      <c r="V24" s="149" t="s">
        <v>6</v>
      </c>
      <c r="W24" s="334"/>
      <c r="X24" s="499"/>
      <c r="Y24" s="90"/>
      <c r="Z24" s="90"/>
      <c r="AA24" s="90"/>
      <c r="AB24" s="334"/>
      <c r="AC24" s="334"/>
      <c r="AD24" s="334"/>
      <c r="AE24" s="334"/>
    </row>
    <row r="25" spans="2:35" x14ac:dyDescent="0.25">
      <c r="B25" s="321" t="s">
        <v>36</v>
      </c>
      <c r="C25" s="329" t="s">
        <v>46</v>
      </c>
      <c r="D25" s="136" t="s">
        <v>49</v>
      </c>
      <c r="E25"/>
      <c r="F25" s="350" t="s">
        <v>116</v>
      </c>
      <c r="G25" s="147" t="s">
        <v>9</v>
      </c>
      <c r="H25" s="147" t="s">
        <v>117</v>
      </c>
      <c r="I25" s="132" t="s">
        <v>46</v>
      </c>
      <c r="J25" s="320"/>
      <c r="K25" s="148"/>
      <c r="L25" s="349"/>
      <c r="M25" s="148"/>
      <c r="N25" s="329"/>
      <c r="O25" s="229" t="str">
        <f>IF(-114.08+32.01*LN(D$22/($F$41*$G41)*(507*171))+10*LOG($F$41*$G41/(507*171))&lt;15,"&lt;15",-114.08+32.01*LN(D$22/($F$41*$G41)*(507*171))+10*LOG($F$41*$G41/(507*171)))</f>
        <v>&lt;15</v>
      </c>
      <c r="P25" s="353"/>
      <c r="Q25" s="148"/>
      <c r="R25" s="349"/>
      <c r="S25" s="148"/>
      <c r="T25" s="25"/>
      <c r="U25"/>
      <c r="V25" s="136" t="s">
        <v>49</v>
      </c>
      <c r="W25" s="334"/>
      <c r="X25" s="499"/>
      <c r="Y25" s="90"/>
      <c r="Z25" s="90"/>
      <c r="AA25" s="90"/>
      <c r="AB25" s="334"/>
      <c r="AC25" s="334"/>
      <c r="AD25" s="334"/>
      <c r="AE25" s="334"/>
    </row>
    <row r="26" spans="2:35" x14ac:dyDescent="0.25">
      <c r="B26" s="150" t="s">
        <v>35</v>
      </c>
      <c r="C26" s="329" t="s">
        <v>23</v>
      </c>
      <c r="D26" s="136" t="s">
        <v>42</v>
      </c>
      <c r="E26"/>
      <c r="F26" s="351" t="s">
        <v>33</v>
      </c>
      <c r="G26" s="242" t="s">
        <v>33</v>
      </c>
      <c r="H26" s="242" t="s">
        <v>35</v>
      </c>
      <c r="I26" s="132" t="s">
        <v>23</v>
      </c>
      <c r="J26" s="320"/>
      <c r="K26" s="148"/>
      <c r="L26" s="349"/>
      <c r="M26" s="148"/>
      <c r="N26" s="329"/>
      <c r="O26" s="229" t="str">
        <f>IF(-15-114.08+32.01*LN(D$22/($F$41*$G41)*(507*171))+10*LOG($F$41*$G41/(507*171))&lt;5,"&lt;5",-15-114.08+32.01*LN(D$22/($F$41*$G41)*(507*171))+10*LOG($F$41*$G41/(507*171)))</f>
        <v>&lt;5</v>
      </c>
      <c r="P26" s="353"/>
      <c r="Q26" s="148"/>
      <c r="R26" s="349"/>
      <c r="S26" s="148"/>
      <c r="T26" s="25"/>
      <c r="U26"/>
      <c r="V26" s="136" t="s">
        <v>42</v>
      </c>
      <c r="W26" s="334"/>
      <c r="X26" s="499"/>
      <c r="Y26" s="90"/>
      <c r="Z26" s="90"/>
      <c r="AA26" s="90"/>
      <c r="AB26" s="334"/>
      <c r="AC26" s="334"/>
      <c r="AD26" s="334"/>
      <c r="AE26" s="334"/>
      <c r="AH26" s="1"/>
    </row>
    <row r="27" spans="2:35" hidden="1" x14ac:dyDescent="0.25">
      <c r="B27" s="309"/>
      <c r="C27" s="338" t="s">
        <v>71</v>
      </c>
      <c r="D27" s="136"/>
      <c r="E27"/>
      <c r="F27" s="15"/>
      <c r="G27" s="242"/>
      <c r="H27" s="2"/>
      <c r="I27" s="43" t="s">
        <v>71</v>
      </c>
      <c r="J27" s="320"/>
      <c r="K27" s="148"/>
      <c r="L27" s="349"/>
      <c r="M27" s="148"/>
      <c r="N27" s="25"/>
      <c r="O27" s="106">
        <f>1.075*0.707*O38</f>
        <v>2.3651537534246185</v>
      </c>
      <c r="P27" s="353"/>
      <c r="Q27" s="148"/>
      <c r="R27" s="349"/>
      <c r="S27" s="148"/>
      <c r="T27" s="25"/>
      <c r="U27"/>
      <c r="V27" s="136"/>
      <c r="W27" s="334"/>
      <c r="X27" s="379"/>
      <c r="Z27"/>
      <c r="AA27" s="13"/>
      <c r="AB27" s="334"/>
      <c r="AC27" s="334"/>
      <c r="AD27" s="334"/>
      <c r="AE27" s="334"/>
      <c r="AH27" s="1"/>
    </row>
    <row r="28" spans="2:35" hidden="1" x14ac:dyDescent="0.25">
      <c r="B28" s="309"/>
      <c r="C28" s="338" t="s">
        <v>72</v>
      </c>
      <c r="D28" s="136"/>
      <c r="E28"/>
      <c r="F28" s="15"/>
      <c r="G28" s="242"/>
      <c r="H28" s="2"/>
      <c r="I28" s="43" t="s">
        <v>72</v>
      </c>
      <c r="J28" s="320"/>
      <c r="K28" s="148"/>
      <c r="L28" s="349"/>
      <c r="M28" s="148"/>
      <c r="N28" s="25"/>
      <c r="O28" s="106">
        <f>1.075*0.707*O39</f>
        <v>4.1849317833294482</v>
      </c>
      <c r="P28" s="353"/>
      <c r="Q28" s="148"/>
      <c r="R28" s="349"/>
      <c r="S28" s="148"/>
      <c r="T28" s="25"/>
      <c r="U28"/>
      <c r="V28" s="136"/>
      <c r="W28" s="334"/>
      <c r="X28" s="379"/>
      <c r="Z28"/>
      <c r="AA28" s="13"/>
      <c r="AB28" s="334"/>
      <c r="AC28" s="334"/>
      <c r="AD28" s="334"/>
      <c r="AE28" s="334"/>
      <c r="AH28" s="1"/>
    </row>
    <row r="29" spans="2:35" hidden="1" x14ac:dyDescent="0.25">
      <c r="B29" s="309"/>
      <c r="C29" s="338" t="s">
        <v>79</v>
      </c>
      <c r="D29" s="136"/>
      <c r="E29"/>
      <c r="F29" s="15"/>
      <c r="G29" s="242"/>
      <c r="H29" s="2"/>
      <c r="I29" s="43" t="s">
        <v>79</v>
      </c>
      <c r="J29" s="320"/>
      <c r="K29" s="148"/>
      <c r="L29" s="349"/>
      <c r="M29" s="148"/>
      <c r="N29" s="25"/>
      <c r="O29" s="106">
        <f>1.075*0.707*O40</f>
        <v>0.63817751119614219</v>
      </c>
      <c r="P29" s="353"/>
      <c r="Q29" s="148"/>
      <c r="R29" s="349"/>
      <c r="S29" s="148"/>
      <c r="T29" s="25"/>
      <c r="U29"/>
      <c r="V29" s="136"/>
      <c r="W29" s="334"/>
      <c r="X29" s="379"/>
      <c r="Z29"/>
      <c r="AA29" s="13"/>
      <c r="AB29" s="334"/>
      <c r="AC29" s="334"/>
      <c r="AD29" s="334"/>
      <c r="AE29" s="334"/>
      <c r="AH29" s="1"/>
    </row>
    <row r="30" spans="2:35" hidden="1" x14ac:dyDescent="0.25">
      <c r="B30" s="309"/>
      <c r="C30" s="338" t="s">
        <v>73</v>
      </c>
      <c r="D30" s="136"/>
      <c r="E30"/>
      <c r="F30" s="15"/>
      <c r="G30" s="242"/>
      <c r="H30" s="2"/>
      <c r="I30" s="43" t="s">
        <v>73</v>
      </c>
      <c r="J30" s="320"/>
      <c r="K30" s="148"/>
      <c r="L30" s="349"/>
      <c r="M30" s="148"/>
      <c r="N30" s="25"/>
      <c r="O30" s="106">
        <f>1.075*1.225*O38</f>
        <v>4.0980386816763197</v>
      </c>
      <c r="P30" s="353"/>
      <c r="Q30" s="148"/>
      <c r="R30" s="349"/>
      <c r="S30" s="148"/>
      <c r="T30" s="25"/>
      <c r="U30"/>
      <c r="V30" s="136"/>
      <c r="W30" s="334"/>
      <c r="X30" s="379"/>
      <c r="Z30"/>
      <c r="AA30" s="13"/>
      <c r="AB30" s="334"/>
      <c r="AC30" s="334"/>
      <c r="AD30" s="334"/>
      <c r="AE30" s="334"/>
      <c r="AH30" s="1"/>
    </row>
    <row r="31" spans="2:35" hidden="1" x14ac:dyDescent="0.25">
      <c r="B31" s="309"/>
      <c r="C31" s="338" t="s">
        <v>74</v>
      </c>
      <c r="D31" s="136"/>
      <c r="E31"/>
      <c r="F31" s="15"/>
      <c r="G31" s="242"/>
      <c r="H31" s="2"/>
      <c r="I31" s="43" t="s">
        <v>74</v>
      </c>
      <c r="J31" s="320"/>
      <c r="K31" s="148"/>
      <c r="L31" s="349"/>
      <c r="M31" s="148"/>
      <c r="N31" s="25"/>
      <c r="O31" s="106">
        <f>1.075*1.225*O39</f>
        <v>7.2511194265609253</v>
      </c>
      <c r="P31" s="353"/>
      <c r="Q31" s="148"/>
      <c r="R31" s="349"/>
      <c r="S31" s="148"/>
      <c r="T31" s="25"/>
      <c r="U31"/>
      <c r="V31" s="136"/>
      <c r="W31" s="334"/>
      <c r="X31" s="379"/>
      <c r="Z31"/>
      <c r="AA31" s="13"/>
      <c r="AB31" s="334"/>
      <c r="AC31" s="334"/>
      <c r="AD31" s="334"/>
      <c r="AE31" s="334"/>
      <c r="AH31" s="1"/>
    </row>
    <row r="32" spans="2:35" hidden="1" x14ac:dyDescent="0.25">
      <c r="B32" s="309"/>
      <c r="C32" s="338" t="s">
        <v>80</v>
      </c>
      <c r="D32" s="136"/>
      <c r="E32"/>
      <c r="F32" s="15"/>
      <c r="G32" s="242"/>
      <c r="H32" s="2"/>
      <c r="I32" s="43" t="s">
        <v>80</v>
      </c>
      <c r="J32" s="320"/>
      <c r="K32" s="148"/>
      <c r="L32" s="349"/>
      <c r="M32" s="148"/>
      <c r="N32" s="25"/>
      <c r="O32" s="106">
        <f>1.075*1.225*O40</f>
        <v>1.1057531134586622</v>
      </c>
      <c r="P32" s="353"/>
      <c r="Q32" s="148"/>
      <c r="R32" s="349"/>
      <c r="S32" s="148"/>
      <c r="T32" s="25"/>
      <c r="U32"/>
      <c r="V32" s="136"/>
      <c r="W32" s="334"/>
      <c r="X32" s="379"/>
      <c r="Z32"/>
      <c r="AA32" s="13"/>
      <c r="AB32" s="334"/>
      <c r="AC32" s="334"/>
      <c r="AD32" s="334"/>
      <c r="AE32" s="334"/>
      <c r="AH32" s="1"/>
    </row>
    <row r="33" spans="1:34" ht="15.75" thickBot="1" x14ac:dyDescent="0.3">
      <c r="B33" s="322"/>
      <c r="C33" s="339" t="s">
        <v>93</v>
      </c>
      <c r="D33" s="214" t="s">
        <v>32</v>
      </c>
      <c r="E33"/>
      <c r="F33" s="352"/>
      <c r="G33" s="151"/>
      <c r="H33" s="289"/>
      <c r="I33" s="145" t="s">
        <v>93</v>
      </c>
      <c r="J33" s="320"/>
      <c r="K33" s="148"/>
      <c r="L33" s="349"/>
      <c r="M33" s="148"/>
      <c r="N33" s="25"/>
      <c r="O33" s="283">
        <f>2+(D$22/$F$41*$I$14/$I$12^3)</f>
        <v>2.0055371967247444</v>
      </c>
      <c r="P33" s="353"/>
      <c r="Q33" s="148"/>
      <c r="R33" s="349"/>
      <c r="S33" s="148"/>
      <c r="T33" s="25"/>
      <c r="U33" s="356"/>
      <c r="V33" s="214" t="s">
        <v>32</v>
      </c>
      <c r="W33" s="334"/>
      <c r="X33" s="484"/>
      <c r="Y33" s="3"/>
      <c r="Z33" s="3"/>
      <c r="AA33" s="3"/>
      <c r="AB33" s="334"/>
      <c r="AC33" s="334"/>
      <c r="AD33" s="334"/>
      <c r="AE33" s="334"/>
      <c r="AH33" s="1"/>
    </row>
    <row r="34" spans="1:34" x14ac:dyDescent="0.25">
      <c r="B34" s="324"/>
      <c r="C34" s="25" t="s">
        <v>56</v>
      </c>
      <c r="D34" s="136" t="s">
        <v>32</v>
      </c>
      <c r="E34"/>
      <c r="F34" s="15"/>
      <c r="G34" s="140"/>
      <c r="H34" s="243"/>
      <c r="I34" s="132" t="s">
        <v>56</v>
      </c>
      <c r="J34" s="320"/>
      <c r="K34" s="148"/>
      <c r="L34" s="349"/>
      <c r="M34" s="148"/>
      <c r="N34" s="25"/>
      <c r="O34" s="224">
        <f>O27</f>
        <v>2.3651537534246185</v>
      </c>
      <c r="P34" s="353"/>
      <c r="Q34" s="148"/>
      <c r="R34" s="349"/>
      <c r="S34" s="148"/>
      <c r="T34" s="25"/>
      <c r="U34" s="358"/>
      <c r="V34" s="136" t="s">
        <v>32</v>
      </c>
      <c r="W34" s="334"/>
      <c r="X34" s="12"/>
      <c r="Y34" s="12"/>
      <c r="Z34"/>
      <c r="AA34"/>
      <c r="AB34" s="334"/>
      <c r="AC34" s="334"/>
      <c r="AD34" s="334"/>
      <c r="AE34" s="334"/>
      <c r="AH34" s="1"/>
    </row>
    <row r="35" spans="1:34" x14ac:dyDescent="0.25">
      <c r="B35" s="325" t="s">
        <v>65</v>
      </c>
      <c r="C35" s="45" t="s">
        <v>57</v>
      </c>
      <c r="D35" s="216" t="s">
        <v>32</v>
      </c>
      <c r="E35"/>
      <c r="F35" s="15"/>
      <c r="G35" s="140"/>
      <c r="H35" s="247" t="s">
        <v>65</v>
      </c>
      <c r="I35" s="144" t="s">
        <v>57</v>
      </c>
      <c r="J35" s="320"/>
      <c r="K35" s="148"/>
      <c r="L35" s="349"/>
      <c r="M35" s="148"/>
      <c r="N35" s="25"/>
      <c r="O35" s="221">
        <f>IF(O28&lt;O29,O28,O29)</f>
        <v>0.63817751119614219</v>
      </c>
      <c r="P35" s="353"/>
      <c r="Q35" s="148"/>
      <c r="R35" s="349"/>
      <c r="S35" s="148"/>
      <c r="T35" s="25"/>
      <c r="U35" s="354"/>
      <c r="V35" s="216" t="s">
        <v>32</v>
      </c>
      <c r="W35" s="334"/>
      <c r="X35" s="12"/>
      <c r="Y35" s="12"/>
      <c r="Z35"/>
      <c r="AA35"/>
      <c r="AB35" s="334"/>
      <c r="AC35" s="334"/>
      <c r="AD35" s="334"/>
      <c r="AE35" s="334"/>
      <c r="AH35" s="1"/>
    </row>
    <row r="36" spans="1:34" x14ac:dyDescent="0.25">
      <c r="B36" s="324" t="s">
        <v>66</v>
      </c>
      <c r="C36" s="25" t="s">
        <v>60</v>
      </c>
      <c r="D36" s="217" t="s">
        <v>32</v>
      </c>
      <c r="E36"/>
      <c r="F36" s="140"/>
      <c r="G36" s="140"/>
      <c r="H36" s="243" t="s">
        <v>66</v>
      </c>
      <c r="I36" s="132" t="s">
        <v>60</v>
      </c>
      <c r="J36" s="320"/>
      <c r="K36" s="148"/>
      <c r="L36" s="349"/>
      <c r="M36" s="148"/>
      <c r="N36" s="25"/>
      <c r="O36" s="222">
        <f>O30</f>
        <v>4.0980386816763197</v>
      </c>
      <c r="P36" s="353"/>
      <c r="Q36" s="148"/>
      <c r="R36" s="349"/>
      <c r="S36" s="148"/>
      <c r="T36" s="25"/>
      <c r="U36" s="355"/>
      <c r="V36" s="217" t="s">
        <v>32</v>
      </c>
      <c r="W36" s="334"/>
      <c r="X36" s="12"/>
      <c r="Y36" s="12"/>
      <c r="Z36"/>
      <c r="AA36"/>
      <c r="AB36" s="334"/>
      <c r="AC36" s="334"/>
      <c r="AD36" s="334"/>
      <c r="AE36" s="334"/>
      <c r="AH36" s="1"/>
    </row>
    <row r="37" spans="1:34" ht="15.75" thickBot="1" x14ac:dyDescent="0.3">
      <c r="B37" s="326"/>
      <c r="C37" s="323" t="s">
        <v>61</v>
      </c>
      <c r="D37" s="214" t="s">
        <v>32</v>
      </c>
      <c r="E37"/>
      <c r="F37" s="147" t="s">
        <v>114</v>
      </c>
      <c r="G37" s="147" t="s">
        <v>112</v>
      </c>
      <c r="H37" s="246"/>
      <c r="I37" s="145" t="s">
        <v>61</v>
      </c>
      <c r="J37" s="320"/>
      <c r="K37" s="148"/>
      <c r="L37" s="349"/>
      <c r="M37" s="148"/>
      <c r="N37" s="25"/>
      <c r="O37" s="223">
        <f>IF(O31&lt;O32,O31,O32)</f>
        <v>1.1057531134586622</v>
      </c>
      <c r="P37" s="353"/>
      <c r="Q37" s="148"/>
      <c r="R37" s="349"/>
      <c r="S37" s="148"/>
      <c r="T37" s="25"/>
      <c r="U37" s="356"/>
      <c r="V37" s="214" t="s">
        <v>32</v>
      </c>
      <c r="W37" s="334"/>
      <c r="X37" s="12"/>
      <c r="Y37" s="12"/>
      <c r="Z37"/>
      <c r="AA37"/>
      <c r="AB37" s="334"/>
      <c r="AC37" s="334"/>
      <c r="AD37" s="334"/>
      <c r="AE37" s="334"/>
      <c r="AH37" s="1"/>
    </row>
    <row r="38" spans="1:34" ht="15.75" thickBot="1" x14ac:dyDescent="0.3">
      <c r="B38" s="309"/>
      <c r="C38" s="312" t="s">
        <v>75</v>
      </c>
      <c r="D38" s="136"/>
      <c r="E38"/>
      <c r="F38" s="140"/>
      <c r="G38" s="254"/>
      <c r="H38" s="2"/>
      <c r="I38" s="43" t="s">
        <v>75</v>
      </c>
      <c r="J38" s="320"/>
      <c r="K38" s="148"/>
      <c r="L38" s="349"/>
      <c r="M38" s="148"/>
      <c r="N38" s="25"/>
      <c r="O38" s="843">
        <f>(0.2529+2.7683*10^-4*O24)*SQRT(D$22)/$I$8*$I$9*$I$11/$I$12</f>
        <v>3.1119420458861469</v>
      </c>
      <c r="P38" s="353"/>
      <c r="Q38" s="148"/>
      <c r="R38" s="349"/>
      <c r="S38" s="148"/>
      <c r="T38" s="25"/>
      <c r="U38" s="357"/>
      <c r="V38" s="136"/>
      <c r="W38" s="334"/>
      <c r="X38" s="12"/>
      <c r="Y38" s="12"/>
      <c r="Z38"/>
      <c r="AA38"/>
      <c r="AB38" s="334"/>
      <c r="AC38" s="334"/>
      <c r="AD38" s="334"/>
      <c r="AE38" s="334"/>
      <c r="AH38" s="1"/>
    </row>
    <row r="39" spans="1:34" ht="15.75" thickBot="1" x14ac:dyDescent="0.3">
      <c r="B39" s="309"/>
      <c r="C39" s="312" t="s">
        <v>76</v>
      </c>
      <c r="D39" s="136"/>
      <c r="E39"/>
      <c r="F39" s="140"/>
      <c r="G39" s="242"/>
      <c r="H39" s="2"/>
      <c r="I39" s="43" t="s">
        <v>76</v>
      </c>
      <c r="J39" s="320"/>
      <c r="K39" s="148"/>
      <c r="L39" s="349"/>
      <c r="M39" s="148"/>
      <c r="N39" s="25"/>
      <c r="O39" s="844">
        <f>(0.675+9.273*10^-3*O24)*SQRT(D$22)*$I$8*$I$10/$I$11*$I$12</f>
        <v>5.5063080600367726</v>
      </c>
      <c r="P39" s="353"/>
      <c r="Q39" s="148"/>
      <c r="R39" s="349"/>
      <c r="S39" s="148"/>
      <c r="T39" s="25"/>
      <c r="U39" s="357"/>
      <c r="V39" s="136"/>
      <c r="W39" s="334"/>
      <c r="X39" s="12"/>
      <c r="Y39" s="12"/>
      <c r="Z39"/>
      <c r="AA39"/>
      <c r="AB39" s="334"/>
      <c r="AC39" s="334"/>
      <c r="AD39" s="334"/>
      <c r="AE39" s="334"/>
      <c r="AH39" s="1"/>
    </row>
    <row r="40" spans="1:34" ht="15.75" thickBot="1" x14ac:dyDescent="0.3">
      <c r="B40" s="309"/>
      <c r="C40" s="312" t="s">
        <v>77</v>
      </c>
      <c r="D40" s="136"/>
      <c r="E40"/>
      <c r="F40" s="140"/>
      <c r="G40" s="242"/>
      <c r="H40" s="2"/>
      <c r="I40" s="43" t="s">
        <v>77</v>
      </c>
      <c r="J40" s="320"/>
      <c r="K40" s="148"/>
      <c r="L40" s="349"/>
      <c r="M40" s="148"/>
      <c r="N40" s="25"/>
      <c r="O40" s="845">
        <f>IF(($I$7*(D$22*10^-3)/SQRT($F$41*10^-3*$G$41*10^-3)*$I$8/$I$10^2*$I$12)&lt;(4*$I$19*$I$12),($I$7*(D$22*10^-3)/SQRT($F$41*10^-3*$G$41*10^-3)*$I$8/$I$10^2*$I$12),(4*$I$19*$I$12))</f>
        <v>0.83967963053339323</v>
      </c>
      <c r="P40" s="353"/>
      <c r="Q40" s="148"/>
      <c r="R40" s="349"/>
      <c r="S40" s="148"/>
      <c r="T40" s="25"/>
      <c r="U40" s="357"/>
      <c r="V40" s="136"/>
      <c r="W40" s="334"/>
      <c r="X40" s="12"/>
      <c r="Y40" s="12"/>
      <c r="Z40"/>
      <c r="AA40"/>
      <c r="AB40" s="334"/>
      <c r="AC40" s="334"/>
      <c r="AD40" s="334"/>
      <c r="AE40" s="334"/>
      <c r="AH40" s="1"/>
    </row>
    <row r="41" spans="1:34" x14ac:dyDescent="0.25">
      <c r="B41" s="324"/>
      <c r="C41" s="24" t="s">
        <v>56</v>
      </c>
      <c r="D41" s="215" t="s">
        <v>32</v>
      </c>
      <c r="E41"/>
      <c r="F41" s="841">
        <f>104.6+(O17-1)*67.5</f>
        <v>40537.1</v>
      </c>
      <c r="G41" s="378">
        <f>99.1+(O18-1)*38.97</f>
        <v>138.07</v>
      </c>
      <c r="H41" s="243"/>
      <c r="I41" s="328" t="s">
        <v>56</v>
      </c>
      <c r="J41" s="320"/>
      <c r="K41" s="148"/>
      <c r="L41" s="349"/>
      <c r="M41" s="148"/>
      <c r="N41" s="25"/>
      <c r="O41" s="224">
        <f>O38</f>
        <v>3.1119420458861469</v>
      </c>
      <c r="P41" s="353"/>
      <c r="Q41" s="148"/>
      <c r="R41" s="349"/>
      <c r="S41" s="148"/>
      <c r="T41" s="25"/>
      <c r="U41" s="358"/>
      <c r="V41" s="215" t="s">
        <v>32</v>
      </c>
      <c r="W41" s="334"/>
      <c r="X41" s="12"/>
      <c r="Y41" s="12"/>
      <c r="Z41"/>
      <c r="AA41"/>
      <c r="AB41" s="334"/>
      <c r="AC41" s="334"/>
      <c r="AD41" s="334"/>
      <c r="AE41" s="334"/>
      <c r="AH41" s="1"/>
    </row>
    <row r="42" spans="1:34" x14ac:dyDescent="0.25">
      <c r="A42" s="136"/>
      <c r="B42" s="244" t="s">
        <v>58</v>
      </c>
      <c r="C42" s="253" t="s">
        <v>57</v>
      </c>
      <c r="D42" s="365" t="s">
        <v>32</v>
      </c>
      <c r="E42" s="15"/>
      <c r="F42" s="140"/>
      <c r="G42" s="140"/>
      <c r="H42" s="244" t="s">
        <v>58</v>
      </c>
      <c r="I42" s="144" t="s">
        <v>57</v>
      </c>
      <c r="J42" s="320"/>
      <c r="K42" s="148"/>
      <c r="L42" s="349"/>
      <c r="M42" s="148"/>
      <c r="N42" s="25"/>
      <c r="O42" s="221">
        <f>IF(O39&lt;O40,O39,O40)</f>
        <v>0.83967963053339323</v>
      </c>
      <c r="P42" s="353"/>
      <c r="Q42" s="148"/>
      <c r="R42" s="349"/>
      <c r="S42" s="148"/>
      <c r="T42" s="25"/>
      <c r="U42" s="354"/>
      <c r="V42" s="216" t="s">
        <v>32</v>
      </c>
      <c r="W42" s="334"/>
      <c r="X42" s="12"/>
      <c r="Y42" s="12"/>
      <c r="Z42"/>
      <c r="AA42"/>
      <c r="AB42" s="334"/>
      <c r="AC42" s="334"/>
      <c r="AD42" s="334"/>
      <c r="AE42" s="334"/>
      <c r="AH42" s="1"/>
    </row>
    <row r="43" spans="1:34" x14ac:dyDescent="0.25">
      <c r="B43" s="324" t="s">
        <v>59</v>
      </c>
      <c r="C43" s="25" t="s">
        <v>60</v>
      </c>
      <c r="D43" s="217" t="s">
        <v>32</v>
      </c>
      <c r="E43"/>
      <c r="F43" s="140"/>
      <c r="G43" s="140"/>
      <c r="H43" s="243" t="s">
        <v>59</v>
      </c>
      <c r="I43" s="132" t="s">
        <v>60</v>
      </c>
      <c r="J43" s="320"/>
      <c r="K43" s="148"/>
      <c r="L43" s="349"/>
      <c r="M43" s="148"/>
      <c r="N43" s="25"/>
      <c r="O43" s="222">
        <f>O38</f>
        <v>3.1119420458861469</v>
      </c>
      <c r="P43" s="353"/>
      <c r="Q43" s="148"/>
      <c r="R43" s="349"/>
      <c r="S43" s="148"/>
      <c r="T43" s="25"/>
      <c r="U43" s="355"/>
      <c r="V43" s="217" t="s">
        <v>32</v>
      </c>
      <c r="W43" s="334"/>
      <c r="X43" s="12"/>
      <c r="Y43" s="12"/>
      <c r="Z43"/>
      <c r="AA43"/>
      <c r="AB43" s="334"/>
      <c r="AC43" s="334"/>
      <c r="AD43" s="334"/>
      <c r="AE43" s="334"/>
      <c r="AH43" s="1"/>
    </row>
    <row r="44" spans="1:34" ht="15.75" thickBot="1" x14ac:dyDescent="0.3">
      <c r="B44" s="326"/>
      <c r="C44" s="323" t="s">
        <v>61</v>
      </c>
      <c r="D44" s="214" t="s">
        <v>32</v>
      </c>
      <c r="E44"/>
      <c r="F44" s="147" t="s">
        <v>113</v>
      </c>
      <c r="G44" s="147" t="s">
        <v>107</v>
      </c>
      <c r="H44" s="246"/>
      <c r="I44" s="145" t="s">
        <v>61</v>
      </c>
      <c r="J44" s="320"/>
      <c r="K44" s="148"/>
      <c r="L44" s="349"/>
      <c r="M44" s="148"/>
      <c r="N44" s="25"/>
      <c r="O44" s="223">
        <f>IF(O39&lt;O40,O39,O40)</f>
        <v>0.83967963053339323</v>
      </c>
      <c r="P44" s="353"/>
      <c r="Q44" s="148"/>
      <c r="R44" s="349"/>
      <c r="S44" s="148"/>
      <c r="T44" s="25"/>
      <c r="U44" s="356"/>
      <c r="V44" s="214" t="s">
        <v>32</v>
      </c>
      <c r="W44" s="334"/>
      <c r="X44" s="12"/>
      <c r="Y44" s="12"/>
      <c r="Z44"/>
      <c r="AA44"/>
      <c r="AB44" s="334"/>
      <c r="AC44" s="334"/>
      <c r="AD44" s="334"/>
      <c r="AE44" s="334"/>
      <c r="AH44" s="1"/>
    </row>
    <row r="45" spans="1:34" ht="15.75" hidden="1" thickBot="1" x14ac:dyDescent="0.3">
      <c r="B45" s="309"/>
      <c r="C45" s="312" t="s">
        <v>71</v>
      </c>
      <c r="D45" s="136"/>
      <c r="E45"/>
      <c r="F45" s="15"/>
      <c r="G45" s="140"/>
      <c r="H45" s="2"/>
      <c r="I45" s="43" t="s">
        <v>71</v>
      </c>
      <c r="J45" s="320"/>
      <c r="K45" s="148"/>
      <c r="L45" s="349"/>
      <c r="M45" s="148"/>
      <c r="N45" s="25"/>
      <c r="O45" s="229">
        <f>1.07*1.22*O38</f>
        <v>4.0623291466997768</v>
      </c>
      <c r="P45" s="353"/>
      <c r="Q45" s="148"/>
      <c r="R45" s="349"/>
      <c r="S45" s="148"/>
      <c r="T45" s="25"/>
      <c r="U45" s="357"/>
      <c r="V45" s="136"/>
      <c r="W45" s="334"/>
      <c r="X45" s="12"/>
      <c r="Y45" s="12"/>
      <c r="Z45"/>
      <c r="AA45"/>
      <c r="AB45" s="334"/>
      <c r="AC45" s="334"/>
      <c r="AD45" s="334"/>
      <c r="AE45" s="334"/>
      <c r="AH45" s="1"/>
    </row>
    <row r="46" spans="1:34" ht="15.75" hidden="1" thickBot="1" x14ac:dyDescent="0.3">
      <c r="B46" s="309"/>
      <c r="C46" s="312" t="s">
        <v>72</v>
      </c>
      <c r="D46" s="136"/>
      <c r="E46"/>
      <c r="F46" s="15"/>
      <c r="G46" s="140"/>
      <c r="H46" s="2"/>
      <c r="I46" s="43" t="s">
        <v>72</v>
      </c>
      <c r="J46" s="320"/>
      <c r="K46" s="148"/>
      <c r="L46" s="349"/>
      <c r="M46" s="148"/>
      <c r="N46" s="25"/>
      <c r="O46" s="229">
        <f>1.07*1.22*O39</f>
        <v>7.1879345415720035</v>
      </c>
      <c r="P46" s="353"/>
      <c r="Q46" s="148"/>
      <c r="R46" s="349"/>
      <c r="S46" s="148"/>
      <c r="T46" s="25"/>
      <c r="U46" s="357"/>
      <c r="V46" s="136"/>
      <c r="W46" s="334"/>
      <c r="X46" s="12"/>
      <c r="Y46" s="12"/>
      <c r="Z46"/>
      <c r="AA46"/>
      <c r="AB46" s="334"/>
      <c r="AC46" s="334"/>
      <c r="AD46" s="334"/>
      <c r="AE46" s="334"/>
      <c r="AH46" s="1"/>
    </row>
    <row r="47" spans="1:34" ht="15.75" hidden="1" thickBot="1" x14ac:dyDescent="0.3">
      <c r="B47" s="309"/>
      <c r="C47" s="312" t="s">
        <v>79</v>
      </c>
      <c r="D47" s="136"/>
      <c r="E47"/>
      <c r="F47" s="15"/>
      <c r="G47" s="140"/>
      <c r="H47" s="2"/>
      <c r="I47" s="43" t="s">
        <v>79</v>
      </c>
      <c r="J47" s="320"/>
      <c r="K47" s="148"/>
      <c r="L47" s="349"/>
      <c r="M47" s="148"/>
      <c r="N47" s="25"/>
      <c r="O47" s="229">
        <f>1.07*1.22*O40</f>
        <v>1.0961177896982917</v>
      </c>
      <c r="P47" s="353"/>
      <c r="Q47" s="148"/>
      <c r="R47" s="349"/>
      <c r="S47" s="148"/>
      <c r="T47" s="25"/>
      <c r="U47" s="357"/>
      <c r="V47" s="136"/>
      <c r="W47" s="334"/>
      <c r="X47" s="12"/>
      <c r="Y47" s="12"/>
      <c r="Z47"/>
      <c r="AA47"/>
      <c r="AB47" s="334"/>
      <c r="AC47" s="334"/>
      <c r="AD47" s="334"/>
      <c r="AE47" s="334"/>
      <c r="AH47" s="1"/>
    </row>
    <row r="48" spans="1:34" ht="15.75" hidden="1" thickBot="1" x14ac:dyDescent="0.3">
      <c r="B48" s="309"/>
      <c r="C48" s="312" t="s">
        <v>73</v>
      </c>
      <c r="D48" s="136"/>
      <c r="E48"/>
      <c r="F48" s="15"/>
      <c r="G48" s="140"/>
      <c r="H48" s="2"/>
      <c r="I48" s="43" t="s">
        <v>73</v>
      </c>
      <c r="J48" s="320"/>
      <c r="K48" s="148"/>
      <c r="L48" s="349"/>
      <c r="M48" s="148"/>
      <c r="N48" s="25"/>
      <c r="O48" s="229">
        <f>1.07*0.707*O38</f>
        <v>2.3541530382924112</v>
      </c>
      <c r="P48" s="353"/>
      <c r="Q48" s="148"/>
      <c r="R48" s="349"/>
      <c r="S48" s="148"/>
      <c r="T48" s="25"/>
      <c r="U48" s="357"/>
      <c r="V48" s="136"/>
      <c r="W48" s="334"/>
      <c r="X48" s="12"/>
      <c r="Y48" s="12"/>
      <c r="Z48"/>
      <c r="AA48"/>
      <c r="AB48" s="334"/>
      <c r="AC48" s="334"/>
      <c r="AD48" s="334"/>
      <c r="AE48" s="334"/>
      <c r="AH48" s="1"/>
    </row>
    <row r="49" spans="1:34" ht="15.75" hidden="1" thickBot="1" x14ac:dyDescent="0.3">
      <c r="B49" s="309"/>
      <c r="C49" s="312" t="s">
        <v>74</v>
      </c>
      <c r="D49" s="136"/>
      <c r="E49"/>
      <c r="F49" s="15"/>
      <c r="G49" s="242"/>
      <c r="H49" s="2"/>
      <c r="I49" s="43" t="s">
        <v>74</v>
      </c>
      <c r="J49" s="320"/>
      <c r="K49" s="148"/>
      <c r="L49" s="349"/>
      <c r="M49" s="148"/>
      <c r="N49" s="25"/>
      <c r="O49" s="229">
        <f>1.07*0.707*O39</f>
        <v>4.1654669843372183</v>
      </c>
      <c r="P49" s="353"/>
      <c r="Q49" s="148"/>
      <c r="R49" s="349"/>
      <c r="S49" s="148"/>
      <c r="T49" s="25"/>
      <c r="U49" s="357"/>
      <c r="V49" s="136"/>
      <c r="W49" s="334"/>
      <c r="X49" s="12"/>
      <c r="Y49" s="12"/>
      <c r="Z49"/>
      <c r="AA49"/>
      <c r="AB49" s="334"/>
      <c r="AC49" s="334"/>
      <c r="AD49" s="334"/>
      <c r="AE49" s="334"/>
      <c r="AH49" s="1"/>
    </row>
    <row r="50" spans="1:34" ht="15.75" hidden="1" thickBot="1" x14ac:dyDescent="0.3">
      <c r="B50" s="309"/>
      <c r="C50" s="312" t="s">
        <v>80</v>
      </c>
      <c r="D50" s="136"/>
      <c r="E50"/>
      <c r="F50" s="15"/>
      <c r="G50" s="140"/>
      <c r="H50" s="2"/>
      <c r="I50" s="43" t="s">
        <v>80</v>
      </c>
      <c r="J50" s="320"/>
      <c r="K50" s="148"/>
      <c r="L50" s="349"/>
      <c r="M50" s="148"/>
      <c r="N50" s="25"/>
      <c r="O50" s="229">
        <f>1.07*0.707*O40</f>
        <v>0.63520924370220666</v>
      </c>
      <c r="P50" s="353"/>
      <c r="Q50" s="148"/>
      <c r="R50" s="349"/>
      <c r="S50" s="148"/>
      <c r="T50" s="25"/>
      <c r="U50" s="357"/>
      <c r="V50" s="136"/>
      <c r="W50" s="334"/>
      <c r="X50" s="12"/>
      <c r="Y50" s="12"/>
      <c r="Z50"/>
      <c r="AA50"/>
      <c r="AB50" s="334"/>
      <c r="AC50" s="334"/>
      <c r="AD50" s="334"/>
      <c r="AE50" s="334"/>
      <c r="AH50" s="1"/>
    </row>
    <row r="51" spans="1:34" x14ac:dyDescent="0.25">
      <c r="B51" s="324"/>
      <c r="C51" s="24" t="s">
        <v>56</v>
      </c>
      <c r="D51" s="215" t="s">
        <v>32</v>
      </c>
      <c r="E51"/>
      <c r="F51" s="379">
        <f>F41+35</f>
        <v>40572.1</v>
      </c>
      <c r="G51" s="378">
        <f>G41+35</f>
        <v>173.07</v>
      </c>
      <c r="H51" s="243"/>
      <c r="I51" s="328" t="s">
        <v>56</v>
      </c>
      <c r="J51" s="320"/>
      <c r="K51" s="148"/>
      <c r="L51" s="349"/>
      <c r="M51" s="148"/>
      <c r="N51" s="25"/>
      <c r="O51" s="224">
        <f>O45</f>
        <v>4.0623291466997768</v>
      </c>
      <c r="P51" s="353"/>
      <c r="Q51" s="148"/>
      <c r="R51" s="349"/>
      <c r="S51" s="148"/>
      <c r="T51" s="25"/>
      <c r="U51" s="358"/>
      <c r="V51" s="215" t="s">
        <v>32</v>
      </c>
      <c r="W51" s="334"/>
      <c r="X51" s="12"/>
      <c r="Y51" s="12"/>
      <c r="Z51"/>
      <c r="AA51"/>
      <c r="AB51" s="334"/>
      <c r="AC51" s="334"/>
      <c r="AD51" s="334"/>
      <c r="AE51" s="334"/>
      <c r="AH51" s="1"/>
    </row>
    <row r="52" spans="1:34" x14ac:dyDescent="0.25">
      <c r="B52" s="327" t="s">
        <v>67</v>
      </c>
      <c r="C52" s="45" t="s">
        <v>57</v>
      </c>
      <c r="D52" s="216" t="s">
        <v>32</v>
      </c>
      <c r="E52"/>
      <c r="F52" s="15"/>
      <c r="G52" s="141"/>
      <c r="H52" s="244" t="s">
        <v>67</v>
      </c>
      <c r="I52" s="144" t="s">
        <v>57</v>
      </c>
      <c r="J52" s="320"/>
      <c r="K52" s="148"/>
      <c r="L52" s="349"/>
      <c r="M52" s="148"/>
      <c r="N52" s="25"/>
      <c r="O52" s="221">
        <f>IF(O46&lt;O47,O46,O47)</f>
        <v>1.0961177896982917</v>
      </c>
      <c r="P52" s="353"/>
      <c r="Q52" s="148"/>
      <c r="R52" s="349"/>
      <c r="S52" s="148"/>
      <c r="T52" s="25"/>
      <c r="U52" s="354"/>
      <c r="V52" s="216" t="s">
        <v>32</v>
      </c>
      <c r="W52" s="334"/>
      <c r="X52" s="12"/>
      <c r="Y52" s="12"/>
      <c r="Z52"/>
      <c r="AA52"/>
      <c r="AB52" s="334"/>
      <c r="AC52" s="334"/>
      <c r="AD52" s="334"/>
      <c r="AE52" s="334"/>
      <c r="AH52" s="1"/>
    </row>
    <row r="53" spans="1:34" x14ac:dyDescent="0.25">
      <c r="B53" s="324" t="s">
        <v>68</v>
      </c>
      <c r="C53" s="25" t="s">
        <v>60</v>
      </c>
      <c r="D53" s="217" t="s">
        <v>32</v>
      </c>
      <c r="E53"/>
      <c r="F53" s="15"/>
      <c r="G53" s="142"/>
      <c r="H53" s="243" t="s">
        <v>68</v>
      </c>
      <c r="I53" s="132" t="s">
        <v>60</v>
      </c>
      <c r="J53" s="320"/>
      <c r="K53" s="148"/>
      <c r="L53" s="349"/>
      <c r="M53" s="148"/>
      <c r="N53" s="25"/>
      <c r="O53" s="222">
        <f>O48</f>
        <v>2.3541530382924112</v>
      </c>
      <c r="P53" s="353"/>
      <c r="Q53" s="148"/>
      <c r="R53" s="349"/>
      <c r="S53" s="148"/>
      <c r="T53" s="25"/>
      <c r="U53" s="355"/>
      <c r="V53" s="217" t="s">
        <v>32</v>
      </c>
      <c r="W53" s="334"/>
      <c r="X53" s="12"/>
      <c r="Y53" s="12"/>
      <c r="Z53"/>
      <c r="AA53"/>
      <c r="AB53" s="334"/>
      <c r="AC53" s="334"/>
      <c r="AD53" s="334"/>
      <c r="AE53" s="334"/>
      <c r="AH53" s="1"/>
    </row>
    <row r="54" spans="1:34" ht="15.75" thickBot="1" x14ac:dyDescent="0.3">
      <c r="B54" s="342"/>
      <c r="C54" s="45" t="s">
        <v>61</v>
      </c>
      <c r="D54" s="216" t="s">
        <v>32</v>
      </c>
      <c r="E54"/>
      <c r="F54" s="273"/>
      <c r="G54" s="143"/>
      <c r="H54" s="249"/>
      <c r="I54" s="146" t="s">
        <v>61</v>
      </c>
      <c r="J54" s="317"/>
      <c r="K54" s="319"/>
      <c r="L54" s="366"/>
      <c r="M54" s="319"/>
      <c r="N54" s="26"/>
      <c r="O54" s="225">
        <f>IF(O49&lt;O50,O49,O50)</f>
        <v>0.63520924370220666</v>
      </c>
      <c r="P54" s="367"/>
      <c r="Q54" s="319"/>
      <c r="R54" s="366"/>
      <c r="S54" s="319"/>
      <c r="T54" s="26"/>
      <c r="U54" s="121"/>
      <c r="V54" s="130" t="s">
        <v>32</v>
      </c>
      <c r="W54" s="334"/>
      <c r="X54" s="12"/>
      <c r="Y54" s="12"/>
      <c r="Z54"/>
      <c r="AA54"/>
      <c r="AB54" s="334"/>
      <c r="AC54" s="334"/>
      <c r="AD54" s="334"/>
      <c r="AE54" s="334"/>
      <c r="AH54" s="1"/>
    </row>
    <row r="55" spans="1:34" ht="15.75" thickTop="1" x14ac:dyDescent="0.25">
      <c r="B55"/>
      <c r="C55"/>
      <c r="D55"/>
      <c r="E55"/>
      <c r="I55" t="s">
        <v>205</v>
      </c>
      <c r="K55"/>
      <c r="L55"/>
      <c r="M55"/>
      <c r="N55"/>
      <c r="O55">
        <f>O22*SQRT('BMW-AD Bespoke Calculator'!E13/'old Bespoke Calculator'!O24)</f>
        <v>9528.5988602029265</v>
      </c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</row>
    <row r="56" spans="1:34" x14ac:dyDescent="0.25">
      <c r="B56"/>
      <c r="C56"/>
      <c r="D56"/>
      <c r="E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</row>
    <row r="57" spans="1:34" x14ac:dyDescent="0.25">
      <c r="B57"/>
      <c r="C57"/>
      <c r="D57"/>
      <c r="E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</row>
    <row r="58" spans="1:34" x14ac:dyDescent="0.25">
      <c r="B58"/>
      <c r="C58"/>
      <c r="D58"/>
      <c r="E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</row>
    <row r="59" spans="1:34" ht="20.25" thickBot="1" x14ac:dyDescent="0.35">
      <c r="A59" s="691" t="s">
        <v>235</v>
      </c>
      <c r="B59"/>
      <c r="AC59"/>
      <c r="AD59"/>
      <c r="AE59"/>
    </row>
    <row r="60" spans="1:34" ht="15.75" thickTop="1" x14ac:dyDescent="0.25">
      <c r="F60" s="2" t="s">
        <v>62</v>
      </c>
      <c r="H60" s="43" t="s">
        <v>69</v>
      </c>
      <c r="I60" s="93">
        <v>7</v>
      </c>
      <c r="J60" s="260"/>
      <c r="AC60"/>
      <c r="AD60"/>
      <c r="AE60"/>
    </row>
    <row r="61" spans="1:34" x14ac:dyDescent="0.25">
      <c r="F61" s="2"/>
      <c r="H61" s="43" t="s">
        <v>70</v>
      </c>
      <c r="I61" s="93">
        <v>21</v>
      </c>
      <c r="J61" s="260"/>
      <c r="AC61"/>
      <c r="AD61"/>
      <c r="AE61"/>
    </row>
    <row r="62" spans="1:34" x14ac:dyDescent="0.25">
      <c r="F62" s="2"/>
      <c r="H62" s="43" t="s">
        <v>78</v>
      </c>
      <c r="I62" s="93">
        <f>SQRT(ABS(12/I74))</f>
        <v>1</v>
      </c>
      <c r="J62" s="260" t="s">
        <v>85</v>
      </c>
      <c r="AC62"/>
      <c r="AD62"/>
      <c r="AE62"/>
    </row>
    <row r="63" spans="1:34" x14ac:dyDescent="0.25">
      <c r="F63" s="2"/>
      <c r="H63" s="43" t="s">
        <v>81</v>
      </c>
      <c r="I63" s="93">
        <f>SQRT(1.209*I73^-0.199)</f>
        <v>1.0037328076321883</v>
      </c>
      <c r="J63" s="260" t="s">
        <v>86</v>
      </c>
      <c r="AC63"/>
      <c r="AD63"/>
      <c r="AE63"/>
    </row>
    <row r="64" spans="1:34" x14ac:dyDescent="0.25">
      <c r="F64" s="2"/>
      <c r="H64" s="43" t="s">
        <v>82</v>
      </c>
      <c r="I64" s="93">
        <f>SQRT(2.5/I73)</f>
        <v>1</v>
      </c>
      <c r="J64" s="260" t="s">
        <v>87</v>
      </c>
      <c r="AC64"/>
      <c r="AD64"/>
      <c r="AE64"/>
    </row>
    <row r="65" spans="2:31" x14ac:dyDescent="0.25">
      <c r="F65" s="2"/>
      <c r="H65" s="43" t="s">
        <v>83</v>
      </c>
      <c r="I65" s="277">
        <f>SQRT(195/145)</f>
        <v>1.1596670152276025</v>
      </c>
      <c r="J65" s="260" t="s">
        <v>84</v>
      </c>
      <c r="AC65"/>
      <c r="AD65"/>
      <c r="AE65"/>
    </row>
    <row r="66" spans="2:31" x14ac:dyDescent="0.25">
      <c r="F66" s="2"/>
      <c r="H66" s="43" t="s">
        <v>91</v>
      </c>
      <c r="I66" s="277">
        <f>SQRT(19.92*I67^2.153)</f>
        <v>0.94595466606773282</v>
      </c>
      <c r="J66" s="260" t="s">
        <v>92</v>
      </c>
      <c r="AC66"/>
      <c r="AD66"/>
      <c r="AE66"/>
    </row>
    <row r="67" spans="2:31" x14ac:dyDescent="0.25">
      <c r="F67" s="2"/>
      <c r="H67" s="43" t="s">
        <v>52</v>
      </c>
      <c r="I67" s="276">
        <f>0.679-4.915*10^-3*I75</f>
        <v>0.23665000000000003</v>
      </c>
      <c r="J67" s="260" t="s">
        <v>90</v>
      </c>
      <c r="AC67"/>
      <c r="AD67"/>
      <c r="AE67"/>
    </row>
    <row r="68" spans="2:31" x14ac:dyDescent="0.25">
      <c r="F68" s="2"/>
      <c r="H68" s="43" t="s">
        <v>94</v>
      </c>
      <c r="I68" s="277">
        <v>1.9</v>
      </c>
      <c r="J68" s="260"/>
      <c r="AC68"/>
      <c r="AD68"/>
      <c r="AE68"/>
    </row>
    <row r="69" spans="2:31" ht="15.75" thickBot="1" x14ac:dyDescent="0.3">
      <c r="B69" s="13"/>
      <c r="C69" s="260"/>
      <c r="D69" s="260"/>
      <c r="E69"/>
      <c r="F69" s="2"/>
      <c r="H69" s="13"/>
      <c r="J69" s="260"/>
      <c r="L69"/>
      <c r="M69" s="2"/>
      <c r="N69" s="13"/>
      <c r="O69"/>
      <c r="P69" s="260"/>
      <c r="R69"/>
      <c r="T69" s="13"/>
      <c r="U69"/>
      <c r="V69" s="260"/>
      <c r="W69" s="260"/>
      <c r="X69" s="260"/>
      <c r="Y69" s="260"/>
      <c r="Z69" s="260"/>
      <c r="AA69" s="260"/>
      <c r="AB69" s="260"/>
      <c r="AC69"/>
      <c r="AD69"/>
      <c r="AE69"/>
    </row>
    <row r="70" spans="2:31" ht="16.5" thickTop="1" thickBot="1" x14ac:dyDescent="0.3">
      <c r="B70" s="138"/>
      <c r="C70"/>
      <c r="D70"/>
      <c r="E70" s="337"/>
      <c r="F70" s="2"/>
      <c r="H70" s="13"/>
      <c r="I70" s="344" t="s">
        <v>41</v>
      </c>
      <c r="J70" s="171"/>
      <c r="K70" s="308"/>
      <c r="L70" s="307"/>
      <c r="M70" s="309"/>
      <c r="N70" s="329"/>
      <c r="O70" s="375" t="s">
        <v>41</v>
      </c>
      <c r="P70" s="171"/>
      <c r="Q70" s="308"/>
      <c r="R70" s="307"/>
      <c r="S70" s="309"/>
      <c r="T70" s="329"/>
      <c r="U70" s="346" t="s">
        <v>41</v>
      </c>
      <c r="V70"/>
      <c r="W70"/>
      <c r="X70"/>
      <c r="Y70"/>
      <c r="Z70"/>
      <c r="AA70"/>
      <c r="AB70"/>
      <c r="AC70"/>
      <c r="AD70"/>
      <c r="AE70"/>
    </row>
    <row r="71" spans="2:31" ht="15.75" thickTop="1" x14ac:dyDescent="0.25">
      <c r="B71" s="13"/>
      <c r="C71"/>
      <c r="D71"/>
      <c r="E71" s="337"/>
      <c r="F71" s="2"/>
      <c r="H71" s="125" t="s">
        <v>99</v>
      </c>
      <c r="I71" s="348"/>
      <c r="J71" s="307"/>
      <c r="K71" s="308"/>
      <c r="L71" s="307"/>
      <c r="M71" s="309"/>
      <c r="N71" s="329"/>
      <c r="O71" s="372">
        <f>O17</f>
        <v>600</v>
      </c>
      <c r="P71" s="171"/>
      <c r="Q71" s="308"/>
      <c r="R71" s="307"/>
      <c r="S71" s="309"/>
      <c r="T71" s="25"/>
      <c r="U71" s="360"/>
      <c r="V71" s="361"/>
      <c r="W71"/>
      <c r="X71" s="123" t="s">
        <v>104</v>
      </c>
      <c r="Y71"/>
      <c r="Z71"/>
      <c r="AA71"/>
      <c r="AB71"/>
      <c r="AC71"/>
      <c r="AD71"/>
      <c r="AE71"/>
    </row>
    <row r="72" spans="2:31" ht="15.75" thickBot="1" x14ac:dyDescent="0.3">
      <c r="B72" s="13"/>
      <c r="C72"/>
      <c r="D72"/>
      <c r="E72" s="337"/>
      <c r="F72" s="2"/>
      <c r="H72" s="132" t="s">
        <v>118</v>
      </c>
      <c r="I72" s="330"/>
      <c r="J72" s="307"/>
      <c r="K72" s="308"/>
      <c r="L72" s="307"/>
      <c r="M72" s="309"/>
      <c r="N72" s="329"/>
      <c r="O72" s="372">
        <f>O18</f>
        <v>2</v>
      </c>
      <c r="P72" s="171"/>
      <c r="Q72" s="308"/>
      <c r="R72" s="307"/>
      <c r="S72" s="309"/>
      <c r="T72" s="25"/>
      <c r="U72" s="362"/>
      <c r="V72" s="305"/>
      <c r="W72"/>
      <c r="X72" s="123" t="s">
        <v>103</v>
      </c>
      <c r="Y72"/>
      <c r="Z72"/>
      <c r="AA72"/>
      <c r="AB72"/>
      <c r="AC72"/>
      <c r="AD72"/>
      <c r="AE72"/>
    </row>
    <row r="73" spans="2:31" ht="16.5" thickTop="1" thickBot="1" x14ac:dyDescent="0.3">
      <c r="B73" s="133" t="s">
        <v>54</v>
      </c>
      <c r="C73" s="343" t="s">
        <v>32</v>
      </c>
      <c r="D73" s="261">
        <f>U73</f>
        <v>2.5</v>
      </c>
      <c r="E73"/>
      <c r="F73" s="2"/>
      <c r="H73" s="132" t="s">
        <v>54</v>
      </c>
      <c r="I73" s="345">
        <f>O73</f>
        <v>2.5</v>
      </c>
      <c r="J73" s="310" t="s">
        <v>32</v>
      </c>
      <c r="K73" s="308"/>
      <c r="L73" s="307"/>
      <c r="M73" s="309"/>
      <c r="N73" s="335" t="s">
        <v>54</v>
      </c>
      <c r="O73" s="363">
        <f>O19</f>
        <v>2.5</v>
      </c>
      <c r="P73" s="373" t="s">
        <v>32</v>
      </c>
      <c r="Q73" s="308"/>
      <c r="R73" s="307"/>
      <c r="S73" s="309"/>
      <c r="T73" s="311" t="s">
        <v>54</v>
      </c>
      <c r="U73" s="347">
        <f>O73</f>
        <v>2.5</v>
      </c>
      <c r="V73" s="153" t="s">
        <v>32</v>
      </c>
      <c r="W73" s="43"/>
      <c r="X73" s="123" t="s">
        <v>102</v>
      </c>
      <c r="Z73"/>
      <c r="AA73"/>
      <c r="AB73" s="43"/>
      <c r="AC73"/>
      <c r="AD73"/>
      <c r="AE73"/>
    </row>
    <row r="74" spans="2:31" ht="15.75" thickTop="1" x14ac:dyDescent="0.25">
      <c r="B74" s="329" t="s">
        <v>53</v>
      </c>
      <c r="C74" s="153" t="s">
        <v>34</v>
      </c>
      <c r="D74" s="340">
        <f>U74</f>
        <v>-12</v>
      </c>
      <c r="E74"/>
      <c r="H74" s="132" t="s">
        <v>53</v>
      </c>
      <c r="I74" s="330">
        <f>O74</f>
        <v>-12</v>
      </c>
      <c r="J74" s="312" t="s">
        <v>34</v>
      </c>
      <c r="K74" s="308"/>
      <c r="L74" s="313" t="s">
        <v>63</v>
      </c>
      <c r="M74" s="314" t="s">
        <v>39</v>
      </c>
      <c r="N74" s="329" t="s">
        <v>53</v>
      </c>
      <c r="O74" s="364">
        <f>O20</f>
        <v>-12</v>
      </c>
      <c r="P74" s="374" t="s">
        <v>34</v>
      </c>
      <c r="Q74" s="308"/>
      <c r="R74" s="313" t="s">
        <v>63</v>
      </c>
      <c r="S74" s="314" t="s">
        <v>39</v>
      </c>
      <c r="T74" s="25" t="s">
        <v>53</v>
      </c>
      <c r="U74" s="332">
        <f>O74</f>
        <v>-12</v>
      </c>
      <c r="V74" s="153" t="s">
        <v>34</v>
      </c>
      <c r="W74" s="43"/>
      <c r="X74" s="123" t="s">
        <v>100</v>
      </c>
      <c r="Z74"/>
      <c r="AA74"/>
      <c r="AB74" s="43"/>
      <c r="AC74"/>
      <c r="AD74"/>
      <c r="AE74"/>
    </row>
    <row r="75" spans="2:31" ht="15.75" thickBot="1" x14ac:dyDescent="0.3">
      <c r="B75"/>
      <c r="C75"/>
      <c r="D75"/>
      <c r="E75"/>
      <c r="H75" s="132" t="s">
        <v>88</v>
      </c>
      <c r="I75" s="330">
        <f>O75</f>
        <v>90</v>
      </c>
      <c r="J75" s="312" t="s">
        <v>89</v>
      </c>
      <c r="K75" s="308"/>
      <c r="L75" s="315" t="s">
        <v>64</v>
      </c>
      <c r="M75" s="316" t="s">
        <v>33</v>
      </c>
      <c r="N75" s="329" t="s">
        <v>88</v>
      </c>
      <c r="O75" s="372">
        <f>O21</f>
        <v>90</v>
      </c>
      <c r="P75" s="374" t="s">
        <v>89</v>
      </c>
      <c r="Q75" s="308"/>
      <c r="R75" s="315" t="s">
        <v>64</v>
      </c>
      <c r="S75" s="316" t="s">
        <v>33</v>
      </c>
      <c r="T75" s="25" t="s">
        <v>88</v>
      </c>
      <c r="U75" s="332">
        <f>O75</f>
        <v>90</v>
      </c>
      <c r="V75" s="153" t="s">
        <v>89</v>
      </c>
      <c r="W75" s="43"/>
      <c r="X75" s="123" t="s">
        <v>101</v>
      </c>
      <c r="Z75"/>
      <c r="AA75"/>
      <c r="AB75" s="43"/>
      <c r="AC75"/>
      <c r="AD75"/>
      <c r="AE75"/>
    </row>
    <row r="76" spans="2:31" x14ac:dyDescent="0.25">
      <c r="B76"/>
      <c r="C76"/>
      <c r="D76"/>
      <c r="E76"/>
      <c r="H76" s="132" t="s">
        <v>231</v>
      </c>
      <c r="I76" s="330"/>
      <c r="J76" s="312"/>
      <c r="K76" s="308"/>
      <c r="L76" s="315"/>
      <c r="M76" s="150"/>
      <c r="N76" s="329"/>
      <c r="O76" s="372">
        <f>'BMW-AD Bespoke Calculator'!E11/100</f>
        <v>1</v>
      </c>
      <c r="P76" s="374"/>
      <c r="Q76" s="308"/>
      <c r="R76" s="315"/>
      <c r="S76" s="150"/>
      <c r="T76" s="25"/>
      <c r="U76" s="332"/>
      <c r="V76" s="153"/>
      <c r="W76" s="43"/>
      <c r="X76" s="123"/>
      <c r="Z76"/>
      <c r="AA76"/>
      <c r="AB76" s="43"/>
      <c r="AC76"/>
      <c r="AD76"/>
      <c r="AE76"/>
    </row>
    <row r="77" spans="2:31" ht="15.75" thickBot="1" x14ac:dyDescent="0.3">
      <c r="B77"/>
      <c r="C77"/>
      <c r="D77" s="341">
        <f>U77</f>
        <v>100</v>
      </c>
      <c r="E77"/>
      <c r="H77" s="146" t="s">
        <v>55</v>
      </c>
      <c r="I77" s="331">
        <f>O77</f>
        <v>100</v>
      </c>
      <c r="J77" s="317" t="s">
        <v>15</v>
      </c>
      <c r="K77" s="148"/>
      <c r="L77" s="318" t="s">
        <v>95</v>
      </c>
      <c r="M77" s="319">
        <v>915</v>
      </c>
      <c r="N77" s="336" t="s">
        <v>55</v>
      </c>
      <c r="O77" s="372">
        <f>O22*O76</f>
        <v>100</v>
      </c>
      <c r="P77" s="367" t="s">
        <v>15</v>
      </c>
      <c r="Q77" s="148"/>
      <c r="R77" s="318" t="s">
        <v>96</v>
      </c>
      <c r="S77" s="319">
        <v>1455</v>
      </c>
      <c r="T77" s="26" t="s">
        <v>55</v>
      </c>
      <c r="U77" s="333">
        <f>O77</f>
        <v>100</v>
      </c>
      <c r="V77" s="262" t="s">
        <v>15</v>
      </c>
      <c r="W77" s="334"/>
      <c r="X77" s="43" t="s">
        <v>105</v>
      </c>
      <c r="Y77" s="12"/>
      <c r="Z77"/>
      <c r="AA77"/>
      <c r="AB77" s="334"/>
      <c r="AC77"/>
      <c r="AD77"/>
      <c r="AE77"/>
    </row>
    <row r="78" spans="2:31" ht="16.5" thickTop="1" thickBot="1" x14ac:dyDescent="0.3">
      <c r="B78"/>
      <c r="C78"/>
      <c r="D78"/>
      <c r="E78"/>
      <c r="I78" s="306" t="s">
        <v>461</v>
      </c>
      <c r="J78" s="320"/>
      <c r="K78" s="148"/>
      <c r="L78" s="315"/>
      <c r="M78" s="148"/>
      <c r="N78" s="329"/>
      <c r="O78" s="300" t="s">
        <v>98</v>
      </c>
      <c r="P78" s="353"/>
      <c r="Q78" s="148"/>
      <c r="R78" s="315"/>
      <c r="S78" s="148"/>
      <c r="T78" s="25"/>
      <c r="V78" s="359"/>
      <c r="W78" s="334"/>
      <c r="X78" s="12"/>
      <c r="Y78" s="12"/>
      <c r="Z78"/>
      <c r="AA78"/>
      <c r="AB78" s="334"/>
      <c r="AC78"/>
      <c r="AD78"/>
      <c r="AE78"/>
    </row>
    <row r="79" spans="2:31" ht="15.75" thickTop="1" x14ac:dyDescent="0.25">
      <c r="B79" s="314"/>
      <c r="C79" s="335" t="s">
        <v>22</v>
      </c>
      <c r="D79" s="149" t="s">
        <v>6</v>
      </c>
      <c r="E79"/>
      <c r="F79" s="241"/>
      <c r="G79" s="139"/>
      <c r="H79" s="139"/>
      <c r="I79" s="125" t="s">
        <v>22</v>
      </c>
      <c r="J79" s="320"/>
      <c r="K79" s="148"/>
      <c r="L79" s="349"/>
      <c r="M79" s="148"/>
      <c r="N79" s="329"/>
      <c r="O79" s="218">
        <f>1.359*10^-3*(D$77/($F$96*10^-3*$G96*10^-3)*(0.507*0.171))^2.0302</f>
        <v>3.3041759542804228E-3</v>
      </c>
      <c r="P79" s="353"/>
      <c r="Q79" s="148"/>
      <c r="R79" s="349"/>
      <c r="S79" s="148"/>
      <c r="T79" s="25"/>
      <c r="U79" s="159"/>
      <c r="V79" s="149" t="s">
        <v>6</v>
      </c>
      <c r="W79" s="334"/>
      <c r="X79" s="499"/>
      <c r="Y79" s="90"/>
      <c r="Z79" s="90"/>
      <c r="AA79" s="90"/>
      <c r="AB79" s="334"/>
      <c r="AC79"/>
      <c r="AD79"/>
      <c r="AE79"/>
    </row>
    <row r="80" spans="2:31" x14ac:dyDescent="0.25">
      <c r="B80" s="321" t="s">
        <v>36</v>
      </c>
      <c r="C80" s="329" t="s">
        <v>46</v>
      </c>
      <c r="D80" s="136" t="s">
        <v>49</v>
      </c>
      <c r="E80"/>
      <c r="F80" s="350" t="s">
        <v>116</v>
      </c>
      <c r="G80" s="147" t="s">
        <v>9</v>
      </c>
      <c r="H80" s="147" t="s">
        <v>117</v>
      </c>
      <c r="I80" s="132" t="s">
        <v>46</v>
      </c>
      <c r="J80" s="320"/>
      <c r="K80" s="148"/>
      <c r="L80" s="349"/>
      <c r="M80" s="148"/>
      <c r="N80" s="329"/>
      <c r="O80" s="229" t="str">
        <f>IF(-114.08+32.01*LN(D$77/($F$96*$G96)*(507*171))+10*LOG($F$96*$G96/(507*171))&lt;15,"&lt;15",-114.08+32.01*LN(D$77/($F$96*$G96)*(507*171))+10*LOG($F$96*$G96/(507*171)))</f>
        <v>&lt;15</v>
      </c>
      <c r="P80" s="353"/>
      <c r="Q80" s="148"/>
      <c r="R80" s="349"/>
      <c r="S80" s="148"/>
      <c r="T80" s="25"/>
      <c r="U80"/>
      <c r="V80" s="136" t="s">
        <v>49</v>
      </c>
      <c r="W80" s="334"/>
      <c r="X80" s="499"/>
      <c r="Y80" s="90"/>
      <c r="Z80" s="90"/>
      <c r="AA80" s="90"/>
      <c r="AB80" s="334"/>
      <c r="AC80"/>
      <c r="AD80"/>
      <c r="AE80"/>
    </row>
    <row r="81" spans="2:31" x14ac:dyDescent="0.25">
      <c r="B81" s="150" t="s">
        <v>35</v>
      </c>
      <c r="C81" s="329" t="s">
        <v>23</v>
      </c>
      <c r="D81" s="136" t="s">
        <v>42</v>
      </c>
      <c r="E81"/>
      <c r="F81" s="351" t="s">
        <v>33</v>
      </c>
      <c r="G81" s="242" t="s">
        <v>33</v>
      </c>
      <c r="H81" s="242" t="s">
        <v>35</v>
      </c>
      <c r="I81" s="132" t="s">
        <v>23</v>
      </c>
      <c r="J81" s="320"/>
      <c r="K81" s="148"/>
      <c r="L81" s="349"/>
      <c r="M81" s="148"/>
      <c r="N81" s="329"/>
      <c r="O81" s="229" t="str">
        <f>IF(-15-114.08+32.01*LN(D$77/($F$96*$G96)*(507*171))+10*LOG($F$96*$G96/(507*171))&lt;5,"&lt;5",-15-114.08+32.01*LN(D$77/($F$96*$G96)*(507*171))+10*LOG($F$96*$G96/(507*171)))</f>
        <v>&lt;5</v>
      </c>
      <c r="P81" s="353"/>
      <c r="Q81" s="148"/>
      <c r="R81" s="349"/>
      <c r="S81" s="148"/>
      <c r="T81" s="25"/>
      <c r="U81"/>
      <c r="V81" s="136" t="s">
        <v>42</v>
      </c>
      <c r="W81" s="334"/>
      <c r="X81" s="499"/>
      <c r="Y81" s="90"/>
      <c r="Z81" s="90"/>
      <c r="AA81" s="90"/>
      <c r="AB81" s="334"/>
      <c r="AC81"/>
      <c r="AD81"/>
      <c r="AE81"/>
    </row>
    <row r="82" spans="2:31" hidden="1" x14ac:dyDescent="0.25">
      <c r="B82" s="309"/>
      <c r="C82" s="338" t="s">
        <v>71</v>
      </c>
      <c r="D82" s="136"/>
      <c r="E82"/>
      <c r="F82" s="15"/>
      <c r="G82" s="242"/>
      <c r="H82" s="2"/>
      <c r="I82" s="43" t="s">
        <v>71</v>
      </c>
      <c r="J82" s="320"/>
      <c r="K82" s="148"/>
      <c r="L82" s="349"/>
      <c r="M82" s="148"/>
      <c r="N82" s="25"/>
      <c r="O82" s="106">
        <f>1.075*0.707*O93</f>
        <v>2.3651537534246185</v>
      </c>
      <c r="P82" s="353"/>
      <c r="Q82" s="148"/>
      <c r="R82" s="349"/>
      <c r="S82" s="148"/>
      <c r="T82" s="25"/>
      <c r="U82"/>
      <c r="V82" s="136"/>
      <c r="W82" s="334"/>
      <c r="X82" s="379"/>
      <c r="Z82"/>
      <c r="AA82" s="13"/>
      <c r="AB82" s="334"/>
      <c r="AC82"/>
      <c r="AD82"/>
      <c r="AE82"/>
    </row>
    <row r="83" spans="2:31" hidden="1" x14ac:dyDescent="0.25">
      <c r="B83" s="309"/>
      <c r="C83" s="338" t="s">
        <v>72</v>
      </c>
      <c r="D83" s="136"/>
      <c r="E83"/>
      <c r="F83" s="15"/>
      <c r="G83" s="242"/>
      <c r="H83" s="2"/>
      <c r="I83" s="43" t="s">
        <v>72</v>
      </c>
      <c r="J83" s="320"/>
      <c r="K83" s="148"/>
      <c r="L83" s="349"/>
      <c r="M83" s="148"/>
      <c r="N83" s="25"/>
      <c r="O83" s="106">
        <f>1.075*0.707*O94</f>
        <v>4.1849317833294482</v>
      </c>
      <c r="P83" s="353"/>
      <c r="Q83" s="148"/>
      <c r="R83" s="349"/>
      <c r="S83" s="148"/>
      <c r="T83" s="25"/>
      <c r="U83"/>
      <c r="V83" s="136"/>
      <c r="W83" s="334"/>
      <c r="X83" s="379"/>
      <c r="Z83"/>
      <c r="AA83" s="13"/>
      <c r="AB83" s="334"/>
    </row>
    <row r="84" spans="2:31" hidden="1" x14ac:dyDescent="0.25">
      <c r="B84" s="309"/>
      <c r="C84" s="338" t="s">
        <v>79</v>
      </c>
      <c r="D84" s="136"/>
      <c r="E84"/>
      <c r="F84" s="15"/>
      <c r="G84" s="242"/>
      <c r="H84" s="2"/>
      <c r="I84" s="43" t="s">
        <v>79</v>
      </c>
      <c r="J84" s="320"/>
      <c r="K84" s="148"/>
      <c r="L84" s="349"/>
      <c r="M84" s="148"/>
      <c r="N84" s="25"/>
      <c r="O84" s="106">
        <f>1.075*0.707*O95</f>
        <v>0.63817751119614219</v>
      </c>
      <c r="P84" s="353"/>
      <c r="Q84" s="148"/>
      <c r="R84" s="349"/>
      <c r="S84" s="148"/>
      <c r="T84" s="25"/>
      <c r="U84"/>
      <c r="V84" s="136"/>
      <c r="W84" s="334"/>
      <c r="X84" s="379"/>
      <c r="Z84"/>
      <c r="AA84" s="13"/>
      <c r="AB84" s="334"/>
    </row>
    <row r="85" spans="2:31" hidden="1" x14ac:dyDescent="0.25">
      <c r="B85" s="309"/>
      <c r="C85" s="338" t="s">
        <v>73</v>
      </c>
      <c r="D85" s="136"/>
      <c r="E85"/>
      <c r="F85" s="15"/>
      <c r="G85" s="242"/>
      <c r="H85" s="2"/>
      <c r="I85" s="43" t="s">
        <v>73</v>
      </c>
      <c r="J85" s="320"/>
      <c r="K85" s="148"/>
      <c r="L85" s="349"/>
      <c r="M85" s="148"/>
      <c r="N85" s="25"/>
      <c r="O85" s="106">
        <f>1.075*1.225*O93</f>
        <v>4.0980386816763197</v>
      </c>
      <c r="P85" s="353"/>
      <c r="Q85" s="148"/>
      <c r="R85" s="349"/>
      <c r="S85" s="148"/>
      <c r="T85" s="25"/>
      <c r="U85"/>
      <c r="V85" s="136"/>
      <c r="W85" s="334"/>
      <c r="X85" s="379"/>
      <c r="Z85"/>
      <c r="AA85" s="13"/>
      <c r="AB85" s="334"/>
    </row>
    <row r="86" spans="2:31" hidden="1" x14ac:dyDescent="0.25">
      <c r="B86" s="309"/>
      <c r="C86" s="338" t="s">
        <v>74</v>
      </c>
      <c r="D86" s="136"/>
      <c r="E86"/>
      <c r="F86" s="15"/>
      <c r="G86" s="242"/>
      <c r="H86" s="2"/>
      <c r="I86" s="43" t="s">
        <v>74</v>
      </c>
      <c r="J86" s="320"/>
      <c r="K86" s="148"/>
      <c r="L86" s="349"/>
      <c r="M86" s="148"/>
      <c r="N86" s="25"/>
      <c r="O86" s="106">
        <f>1.075*1.225*O94</f>
        <v>7.2511194265609253</v>
      </c>
      <c r="P86" s="353"/>
      <c r="Q86" s="148"/>
      <c r="R86" s="349"/>
      <c r="S86" s="148"/>
      <c r="T86" s="25"/>
      <c r="U86"/>
      <c r="V86" s="136"/>
      <c r="W86" s="334"/>
      <c r="X86" s="379"/>
      <c r="Z86"/>
      <c r="AA86" s="13"/>
      <c r="AB86" s="334"/>
    </row>
    <row r="87" spans="2:31" hidden="1" x14ac:dyDescent="0.25">
      <c r="B87" s="309"/>
      <c r="C87" s="338" t="s">
        <v>80</v>
      </c>
      <c r="D87" s="136"/>
      <c r="E87"/>
      <c r="F87" s="15"/>
      <c r="G87" s="242"/>
      <c r="H87" s="2"/>
      <c r="I87" s="43" t="s">
        <v>80</v>
      </c>
      <c r="J87" s="320"/>
      <c r="K87" s="148"/>
      <c r="L87" s="349"/>
      <c r="M87" s="148"/>
      <c r="N87" s="25"/>
      <c r="O87" s="106">
        <f>1.075*1.225*O95</f>
        <v>1.1057531134586622</v>
      </c>
      <c r="P87" s="353"/>
      <c r="Q87" s="148"/>
      <c r="R87" s="349"/>
      <c r="S87" s="148"/>
      <c r="T87" s="25"/>
      <c r="U87"/>
      <c r="V87" s="136"/>
      <c r="W87" s="334"/>
      <c r="X87" s="379"/>
      <c r="Z87"/>
      <c r="AA87" s="13"/>
      <c r="AB87" s="334"/>
    </row>
    <row r="88" spans="2:31" ht="15.75" thickBot="1" x14ac:dyDescent="0.3">
      <c r="B88" s="322"/>
      <c r="C88" s="339" t="s">
        <v>93</v>
      </c>
      <c r="D88" s="214" t="s">
        <v>32</v>
      </c>
      <c r="E88"/>
      <c r="F88" s="352"/>
      <c r="G88" s="151"/>
      <c r="H88" s="289"/>
      <c r="I88" s="145" t="s">
        <v>93</v>
      </c>
      <c r="J88" s="320"/>
      <c r="K88" s="148"/>
      <c r="L88" s="349"/>
      <c r="M88" s="148"/>
      <c r="N88" s="25"/>
      <c r="O88" s="283">
        <f>2+(D$77/$F$96*$I$68/$I$66^3)</f>
        <v>2.0055371967247444</v>
      </c>
      <c r="P88" s="353"/>
      <c r="Q88" s="148"/>
      <c r="R88" s="349"/>
      <c r="S88" s="148"/>
      <c r="T88" s="25"/>
      <c r="U88" s="356"/>
      <c r="V88" s="214" t="s">
        <v>32</v>
      </c>
      <c r="W88" s="334"/>
      <c r="X88" s="484"/>
      <c r="Y88" s="3"/>
      <c r="Z88" s="3"/>
      <c r="AA88" s="3"/>
      <c r="AB88" s="334"/>
    </row>
    <row r="89" spans="2:31" x14ac:dyDescent="0.25">
      <c r="B89" s="324"/>
      <c r="C89" s="25" t="s">
        <v>56</v>
      </c>
      <c r="D89" s="136" t="s">
        <v>32</v>
      </c>
      <c r="E89"/>
      <c r="F89" s="15"/>
      <c r="G89" s="140"/>
      <c r="H89" s="243"/>
      <c r="I89" s="132" t="s">
        <v>56</v>
      </c>
      <c r="J89" s="320"/>
      <c r="K89" s="148"/>
      <c r="L89" s="349"/>
      <c r="M89" s="148"/>
      <c r="N89" s="25"/>
      <c r="O89" s="224">
        <f>O82</f>
        <v>2.3651537534246185</v>
      </c>
      <c r="P89" s="353"/>
      <c r="Q89" s="148"/>
      <c r="R89" s="349"/>
      <c r="S89" s="148"/>
      <c r="T89" s="25"/>
      <c r="U89" s="358"/>
      <c r="V89" s="136" t="s">
        <v>32</v>
      </c>
      <c r="W89" s="334"/>
      <c r="X89" s="12"/>
      <c r="Y89" s="12"/>
      <c r="Z89"/>
      <c r="AA89"/>
      <c r="AB89" s="334"/>
    </row>
    <row r="90" spans="2:31" x14ac:dyDescent="0.25">
      <c r="B90" s="325" t="s">
        <v>65</v>
      </c>
      <c r="C90" s="45" t="s">
        <v>57</v>
      </c>
      <c r="D90" s="216" t="s">
        <v>32</v>
      </c>
      <c r="E90"/>
      <c r="F90" s="15"/>
      <c r="G90" s="140"/>
      <c r="H90" s="247" t="s">
        <v>65</v>
      </c>
      <c r="I90" s="144" t="s">
        <v>57</v>
      </c>
      <c r="J90" s="320"/>
      <c r="K90" s="148"/>
      <c r="L90" s="349"/>
      <c r="M90" s="148"/>
      <c r="N90" s="25"/>
      <c r="O90" s="221">
        <f>IF(O83&lt;O84,O83,O84)</f>
        <v>0.63817751119614219</v>
      </c>
      <c r="P90" s="353"/>
      <c r="Q90" s="148"/>
      <c r="R90" s="349"/>
      <c r="S90" s="148"/>
      <c r="T90" s="25"/>
      <c r="U90" s="354"/>
      <c r="V90" s="216" t="s">
        <v>32</v>
      </c>
      <c r="W90" s="334"/>
      <c r="X90" s="12"/>
      <c r="Y90" s="12"/>
      <c r="Z90"/>
      <c r="AA90"/>
      <c r="AB90" s="334"/>
    </row>
    <row r="91" spans="2:31" x14ac:dyDescent="0.25">
      <c r="B91" s="324" t="s">
        <v>66</v>
      </c>
      <c r="C91" s="25" t="s">
        <v>60</v>
      </c>
      <c r="D91" s="217" t="s">
        <v>32</v>
      </c>
      <c r="E91"/>
      <c r="F91" s="140"/>
      <c r="G91" s="140"/>
      <c r="H91" s="243" t="s">
        <v>66</v>
      </c>
      <c r="I91" s="132" t="s">
        <v>60</v>
      </c>
      <c r="J91" s="320"/>
      <c r="K91" s="148"/>
      <c r="L91" s="349"/>
      <c r="M91" s="148"/>
      <c r="N91" s="25"/>
      <c r="O91" s="222">
        <f>O85</f>
        <v>4.0980386816763197</v>
      </c>
      <c r="P91" s="353"/>
      <c r="Q91" s="148"/>
      <c r="R91" s="349"/>
      <c r="S91" s="148"/>
      <c r="T91" s="25"/>
      <c r="U91" s="355"/>
      <c r="V91" s="217" t="s">
        <v>32</v>
      </c>
      <c r="W91" s="334"/>
      <c r="X91" s="12"/>
      <c r="Y91" s="12"/>
      <c r="Z91"/>
      <c r="AA91"/>
      <c r="AB91" s="334"/>
    </row>
    <row r="92" spans="2:31" ht="15.75" thickBot="1" x14ac:dyDescent="0.3">
      <c r="B92" s="326"/>
      <c r="C92" s="323" t="s">
        <v>61</v>
      </c>
      <c r="D92" s="214" t="s">
        <v>32</v>
      </c>
      <c r="E92"/>
      <c r="F92" s="147" t="s">
        <v>114</v>
      </c>
      <c r="G92" s="147" t="s">
        <v>112</v>
      </c>
      <c r="H92" s="246"/>
      <c r="I92" s="145" t="s">
        <v>61</v>
      </c>
      <c r="J92" s="320"/>
      <c r="K92" s="148"/>
      <c r="L92" s="349"/>
      <c r="M92" s="148"/>
      <c r="N92" s="25"/>
      <c r="O92" s="223">
        <f>IF(O86&lt;O87,O86,O87)</f>
        <v>1.1057531134586622</v>
      </c>
      <c r="P92" s="353"/>
      <c r="Q92" s="148"/>
      <c r="R92" s="349"/>
      <c r="S92" s="148"/>
      <c r="T92" s="25"/>
      <c r="U92" s="356"/>
      <c r="V92" s="214" t="s">
        <v>32</v>
      </c>
      <c r="W92" s="334"/>
      <c r="X92" s="12"/>
      <c r="Y92" s="12"/>
      <c r="Z92"/>
      <c r="AA92"/>
      <c r="AB92" s="334"/>
    </row>
    <row r="93" spans="2:31" ht="15.75" hidden="1" thickBot="1" x14ac:dyDescent="0.3">
      <c r="B93" s="309"/>
      <c r="C93" s="312" t="s">
        <v>75</v>
      </c>
      <c r="D93" s="136"/>
      <c r="E93"/>
      <c r="F93" s="140"/>
      <c r="G93" s="254"/>
      <c r="H93" s="2"/>
      <c r="I93" s="43" t="s">
        <v>75</v>
      </c>
      <c r="J93" s="320"/>
      <c r="K93" s="148"/>
      <c r="L93" s="349"/>
      <c r="M93" s="148"/>
      <c r="N93" s="25"/>
      <c r="O93" s="370">
        <f>(0.2529+2.7683*10^-4*O79)*SQRT(D$77)/$I$62*$I$63*$I$65/$I$66</f>
        <v>3.1119420458861469</v>
      </c>
      <c r="P93" s="353"/>
      <c r="Q93" s="148"/>
      <c r="R93" s="349"/>
      <c r="S93" s="148"/>
      <c r="T93" s="25"/>
      <c r="U93" s="357"/>
      <c r="V93" s="136"/>
      <c r="W93" s="334"/>
      <c r="X93" s="12"/>
      <c r="Y93" s="12"/>
      <c r="Z93"/>
      <c r="AA93"/>
      <c r="AB93" s="334"/>
    </row>
    <row r="94" spans="2:31" ht="15.75" hidden="1" thickBot="1" x14ac:dyDescent="0.3">
      <c r="B94" s="309"/>
      <c r="C94" s="312" t="s">
        <v>76</v>
      </c>
      <c r="D94" s="136"/>
      <c r="E94"/>
      <c r="F94" s="140"/>
      <c r="G94" s="242"/>
      <c r="H94" s="2"/>
      <c r="I94" s="43" t="s">
        <v>76</v>
      </c>
      <c r="J94" s="320"/>
      <c r="K94" s="148"/>
      <c r="L94" s="349"/>
      <c r="M94" s="148"/>
      <c r="N94" s="25"/>
      <c r="O94" s="229">
        <f>(0.675+9.273*10^-3*O79)*SQRT(D$77)*$I$62*$I$64/$I$65*$I$66</f>
        <v>5.5063080600367726</v>
      </c>
      <c r="P94" s="353"/>
      <c r="Q94" s="148"/>
      <c r="R94" s="349"/>
      <c r="S94" s="148"/>
      <c r="T94" s="25"/>
      <c r="U94" s="357"/>
      <c r="V94" s="136"/>
      <c r="W94" s="334"/>
      <c r="X94" s="12"/>
      <c r="Y94" s="12"/>
      <c r="Z94"/>
      <c r="AA94"/>
      <c r="AB94" s="334"/>
    </row>
    <row r="95" spans="2:31" ht="15.75" hidden="1" thickBot="1" x14ac:dyDescent="0.3">
      <c r="B95" s="309"/>
      <c r="C95" s="312" t="s">
        <v>77</v>
      </c>
      <c r="D95" s="136"/>
      <c r="E95"/>
      <c r="F95" s="140"/>
      <c r="G95" s="242"/>
      <c r="H95" s="2"/>
      <c r="I95" s="43" t="s">
        <v>77</v>
      </c>
      <c r="J95" s="320"/>
      <c r="K95" s="148"/>
      <c r="L95" s="349"/>
      <c r="M95" s="148"/>
      <c r="N95" s="25"/>
      <c r="O95" s="219">
        <f>IF(($I$61*(D$77*10^-3)/SQRT($F$96*10^-3*$G$96*10^-3)*$I$62/$I$64^2*$I$66)&lt;(4*$I$73*$I$66),($I$61*(D$77*10^-3)/SQRT($F$96*10^-3*$G$96*10^-3)*$I$62/$I$64^2*$I$66),(4*$I$73*$I$66))</f>
        <v>0.83967963053339323</v>
      </c>
      <c r="P95" s="353"/>
      <c r="Q95" s="148"/>
      <c r="R95" s="349"/>
      <c r="S95" s="148"/>
      <c r="T95" s="25"/>
      <c r="U95" s="357"/>
      <c r="V95" s="136"/>
      <c r="W95" s="334"/>
      <c r="X95" s="12"/>
      <c r="Y95" s="12"/>
      <c r="Z95"/>
      <c r="AA95"/>
      <c r="AB95" s="334"/>
    </row>
    <row r="96" spans="2:31" x14ac:dyDescent="0.25">
      <c r="B96" s="324"/>
      <c r="C96" s="24" t="s">
        <v>56</v>
      </c>
      <c r="D96" s="215" t="s">
        <v>32</v>
      </c>
      <c r="E96"/>
      <c r="F96" s="378">
        <f>104.6+(O71-1)*67.5</f>
        <v>40537.1</v>
      </c>
      <c r="G96" s="378">
        <f>99.1+(O72-1)*38.97</f>
        <v>138.07</v>
      </c>
      <c r="H96" s="243"/>
      <c r="I96" s="328" t="s">
        <v>56</v>
      </c>
      <c r="J96" s="320"/>
      <c r="K96" s="148"/>
      <c r="L96" s="349"/>
      <c r="M96" s="148"/>
      <c r="N96" s="25"/>
      <c r="O96" s="224">
        <f>O93</f>
        <v>3.1119420458861469</v>
      </c>
      <c r="P96" s="353"/>
      <c r="Q96" s="148"/>
      <c r="R96" s="349"/>
      <c r="S96" s="148"/>
      <c r="T96" s="25"/>
      <c r="U96" s="358"/>
      <c r="V96" s="215" t="s">
        <v>32</v>
      </c>
      <c r="W96" s="334"/>
      <c r="X96" s="12"/>
      <c r="Y96" s="12"/>
      <c r="Z96"/>
      <c r="AA96"/>
      <c r="AB96" s="334"/>
    </row>
    <row r="97" spans="1:28" x14ac:dyDescent="0.25">
      <c r="A97" s="136"/>
      <c r="B97" s="244" t="s">
        <v>58</v>
      </c>
      <c r="C97" s="253" t="s">
        <v>57</v>
      </c>
      <c r="D97" s="365" t="s">
        <v>32</v>
      </c>
      <c r="E97" s="15"/>
      <c r="F97" s="140"/>
      <c r="G97" s="140"/>
      <c r="H97" s="244" t="s">
        <v>58</v>
      </c>
      <c r="I97" s="144" t="s">
        <v>57</v>
      </c>
      <c r="J97" s="320"/>
      <c r="K97" s="148"/>
      <c r="L97" s="349"/>
      <c r="M97" s="148"/>
      <c r="N97" s="25"/>
      <c r="O97" s="221">
        <f>IF(O94&lt;O95,O94,O95)</f>
        <v>0.83967963053339323</v>
      </c>
      <c r="P97" s="353"/>
      <c r="Q97" s="148"/>
      <c r="R97" s="349"/>
      <c r="S97" s="148"/>
      <c r="T97" s="25"/>
      <c r="U97" s="354"/>
      <c r="V97" s="216" t="s">
        <v>32</v>
      </c>
      <c r="W97" s="334"/>
      <c r="X97" s="12"/>
      <c r="Y97" s="12"/>
      <c r="Z97"/>
      <c r="AA97"/>
      <c r="AB97" s="334"/>
    </row>
    <row r="98" spans="1:28" x14ac:dyDescent="0.25">
      <c r="B98" s="324" t="s">
        <v>59</v>
      </c>
      <c r="C98" s="25" t="s">
        <v>60</v>
      </c>
      <c r="D98" s="217" t="s">
        <v>32</v>
      </c>
      <c r="E98"/>
      <c r="F98" s="140"/>
      <c r="G98" s="140"/>
      <c r="H98" s="243" t="s">
        <v>59</v>
      </c>
      <c r="I98" s="132" t="s">
        <v>60</v>
      </c>
      <c r="J98" s="320"/>
      <c r="K98" s="148"/>
      <c r="L98" s="349"/>
      <c r="M98" s="148"/>
      <c r="N98" s="25"/>
      <c r="O98" s="222">
        <f>O93</f>
        <v>3.1119420458861469</v>
      </c>
      <c r="P98" s="353"/>
      <c r="Q98" s="148"/>
      <c r="R98" s="349"/>
      <c r="S98" s="148"/>
      <c r="T98" s="25"/>
      <c r="U98" s="355"/>
      <c r="V98" s="217" t="s">
        <v>32</v>
      </c>
      <c r="W98" s="334"/>
      <c r="X98" s="12"/>
      <c r="Y98" s="12"/>
      <c r="Z98"/>
      <c r="AA98"/>
      <c r="AB98" s="334"/>
    </row>
    <row r="99" spans="1:28" ht="15.75" thickBot="1" x14ac:dyDescent="0.3">
      <c r="B99" s="326"/>
      <c r="C99" s="323" t="s">
        <v>61</v>
      </c>
      <c r="D99" s="214" t="s">
        <v>32</v>
      </c>
      <c r="E99"/>
      <c r="F99" s="147" t="s">
        <v>113</v>
      </c>
      <c r="G99" s="147" t="s">
        <v>107</v>
      </c>
      <c r="H99" s="246"/>
      <c r="I99" s="145" t="s">
        <v>61</v>
      </c>
      <c r="J99" s="320"/>
      <c r="K99" s="148"/>
      <c r="L99" s="349"/>
      <c r="M99" s="148"/>
      <c r="N99" s="25"/>
      <c r="O99" s="223">
        <f>IF(O94&lt;O95,O94,O95)</f>
        <v>0.83967963053339323</v>
      </c>
      <c r="P99" s="353"/>
      <c r="Q99" s="148"/>
      <c r="R99" s="349"/>
      <c r="S99" s="148"/>
      <c r="T99" s="25"/>
      <c r="U99" s="356"/>
      <c r="V99" s="214" t="s">
        <v>32</v>
      </c>
      <c r="W99" s="334"/>
      <c r="X99" s="12"/>
      <c r="Y99" s="12"/>
      <c r="Z99"/>
      <c r="AA99"/>
      <c r="AB99" s="334"/>
    </row>
    <row r="100" spans="1:28" ht="15.75" hidden="1" thickBot="1" x14ac:dyDescent="0.3">
      <c r="B100" s="309"/>
      <c r="C100" s="312" t="s">
        <v>71</v>
      </c>
      <c r="D100" s="136"/>
      <c r="E100"/>
      <c r="F100" s="15"/>
      <c r="G100" s="140"/>
      <c r="H100" s="2"/>
      <c r="I100" s="43" t="s">
        <v>71</v>
      </c>
      <c r="J100" s="320"/>
      <c r="K100" s="148"/>
      <c r="L100" s="349"/>
      <c r="M100" s="148"/>
      <c r="N100" s="25"/>
      <c r="O100" s="229">
        <f>1.07*1.22*O93</f>
        <v>4.0623291466997768</v>
      </c>
      <c r="P100" s="353"/>
      <c r="Q100" s="148"/>
      <c r="R100" s="349"/>
      <c r="S100" s="148"/>
      <c r="T100" s="25"/>
      <c r="U100" s="357"/>
      <c r="V100" s="136"/>
      <c r="W100" s="334"/>
      <c r="X100" s="12"/>
      <c r="Y100" s="12"/>
      <c r="Z100"/>
      <c r="AA100"/>
      <c r="AB100" s="334"/>
    </row>
    <row r="101" spans="1:28" ht="15.75" hidden="1" thickBot="1" x14ac:dyDescent="0.3">
      <c r="B101" s="309"/>
      <c r="C101" s="312" t="s">
        <v>72</v>
      </c>
      <c r="D101" s="136"/>
      <c r="E101"/>
      <c r="F101" s="15"/>
      <c r="G101" s="140"/>
      <c r="H101" s="2"/>
      <c r="I101" s="43" t="s">
        <v>72</v>
      </c>
      <c r="J101" s="320"/>
      <c r="K101" s="148"/>
      <c r="L101" s="349"/>
      <c r="M101" s="148"/>
      <c r="N101" s="25"/>
      <c r="O101" s="229">
        <f>1.07*1.22*O94</f>
        <v>7.1879345415720035</v>
      </c>
      <c r="P101" s="353"/>
      <c r="Q101" s="148"/>
      <c r="R101" s="349"/>
      <c r="S101" s="148"/>
      <c r="T101" s="25"/>
      <c r="U101" s="357"/>
      <c r="V101" s="136"/>
      <c r="W101" s="334"/>
      <c r="X101" s="12"/>
      <c r="Y101" s="12"/>
      <c r="Z101"/>
      <c r="AA101"/>
      <c r="AB101" s="334"/>
    </row>
    <row r="102" spans="1:28" ht="15.75" hidden="1" thickBot="1" x14ac:dyDescent="0.3">
      <c r="B102" s="309"/>
      <c r="C102" s="312" t="s">
        <v>79</v>
      </c>
      <c r="D102" s="136"/>
      <c r="E102"/>
      <c r="F102" s="15"/>
      <c r="G102" s="140"/>
      <c r="H102" s="2"/>
      <c r="I102" s="43" t="s">
        <v>79</v>
      </c>
      <c r="J102" s="320"/>
      <c r="K102" s="148"/>
      <c r="L102" s="349"/>
      <c r="M102" s="148"/>
      <c r="N102" s="25"/>
      <c r="O102" s="229">
        <f>1.07*1.22*O95</f>
        <v>1.0961177896982917</v>
      </c>
      <c r="P102" s="353"/>
      <c r="Q102" s="148"/>
      <c r="R102" s="349"/>
      <c r="S102" s="148"/>
      <c r="T102" s="25"/>
      <c r="U102" s="357"/>
      <c r="V102" s="136"/>
      <c r="W102" s="334"/>
      <c r="X102" s="12"/>
      <c r="Y102" s="12"/>
      <c r="Z102"/>
      <c r="AA102"/>
      <c r="AB102" s="334"/>
    </row>
    <row r="103" spans="1:28" ht="15.75" hidden="1" thickBot="1" x14ac:dyDescent="0.3">
      <c r="B103" s="309"/>
      <c r="C103" s="312" t="s">
        <v>73</v>
      </c>
      <c r="D103" s="136"/>
      <c r="E103"/>
      <c r="F103" s="15"/>
      <c r="G103" s="140"/>
      <c r="H103" s="2"/>
      <c r="I103" s="43" t="s">
        <v>73</v>
      </c>
      <c r="J103" s="320"/>
      <c r="K103" s="148"/>
      <c r="L103" s="349"/>
      <c r="M103" s="148"/>
      <c r="N103" s="25"/>
      <c r="O103" s="229">
        <f>1.07*0.707*O93</f>
        <v>2.3541530382924112</v>
      </c>
      <c r="P103" s="353"/>
      <c r="Q103" s="148"/>
      <c r="R103" s="349"/>
      <c r="S103" s="148"/>
      <c r="T103" s="25"/>
      <c r="U103" s="357"/>
      <c r="V103" s="136"/>
      <c r="W103" s="334"/>
      <c r="X103" s="12"/>
      <c r="Y103" s="12"/>
      <c r="Z103"/>
      <c r="AA103"/>
      <c r="AB103" s="334"/>
    </row>
    <row r="104" spans="1:28" ht="15.75" hidden="1" thickBot="1" x14ac:dyDescent="0.3">
      <c r="B104" s="309"/>
      <c r="C104" s="312" t="s">
        <v>74</v>
      </c>
      <c r="D104" s="136"/>
      <c r="E104"/>
      <c r="F104" s="15"/>
      <c r="G104" s="242"/>
      <c r="H104" s="2"/>
      <c r="I104" s="43" t="s">
        <v>74</v>
      </c>
      <c r="J104" s="320"/>
      <c r="K104" s="148"/>
      <c r="L104" s="349"/>
      <c r="M104" s="148"/>
      <c r="N104" s="25"/>
      <c r="O104" s="229">
        <f>1.07*0.707*O94</f>
        <v>4.1654669843372183</v>
      </c>
      <c r="P104" s="353"/>
      <c r="Q104" s="148"/>
      <c r="R104" s="349"/>
      <c r="S104" s="148"/>
      <c r="T104" s="25"/>
      <c r="U104" s="357"/>
      <c r="V104" s="136"/>
      <c r="W104" s="334"/>
      <c r="X104" s="12"/>
      <c r="Y104" s="12"/>
      <c r="Z104"/>
      <c r="AA104"/>
      <c r="AB104" s="334"/>
    </row>
    <row r="105" spans="1:28" ht="15.75" hidden="1" thickBot="1" x14ac:dyDescent="0.3">
      <c r="B105" s="309"/>
      <c r="C105" s="312" t="s">
        <v>80</v>
      </c>
      <c r="D105" s="136"/>
      <c r="E105"/>
      <c r="F105" s="15"/>
      <c r="G105" s="140"/>
      <c r="H105" s="2"/>
      <c r="I105" s="43" t="s">
        <v>80</v>
      </c>
      <c r="J105" s="320"/>
      <c r="K105" s="148"/>
      <c r="L105" s="349"/>
      <c r="M105" s="148"/>
      <c r="N105" s="25"/>
      <c r="O105" s="229">
        <f>1.07*0.707*O95</f>
        <v>0.63520924370220666</v>
      </c>
      <c r="P105" s="353"/>
      <c r="Q105" s="148"/>
      <c r="R105" s="349"/>
      <c r="S105" s="148"/>
      <c r="T105" s="25"/>
      <c r="U105" s="357"/>
      <c r="V105" s="136"/>
      <c r="W105" s="334"/>
      <c r="X105" s="12"/>
      <c r="Y105" s="12"/>
      <c r="Z105"/>
      <c r="AA105"/>
      <c r="AB105" s="334"/>
    </row>
    <row r="106" spans="1:28" x14ac:dyDescent="0.25">
      <c r="B106" s="324"/>
      <c r="C106" s="24" t="s">
        <v>56</v>
      </c>
      <c r="D106" s="215" t="s">
        <v>32</v>
      </c>
      <c r="E106"/>
      <c r="F106" s="379">
        <f>F96+35</f>
        <v>40572.1</v>
      </c>
      <c r="G106" s="378">
        <f>G96+35</f>
        <v>173.07</v>
      </c>
      <c r="H106" s="243"/>
      <c r="I106" s="328" t="s">
        <v>56</v>
      </c>
      <c r="J106" s="320"/>
      <c r="K106" s="148"/>
      <c r="L106" s="349"/>
      <c r="M106" s="148"/>
      <c r="N106" s="25"/>
      <c r="O106" s="224">
        <f>O100</f>
        <v>4.0623291466997768</v>
      </c>
      <c r="P106" s="353"/>
      <c r="Q106" s="148"/>
      <c r="R106" s="349"/>
      <c r="S106" s="148"/>
      <c r="T106" s="25"/>
      <c r="U106" s="358"/>
      <c r="V106" s="215" t="s">
        <v>32</v>
      </c>
      <c r="W106" s="334"/>
      <c r="X106" s="12"/>
      <c r="Y106" s="12"/>
      <c r="Z106"/>
      <c r="AA106"/>
      <c r="AB106" s="334"/>
    </row>
    <row r="107" spans="1:28" x14ac:dyDescent="0.25">
      <c r="B107" s="327" t="s">
        <v>67</v>
      </c>
      <c r="C107" s="45" t="s">
        <v>57</v>
      </c>
      <c r="D107" s="216" t="s">
        <v>32</v>
      </c>
      <c r="E107"/>
      <c r="F107" s="15"/>
      <c r="G107" s="141"/>
      <c r="H107" s="244" t="s">
        <v>67</v>
      </c>
      <c r="I107" s="144" t="s">
        <v>57</v>
      </c>
      <c r="J107" s="320"/>
      <c r="K107" s="148"/>
      <c r="L107" s="349"/>
      <c r="M107" s="148"/>
      <c r="N107" s="25"/>
      <c r="O107" s="221">
        <f>IF(O101&lt;O102,O101,O102)</f>
        <v>1.0961177896982917</v>
      </c>
      <c r="P107" s="353"/>
      <c r="Q107" s="148"/>
      <c r="R107" s="349"/>
      <c r="S107" s="148"/>
      <c r="T107" s="25"/>
      <c r="U107" s="354"/>
      <c r="V107" s="216" t="s">
        <v>32</v>
      </c>
      <c r="W107" s="334"/>
      <c r="X107" s="12"/>
      <c r="Y107" s="12"/>
      <c r="Z107"/>
      <c r="AA107"/>
      <c r="AB107" s="334"/>
    </row>
    <row r="108" spans="1:28" x14ac:dyDescent="0.25">
      <c r="B108" s="324" t="s">
        <v>68</v>
      </c>
      <c r="C108" s="25" t="s">
        <v>60</v>
      </c>
      <c r="D108" s="217" t="s">
        <v>32</v>
      </c>
      <c r="E108"/>
      <c r="F108" s="15"/>
      <c r="G108" s="142"/>
      <c r="H108" s="243" t="s">
        <v>68</v>
      </c>
      <c r="I108" s="132" t="s">
        <v>60</v>
      </c>
      <c r="J108" s="320"/>
      <c r="K108" s="148"/>
      <c r="L108" s="349"/>
      <c r="M108" s="148"/>
      <c r="N108" s="25"/>
      <c r="O108" s="222">
        <f>O103</f>
        <v>2.3541530382924112</v>
      </c>
      <c r="P108" s="353"/>
      <c r="Q108" s="148"/>
      <c r="R108" s="349"/>
      <c r="S108" s="148"/>
      <c r="T108" s="25"/>
      <c r="U108" s="355"/>
      <c r="V108" s="217" t="s">
        <v>32</v>
      </c>
      <c r="W108" s="334"/>
      <c r="X108" s="12"/>
      <c r="Y108" s="12"/>
      <c r="Z108"/>
      <c r="AA108"/>
      <c r="AB108" s="334"/>
    </row>
    <row r="109" spans="1:28" ht="15.75" thickBot="1" x14ac:dyDescent="0.3">
      <c r="B109" s="342"/>
      <c r="C109" s="45" t="s">
        <v>61</v>
      </c>
      <c r="D109" s="216" t="s">
        <v>32</v>
      </c>
      <c r="E109"/>
      <c r="F109" s="273"/>
      <c r="G109" s="143"/>
      <c r="H109" s="249"/>
      <c r="I109" s="146" t="s">
        <v>61</v>
      </c>
      <c r="J109" s="317"/>
      <c r="K109" s="319"/>
      <c r="L109" s="366"/>
      <c r="M109" s="319"/>
      <c r="N109" s="26"/>
      <c r="O109" s="225">
        <f>IF(O104&lt;O105,O104,O105)</f>
        <v>0.63520924370220666</v>
      </c>
      <c r="P109" s="367"/>
      <c r="Q109" s="319"/>
      <c r="R109" s="366"/>
      <c r="S109" s="319"/>
      <c r="T109" s="26"/>
      <c r="U109" s="121"/>
      <c r="V109" s="130" t="s">
        <v>32</v>
      </c>
      <c r="W109" s="334"/>
      <c r="X109" s="12"/>
      <c r="Y109" s="12"/>
      <c r="Z109"/>
      <c r="AA109"/>
      <c r="AB109" s="334"/>
    </row>
    <row r="110" spans="1:28" ht="15.75" thickTop="1" x14ac:dyDescent="0.25">
      <c r="B110"/>
      <c r="C110"/>
      <c r="D110"/>
      <c r="E110"/>
      <c r="I110" t="s">
        <v>205</v>
      </c>
      <c r="K110"/>
      <c r="L110"/>
      <c r="M110"/>
      <c r="N110"/>
      <c r="O110">
        <f>O77*SQRT('BMW-AD Bespoke Calculator'!E13/'old Bespoke Calculator'!O79)</f>
        <v>9528.5988602029265</v>
      </c>
      <c r="P110"/>
      <c r="Q110"/>
      <c r="R110"/>
      <c r="S110"/>
      <c r="T110"/>
      <c r="U110"/>
      <c r="V110"/>
      <c r="W110"/>
      <c r="X110"/>
      <c r="Y110"/>
      <c r="Z110"/>
      <c r="AA110"/>
      <c r="AB110"/>
    </row>
    <row r="115" spans="1:3" ht="20.25" thickBot="1" x14ac:dyDescent="0.35">
      <c r="A115" s="691" t="s">
        <v>133</v>
      </c>
    </row>
    <row r="116" spans="1:3" ht="16.5" thickTop="1" thickBot="1" x14ac:dyDescent="0.3">
      <c r="B116" s="339" t="s">
        <v>93</v>
      </c>
      <c r="C116" s="696">
        <f>MAX(O33,O88)</f>
        <v>2.0055371967247444</v>
      </c>
    </row>
    <row r="117" spans="1:3" x14ac:dyDescent="0.25">
      <c r="B117" s="25" t="s">
        <v>56</v>
      </c>
      <c r="C117" s="695">
        <f>MAX(O34,O89)</f>
        <v>2.3651537534246185</v>
      </c>
    </row>
    <row r="118" spans="1:3" x14ac:dyDescent="0.25">
      <c r="B118" s="45" t="s">
        <v>57</v>
      </c>
      <c r="C118" s="695">
        <f>MIN(O35,O90)</f>
        <v>0.63817751119614219</v>
      </c>
    </row>
    <row r="119" spans="1:3" x14ac:dyDescent="0.25">
      <c r="B119" s="25" t="s">
        <v>60</v>
      </c>
      <c r="C119" s="695">
        <f>MAX(O36,O91)</f>
        <v>4.0980386816763197</v>
      </c>
    </row>
    <row r="120" spans="1:3" ht="15.75" thickBot="1" x14ac:dyDescent="0.3">
      <c r="B120" s="323" t="s">
        <v>61</v>
      </c>
      <c r="C120" s="695">
        <f>MIN(O37,O92)</f>
        <v>1.1057531134586622</v>
      </c>
    </row>
    <row r="121" spans="1:3" x14ac:dyDescent="0.25">
      <c r="B121" s="24" t="s">
        <v>56</v>
      </c>
      <c r="C121" s="695">
        <f>MAX(O41,O96)</f>
        <v>3.1119420458861469</v>
      </c>
    </row>
    <row r="122" spans="1:3" x14ac:dyDescent="0.25">
      <c r="B122" s="253" t="s">
        <v>57</v>
      </c>
      <c r="C122" s="695">
        <f>MIN(O42,O97)</f>
        <v>0.83967963053339323</v>
      </c>
    </row>
    <row r="123" spans="1:3" x14ac:dyDescent="0.25">
      <c r="B123" s="25" t="s">
        <v>60</v>
      </c>
      <c r="C123" s="695">
        <f>MAX(O43,O98)</f>
        <v>3.1119420458861469</v>
      </c>
    </row>
    <row r="124" spans="1:3" ht="15.75" thickBot="1" x14ac:dyDescent="0.3">
      <c r="B124" s="323" t="s">
        <v>61</v>
      </c>
      <c r="C124" s="695">
        <f>MIN(O44,O99)</f>
        <v>0.83967963053339323</v>
      </c>
    </row>
    <row r="125" spans="1:3" x14ac:dyDescent="0.25">
      <c r="B125" s="24" t="s">
        <v>56</v>
      </c>
      <c r="C125" s="695">
        <f>MAX(O51,O106)</f>
        <v>4.0623291466997768</v>
      </c>
    </row>
    <row r="126" spans="1:3" x14ac:dyDescent="0.25">
      <c r="B126" s="45" t="s">
        <v>57</v>
      </c>
      <c r="C126" s="695">
        <f>MIN(O52,O107)</f>
        <v>1.0961177896982917</v>
      </c>
    </row>
    <row r="127" spans="1:3" x14ac:dyDescent="0.25">
      <c r="B127" s="25" t="s">
        <v>60</v>
      </c>
      <c r="C127" s="695">
        <f>MAX(O53,O108)</f>
        <v>2.3541530382924112</v>
      </c>
    </row>
    <row r="128" spans="1:3" x14ac:dyDescent="0.25">
      <c r="B128" s="45" t="s">
        <v>61</v>
      </c>
      <c r="C128" s="695">
        <f>MIN(O54,O109)</f>
        <v>0.63520924370220666</v>
      </c>
    </row>
  </sheetData>
  <sheetProtection selectLockedCells="1"/>
  <conditionalFormatting sqref="O17">
    <cfRule type="expression" dxfId="588" priority="35" stopIfTrue="1">
      <formula>IF(O17&lt;2,TRUE,FALSE)</formula>
    </cfRule>
    <cfRule type="expression" dxfId="587" priority="36">
      <formula>IF(O17&gt;21,TRUE,FALSE)</formula>
    </cfRule>
  </conditionalFormatting>
  <conditionalFormatting sqref="O18">
    <cfRule type="expression" dxfId="586" priority="37" stopIfTrue="1">
      <formula>IF(O18&lt;1,TRUE,FALSE)</formula>
    </cfRule>
    <cfRule type="expression" dxfId="585" priority="38">
      <formula>IF(O18&gt;4,TRUE,FALSE)</formula>
    </cfRule>
  </conditionalFormatting>
  <conditionalFormatting sqref="O19">
    <cfRule type="expression" dxfId="584" priority="45" stopIfTrue="1">
      <formula>IF(O19&lt;2,TRUE,FALSE)</formula>
    </cfRule>
    <cfRule type="expression" dxfId="583" priority="46">
      <formula>IF(O19&gt;4.5,TRUE,FALSE)</formula>
    </cfRule>
  </conditionalFormatting>
  <conditionalFormatting sqref="O20">
    <cfRule type="expression" dxfId="582" priority="43" stopIfTrue="1">
      <formula>IF(ABS(O20)&gt;12,TRUE,FALSE)</formula>
    </cfRule>
    <cfRule type="expression" dxfId="581" priority="44">
      <formula>IF(ABS(O20)&lt;8,TRUE,FALSE)</formula>
    </cfRule>
  </conditionalFormatting>
  <conditionalFormatting sqref="O21">
    <cfRule type="expression" dxfId="580" priority="41" stopIfTrue="1">
      <formula>IF(O21&gt;95,TRUE,FALSE)</formula>
    </cfRule>
    <cfRule type="expression" dxfId="579" priority="42">
      <formula>IF(O21&lt;70,TRUE,FALSE)</formula>
    </cfRule>
  </conditionalFormatting>
  <conditionalFormatting sqref="O22">
    <cfRule type="expression" dxfId="578" priority="39" stopIfTrue="1">
      <formula>IF(O22&gt;600,TRUE,FALSE)</formula>
    </cfRule>
    <cfRule type="expression" dxfId="577" priority="40">
      <formula>IF(O22&lt;9,TRUE,FALSE)</formula>
    </cfRule>
  </conditionalFormatting>
  <conditionalFormatting sqref="O24">
    <cfRule type="cellIs" dxfId="576" priority="78" operator="lessThan">
      <formula>3</formula>
    </cfRule>
    <cfRule type="cellIs" dxfId="575" priority="79" operator="lessThanOrEqual">
      <formula>20</formula>
    </cfRule>
    <cfRule type="cellIs" dxfId="574" priority="80" operator="lessThanOrEqual">
      <formula>30</formula>
    </cfRule>
    <cfRule type="cellIs" dxfId="573" priority="81" operator="lessThanOrEqual">
      <formula>40</formula>
    </cfRule>
    <cfRule type="cellIs" dxfId="572" priority="82" operator="greaterThan">
      <formula>40</formula>
    </cfRule>
  </conditionalFormatting>
  <conditionalFormatting sqref="O25">
    <cfRule type="cellIs" dxfId="571" priority="68" operator="equal">
      <formula>"&lt;15"</formula>
    </cfRule>
    <cfRule type="cellIs" dxfId="570" priority="69" operator="lessThanOrEqual">
      <formula>40</formula>
    </cfRule>
    <cfRule type="cellIs" dxfId="569" priority="70" operator="lessThanOrEqual">
      <formula>45</formula>
    </cfRule>
    <cfRule type="cellIs" dxfId="568" priority="71" operator="lessThanOrEqual">
      <formula>50</formula>
    </cfRule>
    <cfRule type="cellIs" dxfId="567" priority="72" operator="greaterThan">
      <formula>50</formula>
    </cfRule>
  </conditionalFormatting>
  <conditionalFormatting sqref="O26">
    <cfRule type="cellIs" dxfId="566" priority="73" operator="equal">
      <formula>"&lt;5"</formula>
    </cfRule>
    <cfRule type="cellIs" dxfId="565" priority="74" operator="lessThanOrEqual">
      <formula>25</formula>
    </cfRule>
    <cfRule type="cellIs" dxfId="564" priority="75" operator="lessThanOrEqual">
      <formula>30</formula>
    </cfRule>
    <cfRule type="cellIs" dxfId="563" priority="76" operator="lessThanOrEqual">
      <formula>35</formula>
    </cfRule>
    <cfRule type="cellIs" dxfId="562" priority="77" operator="greaterThan">
      <formula>35</formula>
    </cfRule>
  </conditionalFormatting>
  <conditionalFormatting sqref="O33">
    <cfRule type="expression" dxfId="561" priority="51">
      <formula>IF(O33&gt;$O$19,TRUE,FALSE)</formula>
    </cfRule>
  </conditionalFormatting>
  <conditionalFormatting sqref="O34:O37">
    <cfRule type="expression" dxfId="560" priority="62">
      <formula>$O$24&gt;50</formula>
    </cfRule>
    <cfRule type="expression" dxfId="559" priority="63">
      <formula>$O$24&lt;3</formula>
    </cfRule>
  </conditionalFormatting>
  <conditionalFormatting sqref="O41:O44">
    <cfRule type="expression" dxfId="558" priority="49">
      <formula>$O$24&gt;50</formula>
    </cfRule>
    <cfRule type="expression" dxfId="557" priority="50">
      <formula>$O$24&lt;3</formula>
    </cfRule>
  </conditionalFormatting>
  <conditionalFormatting sqref="O51:O54">
    <cfRule type="expression" dxfId="556" priority="47">
      <formula>$O$24&gt;50</formula>
    </cfRule>
    <cfRule type="expression" dxfId="555" priority="48">
      <formula>$O$24&lt;3</formula>
    </cfRule>
  </conditionalFormatting>
  <conditionalFormatting sqref="O71">
    <cfRule type="expression" dxfId="554" priority="1" stopIfTrue="1">
      <formula>IF(O71&lt;2,TRUE,FALSE)</formula>
    </cfRule>
    <cfRule type="expression" dxfId="553" priority="2">
      <formula>IF(O71&gt;21,TRUE,FALSE)</formula>
    </cfRule>
  </conditionalFormatting>
  <conditionalFormatting sqref="O72">
    <cfRule type="expression" dxfId="552" priority="3" stopIfTrue="1">
      <formula>IF(O72&lt;1,TRUE,FALSE)</formula>
    </cfRule>
    <cfRule type="expression" dxfId="551" priority="4">
      <formula>IF(O72&gt;4,TRUE,FALSE)</formula>
    </cfRule>
  </conditionalFormatting>
  <conditionalFormatting sqref="O73">
    <cfRule type="expression" dxfId="550" priority="11" stopIfTrue="1">
      <formula>IF(O73&lt;2,TRUE,FALSE)</formula>
    </cfRule>
    <cfRule type="expression" dxfId="549" priority="12">
      <formula>IF(O73&gt;4.5,TRUE,FALSE)</formula>
    </cfRule>
  </conditionalFormatting>
  <conditionalFormatting sqref="O74">
    <cfRule type="expression" dxfId="548" priority="9" stopIfTrue="1">
      <formula>IF(ABS(O74)&gt;12,TRUE,FALSE)</formula>
    </cfRule>
    <cfRule type="expression" dxfId="547" priority="10">
      <formula>IF(ABS(O74)&lt;8,TRUE,FALSE)</formula>
    </cfRule>
  </conditionalFormatting>
  <conditionalFormatting sqref="O75">
    <cfRule type="expression" dxfId="546" priority="7" stopIfTrue="1">
      <formula>IF(O75&gt;95,TRUE,FALSE)</formula>
    </cfRule>
    <cfRule type="expression" dxfId="545" priority="8">
      <formula>IF(O75&lt;70,TRUE,FALSE)</formula>
    </cfRule>
  </conditionalFormatting>
  <conditionalFormatting sqref="O77">
    <cfRule type="expression" dxfId="544" priority="5" stopIfTrue="1">
      <formula>IF(O77&gt;600,TRUE,FALSE)</formula>
    </cfRule>
    <cfRule type="expression" dxfId="543" priority="6">
      <formula>IF(O77&lt;9,TRUE,FALSE)</formula>
    </cfRule>
  </conditionalFormatting>
  <conditionalFormatting sqref="O79">
    <cfRule type="cellIs" dxfId="542" priority="30" operator="lessThan">
      <formula>3</formula>
    </cfRule>
    <cfRule type="cellIs" dxfId="541" priority="31" operator="lessThanOrEqual">
      <formula>20</formula>
    </cfRule>
    <cfRule type="cellIs" dxfId="540" priority="32" operator="lessThanOrEqual">
      <formula>30</formula>
    </cfRule>
    <cfRule type="cellIs" dxfId="539" priority="33" operator="lessThanOrEqual">
      <formula>40</formula>
    </cfRule>
    <cfRule type="cellIs" dxfId="538" priority="34" operator="greaterThan">
      <formula>40</formula>
    </cfRule>
  </conditionalFormatting>
  <conditionalFormatting sqref="O80">
    <cfRule type="cellIs" dxfId="537" priority="20" operator="equal">
      <formula>"&lt;15"</formula>
    </cfRule>
    <cfRule type="cellIs" dxfId="536" priority="21" operator="lessThanOrEqual">
      <formula>40</formula>
    </cfRule>
    <cfRule type="cellIs" dxfId="535" priority="22" operator="lessThanOrEqual">
      <formula>45</formula>
    </cfRule>
    <cfRule type="cellIs" dxfId="534" priority="23" operator="lessThanOrEqual">
      <formula>50</formula>
    </cfRule>
    <cfRule type="cellIs" dxfId="533" priority="24" operator="greaterThan">
      <formula>50</formula>
    </cfRule>
  </conditionalFormatting>
  <conditionalFormatting sqref="O81">
    <cfRule type="cellIs" dxfId="532" priority="25" operator="equal">
      <formula>"&lt;5"</formula>
    </cfRule>
    <cfRule type="cellIs" dxfId="531" priority="26" operator="lessThanOrEqual">
      <formula>25</formula>
    </cfRule>
    <cfRule type="cellIs" dxfId="530" priority="27" operator="lessThanOrEqual">
      <formula>30</formula>
    </cfRule>
    <cfRule type="cellIs" dxfId="529" priority="28" operator="lessThanOrEqual">
      <formula>35</formula>
    </cfRule>
    <cfRule type="cellIs" dxfId="528" priority="29" operator="greaterThan">
      <formula>35</formula>
    </cfRule>
  </conditionalFormatting>
  <conditionalFormatting sqref="O88">
    <cfRule type="expression" dxfId="527" priority="17">
      <formula>IF(O88&gt;$O$19,TRUE,FALSE)</formula>
    </cfRule>
  </conditionalFormatting>
  <conditionalFormatting sqref="O89:O92">
    <cfRule type="expression" dxfId="526" priority="18">
      <formula>$O$24&gt;50</formula>
    </cfRule>
    <cfRule type="expression" dxfId="525" priority="19">
      <formula>$O$24&lt;3</formula>
    </cfRule>
  </conditionalFormatting>
  <conditionalFormatting sqref="O96:O99">
    <cfRule type="expression" dxfId="524" priority="15">
      <formula>$O$24&gt;50</formula>
    </cfRule>
    <cfRule type="expression" dxfId="523" priority="16">
      <formula>$O$24&lt;3</formula>
    </cfRule>
  </conditionalFormatting>
  <conditionalFormatting sqref="O106:O109">
    <cfRule type="expression" dxfId="522" priority="13">
      <formula>$O$24&gt;50</formula>
    </cfRule>
    <cfRule type="expression" dxfId="521" priority="14">
      <formula>$O$24&lt;3</formula>
    </cfRule>
  </conditionalFormatting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10241" r:id="rId4">
          <objectPr defaultSize="0" autoPict="0" r:id="rId5">
            <anchor moveWithCells="1">
              <from>
                <xdr:col>7</xdr:col>
                <xdr:colOff>28575</xdr:colOff>
                <xdr:row>21</xdr:row>
                <xdr:rowOff>0</xdr:rowOff>
              </from>
              <to>
                <xdr:col>7</xdr:col>
                <xdr:colOff>152400</xdr:colOff>
                <xdr:row>21</xdr:row>
                <xdr:rowOff>171450</xdr:rowOff>
              </to>
            </anchor>
          </objectPr>
        </oleObject>
      </mc:Choice>
      <mc:Fallback>
        <oleObject progId="Equation.3" shapeId="10241" r:id="rId4"/>
      </mc:Fallback>
    </mc:AlternateContent>
    <mc:AlternateContent xmlns:mc="http://schemas.openxmlformats.org/markup-compatibility/2006">
      <mc:Choice Requires="x14">
        <oleObject progId="Equation.3" shapeId="10242" r:id="rId6">
          <objectPr defaultSize="0" autoPict="0" r:id="rId5">
            <anchor moveWithCells="1">
              <from>
                <xdr:col>7</xdr:col>
                <xdr:colOff>28575</xdr:colOff>
                <xdr:row>76</xdr:row>
                <xdr:rowOff>0</xdr:rowOff>
              </from>
              <to>
                <xdr:col>7</xdr:col>
                <xdr:colOff>152400</xdr:colOff>
                <xdr:row>76</xdr:row>
                <xdr:rowOff>171450</xdr:rowOff>
              </to>
            </anchor>
          </objectPr>
        </oleObject>
      </mc:Choice>
      <mc:Fallback>
        <oleObject progId="Equation.3" shapeId="10242" r:id="rId6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8"/>
  <dimension ref="A1:AX172"/>
  <sheetViews>
    <sheetView workbookViewId="0"/>
  </sheetViews>
  <sheetFormatPr defaultRowHeight="15" x14ac:dyDescent="0.25"/>
  <cols>
    <col min="1" max="1" width="3.28515625" customWidth="1"/>
    <col min="4" max="4" width="12.28515625" customWidth="1"/>
    <col min="5" max="5" width="12.28515625" hidden="1" customWidth="1"/>
    <col min="6" max="6" width="7.28515625" hidden="1" customWidth="1"/>
    <col min="7" max="8" width="5.5703125" hidden="1" customWidth="1"/>
    <col min="9" max="42" width="5" style="3" customWidth="1"/>
    <col min="43" max="50" width="5" style="2" customWidth="1"/>
  </cols>
  <sheetData>
    <row r="1" spans="1:50" ht="15.75" thickBot="1" x14ac:dyDescent="0.3"/>
    <row r="2" spans="1:50" hidden="1" x14ac:dyDescent="0.25">
      <c r="C2" s="2" t="s">
        <v>62</v>
      </c>
      <c r="D2" s="43" t="s">
        <v>69</v>
      </c>
      <c r="E2" s="43"/>
      <c r="F2" s="93">
        <v>7</v>
      </c>
      <c r="G2" s="260"/>
      <c r="H2" s="260"/>
    </row>
    <row r="3" spans="1:50" hidden="1" x14ac:dyDescent="0.25">
      <c r="C3" s="2"/>
      <c r="D3" s="43" t="s">
        <v>70</v>
      </c>
      <c r="E3" s="43"/>
      <c r="F3" s="93">
        <v>21</v>
      </c>
      <c r="G3" s="260"/>
      <c r="H3" s="260"/>
    </row>
    <row r="4" spans="1:50" hidden="1" x14ac:dyDescent="0.25">
      <c r="C4" s="2"/>
      <c r="D4" s="43" t="s">
        <v>78</v>
      </c>
      <c r="E4" s="43"/>
      <c r="F4" s="93">
        <f>SQRT(ABS(12/F14))</f>
        <v>1</v>
      </c>
      <c r="G4" s="260" t="s">
        <v>85</v>
      </c>
      <c r="H4" s="260"/>
    </row>
    <row r="5" spans="1:50" hidden="1" x14ac:dyDescent="0.25">
      <c r="C5" s="2"/>
      <c r="D5" s="43" t="s">
        <v>81</v>
      </c>
      <c r="E5" s="43"/>
      <c r="F5" s="93">
        <f>SQRT(1.209*F13^-0.199)</f>
        <v>1.0037328076321883</v>
      </c>
      <c r="G5" s="260" t="s">
        <v>86</v>
      </c>
      <c r="H5" s="260"/>
    </row>
    <row r="6" spans="1:50" hidden="1" x14ac:dyDescent="0.25">
      <c r="C6" s="2"/>
      <c r="D6" s="43" t="s">
        <v>82</v>
      </c>
      <c r="E6" s="43"/>
      <c r="F6" s="93">
        <f>SQRT(2.5/F13)</f>
        <v>1</v>
      </c>
      <c r="G6" s="260" t="s">
        <v>87</v>
      </c>
      <c r="H6" s="260"/>
    </row>
    <row r="7" spans="1:50" hidden="1" x14ac:dyDescent="0.25">
      <c r="C7" s="2"/>
      <c r="D7" s="43" t="s">
        <v>83</v>
      </c>
      <c r="E7" s="43"/>
      <c r="F7" s="277">
        <f>SQRT(195/145)</f>
        <v>1.1596670152276025</v>
      </c>
      <c r="G7" s="260" t="s">
        <v>84</v>
      </c>
      <c r="H7" s="260"/>
    </row>
    <row r="8" spans="1:50" hidden="1" x14ac:dyDescent="0.25">
      <c r="C8" s="2"/>
      <c r="D8" s="43" t="s">
        <v>91</v>
      </c>
      <c r="E8" s="43"/>
      <c r="F8" s="277">
        <f>SQRT(19.92*F9^2.153)</f>
        <v>0.94595466606773282</v>
      </c>
      <c r="G8" s="260" t="s">
        <v>92</v>
      </c>
      <c r="H8" s="260"/>
    </row>
    <row r="9" spans="1:50" hidden="1" x14ac:dyDescent="0.25">
      <c r="C9" s="2"/>
      <c r="D9" s="43" t="s">
        <v>52</v>
      </c>
      <c r="E9" s="43"/>
      <c r="F9" s="276">
        <f>0.679-4.915*10^-3*F15</f>
        <v>0.23665000000000003</v>
      </c>
      <c r="G9" s="260" t="s">
        <v>90</v>
      </c>
      <c r="H9" s="260"/>
    </row>
    <row r="10" spans="1:50" hidden="1" x14ac:dyDescent="0.25">
      <c r="C10" s="2"/>
      <c r="D10" s="43" t="s">
        <v>94</v>
      </c>
      <c r="E10" s="43"/>
      <c r="F10" s="277">
        <v>1.9</v>
      </c>
      <c r="G10" s="260"/>
      <c r="H10" s="260"/>
    </row>
    <row r="11" spans="1:50" ht="15.75" hidden="1" thickBot="1" x14ac:dyDescent="0.3">
      <c r="C11" s="2"/>
      <c r="D11" s="13"/>
      <c r="E11" s="13"/>
      <c r="G11" s="260"/>
      <c r="H11" s="260"/>
    </row>
    <row r="12" spans="1:50" ht="16.5" hidden="1" thickTop="1" thickBot="1" x14ac:dyDescent="0.3">
      <c r="C12" s="2"/>
      <c r="D12" s="13"/>
      <c r="E12" s="13"/>
      <c r="F12" s="240" t="s">
        <v>41</v>
      </c>
    </row>
    <row r="13" spans="1:50" ht="16.5" hidden="1" thickTop="1" thickBot="1" x14ac:dyDescent="0.3">
      <c r="C13" s="2"/>
      <c r="E13" s="125" t="s">
        <v>54</v>
      </c>
      <c r="F13" s="376">
        <v>2.5</v>
      </c>
      <c r="G13" s="152" t="s">
        <v>32</v>
      </c>
      <c r="H13" s="123" t="s">
        <v>102</v>
      </c>
      <c r="I13"/>
      <c r="J13"/>
      <c r="K13"/>
      <c r="L13"/>
    </row>
    <row r="14" spans="1:50" ht="16.5" thickTop="1" thickBot="1" x14ac:dyDescent="0.3">
      <c r="B14" s="299" t="s">
        <v>63</v>
      </c>
      <c r="C14" s="139" t="s">
        <v>115</v>
      </c>
      <c r="E14" s="132" t="s">
        <v>53</v>
      </c>
      <c r="F14" s="364">
        <v>-12</v>
      </c>
      <c r="G14" s="153" t="s">
        <v>34</v>
      </c>
      <c r="H14" s="123" t="s">
        <v>100</v>
      </c>
    </row>
    <row r="15" spans="1:50" ht="16.5" thickTop="1" thickBot="1" x14ac:dyDescent="0.3">
      <c r="A15" s="2"/>
      <c r="B15" s="300" t="s">
        <v>64</v>
      </c>
      <c r="C15" s="242" t="s">
        <v>33</v>
      </c>
      <c r="D15" s="241" t="s">
        <v>154</v>
      </c>
      <c r="E15" s="13" t="s">
        <v>88</v>
      </c>
      <c r="F15" s="372">
        <v>90</v>
      </c>
      <c r="G15" s="153" t="s">
        <v>89</v>
      </c>
      <c r="H15" s="123" t="s">
        <v>101</v>
      </c>
    </row>
    <row r="16" spans="1:50" ht="16.5" thickTop="1" thickBot="1" x14ac:dyDescent="0.3">
      <c r="B16" s="301" t="s">
        <v>97</v>
      </c>
      <c r="C16" s="298">
        <v>577</v>
      </c>
      <c r="D16" s="498" t="s">
        <v>55</v>
      </c>
      <c r="E16" s="13"/>
      <c r="F16" s="372">
        <v>100</v>
      </c>
      <c r="G16" s="262" t="s">
        <v>15</v>
      </c>
      <c r="H16" s="334"/>
      <c r="I16" s="235">
        <v>30</v>
      </c>
      <c r="J16" s="202">
        <v>40</v>
      </c>
      <c r="K16" s="202">
        <v>50</v>
      </c>
      <c r="L16" s="202">
        <v>60</v>
      </c>
      <c r="M16" s="202">
        <v>70</v>
      </c>
      <c r="N16" s="202">
        <v>80</v>
      </c>
      <c r="O16" s="202">
        <v>90</v>
      </c>
      <c r="P16" s="202">
        <v>100</v>
      </c>
      <c r="Q16" s="202">
        <v>110</v>
      </c>
      <c r="R16" s="202">
        <v>120</v>
      </c>
      <c r="S16" s="202">
        <v>130</v>
      </c>
      <c r="T16" s="202">
        <v>140</v>
      </c>
      <c r="U16" s="202">
        <v>150</v>
      </c>
      <c r="V16" s="202">
        <v>160</v>
      </c>
      <c r="W16" s="202">
        <v>170</v>
      </c>
      <c r="X16" s="202">
        <v>180</v>
      </c>
      <c r="Y16" s="202">
        <v>190</v>
      </c>
      <c r="Z16" s="202">
        <v>200</v>
      </c>
      <c r="AA16" s="202">
        <v>210</v>
      </c>
      <c r="AB16" s="202">
        <v>220</v>
      </c>
      <c r="AC16" s="202">
        <v>230</v>
      </c>
      <c r="AD16" s="202">
        <v>240</v>
      </c>
      <c r="AE16" s="202">
        <v>250</v>
      </c>
      <c r="AF16" s="202">
        <v>260</v>
      </c>
      <c r="AG16" s="203">
        <v>270</v>
      </c>
      <c r="AH16" s="128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</row>
    <row r="17" spans="2:50" ht="15.75" thickTop="1" x14ac:dyDescent="0.25">
      <c r="B17" s="139"/>
      <c r="C17" s="139"/>
      <c r="D17" s="125" t="s">
        <v>22</v>
      </c>
      <c r="E17" s="125"/>
      <c r="F17" s="218">
        <f>1.359*10^-3*(F$16/($C$16*10^-3*$B35*10^-3)*(0.507*0.171))^2.0302</f>
        <v>36.431546830746036</v>
      </c>
      <c r="G17" s="149" t="s">
        <v>6</v>
      </c>
      <c r="I17" s="169">
        <f t="shared" ref="I17:Q17" si="0">1.359*10^-3*(I$16/($C$16*10^-3*$B35*10^-3)*(0.507*0.171))^2.0302</f>
        <v>3.1617620505713497</v>
      </c>
      <c r="J17" s="206">
        <f t="shared" si="0"/>
        <v>5.6699575255305419</v>
      </c>
      <c r="K17" s="206">
        <f t="shared" si="0"/>
        <v>8.9192125585135749</v>
      </c>
      <c r="L17" s="206">
        <f t="shared" si="0"/>
        <v>12.914579785758823</v>
      </c>
      <c r="M17" s="206">
        <f t="shared" si="0"/>
        <v>17.660201397805086</v>
      </c>
      <c r="N17" s="206">
        <f t="shared" si="0"/>
        <v>23.159591921882829</v>
      </c>
      <c r="O17" s="206">
        <f t="shared" si="0"/>
        <v>29.415806078216448</v>
      </c>
      <c r="P17" s="206">
        <f t="shared" si="0"/>
        <v>36.431546830746036</v>
      </c>
      <c r="Q17" s="207">
        <f t="shared" si="0"/>
        <v>44.209239138079681</v>
      </c>
      <c r="R17" s="75"/>
      <c r="S17" s="75"/>
      <c r="T17" s="75"/>
      <c r="U17" s="75"/>
      <c r="V17" s="75"/>
      <c r="W17" s="75"/>
      <c r="X17" s="75"/>
      <c r="Y17" s="126"/>
      <c r="Z17" s="126"/>
      <c r="AA17" s="126"/>
      <c r="AB17" s="160"/>
      <c r="AC17" s="155" t="s">
        <v>14</v>
      </c>
      <c r="AD17" s="156" t="s">
        <v>20</v>
      </c>
      <c r="AE17" s="157" t="s">
        <v>21</v>
      </c>
      <c r="AF17" s="158" t="s">
        <v>18</v>
      </c>
      <c r="AG17" s="152" t="s">
        <v>6</v>
      </c>
      <c r="AH17" s="15"/>
      <c r="AI17"/>
      <c r="AJ17"/>
      <c r="AK17"/>
      <c r="AR17"/>
      <c r="AS17" s="12"/>
      <c r="AT17" s="43"/>
      <c r="AU17" s="3"/>
      <c r="AV17" s="3"/>
      <c r="AW17" s="3"/>
      <c r="AX17" s="3"/>
    </row>
    <row r="18" spans="2:50" x14ac:dyDescent="0.25">
      <c r="B18" s="147" t="s">
        <v>38</v>
      </c>
      <c r="C18" s="147" t="s">
        <v>117</v>
      </c>
      <c r="D18" s="132" t="s">
        <v>46</v>
      </c>
      <c r="E18" s="132"/>
      <c r="F18" s="229">
        <f>IF(-114.08+32.01*LN(F$16/($C$16*$B35)*(507*171))+10*LOG($C$16*$B35/(507*171))&lt;15,"&lt;15",-114.08+32.01*LN(F$16/($C$16*$B35)*(507*171))+10*LOG($C$16*$B35/(507*171)))</f>
        <v>44.874537348628131</v>
      </c>
      <c r="G18" s="136" t="s">
        <v>49</v>
      </c>
      <c r="I18" s="230" t="str">
        <f t="shared" ref="I18:Q18" si="1">IF(-114.08+32.01*LN(I$16/($C$16*$B35)*(507*171))+10*LOG($C$16*$B35/(507*171))&lt;15,"&lt;15",-114.08+32.01*LN(I$16/($C$16*$B35)*(507*171))+10*LOG($C$16*$B35/(507*171)))</f>
        <v>&lt;15</v>
      </c>
      <c r="J18" s="231">
        <f t="shared" si="1"/>
        <v>15.544071021336428</v>
      </c>
      <c r="K18" s="231">
        <f t="shared" si="1"/>
        <v>22.686896098904292</v>
      </c>
      <c r="L18" s="231">
        <f t="shared" si="1"/>
        <v>28.523009131878773</v>
      </c>
      <c r="M18" s="231">
        <f t="shared" si="1"/>
        <v>33.457372393149306</v>
      </c>
      <c r="N18" s="231">
        <f t="shared" si="1"/>
        <v>37.731712271060296</v>
      </c>
      <c r="O18" s="231">
        <f t="shared" si="1"/>
        <v>41.501947242421117</v>
      </c>
      <c r="P18" s="231">
        <f t="shared" si="1"/>
        <v>44.874537348628131</v>
      </c>
      <c r="Q18" s="232">
        <f t="shared" si="1"/>
        <v>47.92541620416457</v>
      </c>
      <c r="R18"/>
      <c r="S18"/>
      <c r="T18"/>
      <c r="U18"/>
      <c r="V18"/>
      <c r="W18"/>
      <c r="X18"/>
      <c r="AB18" s="174"/>
      <c r="AC18" s="163" t="s">
        <v>19</v>
      </c>
      <c r="AD18" s="9" t="s">
        <v>47</v>
      </c>
      <c r="AE18" s="10" t="s">
        <v>18</v>
      </c>
      <c r="AF18" s="11" t="s">
        <v>48</v>
      </c>
      <c r="AG18" s="153" t="s">
        <v>49</v>
      </c>
      <c r="AH18" s="15"/>
      <c r="AI18"/>
      <c r="AJ18"/>
      <c r="AK18"/>
      <c r="AR18"/>
      <c r="AS18" s="12"/>
      <c r="AT18" s="43"/>
      <c r="AU18" s="3"/>
      <c r="AV18" s="3"/>
      <c r="AW18" s="3"/>
      <c r="AX18" s="3"/>
    </row>
    <row r="19" spans="2:50" x14ac:dyDescent="0.25">
      <c r="B19" s="242" t="s">
        <v>33</v>
      </c>
      <c r="C19" s="242" t="s">
        <v>35</v>
      </c>
      <c r="D19" s="132" t="s">
        <v>23</v>
      </c>
      <c r="E19" s="132"/>
      <c r="F19" s="229">
        <f>IF(-15-114.08+32.01*LN(F$16/($C$16*$B35)*(507*171))+10*LOG($C$16*$B35/(507*171))&lt;5,"&lt;5",-15-114.08+32.01*LN(F$16/($C$16*$B35)*(507*171))+10*LOG($C$16*$B35/(507*171)))</f>
        <v>29.874537348628145</v>
      </c>
      <c r="G19" s="136" t="s">
        <v>42</v>
      </c>
      <c r="I19" s="230" t="str">
        <f t="shared" ref="I19:Q19" si="2">IF(-15-114.08+32.01*LN(I$16/($C$16*$B35)*(507*171))+10*LOG($C$16*$B35/(507*171))&lt;5,"&lt;5",-15-114.08+32.01*LN(I$16/($C$16*$B35)*(507*171))+10*LOG($C$16*$B35/(507*171)))</f>
        <v>&lt;5</v>
      </c>
      <c r="J19" s="231" t="str">
        <f t="shared" si="2"/>
        <v>&lt;5</v>
      </c>
      <c r="K19" s="231">
        <f t="shared" si="2"/>
        <v>7.6868960989043051</v>
      </c>
      <c r="L19" s="231">
        <f t="shared" si="2"/>
        <v>13.523009131878787</v>
      </c>
      <c r="M19" s="231">
        <f t="shared" si="2"/>
        <v>18.457372393149321</v>
      </c>
      <c r="N19" s="231">
        <f t="shared" si="2"/>
        <v>22.73171227106031</v>
      </c>
      <c r="O19" s="231">
        <f t="shared" si="2"/>
        <v>26.501947242421132</v>
      </c>
      <c r="P19" s="231">
        <f t="shared" si="2"/>
        <v>29.874537348628145</v>
      </c>
      <c r="Q19" s="232">
        <f t="shared" si="2"/>
        <v>32.925416204164584</v>
      </c>
      <c r="R19"/>
      <c r="S19"/>
      <c r="T19"/>
      <c r="U19"/>
      <c r="V19"/>
      <c r="W19"/>
      <c r="X19"/>
      <c r="AB19" s="174"/>
      <c r="AC19" s="168" t="s">
        <v>16</v>
      </c>
      <c r="AD19" s="165" t="s">
        <v>20</v>
      </c>
      <c r="AE19" s="166" t="s">
        <v>51</v>
      </c>
      <c r="AF19" s="167" t="s">
        <v>21</v>
      </c>
      <c r="AG19" s="234" t="s">
        <v>42</v>
      </c>
      <c r="AH19" s="15"/>
      <c r="AI19"/>
      <c r="AJ19"/>
      <c r="AK19"/>
      <c r="AL19"/>
      <c r="AR19"/>
      <c r="AS19" s="13"/>
      <c r="AT19" s="12"/>
      <c r="AU19" s="3"/>
      <c r="AV19" s="3"/>
      <c r="AW19" s="3"/>
      <c r="AX19" s="3"/>
    </row>
    <row r="20" spans="2:50" hidden="1" x14ac:dyDescent="0.25">
      <c r="B20" s="242"/>
      <c r="C20" s="2"/>
      <c r="D20" s="43" t="s">
        <v>71</v>
      </c>
      <c r="E20" s="43"/>
      <c r="F20" s="106">
        <f>1.075*0.707*F31</f>
        <v>2.4594643195761146</v>
      </c>
      <c r="G20" s="136"/>
      <c r="I20" s="264">
        <f t="shared" ref="I20:Q20" si="3">1.075*0.707*I31</f>
        <v>1.2950924921630536</v>
      </c>
      <c r="J20" s="231">
        <f t="shared" si="3"/>
        <v>1.499535618841336</v>
      </c>
      <c r="K20" s="231">
        <f t="shared" si="3"/>
        <v>1.6824579415814274</v>
      </c>
      <c r="L20" s="231">
        <f t="shared" si="3"/>
        <v>1.851022785755732</v>
      </c>
      <c r="M20" s="231">
        <f t="shared" si="3"/>
        <v>2.0095742058492569</v>
      </c>
      <c r="N20" s="106">
        <f t="shared" si="3"/>
        <v>2.1610123270271253</v>
      </c>
      <c r="O20" s="231">
        <f t="shared" si="3"/>
        <v>2.307408355261849</v>
      </c>
      <c r="P20" s="231">
        <f t="shared" si="3"/>
        <v>2.4503177547598605</v>
      </c>
      <c r="Q20" s="232">
        <f t="shared" si="3"/>
        <v>2.590955202504996</v>
      </c>
      <c r="R20" s="259"/>
      <c r="S20" s="259"/>
      <c r="T20" s="259"/>
      <c r="U20" s="259"/>
      <c r="V20" s="259"/>
      <c r="AF20"/>
      <c r="AG20"/>
      <c r="AH20"/>
      <c r="AI20" s="90"/>
      <c r="AJ20" s="90"/>
      <c r="AK20" s="90"/>
      <c r="AL20" s="43"/>
      <c r="AO20" s="2"/>
      <c r="AP20"/>
      <c r="AQ20" s="13"/>
      <c r="AR20" s="12"/>
      <c r="AS20" s="3"/>
      <c r="AT20" s="3"/>
      <c r="AU20" s="3"/>
      <c r="AV20" s="3"/>
      <c r="AW20"/>
      <c r="AX20"/>
    </row>
    <row r="21" spans="2:50" hidden="1" x14ac:dyDescent="0.25">
      <c r="B21" s="242"/>
      <c r="C21" s="2"/>
      <c r="D21" s="43" t="s">
        <v>72</v>
      </c>
      <c r="E21" s="43"/>
      <c r="F21" s="106">
        <f>1.075*0.707*F32</f>
        <v>6.2791569672792349</v>
      </c>
      <c r="G21" s="136"/>
      <c r="I21" s="264">
        <f t="shared" ref="I21:Q21" si="4">1.075*0.707*I32</f>
        <v>2.3916352229573885</v>
      </c>
      <c r="J21" s="231">
        <f t="shared" si="4"/>
        <v>2.8528186355331369</v>
      </c>
      <c r="K21" s="231">
        <f t="shared" si="4"/>
        <v>3.3216333378628802</v>
      </c>
      <c r="L21" s="231">
        <f t="shared" si="4"/>
        <v>3.8165840294503286</v>
      </c>
      <c r="M21" s="231">
        <f t="shared" si="4"/>
        <v>4.3506405790363241</v>
      </c>
      <c r="N21" s="106">
        <f t="shared" si="4"/>
        <v>4.9338078265144398</v>
      </c>
      <c r="O21" s="231">
        <f t="shared" si="4"/>
        <v>5.5743005244256087</v>
      </c>
      <c r="P21" s="231">
        <f t="shared" si="4"/>
        <v>6.2791569672792349</v>
      </c>
      <c r="Q21" s="232">
        <f t="shared" si="4"/>
        <v>7.0545915600965934</v>
      </c>
      <c r="R21" s="259"/>
      <c r="S21" s="259"/>
      <c r="T21" s="259"/>
      <c r="U21" s="259"/>
      <c r="V21" s="259"/>
      <c r="AF21"/>
      <c r="AG21"/>
      <c r="AH21"/>
      <c r="AI21" s="90"/>
      <c r="AJ21" s="90"/>
      <c r="AK21" s="90"/>
      <c r="AL21" s="43"/>
      <c r="AO21" s="2"/>
      <c r="AP21"/>
      <c r="AQ21" s="13"/>
      <c r="AR21" s="12"/>
      <c r="AS21" s="3"/>
      <c r="AT21" s="3"/>
      <c r="AU21" s="3"/>
      <c r="AV21" s="3"/>
      <c r="AW21"/>
      <c r="AX21"/>
    </row>
    <row r="22" spans="2:50" hidden="1" x14ac:dyDescent="0.25">
      <c r="B22" s="242"/>
      <c r="C22" s="2"/>
      <c r="D22" s="43" t="s">
        <v>79</v>
      </c>
      <c r="E22" s="43"/>
      <c r="F22" s="106">
        <f>1.075*0.707*F33</f>
        <v>6.3170162295614087</v>
      </c>
      <c r="G22" s="136"/>
      <c r="I22" s="264">
        <f t="shared" ref="I22:Q22" si="5">1.075*0.707*I33</f>
        <v>1.8951048688684227</v>
      </c>
      <c r="J22" s="231">
        <f t="shared" si="5"/>
        <v>2.5268064918245634</v>
      </c>
      <c r="K22" s="231">
        <f t="shared" si="5"/>
        <v>3.1585081147807044</v>
      </c>
      <c r="L22" s="231">
        <f t="shared" si="5"/>
        <v>3.7902097377368453</v>
      </c>
      <c r="M22" s="231">
        <f t="shared" si="5"/>
        <v>4.4219113606929872</v>
      </c>
      <c r="N22" s="106">
        <f t="shared" si="5"/>
        <v>5.0536129836491268</v>
      </c>
      <c r="O22" s="231">
        <f t="shared" si="5"/>
        <v>5.6853146066052673</v>
      </c>
      <c r="P22" s="231">
        <f t="shared" si="5"/>
        <v>6.3170162295614087</v>
      </c>
      <c r="Q22" s="232">
        <f t="shared" si="5"/>
        <v>6.9487178525175493</v>
      </c>
      <c r="R22" s="259"/>
      <c r="S22" s="259"/>
      <c r="T22" s="259"/>
      <c r="U22" s="259"/>
      <c r="V22" s="259"/>
      <c r="AF22"/>
      <c r="AG22"/>
      <c r="AH22"/>
      <c r="AI22" s="90"/>
      <c r="AJ22" s="90"/>
      <c r="AK22" s="90"/>
      <c r="AL22" s="43"/>
      <c r="AO22" s="2"/>
      <c r="AP22"/>
      <c r="AQ22" s="13"/>
      <c r="AR22" s="12"/>
      <c r="AS22" s="3"/>
      <c r="AT22" s="3"/>
      <c r="AU22" s="3"/>
      <c r="AV22" s="3"/>
      <c r="AW22"/>
      <c r="AX22"/>
    </row>
    <row r="23" spans="2:50" hidden="1" x14ac:dyDescent="0.25">
      <c r="B23" s="242"/>
      <c r="C23" s="2"/>
      <c r="D23" s="43" t="s">
        <v>73</v>
      </c>
      <c r="E23" s="43"/>
      <c r="F23" s="106">
        <f>1.075*1.225*F31</f>
        <v>4.2614480784734665</v>
      </c>
      <c r="G23" s="136"/>
      <c r="I23" s="264">
        <f t="shared" ref="I23:Q23" si="6">1.075*1.225*I31</f>
        <v>2.2439721398864791</v>
      </c>
      <c r="J23" s="231">
        <f t="shared" si="6"/>
        <v>2.5982052801706321</v>
      </c>
      <c r="K23" s="231">
        <f t="shared" si="6"/>
        <v>2.9151498987797013</v>
      </c>
      <c r="L23" s="231">
        <f t="shared" si="6"/>
        <v>3.2072176980916152</v>
      </c>
      <c r="M23" s="231">
        <f t="shared" si="6"/>
        <v>3.4819355051843561</v>
      </c>
      <c r="N23" s="106">
        <f t="shared" si="6"/>
        <v>3.7443282894034349</v>
      </c>
      <c r="O23" s="231">
        <f t="shared" si="6"/>
        <v>3.9979847739685508</v>
      </c>
      <c r="P23" s="231">
        <f t="shared" si="6"/>
        <v>4.2456000701284715</v>
      </c>
      <c r="Q23" s="232">
        <f t="shared" si="6"/>
        <v>4.4892788162215282</v>
      </c>
      <c r="R23" s="259"/>
      <c r="S23" s="259"/>
      <c r="T23" s="259"/>
      <c r="U23" s="259"/>
      <c r="V23" s="259"/>
      <c r="AF23"/>
      <c r="AG23"/>
      <c r="AH23"/>
      <c r="AI23" s="90"/>
      <c r="AJ23" s="90"/>
      <c r="AK23" s="90"/>
      <c r="AL23" s="43"/>
      <c r="AO23" s="2"/>
      <c r="AP23"/>
      <c r="AQ23" s="13"/>
      <c r="AR23" s="12"/>
      <c r="AS23" s="3"/>
      <c r="AT23" s="3"/>
      <c r="AU23" s="3"/>
      <c r="AV23" s="3"/>
      <c r="AW23"/>
      <c r="AX23"/>
    </row>
    <row r="24" spans="2:50" hidden="1" x14ac:dyDescent="0.25">
      <c r="B24" s="242"/>
      <c r="C24" s="2"/>
      <c r="D24" s="43" t="s">
        <v>74</v>
      </c>
      <c r="E24" s="43"/>
      <c r="F24" s="106">
        <f>1.075*1.225*F32</f>
        <v>10.879727418553131</v>
      </c>
      <c r="G24" s="136"/>
      <c r="I24" s="264">
        <f t="shared" ref="I24:Q24" si="7">1.075*1.225*I32</f>
        <v>4.1439224160152772</v>
      </c>
      <c r="J24" s="231">
        <f t="shared" si="7"/>
        <v>4.9430025863197917</v>
      </c>
      <c r="K24" s="231">
        <f t="shared" si="7"/>
        <v>5.7553052883762783</v>
      </c>
      <c r="L24" s="231">
        <f t="shared" si="7"/>
        <v>6.6128931203347285</v>
      </c>
      <c r="M24" s="231">
        <f t="shared" si="7"/>
        <v>7.5382386270431363</v>
      </c>
      <c r="N24" s="106">
        <f t="shared" si="7"/>
        <v>8.5486769271289802</v>
      </c>
      <c r="O24" s="231">
        <f t="shared" si="7"/>
        <v>9.6584415027176398</v>
      </c>
      <c r="P24" s="231">
        <f t="shared" si="7"/>
        <v>10.879727418553131</v>
      </c>
      <c r="Q24" s="232">
        <f t="shared" si="7"/>
        <v>12.223302208088157</v>
      </c>
      <c r="R24" s="259"/>
      <c r="S24" s="259"/>
      <c r="T24" s="259"/>
      <c r="U24" s="259"/>
      <c r="V24" s="259"/>
      <c r="AF24"/>
      <c r="AG24"/>
      <c r="AH24"/>
      <c r="AI24" s="90"/>
      <c r="AJ24" s="90"/>
      <c r="AK24" s="90"/>
      <c r="AL24" s="43"/>
      <c r="AO24" s="2"/>
      <c r="AP24"/>
      <c r="AQ24" s="13"/>
      <c r="AR24" s="12"/>
      <c r="AS24" s="3"/>
      <c r="AT24" s="3"/>
      <c r="AU24" s="3"/>
      <c r="AV24" s="3"/>
      <c r="AW24"/>
      <c r="AX24"/>
    </row>
    <row r="25" spans="2:50" hidden="1" x14ac:dyDescent="0.25">
      <c r="B25" s="242"/>
      <c r="C25" s="2"/>
      <c r="D25" s="43" t="s">
        <v>80</v>
      </c>
      <c r="E25" s="43"/>
      <c r="F25" s="106">
        <f>1.075*1.225*F33</f>
        <v>10.945325150230165</v>
      </c>
      <c r="G25" s="136"/>
      <c r="I25" s="264">
        <f t="shared" ref="I25:Q25" si="8">1.075*1.225*I33</f>
        <v>3.2835975450690498</v>
      </c>
      <c r="J25" s="231">
        <f t="shared" si="8"/>
        <v>4.3781300600920661</v>
      </c>
      <c r="K25" s="231">
        <f t="shared" si="8"/>
        <v>5.4726625751150824</v>
      </c>
      <c r="L25" s="231">
        <f t="shared" si="8"/>
        <v>6.5671950901380995</v>
      </c>
      <c r="M25" s="231">
        <f t="shared" si="8"/>
        <v>7.6617276051611167</v>
      </c>
      <c r="N25" s="106">
        <f t="shared" si="8"/>
        <v>8.7562601201841321</v>
      </c>
      <c r="O25" s="231">
        <f t="shared" si="8"/>
        <v>9.8507926352071475</v>
      </c>
      <c r="P25" s="231">
        <f t="shared" si="8"/>
        <v>10.945325150230165</v>
      </c>
      <c r="Q25" s="232">
        <f t="shared" si="8"/>
        <v>12.03985766525318</v>
      </c>
      <c r="R25" s="259"/>
      <c r="S25" s="259"/>
      <c r="T25" s="259"/>
      <c r="U25" s="259"/>
      <c r="V25" s="259"/>
      <c r="AF25"/>
      <c r="AG25"/>
      <c r="AH25"/>
      <c r="AI25" s="90"/>
      <c r="AJ25" s="90"/>
      <c r="AK25" s="90"/>
      <c r="AL25" s="43"/>
      <c r="AO25" s="2"/>
      <c r="AP25"/>
      <c r="AQ25" s="13"/>
      <c r="AR25" s="12"/>
      <c r="AS25" s="3"/>
      <c r="AT25" s="3"/>
      <c r="AU25" s="3"/>
      <c r="AV25" s="3"/>
      <c r="AW25"/>
      <c r="AX25"/>
    </row>
    <row r="26" spans="2:50" ht="15.75" thickBot="1" x14ac:dyDescent="0.3">
      <c r="B26" s="151"/>
      <c r="C26" s="289"/>
      <c r="D26" s="145" t="s">
        <v>93</v>
      </c>
      <c r="E26" s="145"/>
      <c r="F26" s="283">
        <f>2+(F$16/$C$16*$F$10/$F$8^3)</f>
        <v>2.3890154200184459</v>
      </c>
      <c r="G26" s="214" t="s">
        <v>32</v>
      </c>
      <c r="I26" s="284">
        <f t="shared" ref="I26:Q26" si="9">2+(I$16/$C$16*$F$10/$F$8^3)</f>
        <v>2.1167046260055336</v>
      </c>
      <c r="J26" s="285">
        <f t="shared" si="9"/>
        <v>2.1556061680073784</v>
      </c>
      <c r="K26" s="285">
        <f t="shared" si="9"/>
        <v>2.1945077100092227</v>
      </c>
      <c r="L26" s="285">
        <f t="shared" si="9"/>
        <v>2.2334092520110675</v>
      </c>
      <c r="M26" s="285">
        <f t="shared" si="9"/>
        <v>2.2723107940129119</v>
      </c>
      <c r="N26" s="285">
        <f t="shared" si="9"/>
        <v>2.3112123360147567</v>
      </c>
      <c r="O26" s="285">
        <f t="shared" si="9"/>
        <v>2.3501138780166011</v>
      </c>
      <c r="P26" s="285">
        <f t="shared" si="9"/>
        <v>2.3890154200184459</v>
      </c>
      <c r="Q26" s="286">
        <f t="shared" si="9"/>
        <v>2.4279169620202903</v>
      </c>
      <c r="R26" s="93"/>
      <c r="S26" s="93"/>
      <c r="T26" s="93"/>
      <c r="U26" s="93"/>
      <c r="V26" s="93"/>
      <c r="AC26" s="164" t="s">
        <v>43</v>
      </c>
      <c r="AD26" s="154"/>
      <c r="AE26" s="154"/>
      <c r="AF26" s="154"/>
      <c r="AG26" s="161"/>
      <c r="AH26"/>
      <c r="AI26" s="90"/>
      <c r="AJ26" s="90"/>
      <c r="AK26" s="90"/>
      <c r="AL26" s="43"/>
      <c r="AO26" s="2"/>
      <c r="AP26"/>
      <c r="AQ26" s="13"/>
      <c r="AR26" s="12"/>
      <c r="AS26" s="3"/>
      <c r="AT26" s="3"/>
      <c r="AU26" s="3"/>
      <c r="AV26" s="3"/>
      <c r="AW26"/>
      <c r="AX26"/>
    </row>
    <row r="27" spans="2:50" x14ac:dyDescent="0.25">
      <c r="B27" s="140"/>
      <c r="C27" s="243"/>
      <c r="D27" s="132" t="s">
        <v>56</v>
      </c>
      <c r="E27" s="132"/>
      <c r="F27" s="224">
        <f>F20</f>
        <v>2.4594643195761146</v>
      </c>
      <c r="G27" s="136" t="s">
        <v>32</v>
      </c>
      <c r="I27" s="255">
        <f t="shared" ref="I27:Q27" si="10">I20</f>
        <v>1.2950924921630536</v>
      </c>
      <c r="J27" s="176">
        <f t="shared" si="10"/>
        <v>1.499535618841336</v>
      </c>
      <c r="K27" s="176">
        <f t="shared" si="10"/>
        <v>1.6824579415814274</v>
      </c>
      <c r="L27" s="176">
        <f t="shared" si="10"/>
        <v>1.851022785755732</v>
      </c>
      <c r="M27" s="176">
        <f t="shared" si="10"/>
        <v>2.0095742058492569</v>
      </c>
      <c r="N27" s="176">
        <f t="shared" si="10"/>
        <v>2.1610123270271253</v>
      </c>
      <c r="O27" s="176">
        <f t="shared" si="10"/>
        <v>2.307408355261849</v>
      </c>
      <c r="P27" s="176">
        <f t="shared" si="10"/>
        <v>2.4503177547598605</v>
      </c>
      <c r="Q27" s="177">
        <f t="shared" si="10"/>
        <v>2.590955202504996</v>
      </c>
      <c r="R27"/>
      <c r="S27"/>
      <c r="T27"/>
      <c r="U27"/>
      <c r="V27"/>
      <c r="W27"/>
      <c r="X27"/>
      <c r="AC27"/>
      <c r="AD27"/>
      <c r="AE27"/>
      <c r="AF27"/>
      <c r="AG27"/>
      <c r="AH27" s="15"/>
      <c r="AI27"/>
      <c r="AJ27"/>
      <c r="AK27"/>
      <c r="AR27"/>
      <c r="AS27"/>
      <c r="AT27"/>
      <c r="AU27"/>
      <c r="AV27"/>
      <c r="AW27"/>
      <c r="AX27" s="3"/>
    </row>
    <row r="28" spans="2:50" x14ac:dyDescent="0.25">
      <c r="B28" s="140"/>
      <c r="C28" s="247" t="s">
        <v>65</v>
      </c>
      <c r="D28" s="253" t="s">
        <v>57</v>
      </c>
      <c r="E28" s="253"/>
      <c r="F28" s="221">
        <f>IF(F21&lt;F22,F21,F22)</f>
        <v>6.2791569672792349</v>
      </c>
      <c r="G28" s="216" t="s">
        <v>32</v>
      </c>
      <c r="I28" s="178">
        <f t="shared" ref="I28:Q28" si="11">IF(I21&lt;I22,I21,I22)</f>
        <v>1.8951048688684227</v>
      </c>
      <c r="J28" s="179">
        <f t="shared" si="11"/>
        <v>2.5268064918245634</v>
      </c>
      <c r="K28" s="179">
        <f t="shared" si="11"/>
        <v>3.1585081147807044</v>
      </c>
      <c r="L28" s="179">
        <f t="shared" si="11"/>
        <v>3.7902097377368453</v>
      </c>
      <c r="M28" s="179">
        <f t="shared" si="11"/>
        <v>4.3506405790363241</v>
      </c>
      <c r="N28" s="179">
        <f t="shared" si="11"/>
        <v>4.9338078265144398</v>
      </c>
      <c r="O28" s="179">
        <f t="shared" si="11"/>
        <v>5.5743005244256087</v>
      </c>
      <c r="P28" s="179">
        <f t="shared" si="11"/>
        <v>6.2791569672792349</v>
      </c>
      <c r="Q28" s="180">
        <f t="shared" si="11"/>
        <v>6.9487178525175493</v>
      </c>
      <c r="AH28" s="15"/>
      <c r="AI28"/>
      <c r="AJ28"/>
      <c r="AK28"/>
      <c r="AR28"/>
      <c r="AS28"/>
      <c r="AT28"/>
      <c r="AU28"/>
      <c r="AV28"/>
      <c r="AW28"/>
      <c r="AX28" s="3"/>
    </row>
    <row r="29" spans="2:50" x14ac:dyDescent="0.25">
      <c r="B29" s="140"/>
      <c r="C29" s="243" t="s">
        <v>66</v>
      </c>
      <c r="D29" s="252" t="s">
        <v>60</v>
      </c>
      <c r="E29" s="252"/>
      <c r="F29" s="222">
        <f>F23</f>
        <v>4.2614480784734665</v>
      </c>
      <c r="G29" s="217" t="s">
        <v>32</v>
      </c>
      <c r="I29" s="181">
        <f t="shared" ref="I29:Q29" si="12">I23</f>
        <v>2.2439721398864791</v>
      </c>
      <c r="J29" s="182">
        <f t="shared" si="12"/>
        <v>2.5982052801706321</v>
      </c>
      <c r="K29" s="182">
        <f t="shared" si="12"/>
        <v>2.9151498987797013</v>
      </c>
      <c r="L29" s="182">
        <f t="shared" si="12"/>
        <v>3.2072176980916152</v>
      </c>
      <c r="M29" s="182">
        <f t="shared" si="12"/>
        <v>3.4819355051843561</v>
      </c>
      <c r="N29" s="182">
        <f t="shared" si="12"/>
        <v>3.7443282894034349</v>
      </c>
      <c r="O29" s="182">
        <f t="shared" si="12"/>
        <v>3.9979847739685508</v>
      </c>
      <c r="P29" s="182">
        <f t="shared" si="12"/>
        <v>4.2456000701284715</v>
      </c>
      <c r="Q29" s="183">
        <f t="shared" si="12"/>
        <v>4.4892788162215282</v>
      </c>
      <c r="R29"/>
      <c r="S29"/>
      <c r="T29"/>
      <c r="U29"/>
      <c r="V29"/>
      <c r="W29"/>
      <c r="X29"/>
      <c r="AH29" s="15"/>
      <c r="AI29"/>
      <c r="AJ29"/>
      <c r="AK29"/>
      <c r="AS29" s="12"/>
      <c r="AT29" s="12"/>
      <c r="AU29" s="3"/>
      <c r="AV29" s="3"/>
      <c r="AW29" s="3"/>
      <c r="AX29" s="3"/>
    </row>
    <row r="30" spans="2:50" ht="15.75" thickBot="1" x14ac:dyDescent="0.3">
      <c r="B30" s="140"/>
      <c r="C30" s="246"/>
      <c r="D30" s="238" t="s">
        <v>61</v>
      </c>
      <c r="E30" s="238"/>
      <c r="F30" s="223">
        <f t="shared" ref="F30" si="13">IF(F24&lt;F25,F24,F25)</f>
        <v>10.879727418553131</v>
      </c>
      <c r="G30" s="214" t="s">
        <v>32</v>
      </c>
      <c r="I30" s="258">
        <f t="shared" ref="I30:Q30" si="14">IF(I24&lt;I25,I24,I25)</f>
        <v>3.2835975450690498</v>
      </c>
      <c r="J30" s="193">
        <f t="shared" si="14"/>
        <v>4.3781300600920661</v>
      </c>
      <c r="K30" s="193">
        <f t="shared" si="14"/>
        <v>5.4726625751150824</v>
      </c>
      <c r="L30" s="193">
        <f t="shared" si="14"/>
        <v>6.5671950901380995</v>
      </c>
      <c r="M30" s="193">
        <f t="shared" si="14"/>
        <v>7.5382386270431363</v>
      </c>
      <c r="N30" s="193">
        <f t="shared" si="14"/>
        <v>8.5486769271289802</v>
      </c>
      <c r="O30" s="193">
        <f t="shared" si="14"/>
        <v>9.6584415027176398</v>
      </c>
      <c r="P30" s="193">
        <f t="shared" si="14"/>
        <v>10.879727418553131</v>
      </c>
      <c r="Q30" s="194">
        <f t="shared" si="14"/>
        <v>12.03985766525318</v>
      </c>
      <c r="AH30" s="15"/>
      <c r="AI30"/>
      <c r="AJ30"/>
      <c r="AK30"/>
    </row>
    <row r="31" spans="2:50" hidden="1" x14ac:dyDescent="0.25">
      <c r="B31" s="242"/>
      <c r="C31" s="2"/>
      <c r="D31" s="43" t="s">
        <v>75</v>
      </c>
      <c r="E31" s="43"/>
      <c r="F31" s="370">
        <f>(0.2529+2.7683*10^-4*F17)*SQRT(F$16)/$F$4*$F$5*$F$7/$F$8</f>
        <v>3.2360308142181045</v>
      </c>
      <c r="G31" s="136"/>
      <c r="I31" s="368">
        <f>(0.2529+2.7683*10^-4*I17)*SQRT(I$16)*$F$7/$F$8</f>
        <v>1.7040130155758739</v>
      </c>
      <c r="J31" s="265">
        <f t="shared" ref="J31:Q31" si="15">(0.2529+2.7683*10^-4*J17)*SQRT(J$16)*$F$7/$F$8</f>
        <v>1.9730082810977747</v>
      </c>
      <c r="K31" s="265">
        <f t="shared" si="15"/>
        <v>2.2136876307771818</v>
      </c>
      <c r="L31" s="265">
        <f t="shared" si="15"/>
        <v>2.4354761826989009</v>
      </c>
      <c r="M31" s="265">
        <f t="shared" si="15"/>
        <v>2.6440896100118509</v>
      </c>
      <c r="N31" s="265">
        <f t="shared" si="15"/>
        <v>2.8433437413599885</v>
      </c>
      <c r="O31" s="265">
        <f t="shared" si="15"/>
        <v>3.0359637581156531</v>
      </c>
      <c r="P31" s="265">
        <f t="shared" si="15"/>
        <v>3.22399625638612</v>
      </c>
      <c r="Q31" s="266">
        <f t="shared" si="15"/>
        <v>3.4090394427880613</v>
      </c>
      <c r="R31" s="259"/>
      <c r="S31" s="259"/>
      <c r="T31" s="259"/>
      <c r="U31" s="259"/>
      <c r="V31" s="259"/>
      <c r="AF31"/>
      <c r="AG31"/>
      <c r="AH31"/>
      <c r="AI31" s="90"/>
      <c r="AJ31" s="90"/>
      <c r="AK31" s="90"/>
      <c r="AL31" s="43"/>
      <c r="AO31" s="2"/>
      <c r="AP31"/>
      <c r="AQ31" s="13"/>
      <c r="AR31" s="12"/>
      <c r="AS31" s="3"/>
      <c r="AT31" s="3"/>
      <c r="AU31" s="3"/>
      <c r="AV31" s="3"/>
      <c r="AW31"/>
      <c r="AX31"/>
    </row>
    <row r="32" spans="2:50" hidden="1" x14ac:dyDescent="0.25">
      <c r="B32" s="242"/>
      <c r="C32" s="2"/>
      <c r="D32" s="43" t="s">
        <v>76</v>
      </c>
      <c r="E32" s="43"/>
      <c r="F32" s="229">
        <f>(0.675+9.273*10^-3*F17)*SQRT(F$16)*$F$4*$F$6/$F$7*$F$8</f>
        <v>8.26177687218083</v>
      </c>
      <c r="G32" s="136"/>
      <c r="I32" s="230">
        <f>(0.675+9.273*10^-3*I17)*SQRT(I$16)*$F$4/$F$7*$F$8</f>
        <v>3.1467849385972682</v>
      </c>
      <c r="J32" s="231">
        <f t="shared" ref="J32:Q32" si="16">(0.675+9.273*10^-3*J17)*SQRT(J$16)*$F$4/$F$7*$F$8</f>
        <v>3.7535852577653852</v>
      </c>
      <c r="K32" s="231">
        <f t="shared" si="16"/>
        <v>4.3704264173716396</v>
      </c>
      <c r="L32" s="231">
        <f t="shared" si="16"/>
        <v>5.0216559053324943</v>
      </c>
      <c r="M32" s="231">
        <f t="shared" si="16"/>
        <v>5.7243387770617078</v>
      </c>
      <c r="N32" s="231">
        <f t="shared" si="16"/>
        <v>6.4916388625564156</v>
      </c>
      <c r="O32" s="231">
        <f t="shared" si="16"/>
        <v>7.3343646911951703</v>
      </c>
      <c r="P32" s="231">
        <f t="shared" si="16"/>
        <v>8.26177687218083</v>
      </c>
      <c r="Q32" s="232">
        <f t="shared" si="16"/>
        <v>9.2820519852591605</v>
      </c>
      <c r="R32" s="259"/>
      <c r="S32" s="259"/>
      <c r="T32" s="259"/>
      <c r="U32" s="259"/>
      <c r="V32" s="259"/>
      <c r="AF32"/>
      <c r="AG32"/>
      <c r="AH32"/>
      <c r="AI32" s="90"/>
      <c r="AJ32" s="90"/>
      <c r="AK32" s="90"/>
      <c r="AL32" s="43"/>
      <c r="AO32" s="2"/>
      <c r="AP32"/>
      <c r="AQ32" s="13"/>
      <c r="AR32" s="12"/>
      <c r="AS32" s="3"/>
      <c r="AT32" s="3"/>
      <c r="AU32" s="3"/>
      <c r="AV32" s="3"/>
      <c r="AW32"/>
      <c r="AX32"/>
    </row>
    <row r="33" spans="2:50" ht="15.75" hidden="1" thickBot="1" x14ac:dyDescent="0.3">
      <c r="B33" s="242"/>
      <c r="C33" s="2"/>
      <c r="D33" s="43" t="s">
        <v>77</v>
      </c>
      <c r="E33" s="43"/>
      <c r="F33" s="219">
        <f>IF(($F$3*(F$16*10^-3)/SQRT($C$16*10^-3*$B$35*10^-3)*$F$4/$F$6^2*$F$8)&lt;(4*$F$13*$F$8),($F$3*(F$16*10^-3)/SQRT($C$16*10^-3*$B$35*10^-3)*$F$4/$F$6^2*$F$8),(4*$F$13*$F$8))</f>
        <v>8.3115900523817103</v>
      </c>
      <c r="G33" s="136"/>
      <c r="I33" s="211">
        <f t="shared" ref="I33:Q33" si="17">IF(($F$3*(I$16*10^-3)/SQRT($C$16*10^-3*$B$35*10^-3)*$F$4*$F$8)&lt;(4*I$26*$F$8),($F$3*(I$16*10^-3)/SQRT($C$16*10^-3*$B$35*10^-3)*$F$4*$F$8),(4*I$26*$F$8))</f>
        <v>2.4934770157145132</v>
      </c>
      <c r="J33" s="209">
        <f t="shared" si="17"/>
        <v>3.324636020952684</v>
      </c>
      <c r="K33" s="209">
        <f t="shared" si="17"/>
        <v>4.1557950261908552</v>
      </c>
      <c r="L33" s="209">
        <f t="shared" si="17"/>
        <v>4.9869540314290264</v>
      </c>
      <c r="M33" s="209">
        <f t="shared" si="17"/>
        <v>5.8181130366671985</v>
      </c>
      <c r="N33" s="209">
        <f t="shared" si="17"/>
        <v>6.6492720419053679</v>
      </c>
      <c r="O33" s="209">
        <f t="shared" si="17"/>
        <v>7.4804310471435382</v>
      </c>
      <c r="P33" s="209">
        <f t="shared" si="17"/>
        <v>8.3115900523817103</v>
      </c>
      <c r="Q33" s="210">
        <f t="shared" si="17"/>
        <v>9.1427490576198807</v>
      </c>
      <c r="R33" s="259"/>
      <c r="S33" s="259"/>
      <c r="T33" s="259"/>
      <c r="U33" s="259"/>
      <c r="V33" s="259"/>
      <c r="AF33"/>
      <c r="AG33"/>
      <c r="AH33"/>
      <c r="AI33" s="90"/>
      <c r="AJ33" s="90"/>
      <c r="AK33" s="90"/>
      <c r="AL33" s="43"/>
      <c r="AO33" s="2"/>
      <c r="AP33"/>
      <c r="AQ33" s="13"/>
      <c r="AR33" s="12"/>
      <c r="AS33" s="3"/>
      <c r="AT33" s="3"/>
      <c r="AU33" s="3"/>
      <c r="AV33" s="3"/>
      <c r="AW33"/>
      <c r="AX33"/>
    </row>
    <row r="34" spans="2:50" x14ac:dyDescent="0.25">
      <c r="B34" s="140"/>
      <c r="C34" s="243"/>
      <c r="D34" s="239" t="s">
        <v>56</v>
      </c>
      <c r="E34" s="239"/>
      <c r="F34" s="220">
        <f>F31</f>
        <v>3.2360308142181045</v>
      </c>
      <c r="G34" s="215" t="s">
        <v>32</v>
      </c>
      <c r="I34" s="175">
        <f t="shared" ref="I34:Q34" si="18">I31</f>
        <v>1.7040130155758739</v>
      </c>
      <c r="J34" s="184">
        <f t="shared" si="18"/>
        <v>1.9730082810977747</v>
      </c>
      <c r="K34" s="184">
        <f t="shared" si="18"/>
        <v>2.2136876307771818</v>
      </c>
      <c r="L34" s="184">
        <f t="shared" si="18"/>
        <v>2.4354761826989009</v>
      </c>
      <c r="M34" s="184">
        <f t="shared" si="18"/>
        <v>2.6440896100118509</v>
      </c>
      <c r="N34" s="184">
        <f t="shared" si="18"/>
        <v>2.8433437413599885</v>
      </c>
      <c r="O34" s="184">
        <f t="shared" si="18"/>
        <v>3.0359637581156531</v>
      </c>
      <c r="P34" s="184">
        <f t="shared" si="18"/>
        <v>3.22399625638612</v>
      </c>
      <c r="Q34" s="185">
        <f t="shared" si="18"/>
        <v>3.4090394427880613</v>
      </c>
      <c r="R34"/>
      <c r="S34"/>
      <c r="T34"/>
      <c r="U34"/>
      <c r="V34"/>
      <c r="W34"/>
      <c r="X34"/>
      <c r="Y34" s="3" t="s">
        <v>50</v>
      </c>
      <c r="AH34" s="15"/>
      <c r="AI34"/>
      <c r="AJ34"/>
      <c r="AK34"/>
      <c r="AS34"/>
      <c r="AT34" s="12"/>
      <c r="AU34" s="3"/>
      <c r="AV34" s="3"/>
      <c r="AW34" s="3"/>
      <c r="AX34" s="3"/>
    </row>
    <row r="35" spans="2:50" x14ac:dyDescent="0.25">
      <c r="B35" s="254">
        <v>99</v>
      </c>
      <c r="C35" s="244" t="s">
        <v>58</v>
      </c>
      <c r="D35" s="253" t="s">
        <v>57</v>
      </c>
      <c r="E35" s="253"/>
      <c r="F35" s="221">
        <f t="shared" ref="F35" si="19">IF(F32&lt;F33,F32,F33)</f>
        <v>8.26177687218083</v>
      </c>
      <c r="G35" s="216" t="s">
        <v>32</v>
      </c>
      <c r="I35" s="178">
        <f t="shared" ref="I35:Q35" si="20">IF(I32&lt;I33,I32,I33)</f>
        <v>2.4934770157145132</v>
      </c>
      <c r="J35" s="179">
        <f t="shared" si="20"/>
        <v>3.324636020952684</v>
      </c>
      <c r="K35" s="179">
        <f t="shared" si="20"/>
        <v>4.1557950261908552</v>
      </c>
      <c r="L35" s="179">
        <f t="shared" si="20"/>
        <v>4.9869540314290264</v>
      </c>
      <c r="M35" s="179">
        <f t="shared" si="20"/>
        <v>5.7243387770617078</v>
      </c>
      <c r="N35" s="179">
        <f t="shared" si="20"/>
        <v>6.4916388625564156</v>
      </c>
      <c r="O35" s="179">
        <f t="shared" si="20"/>
        <v>7.3343646911951703</v>
      </c>
      <c r="P35" s="179">
        <f t="shared" si="20"/>
        <v>8.26177687218083</v>
      </c>
      <c r="Q35" s="180">
        <f t="shared" si="20"/>
        <v>9.1427490576198807</v>
      </c>
      <c r="AH35" s="15"/>
      <c r="AI35"/>
      <c r="AJ35"/>
      <c r="AK35"/>
    </row>
    <row r="36" spans="2:50" x14ac:dyDescent="0.25">
      <c r="B36" s="254" t="s">
        <v>37</v>
      </c>
      <c r="C36" s="243" t="s">
        <v>59</v>
      </c>
      <c r="D36" s="252" t="s">
        <v>60</v>
      </c>
      <c r="E36" s="252"/>
      <c r="F36" s="222">
        <f>F31</f>
        <v>3.2360308142181045</v>
      </c>
      <c r="G36" s="217" t="s">
        <v>32</v>
      </c>
      <c r="I36" s="181">
        <f t="shared" ref="I36:Q36" si="21">I31</f>
        <v>1.7040130155758739</v>
      </c>
      <c r="J36" s="182">
        <f t="shared" si="21"/>
        <v>1.9730082810977747</v>
      </c>
      <c r="K36" s="182">
        <f t="shared" si="21"/>
        <v>2.2136876307771818</v>
      </c>
      <c r="L36" s="182">
        <f t="shared" si="21"/>
        <v>2.4354761826989009</v>
      </c>
      <c r="M36" s="182">
        <f t="shared" si="21"/>
        <v>2.6440896100118509</v>
      </c>
      <c r="N36" s="182">
        <f t="shared" si="21"/>
        <v>2.8433437413599885</v>
      </c>
      <c r="O36" s="182">
        <f t="shared" si="21"/>
        <v>3.0359637581156531</v>
      </c>
      <c r="P36" s="182">
        <f t="shared" si="21"/>
        <v>3.22399625638612</v>
      </c>
      <c r="Q36" s="183">
        <f t="shared" si="21"/>
        <v>3.4090394427880613</v>
      </c>
      <c r="R36"/>
      <c r="S36"/>
      <c r="T36"/>
      <c r="U36"/>
      <c r="V36"/>
      <c r="W36"/>
      <c r="X36"/>
      <c r="AH36" s="15"/>
      <c r="AI36"/>
      <c r="AJ36"/>
      <c r="AK36"/>
      <c r="AS36" s="12"/>
      <c r="AT36" s="12"/>
      <c r="AU36" s="3"/>
      <c r="AV36" s="3"/>
      <c r="AW36" s="3"/>
      <c r="AX36" s="3"/>
    </row>
    <row r="37" spans="2:50" ht="15.75" thickBot="1" x14ac:dyDescent="0.3">
      <c r="B37" s="141"/>
      <c r="C37" s="246"/>
      <c r="D37" s="238" t="s">
        <v>61</v>
      </c>
      <c r="E37" s="238"/>
      <c r="F37" s="223">
        <f t="shared" ref="F37" si="22">IF(F32&lt;F33,F32,F33)</f>
        <v>8.26177687218083</v>
      </c>
      <c r="G37" s="214" t="s">
        <v>32</v>
      </c>
      <c r="I37" s="258">
        <f t="shared" ref="I37:Q37" si="23">IF(I32&lt;I33,I32,I33)</f>
        <v>2.4934770157145132</v>
      </c>
      <c r="J37" s="193">
        <f t="shared" si="23"/>
        <v>3.324636020952684</v>
      </c>
      <c r="K37" s="193">
        <f t="shared" si="23"/>
        <v>4.1557950261908552</v>
      </c>
      <c r="L37" s="193">
        <f t="shared" si="23"/>
        <v>4.9869540314290264</v>
      </c>
      <c r="M37" s="193">
        <f t="shared" si="23"/>
        <v>5.7243387770617078</v>
      </c>
      <c r="N37" s="193">
        <f t="shared" si="23"/>
        <v>6.4916388625564156</v>
      </c>
      <c r="O37" s="193">
        <f t="shared" si="23"/>
        <v>7.3343646911951703</v>
      </c>
      <c r="P37" s="193">
        <f t="shared" si="23"/>
        <v>8.26177687218083</v>
      </c>
      <c r="Q37" s="194">
        <f t="shared" si="23"/>
        <v>9.1427490576198807</v>
      </c>
      <c r="AH37" s="15"/>
      <c r="AI37"/>
      <c r="AJ37"/>
      <c r="AK37"/>
    </row>
    <row r="38" spans="2:50" ht="15.75" hidden="1" thickBot="1" x14ac:dyDescent="0.3">
      <c r="B38" s="242"/>
      <c r="C38" s="2"/>
      <c r="D38" s="43" t="s">
        <v>71</v>
      </c>
      <c r="E38" s="43"/>
      <c r="F38" s="229">
        <f>1.07*1.22*F31</f>
        <v>4.2243146248803143</v>
      </c>
      <c r="G38" s="136"/>
      <c r="I38" s="230">
        <f t="shared" ref="I38:Q38" si="24">1.07*1.22*I31</f>
        <v>2.2244185905327458</v>
      </c>
      <c r="J38" s="231">
        <f t="shared" si="24"/>
        <v>2.5755650101450351</v>
      </c>
      <c r="K38" s="231">
        <f t="shared" si="24"/>
        <v>2.8897478332165334</v>
      </c>
      <c r="L38" s="231">
        <f t="shared" si="24"/>
        <v>3.1792706088951457</v>
      </c>
      <c r="M38" s="231">
        <f t="shared" si="24"/>
        <v>3.4515945769094705</v>
      </c>
      <c r="N38" s="231">
        <f t="shared" si="24"/>
        <v>3.7117009199713293</v>
      </c>
      <c r="O38" s="231">
        <f t="shared" si="24"/>
        <v>3.9631470898441741</v>
      </c>
      <c r="P38" s="231">
        <f t="shared" si="24"/>
        <v>4.2086047130864417</v>
      </c>
      <c r="Q38" s="232">
        <f t="shared" si="24"/>
        <v>4.4501600886155357</v>
      </c>
      <c r="R38" s="259"/>
      <c r="S38" s="259"/>
      <c r="T38" s="259"/>
      <c r="U38" s="259"/>
      <c r="V38" s="259"/>
      <c r="AF38"/>
      <c r="AG38"/>
      <c r="AH38"/>
      <c r="AI38" s="90"/>
      <c r="AJ38" s="90"/>
      <c r="AK38" s="90"/>
      <c r="AL38" s="43"/>
      <c r="AO38" s="2"/>
      <c r="AP38"/>
      <c r="AQ38" s="13"/>
      <c r="AR38" s="12"/>
      <c r="AS38" s="3"/>
      <c r="AT38" s="3"/>
      <c r="AU38" s="3"/>
      <c r="AV38" s="3"/>
      <c r="AW38"/>
      <c r="AX38"/>
    </row>
    <row r="39" spans="2:50" ht="15.75" hidden="1" thickBot="1" x14ac:dyDescent="0.3">
      <c r="B39" s="242"/>
      <c r="C39" s="2"/>
      <c r="D39" s="43" t="s">
        <v>72</v>
      </c>
      <c r="E39" s="43"/>
      <c r="F39" s="229">
        <f>1.07*1.22*F32</f>
        <v>10.784923528944857</v>
      </c>
      <c r="G39" s="136"/>
      <c r="I39" s="230">
        <f t="shared" ref="I39:Q39" si="25">1.07*1.22*I32</f>
        <v>4.107813058844874</v>
      </c>
      <c r="J39" s="231">
        <f t="shared" si="25"/>
        <v>4.8999301954869345</v>
      </c>
      <c r="K39" s="231">
        <f t="shared" si="25"/>
        <v>5.7051546452369388</v>
      </c>
      <c r="L39" s="231">
        <f t="shared" si="25"/>
        <v>6.5552696188210389</v>
      </c>
      <c r="M39" s="231">
        <f t="shared" si="25"/>
        <v>7.4725518395763544</v>
      </c>
      <c r="N39" s="231">
        <f t="shared" si="25"/>
        <v>8.4741853711811466</v>
      </c>
      <c r="O39" s="231">
        <f t="shared" si="25"/>
        <v>9.5742796678861755</v>
      </c>
      <c r="P39" s="231">
        <f t="shared" si="25"/>
        <v>10.784923528944857</v>
      </c>
      <c r="Q39" s="232">
        <f t="shared" si="25"/>
        <v>12.116790661557308</v>
      </c>
      <c r="R39" s="259"/>
      <c r="S39" s="259"/>
      <c r="T39" s="259"/>
      <c r="U39" s="259"/>
      <c r="V39" s="259"/>
      <c r="AF39"/>
      <c r="AG39"/>
      <c r="AH39"/>
      <c r="AI39" s="90"/>
      <c r="AJ39" s="90"/>
      <c r="AK39" s="90"/>
      <c r="AL39" s="43"/>
      <c r="AO39" s="2"/>
      <c r="AP39"/>
      <c r="AQ39" s="13"/>
      <c r="AR39" s="12"/>
      <c r="AS39" s="3"/>
      <c r="AT39" s="3"/>
      <c r="AU39" s="3"/>
      <c r="AV39" s="3"/>
      <c r="AW39"/>
      <c r="AX39"/>
    </row>
    <row r="40" spans="2:50" ht="15.75" hidden="1" thickBot="1" x14ac:dyDescent="0.3">
      <c r="B40" s="242"/>
      <c r="C40" s="2"/>
      <c r="D40" s="43" t="s">
        <v>79</v>
      </c>
      <c r="E40" s="43"/>
      <c r="F40" s="229">
        <f>1.07*1.22*F33</f>
        <v>10.849949654379085</v>
      </c>
      <c r="G40" s="136"/>
      <c r="I40" s="230">
        <f t="shared" ref="I40:Q40" si="26">1.07*1.22*I33</f>
        <v>3.2549848963137258</v>
      </c>
      <c r="J40" s="231">
        <f t="shared" si="26"/>
        <v>4.3399798617516341</v>
      </c>
      <c r="K40" s="231">
        <f t="shared" si="26"/>
        <v>5.4249748271895424</v>
      </c>
      <c r="L40" s="231">
        <f t="shared" si="26"/>
        <v>6.5099697926274516</v>
      </c>
      <c r="M40" s="231">
        <f t="shared" si="26"/>
        <v>7.5949647580653616</v>
      </c>
      <c r="N40" s="231">
        <f t="shared" si="26"/>
        <v>8.6799597235032682</v>
      </c>
      <c r="O40" s="231">
        <f t="shared" si="26"/>
        <v>9.7649546889411756</v>
      </c>
      <c r="P40" s="231">
        <f t="shared" si="26"/>
        <v>10.849949654379085</v>
      </c>
      <c r="Q40" s="232">
        <f t="shared" si="26"/>
        <v>11.934944619816994</v>
      </c>
      <c r="R40" s="259"/>
      <c r="S40" s="259"/>
      <c r="T40" s="259"/>
      <c r="U40" s="259"/>
      <c r="V40" s="259"/>
      <c r="AF40"/>
      <c r="AG40"/>
      <c r="AH40"/>
      <c r="AI40" s="90"/>
      <c r="AJ40" s="90"/>
      <c r="AK40" s="90"/>
      <c r="AL40" s="43"/>
      <c r="AO40" s="2"/>
      <c r="AP40"/>
      <c r="AQ40" s="13"/>
      <c r="AR40" s="12"/>
      <c r="AS40" s="3"/>
      <c r="AT40" s="3"/>
      <c r="AU40" s="3"/>
      <c r="AV40" s="3"/>
      <c r="AW40"/>
      <c r="AX40"/>
    </row>
    <row r="41" spans="2:50" ht="15.75" hidden="1" thickBot="1" x14ac:dyDescent="0.3">
      <c r="B41" s="242"/>
      <c r="C41" s="2"/>
      <c r="D41" s="43" t="s">
        <v>73</v>
      </c>
      <c r="E41" s="43"/>
      <c r="F41" s="229">
        <f>1.07*0.707*F31</f>
        <v>2.448024950647854</v>
      </c>
      <c r="G41" s="136"/>
      <c r="I41" s="230">
        <f t="shared" ref="I41:Q41" si="27">1.07*0.707*I31</f>
        <v>1.2890688061529929</v>
      </c>
      <c r="J41" s="231">
        <f t="shared" si="27"/>
        <v>1.4925610345676557</v>
      </c>
      <c r="K41" s="231">
        <f t="shared" si="27"/>
        <v>1.6746325558066302</v>
      </c>
      <c r="L41" s="231">
        <f t="shared" si="27"/>
        <v>1.8424133774498914</v>
      </c>
      <c r="M41" s="231">
        <f t="shared" si="27"/>
        <v>2.000227349077865</v>
      </c>
      <c r="N41" s="231">
        <f t="shared" si="27"/>
        <v>2.1509611069014176</v>
      </c>
      <c r="O41" s="231">
        <f t="shared" si="27"/>
        <v>2.2966762233769105</v>
      </c>
      <c r="P41" s="231">
        <f t="shared" si="27"/>
        <v>2.4389209279935358</v>
      </c>
      <c r="Q41" s="232">
        <f t="shared" si="27"/>
        <v>2.5789042480747404</v>
      </c>
      <c r="R41" s="259"/>
      <c r="S41" s="259"/>
      <c r="T41" s="259"/>
      <c r="U41" s="259"/>
      <c r="V41" s="259"/>
      <c r="AF41"/>
      <c r="AG41"/>
      <c r="AH41"/>
      <c r="AI41" s="90"/>
      <c r="AJ41" s="90"/>
      <c r="AK41" s="90"/>
      <c r="AL41" s="43"/>
      <c r="AO41" s="2"/>
      <c r="AP41"/>
      <c r="AQ41" s="13"/>
      <c r="AR41" s="12"/>
      <c r="AS41" s="3"/>
      <c r="AT41" s="3"/>
      <c r="AU41" s="3"/>
      <c r="AV41" s="3"/>
      <c r="AW41"/>
      <c r="AX41"/>
    </row>
    <row r="42" spans="2:50" ht="15.75" hidden="1" thickBot="1" x14ac:dyDescent="0.3">
      <c r="B42" s="242"/>
      <c r="C42" s="2"/>
      <c r="D42" s="43" t="s">
        <v>74</v>
      </c>
      <c r="E42" s="43"/>
      <c r="F42" s="229">
        <f>1.07*0.707*F32</f>
        <v>6.2499515860360759</v>
      </c>
      <c r="G42" s="136"/>
      <c r="I42" s="230">
        <f t="shared" ref="I42:Q42" si="28">1.07*0.707*I32</f>
        <v>2.3805113381994474</v>
      </c>
      <c r="J42" s="231">
        <f t="shared" si="28"/>
        <v>2.8395497116469364</v>
      </c>
      <c r="K42" s="231">
        <f t="shared" si="28"/>
        <v>3.3061838804774717</v>
      </c>
      <c r="L42" s="231">
        <f t="shared" si="28"/>
        <v>3.7988324758249785</v>
      </c>
      <c r="M42" s="231">
        <f t="shared" si="28"/>
        <v>4.3304050414594117</v>
      </c>
      <c r="N42" s="231">
        <f t="shared" si="28"/>
        <v>4.910859883135303</v>
      </c>
      <c r="O42" s="231">
        <f t="shared" si="28"/>
        <v>5.5483735452422343</v>
      </c>
      <c r="P42" s="231">
        <f t="shared" si="28"/>
        <v>6.2499515860360759</v>
      </c>
      <c r="Q42" s="232">
        <f t="shared" si="28"/>
        <v>7.0217795063287021</v>
      </c>
      <c r="R42" s="259"/>
      <c r="S42" s="259"/>
      <c r="T42" s="259"/>
      <c r="U42" s="259"/>
      <c r="V42" s="259"/>
      <c r="AF42"/>
      <c r="AG42"/>
      <c r="AH42"/>
      <c r="AI42" s="90"/>
      <c r="AJ42" s="90"/>
      <c r="AK42" s="90"/>
      <c r="AL42" s="43"/>
      <c r="AO42" s="2"/>
      <c r="AP42"/>
      <c r="AQ42" s="13"/>
      <c r="AR42" s="12"/>
      <c r="AS42" s="3"/>
      <c r="AT42" s="3"/>
      <c r="AU42" s="3"/>
      <c r="AV42" s="3"/>
      <c r="AW42"/>
      <c r="AX42"/>
    </row>
    <row r="43" spans="2:50" ht="15.75" hidden="1" thickBot="1" x14ac:dyDescent="0.3">
      <c r="B43" s="242"/>
      <c r="C43" s="2"/>
      <c r="D43" s="43" t="s">
        <v>80</v>
      </c>
      <c r="E43" s="43"/>
      <c r="F43" s="229">
        <f>1.07*0.707*F33</f>
        <v>6.2876347587262398</v>
      </c>
      <c r="G43" s="136"/>
      <c r="I43" s="230">
        <f t="shared" ref="I43:Q43" si="29">1.07*0.707*I33</f>
        <v>1.886290427617872</v>
      </c>
      <c r="J43" s="231">
        <f t="shared" si="29"/>
        <v>2.5150539034904957</v>
      </c>
      <c r="K43" s="231">
        <f t="shared" si="29"/>
        <v>3.1438173793631199</v>
      </c>
      <c r="L43" s="231">
        <f t="shared" si="29"/>
        <v>3.772580855235744</v>
      </c>
      <c r="M43" s="231">
        <f t="shared" si="29"/>
        <v>4.4013443311083691</v>
      </c>
      <c r="N43" s="231">
        <f t="shared" si="29"/>
        <v>5.0301078069809915</v>
      </c>
      <c r="O43" s="231">
        <f t="shared" si="29"/>
        <v>5.6588712828536156</v>
      </c>
      <c r="P43" s="231">
        <f t="shared" si="29"/>
        <v>6.2876347587262398</v>
      </c>
      <c r="Q43" s="232">
        <f t="shared" si="29"/>
        <v>6.916398234598863</v>
      </c>
      <c r="R43" s="259"/>
      <c r="S43" s="259"/>
      <c r="T43" s="259"/>
      <c r="U43" s="259"/>
      <c r="V43" s="259"/>
      <c r="AF43"/>
      <c r="AG43"/>
      <c r="AH43"/>
      <c r="AI43" s="90"/>
      <c r="AJ43" s="90"/>
      <c r="AK43" s="90"/>
      <c r="AL43" s="43"/>
      <c r="AO43" s="2"/>
      <c r="AP43"/>
      <c r="AQ43" s="13"/>
      <c r="AR43" s="12"/>
      <c r="AS43" s="3"/>
      <c r="AT43" s="3"/>
      <c r="AU43" s="3"/>
      <c r="AV43" s="3"/>
      <c r="AW43"/>
      <c r="AX43"/>
    </row>
    <row r="44" spans="2:50" x14ac:dyDescent="0.25">
      <c r="B44" s="142"/>
      <c r="C44" s="243"/>
      <c r="D44" s="239" t="s">
        <v>56</v>
      </c>
      <c r="E44" s="252"/>
      <c r="F44" s="224">
        <f>F38</f>
        <v>4.2243146248803143</v>
      </c>
      <c r="G44" s="215" t="s">
        <v>32</v>
      </c>
      <c r="I44" s="255">
        <f t="shared" ref="I44:Q44" si="30">I38</f>
        <v>2.2244185905327458</v>
      </c>
      <c r="J44" s="176">
        <f t="shared" si="30"/>
        <v>2.5755650101450351</v>
      </c>
      <c r="K44" s="176">
        <f t="shared" si="30"/>
        <v>2.8897478332165334</v>
      </c>
      <c r="L44" s="176">
        <f t="shared" si="30"/>
        <v>3.1792706088951457</v>
      </c>
      <c r="M44" s="176">
        <f t="shared" si="30"/>
        <v>3.4515945769094705</v>
      </c>
      <c r="N44" s="176">
        <f t="shared" si="30"/>
        <v>3.7117009199713293</v>
      </c>
      <c r="O44" s="176">
        <f t="shared" si="30"/>
        <v>3.9631470898441741</v>
      </c>
      <c r="P44" s="176">
        <f t="shared" si="30"/>
        <v>4.2086047130864417</v>
      </c>
      <c r="Q44" s="177">
        <f t="shared" si="30"/>
        <v>4.4501600886155357</v>
      </c>
      <c r="R44"/>
      <c r="S44"/>
      <c r="T44"/>
      <c r="U44"/>
      <c r="V44"/>
      <c r="W44"/>
      <c r="X44"/>
      <c r="AH44" s="15"/>
      <c r="AI44"/>
      <c r="AJ44"/>
      <c r="AK44"/>
      <c r="AS44" s="12"/>
      <c r="AT44" s="12"/>
      <c r="AU44" s="3"/>
      <c r="AV44" s="3"/>
      <c r="AW44" s="3"/>
      <c r="AX44" s="3"/>
    </row>
    <row r="45" spans="2:50" x14ac:dyDescent="0.25">
      <c r="B45" s="141"/>
      <c r="C45" s="244" t="s">
        <v>67</v>
      </c>
      <c r="D45" s="253" t="s">
        <v>57</v>
      </c>
      <c r="E45" s="253"/>
      <c r="F45" s="221">
        <f>IF(F39&lt;F40,F39,F40)</f>
        <v>10.784923528944857</v>
      </c>
      <c r="G45" s="216" t="s">
        <v>32</v>
      </c>
      <c r="I45" s="178">
        <f t="shared" ref="I45:Q45" si="31">IF(I39&lt;I40,I39,I40)</f>
        <v>3.2549848963137258</v>
      </c>
      <c r="J45" s="179">
        <f t="shared" si="31"/>
        <v>4.3399798617516341</v>
      </c>
      <c r="K45" s="179">
        <f t="shared" si="31"/>
        <v>5.4249748271895424</v>
      </c>
      <c r="L45" s="179">
        <f t="shared" si="31"/>
        <v>6.5099697926274516</v>
      </c>
      <c r="M45" s="179">
        <f t="shared" si="31"/>
        <v>7.4725518395763544</v>
      </c>
      <c r="N45" s="179">
        <f t="shared" si="31"/>
        <v>8.4741853711811466</v>
      </c>
      <c r="O45" s="179">
        <f t="shared" si="31"/>
        <v>9.5742796678861755</v>
      </c>
      <c r="P45" s="179">
        <f t="shared" si="31"/>
        <v>10.784923528944857</v>
      </c>
      <c r="Q45" s="180">
        <f t="shared" si="31"/>
        <v>11.934944619816994</v>
      </c>
      <c r="AH45" s="15"/>
      <c r="AI45"/>
      <c r="AJ45"/>
      <c r="AK45"/>
    </row>
    <row r="46" spans="2:50" x14ac:dyDescent="0.25">
      <c r="B46" s="142"/>
      <c r="C46" s="243" t="s">
        <v>68</v>
      </c>
      <c r="D46" s="252" t="s">
        <v>60</v>
      </c>
      <c r="E46" s="252"/>
      <c r="F46" s="222">
        <f>F41</f>
        <v>2.448024950647854</v>
      </c>
      <c r="G46" s="217" t="s">
        <v>32</v>
      </c>
      <c r="I46" s="181">
        <f t="shared" ref="I46:Q46" si="32">I41</f>
        <v>1.2890688061529929</v>
      </c>
      <c r="J46" s="182">
        <f t="shared" si="32"/>
        <v>1.4925610345676557</v>
      </c>
      <c r="K46" s="182">
        <f t="shared" si="32"/>
        <v>1.6746325558066302</v>
      </c>
      <c r="L46" s="182">
        <f t="shared" si="32"/>
        <v>1.8424133774498914</v>
      </c>
      <c r="M46" s="182">
        <f t="shared" si="32"/>
        <v>2.000227349077865</v>
      </c>
      <c r="N46" s="182">
        <f t="shared" si="32"/>
        <v>2.1509611069014176</v>
      </c>
      <c r="O46" s="182">
        <f t="shared" si="32"/>
        <v>2.2966762233769105</v>
      </c>
      <c r="P46" s="182">
        <f t="shared" si="32"/>
        <v>2.4389209279935358</v>
      </c>
      <c r="Q46" s="183">
        <f t="shared" si="32"/>
        <v>2.5789042480747404</v>
      </c>
      <c r="R46"/>
      <c r="S46"/>
      <c r="T46"/>
      <c r="U46"/>
      <c r="V46"/>
      <c r="W46"/>
      <c r="X46"/>
      <c r="AH46" s="15"/>
      <c r="AI46"/>
      <c r="AJ46"/>
      <c r="AK46"/>
      <c r="AR46"/>
      <c r="AS46"/>
      <c r="AT46"/>
      <c r="AU46"/>
      <c r="AV46"/>
      <c r="AW46"/>
      <c r="AX46"/>
    </row>
    <row r="47" spans="2:50" ht="15.75" thickBot="1" x14ac:dyDescent="0.3">
      <c r="B47" s="141"/>
      <c r="C47" s="248"/>
      <c r="D47" s="237" t="s">
        <v>61</v>
      </c>
      <c r="E47" s="237"/>
      <c r="F47" s="225">
        <f t="shared" ref="F47" si="33">IF(F42&lt;F43,F42,F43)</f>
        <v>6.2499515860360759</v>
      </c>
      <c r="G47" s="136" t="s">
        <v>32</v>
      </c>
      <c r="I47" s="186">
        <f t="shared" ref="I47:Q47" si="34">IF(I42&lt;I43,I42,I43)</f>
        <v>1.886290427617872</v>
      </c>
      <c r="J47" s="187">
        <f t="shared" si="34"/>
        <v>2.5150539034904957</v>
      </c>
      <c r="K47" s="187">
        <f t="shared" si="34"/>
        <v>3.1438173793631199</v>
      </c>
      <c r="L47" s="187">
        <f t="shared" si="34"/>
        <v>3.772580855235744</v>
      </c>
      <c r="M47" s="187">
        <f t="shared" si="34"/>
        <v>4.3304050414594117</v>
      </c>
      <c r="N47" s="187">
        <f t="shared" si="34"/>
        <v>4.910859883135303</v>
      </c>
      <c r="O47" s="187">
        <f t="shared" si="34"/>
        <v>5.5483735452422343</v>
      </c>
      <c r="P47" s="187">
        <f t="shared" si="34"/>
        <v>6.2499515860360759</v>
      </c>
      <c r="Q47" s="188">
        <f t="shared" si="34"/>
        <v>6.916398234598863</v>
      </c>
      <c r="AH47" s="15"/>
      <c r="AI47"/>
      <c r="AJ47"/>
      <c r="AK47"/>
      <c r="AR47"/>
      <c r="AS47"/>
      <c r="AT47"/>
      <c r="AU47"/>
      <c r="AV47"/>
      <c r="AW47"/>
      <c r="AX47"/>
    </row>
    <row r="48" spans="2:50" ht="15.75" thickTop="1" x14ac:dyDescent="0.25">
      <c r="B48" s="139"/>
      <c r="C48" s="139"/>
      <c r="D48" s="125" t="s">
        <v>22</v>
      </c>
      <c r="E48" s="125"/>
      <c r="F48" s="218">
        <f>1.359*10^-3*(F$16/($C$16*10^-3*$B66*10^-3)*(0.507*0.171))^2.0302</f>
        <v>18.562380124664099</v>
      </c>
      <c r="G48" s="149" t="s">
        <v>6</v>
      </c>
      <c r="I48" s="263"/>
      <c r="J48" s="75"/>
      <c r="K48" s="205">
        <f t="shared" ref="K48:W48" si="35">1.359*10^-3*(K$16/($C$16*10^-3*$B66*10^-3)*(0.507*0.171))^2.0302</f>
        <v>4.5444629264020877</v>
      </c>
      <c r="L48" s="206">
        <f t="shared" si="35"/>
        <v>6.580158131832178</v>
      </c>
      <c r="M48" s="206">
        <f t="shared" si="35"/>
        <v>8.9981183875378505</v>
      </c>
      <c r="N48" s="206">
        <f t="shared" si="35"/>
        <v>11.800134394054377</v>
      </c>
      <c r="O48" s="206">
        <f t="shared" si="35"/>
        <v>14.987762573848338</v>
      </c>
      <c r="P48" s="206">
        <f t="shared" si="35"/>
        <v>18.562380124664099</v>
      </c>
      <c r="Q48" s="206">
        <f t="shared" si="35"/>
        <v>22.525222596660413</v>
      </c>
      <c r="R48" s="206">
        <f t="shared" si="35"/>
        <v>26.877410708721754</v>
      </c>
      <c r="S48" s="206">
        <f t="shared" si="35"/>
        <v>31.619970168191013</v>
      </c>
      <c r="T48" s="206">
        <f t="shared" si="35"/>
        <v>36.753846740795026</v>
      </c>
      <c r="U48" s="206">
        <f t="shared" si="35"/>
        <v>42.27991798071303</v>
      </c>
      <c r="V48" s="206">
        <f t="shared" si="35"/>
        <v>48.19900254263402</v>
      </c>
      <c r="W48" s="206">
        <f t="shared" si="35"/>
        <v>54.511867699499426</v>
      </c>
      <c r="X48" s="75"/>
      <c r="Y48" s="126"/>
      <c r="Z48" s="126"/>
      <c r="AA48" s="126"/>
      <c r="AB48" s="126"/>
      <c r="AC48" s="126"/>
      <c r="AD48" s="126"/>
      <c r="AE48" s="126"/>
      <c r="AF48" s="126"/>
      <c r="AG48" s="127"/>
      <c r="AH48" s="15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</row>
    <row r="49" spans="2:50" x14ac:dyDescent="0.25">
      <c r="B49" s="147" t="s">
        <v>38</v>
      </c>
      <c r="C49" s="147" t="s">
        <v>117</v>
      </c>
      <c r="D49" s="132" t="s">
        <v>46</v>
      </c>
      <c r="E49" s="132"/>
      <c r="F49" s="229">
        <f>IF(-114.08+32.01*LN(F$16/($C$16*$B66)*(507*171))+10*LOG($C$16*$B66/(507*171))&lt;15,"&lt;15",-114.08+32.01*LN(F$16/($C$16*$B66)*(507*171))+10*LOG($C$16*$B66/(507*171)))</f>
        <v>35.685372207591087</v>
      </c>
      <c r="G49" s="136" t="s">
        <v>49</v>
      </c>
      <c r="I49" s="15"/>
      <c r="J49"/>
      <c r="K49" s="236" t="str">
        <f t="shared" ref="K49:W49" si="36">IF(-114.08+32.01*LN(K$16/($C$16*$B66)*(507*171))+10*LOG($C$16*$B66/(507*171))&lt;15,"&lt;15",-114.08+32.01*LN(K$16/($C$16*$B66)*(507*171))+10*LOG($C$16*$B66/(507*171)))</f>
        <v>&lt;15</v>
      </c>
      <c r="L49" s="231">
        <f t="shared" si="36"/>
        <v>19.333843990841729</v>
      </c>
      <c r="M49" s="231">
        <f t="shared" si="36"/>
        <v>24.268207252112262</v>
      </c>
      <c r="N49" s="231">
        <f t="shared" si="36"/>
        <v>28.542547130023252</v>
      </c>
      <c r="O49" s="231">
        <f t="shared" si="36"/>
        <v>32.312782101384073</v>
      </c>
      <c r="P49" s="231">
        <f t="shared" si="36"/>
        <v>35.685372207591087</v>
      </c>
      <c r="Q49" s="231">
        <f t="shared" si="36"/>
        <v>38.736251063127526</v>
      </c>
      <c r="R49" s="231">
        <f t="shared" si="36"/>
        <v>41.521485240565596</v>
      </c>
      <c r="S49" s="231">
        <f t="shared" si="36"/>
        <v>44.0836523131955</v>
      </c>
      <c r="T49" s="231">
        <f t="shared" si="36"/>
        <v>46.45584850183613</v>
      </c>
      <c r="U49" s="231">
        <f t="shared" si="36"/>
        <v>48.664310318133431</v>
      </c>
      <c r="V49" s="231">
        <f t="shared" si="36"/>
        <v>50.730188379747091</v>
      </c>
      <c r="W49" s="231">
        <f t="shared" si="36"/>
        <v>52.67078252409118</v>
      </c>
      <c r="X49"/>
      <c r="AG49" s="129"/>
      <c r="AH49" s="15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</row>
    <row r="50" spans="2:50" x14ac:dyDescent="0.25">
      <c r="B50" s="242" t="s">
        <v>33</v>
      </c>
      <c r="C50" s="242" t="s">
        <v>35</v>
      </c>
      <c r="D50" s="132" t="s">
        <v>23</v>
      </c>
      <c r="E50" s="132"/>
      <c r="F50" s="229">
        <f>IF(-15-114.08+32.01*LN(F$16/($C$16*$B66)*(507*171))+10*LOG($C$16*$B66/(507*171))&lt;5,"&lt;5",-15-114.08+32.01*LN(F$16/($C$16*$B66)*(507*171))+10*LOG($C$16*$B66/(507*171)))</f>
        <v>20.685372207591101</v>
      </c>
      <c r="G50" s="136" t="s">
        <v>42</v>
      </c>
      <c r="I50" s="15"/>
      <c r="J50"/>
      <c r="K50" s="236" t="str">
        <f t="shared" ref="K50:W50" si="37">IF(-15-114.08+32.01*LN(K$16/($C$16*$B66)*(507*171))+10*LOG($C$16*$B66/(507*171))&lt;5,"&lt;5",-15-114.08+32.01*LN(K$16/($C$16*$B66)*(507*171))+10*LOG($C$16*$B66/(507*171)))</f>
        <v>&lt;5</v>
      </c>
      <c r="L50" s="231" t="str">
        <f t="shared" si="37"/>
        <v>&lt;5</v>
      </c>
      <c r="M50" s="231">
        <f t="shared" si="37"/>
        <v>9.268207252112278</v>
      </c>
      <c r="N50" s="231">
        <f t="shared" si="37"/>
        <v>13.542547130023268</v>
      </c>
      <c r="O50" s="231">
        <f t="shared" si="37"/>
        <v>17.312782101384087</v>
      </c>
      <c r="P50" s="231">
        <f t="shared" si="37"/>
        <v>20.685372207591101</v>
      </c>
      <c r="Q50" s="231">
        <f t="shared" si="37"/>
        <v>23.73625106312754</v>
      </c>
      <c r="R50" s="231">
        <f t="shared" si="37"/>
        <v>26.52148524056561</v>
      </c>
      <c r="S50" s="231">
        <f t="shared" si="37"/>
        <v>29.083652313195515</v>
      </c>
      <c r="T50" s="231">
        <f t="shared" si="37"/>
        <v>31.455848501836144</v>
      </c>
      <c r="U50" s="231">
        <f t="shared" si="37"/>
        <v>33.664310318133445</v>
      </c>
      <c r="V50" s="231">
        <f t="shared" si="37"/>
        <v>35.730188379747105</v>
      </c>
      <c r="W50" s="232">
        <f t="shared" si="37"/>
        <v>37.670782524091194</v>
      </c>
      <c r="X50" s="173"/>
      <c r="AG50" s="129"/>
      <c r="AH50" s="15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</row>
    <row r="51" spans="2:50" hidden="1" x14ac:dyDescent="0.25">
      <c r="B51" s="242"/>
      <c r="C51" s="2"/>
      <c r="D51" s="43" t="s">
        <v>71</v>
      </c>
      <c r="E51" s="43"/>
      <c r="F51" s="106">
        <f>1.075*0.707*F62</f>
        <v>2.4132021036170261</v>
      </c>
      <c r="G51" s="136"/>
      <c r="I51" s="264"/>
      <c r="J51" s="271"/>
      <c r="K51" s="250">
        <f t="shared" ref="K51:W51" si="38">1.075*0.707*K62</f>
        <v>1.674479056371651</v>
      </c>
      <c r="L51" s="231">
        <f t="shared" si="38"/>
        <v>1.8383670730986619</v>
      </c>
      <c r="M51" s="231">
        <f t="shared" si="38"/>
        <v>1.9908813622239809</v>
      </c>
      <c r="N51" s="106">
        <f t="shared" si="38"/>
        <v>2.1348059733953342</v>
      </c>
      <c r="O51" s="231">
        <f t="shared" si="38"/>
        <v>2.272103640304544</v>
      </c>
      <c r="P51" s="231">
        <f t="shared" si="38"/>
        <v>2.4042275845399379</v>
      </c>
      <c r="Q51" s="231">
        <f t="shared" si="38"/>
        <v>2.5322954692123765</v>
      </c>
      <c r="R51" s="231">
        <f t="shared" si="38"/>
        <v>2.6571934451463317</v>
      </c>
      <c r="S51" s="231">
        <f t="shared" si="38"/>
        <v>2.7796418707435477</v>
      </c>
      <c r="T51" s="231">
        <f t="shared" si="38"/>
        <v>2.9002386881755937</v>
      </c>
      <c r="U51" s="231">
        <f t="shared" si="38"/>
        <v>3.0194891085306734</v>
      </c>
      <c r="V51" s="231">
        <f t="shared" si="38"/>
        <v>3.1378265546024062</v>
      </c>
      <c r="W51" s="232">
        <f t="shared" si="38"/>
        <v>3.2556278238523229</v>
      </c>
      <c r="X51" s="259"/>
      <c r="Y51" s="259"/>
      <c r="Z51" s="259"/>
      <c r="AA51" s="259"/>
      <c r="AB51" s="259"/>
      <c r="AC51" s="259"/>
      <c r="AF51"/>
      <c r="AG51"/>
      <c r="AH51"/>
      <c r="AI51" s="90"/>
      <c r="AJ51" s="90"/>
      <c r="AK51" s="90"/>
      <c r="AL51" s="43"/>
      <c r="AO51" s="2"/>
      <c r="AP51"/>
      <c r="AQ51" s="13"/>
      <c r="AR51" s="12"/>
      <c r="AS51" s="3"/>
      <c r="AT51" s="3"/>
      <c r="AU51" s="3"/>
      <c r="AV51" s="3"/>
      <c r="AW51"/>
      <c r="AX51"/>
    </row>
    <row r="52" spans="2:50" hidden="1" x14ac:dyDescent="0.25">
      <c r="B52" s="242"/>
      <c r="C52" s="2"/>
      <c r="D52" s="43" t="s">
        <v>72</v>
      </c>
      <c r="E52" s="43"/>
      <c r="F52" s="106">
        <f>1.075*0.707*F63</f>
        <v>5.2518754899183895</v>
      </c>
      <c r="G52" s="136"/>
      <c r="I52" s="264"/>
      <c r="J52" s="271"/>
      <c r="K52" s="250">
        <f t="shared" ref="K52:W52" si="39">1.075*0.707*K63</f>
        <v>3.1437958304967411</v>
      </c>
      <c r="L52" s="231">
        <f t="shared" si="39"/>
        <v>3.5345069806268197</v>
      </c>
      <c r="M52" s="231">
        <f t="shared" si="39"/>
        <v>3.9340048425263157</v>
      </c>
      <c r="N52" s="106">
        <f t="shared" si="39"/>
        <v>4.3497071051100731</v>
      </c>
      <c r="O52" s="231">
        <f t="shared" si="39"/>
        <v>4.7874108348000561</v>
      </c>
      <c r="P52" s="231">
        <f t="shared" si="39"/>
        <v>5.2518754899183895</v>
      </c>
      <c r="Q52" s="231">
        <f t="shared" si="39"/>
        <v>5.7471531802663725</v>
      </c>
      <c r="R52" s="231">
        <f t="shared" si="39"/>
        <v>6.2767895693768514</v>
      </c>
      <c r="S52" s="231">
        <f t="shared" si="39"/>
        <v>6.843953134099281</v>
      </c>
      <c r="T52" s="231">
        <f t="shared" si="39"/>
        <v>7.4515221910734235</v>
      </c>
      <c r="U52" s="231">
        <f t="shared" si="39"/>
        <v>8.1021457316776342</v>
      </c>
      <c r="V52" s="231">
        <f t="shared" si="39"/>
        <v>8.7982873150308158</v>
      </c>
      <c r="W52" s="232">
        <f t="shared" si="39"/>
        <v>9.5422576049437318</v>
      </c>
      <c r="X52" s="259"/>
      <c r="Y52" s="259"/>
      <c r="Z52" s="259"/>
      <c r="AA52" s="259"/>
      <c r="AB52" s="259"/>
      <c r="AC52" s="259"/>
      <c r="AF52"/>
      <c r="AG52"/>
      <c r="AH52"/>
      <c r="AI52" s="90"/>
      <c r="AJ52" s="90"/>
      <c r="AK52" s="90"/>
      <c r="AL52" s="43"/>
      <c r="AO52" s="2"/>
      <c r="AP52"/>
      <c r="AQ52" s="13"/>
      <c r="AR52" s="12"/>
      <c r="AS52" s="3"/>
      <c r="AT52" s="3"/>
      <c r="AU52" s="3"/>
      <c r="AV52" s="3"/>
      <c r="AW52"/>
      <c r="AX52"/>
    </row>
    <row r="53" spans="2:50" hidden="1" x14ac:dyDescent="0.25">
      <c r="B53" s="242"/>
      <c r="C53" s="2"/>
      <c r="D53" s="43" t="s">
        <v>79</v>
      </c>
      <c r="E53" s="43"/>
      <c r="F53" s="106">
        <f>1.075*0.707*F64</f>
        <v>5.3504467580020911</v>
      </c>
      <c r="G53" s="136"/>
      <c r="I53" s="264"/>
      <c r="J53" s="271"/>
      <c r="K53" s="250">
        <f t="shared" ref="K53:W53" si="40">1.075*0.707*K64</f>
        <v>2.6752233790010456</v>
      </c>
      <c r="L53" s="231">
        <f t="shared" si="40"/>
        <v>3.2102680548012552</v>
      </c>
      <c r="M53" s="231">
        <f t="shared" si="40"/>
        <v>3.7453127306014644</v>
      </c>
      <c r="N53" s="106">
        <f t="shared" si="40"/>
        <v>4.2803574064016727</v>
      </c>
      <c r="O53" s="231">
        <f t="shared" si="40"/>
        <v>4.8154020822018815</v>
      </c>
      <c r="P53" s="231">
        <f t="shared" si="40"/>
        <v>5.3504467580020911</v>
      </c>
      <c r="Q53" s="231">
        <f t="shared" si="40"/>
        <v>5.8854914338022999</v>
      </c>
      <c r="R53" s="231">
        <f t="shared" si="40"/>
        <v>6.4205361096025104</v>
      </c>
      <c r="S53" s="231">
        <f t="shared" si="40"/>
        <v>6.9555807854027201</v>
      </c>
      <c r="T53" s="231">
        <f t="shared" si="40"/>
        <v>7.1894919507812851</v>
      </c>
      <c r="U53" s="231">
        <f t="shared" si="40"/>
        <v>7.1894919507812851</v>
      </c>
      <c r="V53" s="231">
        <f t="shared" si="40"/>
        <v>7.1894919507812851</v>
      </c>
      <c r="W53" s="232">
        <f t="shared" si="40"/>
        <v>7.1894919507812851</v>
      </c>
      <c r="X53" s="259"/>
      <c r="Y53" s="259"/>
      <c r="Z53" s="259"/>
      <c r="AA53" s="259"/>
      <c r="AB53" s="259"/>
      <c r="AC53" s="259"/>
      <c r="AF53"/>
      <c r="AG53"/>
      <c r="AH53"/>
      <c r="AI53" s="90"/>
      <c r="AJ53" s="90"/>
      <c r="AK53" s="90"/>
      <c r="AL53" s="43"/>
      <c r="AO53" s="2"/>
      <c r="AP53"/>
      <c r="AQ53" s="13"/>
      <c r="AR53" s="12"/>
      <c r="AS53" s="3"/>
      <c r="AT53" s="3"/>
      <c r="AU53" s="3"/>
      <c r="AV53" s="3"/>
      <c r="AW53"/>
      <c r="AX53"/>
    </row>
    <row r="54" spans="2:50" hidden="1" x14ac:dyDescent="0.25">
      <c r="B54" s="242"/>
      <c r="C54" s="2"/>
      <c r="D54" s="43" t="s">
        <v>73</v>
      </c>
      <c r="E54" s="43"/>
      <c r="F54" s="106">
        <f>1.075*1.225*F62</f>
        <v>4.1812907735938571</v>
      </c>
      <c r="G54" s="136"/>
      <c r="I54" s="264"/>
      <c r="J54" s="271"/>
      <c r="K54" s="250">
        <f t="shared" ref="K54:W54" si="41">1.075*1.225*K62</f>
        <v>2.9013250976736527</v>
      </c>
      <c r="L54" s="231">
        <f t="shared" si="41"/>
        <v>3.1852894830917413</v>
      </c>
      <c r="M54" s="231">
        <f t="shared" si="41"/>
        <v>3.4495469147445217</v>
      </c>
      <c r="N54" s="106">
        <f t="shared" si="41"/>
        <v>3.69892124103152</v>
      </c>
      <c r="O54" s="231">
        <f t="shared" si="41"/>
        <v>3.936813238151438</v>
      </c>
      <c r="P54" s="231">
        <f t="shared" si="41"/>
        <v>4.1657408643018723</v>
      </c>
      <c r="Q54" s="231">
        <f t="shared" si="41"/>
        <v>4.3876406644768906</v>
      </c>
      <c r="R54" s="231">
        <f t="shared" si="41"/>
        <v>4.6040480485208723</v>
      </c>
      <c r="S54" s="231">
        <f t="shared" si="41"/>
        <v>4.8162111621794148</v>
      </c>
      <c r="T54" s="231">
        <f t="shared" si="41"/>
        <v>5.0251660438686034</v>
      </c>
      <c r="U54" s="231">
        <f t="shared" si="41"/>
        <v>5.2317880593353259</v>
      </c>
      <c r="V54" s="231">
        <f t="shared" si="41"/>
        <v>5.436828188667536</v>
      </c>
      <c r="W54" s="232">
        <f t="shared" si="41"/>
        <v>5.6409392987540254</v>
      </c>
      <c r="X54" s="259"/>
      <c r="Y54" s="259"/>
      <c r="Z54" s="259"/>
      <c r="AA54" s="259"/>
      <c r="AB54" s="259"/>
      <c r="AC54" s="259"/>
      <c r="AF54"/>
      <c r="AG54"/>
      <c r="AH54"/>
      <c r="AI54" s="90"/>
      <c r="AJ54" s="90"/>
      <c r="AK54" s="90"/>
      <c r="AL54" s="43"/>
      <c r="AO54" s="2"/>
      <c r="AP54"/>
      <c r="AQ54" s="13"/>
      <c r="AR54" s="12"/>
      <c r="AS54" s="3"/>
      <c r="AT54" s="3"/>
      <c r="AU54" s="3"/>
      <c r="AV54" s="3"/>
      <c r="AW54"/>
      <c r="AX54"/>
    </row>
    <row r="55" spans="2:50" hidden="1" x14ac:dyDescent="0.25">
      <c r="B55" s="242"/>
      <c r="C55" s="2"/>
      <c r="D55" s="43" t="s">
        <v>74</v>
      </c>
      <c r="E55" s="43"/>
      <c r="F55" s="106">
        <f>1.075*1.225*F63</f>
        <v>9.0997842647100828</v>
      </c>
      <c r="G55" s="136"/>
      <c r="I55" s="264"/>
      <c r="J55" s="271"/>
      <c r="K55" s="250">
        <f t="shared" ref="K55:W55" si="42">1.075*1.225*K63</f>
        <v>5.4471709934349475</v>
      </c>
      <c r="L55" s="231">
        <f t="shared" si="42"/>
        <v>6.1241457585118164</v>
      </c>
      <c r="M55" s="231">
        <f t="shared" si="42"/>
        <v>6.8163450241792605</v>
      </c>
      <c r="N55" s="106">
        <f t="shared" si="42"/>
        <v>7.5366212217253743</v>
      </c>
      <c r="O55" s="231">
        <f t="shared" si="42"/>
        <v>8.2950187731684135</v>
      </c>
      <c r="P55" s="231">
        <f t="shared" si="42"/>
        <v>9.0997842647100828</v>
      </c>
      <c r="Q55" s="231">
        <f t="shared" si="42"/>
        <v>9.9579386786793602</v>
      </c>
      <c r="R55" s="231">
        <f t="shared" si="42"/>
        <v>10.875625491494544</v>
      </c>
      <c r="S55" s="231">
        <f t="shared" si="42"/>
        <v>11.858334638290835</v>
      </c>
      <c r="T55" s="231">
        <f t="shared" si="42"/>
        <v>12.911053301364845</v>
      </c>
      <c r="U55" s="231">
        <f t="shared" si="42"/>
        <v>14.038371317263231</v>
      </c>
      <c r="V55" s="231">
        <f t="shared" si="42"/>
        <v>15.244557229013791</v>
      </c>
      <c r="W55" s="232">
        <f t="shared" si="42"/>
        <v>16.533614662031219</v>
      </c>
      <c r="X55" s="259"/>
      <c r="Y55" s="259"/>
      <c r="Z55" s="259"/>
      <c r="AA55" s="259"/>
      <c r="AB55" s="259"/>
      <c r="AC55" s="259"/>
      <c r="AF55"/>
      <c r="AG55"/>
      <c r="AH55"/>
      <c r="AI55" s="90"/>
      <c r="AJ55" s="90"/>
      <c r="AK55" s="90"/>
      <c r="AL55" s="43"/>
      <c r="AO55" s="2"/>
      <c r="AP55"/>
      <c r="AQ55" s="13"/>
      <c r="AR55" s="12"/>
      <c r="AS55" s="3"/>
      <c r="AT55" s="3"/>
      <c r="AU55" s="3"/>
      <c r="AV55" s="3"/>
      <c r="AW55"/>
      <c r="AX55"/>
    </row>
    <row r="56" spans="2:50" hidden="1" x14ac:dyDescent="0.25">
      <c r="B56" s="242"/>
      <c r="C56" s="2"/>
      <c r="D56" s="43" t="s">
        <v>80</v>
      </c>
      <c r="E56" s="43"/>
      <c r="F56" s="106">
        <f>1.075*1.225*F64</f>
        <v>9.2705760658452085</v>
      </c>
      <c r="G56" s="136"/>
      <c r="I56" s="264"/>
      <c r="J56" s="271"/>
      <c r="K56" s="250">
        <f t="shared" ref="K56:W56" si="43">1.075*1.225*K64</f>
        <v>4.6352880329226043</v>
      </c>
      <c r="L56" s="231">
        <f t="shared" si="43"/>
        <v>5.5623456395071251</v>
      </c>
      <c r="M56" s="231">
        <f t="shared" si="43"/>
        <v>6.4894032460916469</v>
      </c>
      <c r="N56" s="106">
        <f t="shared" si="43"/>
        <v>7.4164608526761659</v>
      </c>
      <c r="O56" s="231">
        <f t="shared" si="43"/>
        <v>8.3435184592606859</v>
      </c>
      <c r="P56" s="231">
        <f t="shared" si="43"/>
        <v>9.2705760658452085</v>
      </c>
      <c r="Q56" s="231">
        <f t="shared" si="43"/>
        <v>10.197633672429728</v>
      </c>
      <c r="R56" s="231">
        <f t="shared" si="43"/>
        <v>11.12469127901425</v>
      </c>
      <c r="S56" s="231">
        <f t="shared" si="43"/>
        <v>12.051748885598773</v>
      </c>
      <c r="T56" s="231">
        <f t="shared" si="43"/>
        <v>12.457040508779455</v>
      </c>
      <c r="U56" s="231">
        <f t="shared" si="43"/>
        <v>12.457040508779455</v>
      </c>
      <c r="V56" s="231">
        <f t="shared" si="43"/>
        <v>12.457040508779455</v>
      </c>
      <c r="W56" s="232">
        <f t="shared" si="43"/>
        <v>12.457040508779455</v>
      </c>
      <c r="X56" s="259"/>
      <c r="Y56" s="259"/>
      <c r="Z56" s="259"/>
      <c r="AA56" s="259"/>
      <c r="AB56" s="259"/>
      <c r="AC56" s="259"/>
      <c r="AF56"/>
      <c r="AG56"/>
      <c r="AH56"/>
      <c r="AI56" s="90"/>
      <c r="AJ56" s="90"/>
      <c r="AK56" s="90"/>
      <c r="AL56" s="43"/>
      <c r="AO56" s="2"/>
      <c r="AP56"/>
      <c r="AQ56" s="13"/>
      <c r="AR56" s="12"/>
      <c r="AS56" s="3"/>
      <c r="AT56" s="3"/>
      <c r="AU56" s="3"/>
      <c r="AV56" s="3"/>
      <c r="AW56"/>
      <c r="AX56"/>
    </row>
    <row r="57" spans="2:50" ht="15.75" thickBot="1" x14ac:dyDescent="0.3">
      <c r="B57" s="151"/>
      <c r="C57" s="289"/>
      <c r="D57" s="145" t="s">
        <v>93</v>
      </c>
      <c r="E57" s="145"/>
      <c r="F57" s="283">
        <f>2+(F$16/$C$16*$F$10/$F$8^3)</f>
        <v>2.3890154200184459</v>
      </c>
      <c r="G57" s="214" t="s">
        <v>32</v>
      </c>
      <c r="I57" s="304"/>
      <c r="J57" s="293"/>
      <c r="K57" s="297">
        <f t="shared" ref="K57:W57" si="44">2+(K$16/$C$16*$F$10/$F$8^3)</f>
        <v>2.1945077100092227</v>
      </c>
      <c r="L57" s="285">
        <f t="shared" si="44"/>
        <v>2.2334092520110675</v>
      </c>
      <c r="M57" s="285">
        <f t="shared" si="44"/>
        <v>2.2723107940129119</v>
      </c>
      <c r="N57" s="285">
        <f t="shared" si="44"/>
        <v>2.3112123360147567</v>
      </c>
      <c r="O57" s="285">
        <f t="shared" si="44"/>
        <v>2.3501138780166011</v>
      </c>
      <c r="P57" s="285">
        <f t="shared" si="44"/>
        <v>2.3890154200184459</v>
      </c>
      <c r="Q57" s="285">
        <f t="shared" si="44"/>
        <v>2.4279169620202903</v>
      </c>
      <c r="R57" s="285">
        <f t="shared" si="44"/>
        <v>2.4668185040221351</v>
      </c>
      <c r="S57" s="285">
        <f t="shared" si="44"/>
        <v>2.5057200460239795</v>
      </c>
      <c r="T57" s="285">
        <f t="shared" si="44"/>
        <v>2.5446215880258243</v>
      </c>
      <c r="U57" s="285">
        <f t="shared" si="44"/>
        <v>2.5835231300276686</v>
      </c>
      <c r="V57" s="285">
        <f t="shared" si="44"/>
        <v>2.6224246720295135</v>
      </c>
      <c r="W57" s="286">
        <f t="shared" si="44"/>
        <v>2.6613262140313578</v>
      </c>
      <c r="X57" s="93"/>
      <c r="Y57" s="93"/>
      <c r="Z57" s="93"/>
      <c r="AA57" s="93"/>
      <c r="AB57" s="93"/>
      <c r="AC57" s="93"/>
      <c r="AF57"/>
      <c r="AG57" s="136"/>
      <c r="AH57"/>
      <c r="AI57" s="90"/>
      <c r="AJ57" s="90"/>
      <c r="AK57" s="90"/>
      <c r="AL57" s="43"/>
      <c r="AO57" s="2"/>
      <c r="AP57"/>
      <c r="AQ57" s="13"/>
      <c r="AR57" s="12"/>
      <c r="AS57" s="3"/>
      <c r="AT57" s="3"/>
      <c r="AU57" s="3"/>
      <c r="AV57" s="3"/>
      <c r="AW57"/>
      <c r="AX57"/>
    </row>
    <row r="58" spans="2:50" x14ac:dyDescent="0.25">
      <c r="B58" s="140"/>
      <c r="C58" s="243"/>
      <c r="D58" s="132" t="s">
        <v>56</v>
      </c>
      <c r="E58" s="132"/>
      <c r="F58" s="220">
        <f>F51</f>
        <v>2.4132021036170261</v>
      </c>
      <c r="G58" s="136" t="s">
        <v>32</v>
      </c>
      <c r="I58" s="15"/>
      <c r="J58"/>
      <c r="K58" s="195">
        <f t="shared" ref="K58:W58" si="45">K51</f>
        <v>1.674479056371651</v>
      </c>
      <c r="L58" s="184">
        <f t="shared" si="45"/>
        <v>1.8383670730986619</v>
      </c>
      <c r="M58" s="184">
        <f t="shared" si="45"/>
        <v>1.9908813622239809</v>
      </c>
      <c r="N58" s="184">
        <f t="shared" si="45"/>
        <v>2.1348059733953342</v>
      </c>
      <c r="O58" s="184">
        <f t="shared" si="45"/>
        <v>2.272103640304544</v>
      </c>
      <c r="P58" s="184">
        <f t="shared" si="45"/>
        <v>2.4042275845399379</v>
      </c>
      <c r="Q58" s="184">
        <f t="shared" si="45"/>
        <v>2.5322954692123765</v>
      </c>
      <c r="R58" s="184">
        <f t="shared" si="45"/>
        <v>2.6571934451463317</v>
      </c>
      <c r="S58" s="184">
        <f t="shared" si="45"/>
        <v>2.7796418707435477</v>
      </c>
      <c r="T58" s="184">
        <f t="shared" si="45"/>
        <v>2.9002386881755937</v>
      </c>
      <c r="U58" s="184">
        <f t="shared" si="45"/>
        <v>3.0194891085306734</v>
      </c>
      <c r="V58" s="184">
        <f t="shared" si="45"/>
        <v>3.1378265546024062</v>
      </c>
      <c r="W58" s="185">
        <f t="shared" si="45"/>
        <v>3.2556278238523229</v>
      </c>
      <c r="X58"/>
      <c r="AH58" s="15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</row>
    <row r="59" spans="2:50" x14ac:dyDescent="0.25">
      <c r="B59" s="140"/>
      <c r="C59" s="247" t="s">
        <v>65</v>
      </c>
      <c r="D59" s="253" t="s">
        <v>57</v>
      </c>
      <c r="E59" s="252"/>
      <c r="F59" s="224">
        <f>IF(F52&lt;F53,F52,F53)</f>
        <v>5.2518754899183895</v>
      </c>
      <c r="G59" s="216" t="s">
        <v>32</v>
      </c>
      <c r="I59" s="15"/>
      <c r="J59"/>
      <c r="K59" s="189">
        <f t="shared" ref="K59:W59" si="46">IF(K52&lt;K53,K52,K53)</f>
        <v>2.6752233790010456</v>
      </c>
      <c r="L59" s="176">
        <f t="shared" si="46"/>
        <v>3.2102680548012552</v>
      </c>
      <c r="M59" s="176">
        <f t="shared" si="46"/>
        <v>3.7453127306014644</v>
      </c>
      <c r="N59" s="176">
        <f t="shared" si="46"/>
        <v>4.2803574064016727</v>
      </c>
      <c r="O59" s="176">
        <f t="shared" si="46"/>
        <v>4.7874108348000561</v>
      </c>
      <c r="P59" s="176">
        <f t="shared" si="46"/>
        <v>5.2518754899183895</v>
      </c>
      <c r="Q59" s="176">
        <f t="shared" si="46"/>
        <v>5.7471531802663725</v>
      </c>
      <c r="R59" s="176">
        <f t="shared" si="46"/>
        <v>6.2767895693768514</v>
      </c>
      <c r="S59" s="176">
        <f t="shared" si="46"/>
        <v>6.843953134099281</v>
      </c>
      <c r="T59" s="176">
        <f t="shared" si="46"/>
        <v>7.1894919507812851</v>
      </c>
      <c r="U59" s="176">
        <f t="shared" si="46"/>
        <v>7.1894919507812851</v>
      </c>
      <c r="V59" s="176">
        <f t="shared" si="46"/>
        <v>7.1894919507812851</v>
      </c>
      <c r="W59" s="177">
        <f t="shared" si="46"/>
        <v>7.1894919507812851</v>
      </c>
      <c r="AH59" s="15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</row>
    <row r="60" spans="2:50" x14ac:dyDescent="0.25">
      <c r="B60" s="140"/>
      <c r="C60" s="243" t="s">
        <v>66</v>
      </c>
      <c r="D60" s="252" t="s">
        <v>60</v>
      </c>
      <c r="E60" s="252"/>
      <c r="F60" s="222">
        <f>F54</f>
        <v>4.1812907735938571</v>
      </c>
      <c r="G60" s="217" t="s">
        <v>32</v>
      </c>
      <c r="I60" s="15"/>
      <c r="J60"/>
      <c r="K60" s="191">
        <f t="shared" ref="K60:W60" si="47">K54</f>
        <v>2.9013250976736527</v>
      </c>
      <c r="L60" s="182">
        <f t="shared" si="47"/>
        <v>3.1852894830917413</v>
      </c>
      <c r="M60" s="182">
        <f t="shared" si="47"/>
        <v>3.4495469147445217</v>
      </c>
      <c r="N60" s="182">
        <f t="shared" si="47"/>
        <v>3.69892124103152</v>
      </c>
      <c r="O60" s="182">
        <f t="shared" si="47"/>
        <v>3.936813238151438</v>
      </c>
      <c r="P60" s="182">
        <f t="shared" si="47"/>
        <v>4.1657408643018723</v>
      </c>
      <c r="Q60" s="182">
        <f t="shared" si="47"/>
        <v>4.3876406644768906</v>
      </c>
      <c r="R60" s="182">
        <f t="shared" si="47"/>
        <v>4.6040480485208723</v>
      </c>
      <c r="S60" s="182">
        <f t="shared" si="47"/>
        <v>4.8162111621794148</v>
      </c>
      <c r="T60" s="182">
        <f t="shared" si="47"/>
        <v>5.0251660438686034</v>
      </c>
      <c r="U60" s="182">
        <f t="shared" si="47"/>
        <v>5.2317880593353259</v>
      </c>
      <c r="V60" s="182">
        <f t="shared" si="47"/>
        <v>5.436828188667536</v>
      </c>
      <c r="W60" s="183">
        <f t="shared" si="47"/>
        <v>5.6409392987540254</v>
      </c>
      <c r="X60"/>
      <c r="AH60" s="15"/>
      <c r="AI60"/>
      <c r="AJ60"/>
      <c r="AK60"/>
      <c r="AS60" s="12"/>
      <c r="AT60" s="12"/>
      <c r="AU60" s="3"/>
      <c r="AV60" s="3"/>
      <c r="AW60" s="3"/>
      <c r="AX60" s="3"/>
    </row>
    <row r="61" spans="2:50" ht="15.75" thickBot="1" x14ac:dyDescent="0.3">
      <c r="B61" s="140"/>
      <c r="C61" s="246"/>
      <c r="D61" s="238" t="s">
        <v>61</v>
      </c>
      <c r="E61" s="238"/>
      <c r="F61" s="223">
        <f t="shared" ref="F61" si="48">IF(F55&lt;F56,F55,F56)</f>
        <v>9.0997842647100828</v>
      </c>
      <c r="G61" s="214" t="s">
        <v>32</v>
      </c>
      <c r="I61" s="204"/>
      <c r="J61" s="135"/>
      <c r="K61" s="192">
        <f t="shared" ref="K61:W61" si="49">IF(K55&lt;K56,K55,K56)</f>
        <v>4.6352880329226043</v>
      </c>
      <c r="L61" s="193">
        <f t="shared" si="49"/>
        <v>5.5623456395071251</v>
      </c>
      <c r="M61" s="193">
        <f t="shared" si="49"/>
        <v>6.4894032460916469</v>
      </c>
      <c r="N61" s="193">
        <f t="shared" si="49"/>
        <v>7.4164608526761659</v>
      </c>
      <c r="O61" s="193">
        <f t="shared" si="49"/>
        <v>8.2950187731684135</v>
      </c>
      <c r="P61" s="193">
        <f t="shared" si="49"/>
        <v>9.0997842647100828</v>
      </c>
      <c r="Q61" s="193">
        <f t="shared" si="49"/>
        <v>9.9579386786793602</v>
      </c>
      <c r="R61" s="193">
        <f t="shared" si="49"/>
        <v>10.875625491494544</v>
      </c>
      <c r="S61" s="193">
        <f t="shared" si="49"/>
        <v>11.858334638290835</v>
      </c>
      <c r="T61" s="193">
        <f t="shared" si="49"/>
        <v>12.457040508779455</v>
      </c>
      <c r="U61" s="193">
        <f t="shared" si="49"/>
        <v>12.457040508779455</v>
      </c>
      <c r="V61" s="193">
        <f t="shared" si="49"/>
        <v>12.457040508779455</v>
      </c>
      <c r="W61" s="194">
        <f t="shared" si="49"/>
        <v>12.457040508779455</v>
      </c>
      <c r="AH61" s="15"/>
      <c r="AI61"/>
      <c r="AJ61"/>
      <c r="AK61"/>
    </row>
    <row r="62" spans="2:50" hidden="1" x14ac:dyDescent="0.25">
      <c r="B62" s="242"/>
      <c r="C62" s="387"/>
      <c r="D62" s="388" t="s">
        <v>75</v>
      </c>
      <c r="E62" s="388"/>
      <c r="F62" s="389">
        <f>(0.2529+2.7683*10^-4*F48)*SQRT(F$16)/$F$4*$F$5*$F$7/$F$8</f>
        <v>3.1751614797105705</v>
      </c>
      <c r="G62" s="390"/>
      <c r="H62" s="414"/>
      <c r="I62" s="391"/>
      <c r="J62" s="392"/>
      <c r="K62" s="393">
        <f>(0.2529+2.7683*10^-4*K48)*SQRT(K$16)*$F$7/$F$8</f>
        <v>2.2031894429415493</v>
      </c>
      <c r="L62" s="394">
        <f t="shared" ref="L62:W62" si="50">(0.2529+2.7683*10^-4*L48)*SQRT(L$16)*$F$7/$F$8</f>
        <v>2.4188244769562344</v>
      </c>
      <c r="M62" s="394">
        <f t="shared" si="50"/>
        <v>2.6194945721837848</v>
      </c>
      <c r="N62" s="394">
        <f t="shared" si="50"/>
        <v>2.808862831348093</v>
      </c>
      <c r="O62" s="394">
        <f t="shared" si="50"/>
        <v>2.989511713831182</v>
      </c>
      <c r="P62" s="394">
        <f t="shared" si="50"/>
        <v>3.1633532904048391</v>
      </c>
      <c r="Q62" s="394">
        <f t="shared" si="50"/>
        <v>3.3318581220517438</v>
      </c>
      <c r="R62" s="394">
        <f t="shared" si="50"/>
        <v>3.4961921583452282</v>
      </c>
      <c r="S62" s="394">
        <f t="shared" si="50"/>
        <v>3.6573032081096648</v>
      </c>
      <c r="T62" s="394">
        <f t="shared" si="50"/>
        <v>3.815978011480667</v>
      </c>
      <c r="U62" s="394">
        <f t="shared" si="50"/>
        <v>3.9728812980239776</v>
      </c>
      <c r="V62" s="394">
        <f t="shared" si="50"/>
        <v>4.1285833421300699</v>
      </c>
      <c r="W62" s="395">
        <f t="shared" si="50"/>
        <v>4.2835799136243189</v>
      </c>
      <c r="X62" s="259"/>
      <c r="Y62" s="259"/>
      <c r="Z62" s="259"/>
      <c r="AA62" s="259"/>
      <c r="AB62" s="259"/>
      <c r="AC62" s="259"/>
      <c r="AF62"/>
      <c r="AG62"/>
      <c r="AH62"/>
      <c r="AI62" s="90"/>
      <c r="AJ62" s="90"/>
      <c r="AK62" s="90"/>
      <c r="AL62" s="43"/>
      <c r="AO62" s="2"/>
      <c r="AP62"/>
      <c r="AQ62" s="13"/>
      <c r="AR62" s="12"/>
      <c r="AS62" s="3"/>
      <c r="AT62" s="3"/>
      <c r="AU62" s="3"/>
      <c r="AV62" s="3"/>
      <c r="AW62"/>
      <c r="AX62"/>
    </row>
    <row r="63" spans="2:50" hidden="1" x14ac:dyDescent="0.25">
      <c r="B63" s="242"/>
      <c r="C63" s="396"/>
      <c r="D63" s="397" t="s">
        <v>76</v>
      </c>
      <c r="E63" s="397"/>
      <c r="F63" s="398">
        <f>(0.675+9.273*10^-3*F48)*SQRT(F$16)*$F$4*$F$6/$F$7*$F$8</f>
        <v>6.9101351796564456</v>
      </c>
      <c r="G63" s="381"/>
      <c r="H63" s="414"/>
      <c r="I63" s="382"/>
      <c r="J63" s="383"/>
      <c r="K63" s="399">
        <f>(0.675+9.273*10^-3*K48)*SQRT(K$16)*$F$4/$F$7*$F$8</f>
        <v>4.136437394160378</v>
      </c>
      <c r="L63" s="400">
        <f t="shared" ref="L63:W63" si="51">(0.675+9.273*10^-3*L48)*SQRT(L$16)*$F$4/$F$7*$F$8</f>
        <v>4.6505141023345544</v>
      </c>
      <c r="M63" s="400">
        <f t="shared" si="51"/>
        <v>5.1761518930644597</v>
      </c>
      <c r="N63" s="400">
        <f t="shared" si="51"/>
        <v>5.7231105622973892</v>
      </c>
      <c r="O63" s="400">
        <f t="shared" si="51"/>
        <v>6.2990175781060573</v>
      </c>
      <c r="P63" s="400">
        <f t="shared" si="51"/>
        <v>6.9101351796564456</v>
      </c>
      <c r="Q63" s="400">
        <f t="shared" si="51"/>
        <v>7.5617949149914452</v>
      </c>
      <c r="R63" s="400">
        <f t="shared" si="51"/>
        <v>8.2586619774044951</v>
      </c>
      <c r="S63" s="400">
        <f t="shared" si="51"/>
        <v>9.0049052782464809</v>
      </c>
      <c r="T63" s="400">
        <f t="shared" si="51"/>
        <v>9.804311951677148</v>
      </c>
      <c r="U63" s="400">
        <f t="shared" si="51"/>
        <v>10.660367398016691</v>
      </c>
      <c r="V63" s="400">
        <f t="shared" si="51"/>
        <v>11.57631303579595</v>
      </c>
      <c r="W63" s="401">
        <f t="shared" si="51"/>
        <v>12.555189112126223</v>
      </c>
      <c r="X63" s="259"/>
      <c r="Y63" s="259"/>
      <c r="Z63" s="259"/>
      <c r="AA63" s="259"/>
      <c r="AB63" s="259"/>
      <c r="AC63" s="259"/>
      <c r="AF63"/>
      <c r="AG63"/>
      <c r="AH63"/>
      <c r="AI63" s="90"/>
      <c r="AJ63" s="90"/>
      <c r="AK63" s="90"/>
      <c r="AL63" s="43"/>
      <c r="AO63" s="2"/>
      <c r="AP63"/>
      <c r="AQ63" s="13"/>
      <c r="AR63" s="12"/>
      <c r="AS63" s="3"/>
      <c r="AT63" s="3"/>
      <c r="AU63" s="3"/>
      <c r="AV63" s="3"/>
      <c r="AW63"/>
      <c r="AX63"/>
    </row>
    <row r="64" spans="2:50" ht="15.75" hidden="1" thickBot="1" x14ac:dyDescent="0.3">
      <c r="B64" s="242"/>
      <c r="C64" s="396"/>
      <c r="D64" s="397" t="s">
        <v>77</v>
      </c>
      <c r="E64" s="397"/>
      <c r="F64" s="380">
        <f>IF(($F$3*(F$16*10^-3)/SQRT($C$16*10^-3*$B$66*10^-3)*$F$4/$F$6^2*$F$8)&lt;(4*$F$13*$F$8),($F$3*(F$16*10^-3)/SQRT($C$16*10^-3*$B$66*10^-3)*$F$4/$F$6^2*$F$8),(4*$F$13*$F$8))</f>
        <v>7.039829950333333</v>
      </c>
      <c r="G64" s="381"/>
      <c r="H64" s="414"/>
      <c r="I64" s="382"/>
      <c r="J64" s="383"/>
      <c r="K64" s="384">
        <f t="shared" ref="K64:W64" si="52">IF(($F$3*(K$16*10^-3)/SQRT($C$16*10^-3*$B$66*10^-3)*$F$4/$F$6^2*$F$8)&lt;(4*$F$13*$F$8),($F$3*(K$16*10^-3)/SQRT($C$16*10^-3*$B$66*10^-3)*$F$4/$F$6^2*$F$8),(4*$F$13*$F$8))</f>
        <v>3.5199149751666665</v>
      </c>
      <c r="L64" s="385">
        <f t="shared" si="52"/>
        <v>4.2238979702000004</v>
      </c>
      <c r="M64" s="385">
        <f t="shared" si="52"/>
        <v>4.9278809652333342</v>
      </c>
      <c r="N64" s="385">
        <f t="shared" si="52"/>
        <v>5.6318639602666662</v>
      </c>
      <c r="O64" s="385">
        <f t="shared" si="52"/>
        <v>6.3358469552999992</v>
      </c>
      <c r="P64" s="385">
        <f t="shared" si="52"/>
        <v>7.039829950333333</v>
      </c>
      <c r="Q64" s="385">
        <f t="shared" si="52"/>
        <v>7.743812945366666</v>
      </c>
      <c r="R64" s="385">
        <f t="shared" si="52"/>
        <v>8.4477959404000007</v>
      </c>
      <c r="S64" s="385">
        <f t="shared" si="52"/>
        <v>9.1517789354333345</v>
      </c>
      <c r="T64" s="385">
        <f t="shared" si="52"/>
        <v>9.4595466606773275</v>
      </c>
      <c r="U64" s="385">
        <f t="shared" si="52"/>
        <v>9.4595466606773275</v>
      </c>
      <c r="V64" s="385">
        <f t="shared" si="52"/>
        <v>9.4595466606773275</v>
      </c>
      <c r="W64" s="386">
        <f t="shared" si="52"/>
        <v>9.4595466606773275</v>
      </c>
      <c r="X64" s="259"/>
      <c r="Y64" s="259"/>
      <c r="Z64" s="259"/>
      <c r="AA64" s="259"/>
      <c r="AB64" s="259"/>
      <c r="AC64" s="259"/>
      <c r="AF64"/>
      <c r="AG64"/>
      <c r="AH64"/>
      <c r="AI64" s="90"/>
      <c r="AJ64" s="90"/>
      <c r="AK64" s="90"/>
      <c r="AL64" s="43"/>
      <c r="AO64" s="2"/>
      <c r="AP64"/>
      <c r="AQ64" s="13"/>
      <c r="AR64" s="12"/>
      <c r="AS64" s="3"/>
      <c r="AT64" s="3"/>
      <c r="AU64" s="3"/>
      <c r="AV64" s="3"/>
      <c r="AW64"/>
      <c r="AX64"/>
    </row>
    <row r="65" spans="2:50" x14ac:dyDescent="0.25">
      <c r="B65" s="140"/>
      <c r="C65" s="243"/>
      <c r="D65" s="239" t="s">
        <v>56</v>
      </c>
      <c r="E65" s="239"/>
      <c r="F65" s="220">
        <f>F62</f>
        <v>3.1751614797105705</v>
      </c>
      <c r="G65" s="215" t="s">
        <v>32</v>
      </c>
      <c r="I65" s="15"/>
      <c r="J65"/>
      <c r="K65" s="195">
        <f t="shared" ref="K65:W65" si="53">K62</f>
        <v>2.2031894429415493</v>
      </c>
      <c r="L65" s="184">
        <f t="shared" si="53"/>
        <v>2.4188244769562344</v>
      </c>
      <c r="M65" s="184">
        <f t="shared" si="53"/>
        <v>2.6194945721837848</v>
      </c>
      <c r="N65" s="184">
        <f t="shared" si="53"/>
        <v>2.808862831348093</v>
      </c>
      <c r="O65" s="184">
        <f t="shared" si="53"/>
        <v>2.989511713831182</v>
      </c>
      <c r="P65" s="184">
        <f t="shared" si="53"/>
        <v>3.1633532904048391</v>
      </c>
      <c r="Q65" s="184">
        <f t="shared" si="53"/>
        <v>3.3318581220517438</v>
      </c>
      <c r="R65" s="184">
        <f t="shared" si="53"/>
        <v>3.4961921583452282</v>
      </c>
      <c r="S65" s="184">
        <f t="shared" si="53"/>
        <v>3.6573032081096648</v>
      </c>
      <c r="T65" s="184">
        <f t="shared" si="53"/>
        <v>3.815978011480667</v>
      </c>
      <c r="U65" s="184">
        <f t="shared" si="53"/>
        <v>3.9728812980239776</v>
      </c>
      <c r="V65" s="184">
        <f t="shared" si="53"/>
        <v>4.1285833421300699</v>
      </c>
      <c r="W65" s="185">
        <f t="shared" si="53"/>
        <v>4.2835799136243189</v>
      </c>
      <c r="X65"/>
      <c r="AH65" s="15"/>
      <c r="AI65"/>
      <c r="AJ65"/>
      <c r="AK65"/>
      <c r="AS65"/>
      <c r="AT65" s="12"/>
      <c r="AU65" s="3"/>
      <c r="AV65" s="3"/>
      <c r="AW65" s="3"/>
      <c r="AX65" s="3"/>
    </row>
    <row r="66" spans="2:50" x14ac:dyDescent="0.25">
      <c r="B66" s="254">
        <v>138</v>
      </c>
      <c r="C66" s="244" t="s">
        <v>58</v>
      </c>
      <c r="D66" s="253" t="s">
        <v>57</v>
      </c>
      <c r="E66" s="252"/>
      <c r="F66" s="224">
        <f t="shared" ref="F66" si="54">IF(F63&lt;F64,F63,F64)</f>
        <v>6.9101351796564456</v>
      </c>
      <c r="G66" s="216" t="s">
        <v>32</v>
      </c>
      <c r="I66" s="15"/>
      <c r="J66"/>
      <c r="K66" s="189">
        <f t="shared" ref="K66:W66" si="55">IF(K63&lt;K64,K63,K64)</f>
        <v>3.5199149751666665</v>
      </c>
      <c r="L66" s="176">
        <f t="shared" si="55"/>
        <v>4.2238979702000004</v>
      </c>
      <c r="M66" s="176">
        <f t="shared" si="55"/>
        <v>4.9278809652333342</v>
      </c>
      <c r="N66" s="176">
        <f t="shared" si="55"/>
        <v>5.6318639602666662</v>
      </c>
      <c r="O66" s="176">
        <f t="shared" si="55"/>
        <v>6.2990175781060573</v>
      </c>
      <c r="P66" s="176">
        <f t="shared" si="55"/>
        <v>6.9101351796564456</v>
      </c>
      <c r="Q66" s="176">
        <f t="shared" si="55"/>
        <v>7.5617949149914452</v>
      </c>
      <c r="R66" s="176">
        <f t="shared" si="55"/>
        <v>8.2586619774044951</v>
      </c>
      <c r="S66" s="176">
        <f t="shared" si="55"/>
        <v>9.0049052782464809</v>
      </c>
      <c r="T66" s="176">
        <f t="shared" si="55"/>
        <v>9.4595466606773275</v>
      </c>
      <c r="U66" s="176">
        <f t="shared" si="55"/>
        <v>9.4595466606773275</v>
      </c>
      <c r="V66" s="176">
        <f t="shared" si="55"/>
        <v>9.4595466606773275</v>
      </c>
      <c r="W66" s="177">
        <f t="shared" si="55"/>
        <v>9.4595466606773275</v>
      </c>
      <c r="AH66" s="15"/>
      <c r="AI66"/>
      <c r="AJ66"/>
      <c r="AK66"/>
    </row>
    <row r="67" spans="2:50" x14ac:dyDescent="0.25">
      <c r="B67" s="254" t="s">
        <v>40</v>
      </c>
      <c r="C67" s="243" t="s">
        <v>59</v>
      </c>
      <c r="D67" s="252" t="s">
        <v>60</v>
      </c>
      <c r="E67" s="252"/>
      <c r="F67" s="222">
        <f>F62</f>
        <v>3.1751614797105705</v>
      </c>
      <c r="G67" s="217" t="s">
        <v>32</v>
      </c>
      <c r="I67" s="15"/>
      <c r="J67"/>
      <c r="K67" s="191">
        <f t="shared" ref="K67:W67" si="56">K62</f>
        <v>2.2031894429415493</v>
      </c>
      <c r="L67" s="182">
        <f t="shared" si="56"/>
        <v>2.4188244769562344</v>
      </c>
      <c r="M67" s="182">
        <f t="shared" si="56"/>
        <v>2.6194945721837848</v>
      </c>
      <c r="N67" s="182">
        <f t="shared" si="56"/>
        <v>2.808862831348093</v>
      </c>
      <c r="O67" s="182">
        <f t="shared" si="56"/>
        <v>2.989511713831182</v>
      </c>
      <c r="P67" s="182">
        <f t="shared" si="56"/>
        <v>3.1633532904048391</v>
      </c>
      <c r="Q67" s="182">
        <f t="shared" si="56"/>
        <v>3.3318581220517438</v>
      </c>
      <c r="R67" s="182">
        <f t="shared" si="56"/>
        <v>3.4961921583452282</v>
      </c>
      <c r="S67" s="182">
        <f t="shared" si="56"/>
        <v>3.6573032081096648</v>
      </c>
      <c r="T67" s="182">
        <f t="shared" si="56"/>
        <v>3.815978011480667</v>
      </c>
      <c r="U67" s="182">
        <f t="shared" si="56"/>
        <v>3.9728812980239776</v>
      </c>
      <c r="V67" s="182">
        <f t="shared" si="56"/>
        <v>4.1285833421300699</v>
      </c>
      <c r="W67" s="183">
        <f t="shared" si="56"/>
        <v>4.2835799136243189</v>
      </c>
      <c r="X67"/>
      <c r="AH67" s="15"/>
      <c r="AI67"/>
      <c r="AJ67"/>
      <c r="AK67"/>
      <c r="AS67" s="12"/>
      <c r="AT67" s="12"/>
      <c r="AU67" s="3"/>
      <c r="AV67" s="3"/>
      <c r="AW67" s="3"/>
      <c r="AX67" s="3"/>
    </row>
    <row r="68" spans="2:50" ht="15.75" hidden="1" thickBot="1" x14ac:dyDescent="0.3">
      <c r="B68" s="141"/>
      <c r="C68" s="246"/>
      <c r="D68" s="238" t="s">
        <v>61</v>
      </c>
      <c r="E68" s="238"/>
      <c r="F68" s="223">
        <f t="shared" ref="F68" si="57">IF(F63&lt;F64,F63,F64)</f>
        <v>6.9101351796564456</v>
      </c>
      <c r="G68" s="214" t="s">
        <v>32</v>
      </c>
      <c r="I68" s="204"/>
      <c r="J68" s="135"/>
      <c r="K68" s="192">
        <f t="shared" ref="K68:W68" si="58">IF(K63&lt;K64,K63,K64)</f>
        <v>3.5199149751666665</v>
      </c>
      <c r="L68" s="193">
        <f t="shared" si="58"/>
        <v>4.2238979702000004</v>
      </c>
      <c r="M68" s="193">
        <f t="shared" si="58"/>
        <v>4.9278809652333342</v>
      </c>
      <c r="N68" s="193">
        <f t="shared" si="58"/>
        <v>5.6318639602666662</v>
      </c>
      <c r="O68" s="193">
        <f t="shared" si="58"/>
        <v>6.2990175781060573</v>
      </c>
      <c r="P68" s="193">
        <f t="shared" si="58"/>
        <v>6.9101351796564456</v>
      </c>
      <c r="Q68" s="193">
        <f t="shared" si="58"/>
        <v>7.5617949149914452</v>
      </c>
      <c r="R68" s="193">
        <f t="shared" si="58"/>
        <v>8.2586619774044951</v>
      </c>
      <c r="S68" s="193">
        <f t="shared" si="58"/>
        <v>9.0049052782464809</v>
      </c>
      <c r="T68" s="193">
        <f t="shared" si="58"/>
        <v>9.4595466606773275</v>
      </c>
      <c r="U68" s="193">
        <f t="shared" si="58"/>
        <v>9.4595466606773275</v>
      </c>
      <c r="V68" s="193">
        <f t="shared" si="58"/>
        <v>9.4595466606773275</v>
      </c>
      <c r="W68" s="194">
        <f t="shared" si="58"/>
        <v>9.4595466606773275</v>
      </c>
      <c r="AH68" s="15"/>
      <c r="AI68"/>
      <c r="AJ68"/>
      <c r="AK68"/>
    </row>
    <row r="69" spans="2:50" hidden="1" x14ac:dyDescent="0.25">
      <c r="B69" s="242"/>
      <c r="C69" s="2"/>
      <c r="D69" s="43" t="s">
        <v>71</v>
      </c>
      <c r="E69" s="43"/>
      <c r="F69" s="220">
        <f>1.07*1.22*F62</f>
        <v>4.1448557956141787</v>
      </c>
      <c r="G69" s="136"/>
      <c r="I69" s="267"/>
      <c r="J69" s="259"/>
      <c r="K69" s="195">
        <f t="shared" ref="K69:W69" si="59">1.07*1.22*K62</f>
        <v>2.8760434988158985</v>
      </c>
      <c r="L69" s="184">
        <f t="shared" si="59"/>
        <v>3.1575334722186685</v>
      </c>
      <c r="M69" s="184">
        <f t="shared" si="59"/>
        <v>3.4194882145287129</v>
      </c>
      <c r="N69" s="184">
        <f t="shared" si="59"/>
        <v>3.6666895400418009</v>
      </c>
      <c r="O69" s="184">
        <f t="shared" si="59"/>
        <v>3.9025085912352253</v>
      </c>
      <c r="P69" s="184">
        <f t="shared" si="59"/>
        <v>4.1294413852944771</v>
      </c>
      <c r="Q69" s="184">
        <f t="shared" si="59"/>
        <v>4.3494075925263465</v>
      </c>
      <c r="R69" s="184">
        <f t="shared" si="59"/>
        <v>4.5639292435038614</v>
      </c>
      <c r="S69" s="184">
        <f t="shared" si="59"/>
        <v>4.7742436078663566</v>
      </c>
      <c r="T69" s="184">
        <f t="shared" si="59"/>
        <v>4.981377696186863</v>
      </c>
      <c r="U69" s="184">
        <f t="shared" si="59"/>
        <v>5.1861992464405011</v>
      </c>
      <c r="V69" s="184">
        <f t="shared" si="59"/>
        <v>5.3894526948165939</v>
      </c>
      <c r="W69" s="185">
        <f t="shared" si="59"/>
        <v>5.5917852192451862</v>
      </c>
      <c r="X69" s="259"/>
      <c r="Y69" s="259"/>
      <c r="Z69" s="259"/>
      <c r="AA69" s="259"/>
      <c r="AB69" s="259"/>
      <c r="AC69" s="259"/>
      <c r="AF69"/>
      <c r="AG69"/>
      <c r="AH69"/>
      <c r="AI69" s="90"/>
      <c r="AJ69" s="90"/>
      <c r="AK69" s="90"/>
      <c r="AL69" s="43"/>
      <c r="AO69" s="2"/>
      <c r="AP69"/>
      <c r="AQ69" s="13"/>
      <c r="AR69" s="12"/>
      <c r="AS69" s="3"/>
      <c r="AT69" s="3"/>
      <c r="AU69" s="3"/>
      <c r="AV69" s="3"/>
      <c r="AW69"/>
      <c r="AX69"/>
    </row>
    <row r="70" spans="2:50" hidden="1" x14ac:dyDescent="0.25">
      <c r="B70" s="242"/>
      <c r="C70" s="2"/>
      <c r="D70" s="43" t="s">
        <v>72</v>
      </c>
      <c r="E70" s="43"/>
      <c r="F70" s="224">
        <f>1.07*1.22*F63</f>
        <v>9.0204904635235241</v>
      </c>
      <c r="G70" s="136"/>
      <c r="I70" s="267"/>
      <c r="J70" s="259"/>
      <c r="K70" s="189">
        <f t="shared" ref="K70:W70" si="60">1.07*1.22*K63</f>
        <v>5.3997053743369579</v>
      </c>
      <c r="L70" s="176">
        <f t="shared" si="60"/>
        <v>6.0707811091875277</v>
      </c>
      <c r="M70" s="176">
        <f t="shared" si="60"/>
        <v>6.756948681206346</v>
      </c>
      <c r="N70" s="176">
        <f t="shared" si="60"/>
        <v>7.4709485280230128</v>
      </c>
      <c r="O70" s="176">
        <f t="shared" si="60"/>
        <v>8.2227375464596477</v>
      </c>
      <c r="P70" s="176">
        <f t="shared" si="60"/>
        <v>9.0204904635235241</v>
      </c>
      <c r="Q70" s="176">
        <f t="shared" si="60"/>
        <v>9.8711670820298334</v>
      </c>
      <c r="R70" s="176">
        <f t="shared" si="60"/>
        <v>10.780857345303829</v>
      </c>
      <c r="S70" s="176">
        <f t="shared" si="60"/>
        <v>11.755003350222957</v>
      </c>
      <c r="T70" s="176">
        <f t="shared" si="60"/>
        <v>12.798548821719351</v>
      </c>
      <c r="U70" s="176">
        <f t="shared" si="60"/>
        <v>13.916043601370989</v>
      </c>
      <c r="V70" s="176">
        <f t="shared" si="60"/>
        <v>15.111719036928035</v>
      </c>
      <c r="W70" s="177">
        <f t="shared" si="60"/>
        <v>16.389543866969575</v>
      </c>
      <c r="X70" s="259"/>
      <c r="Y70" s="259"/>
      <c r="Z70" s="259"/>
      <c r="AA70" s="259"/>
      <c r="AB70" s="259"/>
      <c r="AC70" s="259"/>
      <c r="AF70"/>
      <c r="AG70"/>
      <c r="AH70"/>
      <c r="AI70" s="90"/>
      <c r="AJ70" s="90"/>
      <c r="AK70" s="90"/>
      <c r="AL70" s="43"/>
      <c r="AO70" s="2"/>
      <c r="AP70"/>
      <c r="AQ70" s="13"/>
      <c r="AR70" s="12"/>
      <c r="AS70" s="3"/>
      <c r="AT70" s="3"/>
      <c r="AU70" s="3"/>
      <c r="AV70" s="3"/>
      <c r="AW70"/>
      <c r="AX70"/>
    </row>
    <row r="71" spans="2:50" hidden="1" x14ac:dyDescent="0.25">
      <c r="B71" s="242"/>
      <c r="C71" s="2"/>
      <c r="D71" s="43" t="s">
        <v>79</v>
      </c>
      <c r="E71" s="43"/>
      <c r="F71" s="224">
        <f>1.07*1.22*F64</f>
        <v>9.1897940171651342</v>
      </c>
      <c r="G71" s="136"/>
      <c r="I71" s="267"/>
      <c r="J71" s="259"/>
      <c r="K71" s="189">
        <f t="shared" ref="K71:W71" si="61">1.07*1.22*K64</f>
        <v>4.5948970085825671</v>
      </c>
      <c r="L71" s="176">
        <f t="shared" si="61"/>
        <v>5.5138764102990807</v>
      </c>
      <c r="M71" s="176">
        <f t="shared" si="61"/>
        <v>6.4328558120155952</v>
      </c>
      <c r="N71" s="176">
        <f t="shared" si="61"/>
        <v>7.351835213732107</v>
      </c>
      <c r="O71" s="176">
        <f t="shared" si="61"/>
        <v>8.2708146154486197</v>
      </c>
      <c r="P71" s="176">
        <f t="shared" si="61"/>
        <v>9.1897940171651342</v>
      </c>
      <c r="Q71" s="176">
        <f t="shared" si="61"/>
        <v>10.108773418881647</v>
      </c>
      <c r="R71" s="176">
        <f t="shared" si="61"/>
        <v>11.027752820598161</v>
      </c>
      <c r="S71" s="176">
        <f t="shared" si="61"/>
        <v>11.946732222314676</v>
      </c>
      <c r="T71" s="176">
        <f t="shared" si="61"/>
        <v>12.348492210848184</v>
      </c>
      <c r="U71" s="176">
        <f t="shared" si="61"/>
        <v>12.348492210848184</v>
      </c>
      <c r="V71" s="176">
        <f t="shared" si="61"/>
        <v>12.348492210848184</v>
      </c>
      <c r="W71" s="177">
        <f t="shared" si="61"/>
        <v>12.348492210848184</v>
      </c>
      <c r="X71" s="259"/>
      <c r="Y71" s="259"/>
      <c r="Z71" s="259"/>
      <c r="AA71" s="259"/>
      <c r="AB71" s="259"/>
      <c r="AC71" s="259"/>
      <c r="AF71"/>
      <c r="AG71"/>
      <c r="AH71"/>
      <c r="AI71" s="90"/>
      <c r="AJ71" s="90"/>
      <c r="AK71" s="90"/>
      <c r="AL71" s="43"/>
      <c r="AO71" s="2"/>
      <c r="AP71"/>
      <c r="AQ71" s="13"/>
      <c r="AR71" s="12"/>
      <c r="AS71" s="3"/>
      <c r="AT71" s="3"/>
      <c r="AU71" s="3"/>
      <c r="AV71" s="3"/>
      <c r="AW71"/>
      <c r="AX71"/>
    </row>
    <row r="72" spans="2:50" hidden="1" x14ac:dyDescent="0.25">
      <c r="B72" s="242"/>
      <c r="C72" s="2"/>
      <c r="D72" s="43" t="s">
        <v>73</v>
      </c>
      <c r="E72" s="43"/>
      <c r="F72" s="224">
        <f>1.07*0.707*F62</f>
        <v>2.4019779077862493</v>
      </c>
      <c r="G72" s="136"/>
      <c r="I72" s="267"/>
      <c r="J72" s="259"/>
      <c r="K72" s="189">
        <f t="shared" ref="K72:W72" si="62">1.07*0.707*K62</f>
        <v>1.6666907816908525</v>
      </c>
      <c r="L72" s="176">
        <f t="shared" si="62"/>
        <v>1.8298165285726218</v>
      </c>
      <c r="M72" s="176">
        <f t="shared" si="62"/>
        <v>1.9816214489113113</v>
      </c>
      <c r="N72" s="176">
        <f t="shared" si="62"/>
        <v>2.1248766432865187</v>
      </c>
      <c r="O72" s="176">
        <f t="shared" si="62"/>
        <v>2.2615357163961507</v>
      </c>
      <c r="P72" s="176">
        <f t="shared" si="62"/>
        <v>2.3930451306583569</v>
      </c>
      <c r="Q72" s="176">
        <f t="shared" si="62"/>
        <v>2.5205173507509238</v>
      </c>
      <c r="R72" s="176">
        <f t="shared" si="62"/>
        <v>2.6448344058665816</v>
      </c>
      <c r="S72" s="176">
        <f t="shared" si="62"/>
        <v>2.7667133039028804</v>
      </c>
      <c r="T72" s="176">
        <f t="shared" si="62"/>
        <v>2.8867492059050099</v>
      </c>
      <c r="U72" s="176">
        <f t="shared" si="62"/>
        <v>3.0054449731421586</v>
      </c>
      <c r="V72" s="176">
        <f t="shared" si="62"/>
        <v>3.1232320124879767</v>
      </c>
      <c r="W72" s="177">
        <f t="shared" si="62"/>
        <v>3.2404853688576609</v>
      </c>
      <c r="X72" s="259"/>
      <c r="Y72" s="259"/>
      <c r="Z72" s="259"/>
      <c r="AA72" s="259"/>
      <c r="AB72" s="259"/>
      <c r="AC72" s="259"/>
      <c r="AF72"/>
      <c r="AG72"/>
      <c r="AH72"/>
      <c r="AI72" s="90"/>
      <c r="AJ72" s="90"/>
      <c r="AK72" s="90"/>
      <c r="AL72" s="43"/>
      <c r="AO72" s="2"/>
      <c r="AP72"/>
      <c r="AQ72" s="13"/>
      <c r="AR72" s="12"/>
      <c r="AS72" s="3"/>
      <c r="AT72" s="3"/>
      <c r="AU72" s="3"/>
      <c r="AV72" s="3"/>
      <c r="AW72"/>
      <c r="AX72"/>
    </row>
    <row r="73" spans="2:50" hidden="1" x14ac:dyDescent="0.25">
      <c r="B73" s="242"/>
      <c r="C73" s="2"/>
      <c r="D73" s="43" t="s">
        <v>74</v>
      </c>
      <c r="E73" s="43"/>
      <c r="F73" s="224">
        <f>1.07*0.707*F63</f>
        <v>5.2274481620583044</v>
      </c>
      <c r="G73" s="136"/>
      <c r="I73" s="267"/>
      <c r="J73" s="259"/>
      <c r="K73" s="189">
        <f t="shared" ref="K73:W73" si="63">1.07*0.707*K63</f>
        <v>3.1291735243083845</v>
      </c>
      <c r="L73" s="176">
        <f t="shared" si="63"/>
        <v>3.5180674132750669</v>
      </c>
      <c r="M73" s="176">
        <f t="shared" si="63"/>
        <v>3.9157071455843329</v>
      </c>
      <c r="N73" s="176">
        <f t="shared" si="63"/>
        <v>4.329475909272352</v>
      </c>
      <c r="O73" s="176">
        <f t="shared" si="63"/>
        <v>4.7651438076614516</v>
      </c>
      <c r="P73" s="176">
        <f t="shared" si="63"/>
        <v>5.2274481620583044</v>
      </c>
      <c r="Q73" s="176">
        <f t="shared" si="63"/>
        <v>5.7204222352418785</v>
      </c>
      <c r="R73" s="176">
        <f t="shared" si="63"/>
        <v>6.2475951992867262</v>
      </c>
      <c r="S73" s="176">
        <f t="shared" si="63"/>
        <v>6.8121207939406805</v>
      </c>
      <c r="T73" s="176">
        <f t="shared" si="63"/>
        <v>7.416863948324246</v>
      </c>
      <c r="U73" s="176">
        <f t="shared" si="63"/>
        <v>8.0644613329256458</v>
      </c>
      <c r="V73" s="176">
        <f t="shared" si="63"/>
        <v>8.7573650484492784</v>
      </c>
      <c r="W73" s="177">
        <f t="shared" si="63"/>
        <v>9.4978750114323667</v>
      </c>
      <c r="X73" s="259"/>
      <c r="Y73" s="259"/>
      <c r="Z73" s="259"/>
      <c r="AA73" s="259"/>
      <c r="AB73" s="259"/>
      <c r="AC73" s="259"/>
      <c r="AF73"/>
      <c r="AG73"/>
      <c r="AH73"/>
      <c r="AI73" s="90"/>
      <c r="AJ73" s="90"/>
      <c r="AK73" s="90"/>
      <c r="AL73" s="43"/>
      <c r="AO73" s="2"/>
      <c r="AP73"/>
      <c r="AQ73" s="13"/>
      <c r="AR73" s="12"/>
      <c r="AS73" s="3"/>
      <c r="AT73" s="3"/>
      <c r="AU73" s="3"/>
      <c r="AV73" s="3"/>
      <c r="AW73"/>
      <c r="AX73"/>
    </row>
    <row r="74" spans="2:50" ht="15.75" hidden="1" thickBot="1" x14ac:dyDescent="0.3">
      <c r="B74" s="242"/>
      <c r="C74" s="2"/>
      <c r="D74" s="43" t="s">
        <v>80</v>
      </c>
      <c r="E74" s="43"/>
      <c r="F74" s="223">
        <f>1.07*0.707*F64</f>
        <v>5.3255609591276629</v>
      </c>
      <c r="G74" s="136"/>
      <c r="I74" s="267"/>
      <c r="J74" s="259"/>
      <c r="K74" s="192">
        <f t="shared" ref="K74:W74" si="64">1.07*0.707*K64</f>
        <v>2.6627804795638315</v>
      </c>
      <c r="L74" s="193">
        <f t="shared" si="64"/>
        <v>3.1953365754765981</v>
      </c>
      <c r="M74" s="193">
        <f t="shared" si="64"/>
        <v>3.7278926713893648</v>
      </c>
      <c r="N74" s="193">
        <f t="shared" si="64"/>
        <v>4.2604487673021305</v>
      </c>
      <c r="O74" s="193">
        <f t="shared" si="64"/>
        <v>4.7930048632148967</v>
      </c>
      <c r="P74" s="193">
        <f t="shared" si="64"/>
        <v>5.3255609591276629</v>
      </c>
      <c r="Q74" s="193">
        <f t="shared" si="64"/>
        <v>5.8581170550404291</v>
      </c>
      <c r="R74" s="193">
        <f t="shared" si="64"/>
        <v>6.3906731509531962</v>
      </c>
      <c r="S74" s="193">
        <f t="shared" si="64"/>
        <v>6.9232292468659633</v>
      </c>
      <c r="T74" s="193">
        <f t="shared" si="64"/>
        <v>7.1560524533357919</v>
      </c>
      <c r="U74" s="193">
        <f t="shared" si="64"/>
        <v>7.1560524533357919</v>
      </c>
      <c r="V74" s="193">
        <f t="shared" si="64"/>
        <v>7.1560524533357919</v>
      </c>
      <c r="W74" s="194">
        <f t="shared" si="64"/>
        <v>7.1560524533357919</v>
      </c>
      <c r="X74" s="259"/>
      <c r="Y74" s="259"/>
      <c r="Z74" s="259"/>
      <c r="AA74" s="259"/>
      <c r="AB74" s="259"/>
      <c r="AC74" s="259"/>
      <c r="AF74"/>
      <c r="AG74"/>
      <c r="AH74"/>
      <c r="AI74" s="90"/>
      <c r="AJ74" s="90"/>
      <c r="AK74" s="90"/>
      <c r="AL74" s="43"/>
      <c r="AO74" s="2"/>
      <c r="AP74"/>
      <c r="AQ74" s="13"/>
      <c r="AR74" s="12"/>
      <c r="AS74" s="3"/>
      <c r="AT74" s="3"/>
      <c r="AU74" s="3"/>
      <c r="AV74" s="3"/>
      <c r="AW74"/>
      <c r="AX74"/>
    </row>
    <row r="75" spans="2:50" hidden="1" x14ac:dyDescent="0.25">
      <c r="B75" s="142"/>
      <c r="C75" s="243"/>
      <c r="D75" s="239" t="s">
        <v>56</v>
      </c>
      <c r="E75" s="239"/>
      <c r="F75" s="220">
        <f>F69</f>
        <v>4.1448557956141787</v>
      </c>
      <c r="G75" s="215" t="s">
        <v>32</v>
      </c>
      <c r="I75" s="15"/>
      <c r="J75"/>
      <c r="K75" s="195">
        <f t="shared" ref="K75:W75" si="65">K69</f>
        <v>2.8760434988158985</v>
      </c>
      <c r="L75" s="184">
        <f t="shared" si="65"/>
        <v>3.1575334722186685</v>
      </c>
      <c r="M75" s="184">
        <f t="shared" si="65"/>
        <v>3.4194882145287129</v>
      </c>
      <c r="N75" s="184">
        <f t="shared" si="65"/>
        <v>3.6666895400418009</v>
      </c>
      <c r="O75" s="184">
        <f t="shared" si="65"/>
        <v>3.9025085912352253</v>
      </c>
      <c r="P75" s="184">
        <f t="shared" si="65"/>
        <v>4.1294413852944771</v>
      </c>
      <c r="Q75" s="184">
        <f t="shared" si="65"/>
        <v>4.3494075925263465</v>
      </c>
      <c r="R75" s="184">
        <f t="shared" si="65"/>
        <v>4.5639292435038614</v>
      </c>
      <c r="S75" s="184">
        <f t="shared" si="65"/>
        <v>4.7742436078663566</v>
      </c>
      <c r="T75" s="184">
        <f t="shared" si="65"/>
        <v>4.981377696186863</v>
      </c>
      <c r="U75" s="184">
        <f t="shared" si="65"/>
        <v>5.1861992464405011</v>
      </c>
      <c r="V75" s="184">
        <f t="shared" si="65"/>
        <v>5.3894526948165939</v>
      </c>
      <c r="W75" s="185">
        <f t="shared" si="65"/>
        <v>5.5917852192451862</v>
      </c>
      <c r="X75"/>
      <c r="AH75" s="15"/>
      <c r="AI75"/>
      <c r="AJ75"/>
      <c r="AK75"/>
      <c r="AS75" s="12"/>
      <c r="AT75" s="12"/>
      <c r="AU75" s="3"/>
      <c r="AV75" s="3"/>
      <c r="AW75" s="3"/>
      <c r="AX75" s="3"/>
    </row>
    <row r="76" spans="2:50" x14ac:dyDescent="0.25">
      <c r="B76" s="141"/>
      <c r="C76" s="244" t="s">
        <v>67</v>
      </c>
      <c r="D76" s="253" t="s">
        <v>57</v>
      </c>
      <c r="E76" s="252"/>
      <c r="F76" s="224">
        <f>IF(F70&lt;F71,F70,F71)</f>
        <v>9.0204904635235241</v>
      </c>
      <c r="G76" s="216" t="s">
        <v>32</v>
      </c>
      <c r="I76" s="15"/>
      <c r="J76"/>
      <c r="K76" s="189">
        <f t="shared" ref="K76:W76" si="66">IF(K70&lt;K71,K70,K71)</f>
        <v>4.5948970085825671</v>
      </c>
      <c r="L76" s="176">
        <f t="shared" si="66"/>
        <v>5.5138764102990807</v>
      </c>
      <c r="M76" s="176">
        <f t="shared" si="66"/>
        <v>6.4328558120155952</v>
      </c>
      <c r="N76" s="176">
        <f t="shared" si="66"/>
        <v>7.351835213732107</v>
      </c>
      <c r="O76" s="176">
        <f t="shared" si="66"/>
        <v>8.2227375464596477</v>
      </c>
      <c r="P76" s="176">
        <f t="shared" si="66"/>
        <v>9.0204904635235241</v>
      </c>
      <c r="Q76" s="176">
        <f t="shared" si="66"/>
        <v>9.8711670820298334</v>
      </c>
      <c r="R76" s="176">
        <f t="shared" si="66"/>
        <v>10.780857345303829</v>
      </c>
      <c r="S76" s="176">
        <f t="shared" si="66"/>
        <v>11.755003350222957</v>
      </c>
      <c r="T76" s="176">
        <f t="shared" si="66"/>
        <v>12.348492210848184</v>
      </c>
      <c r="U76" s="176">
        <f t="shared" si="66"/>
        <v>12.348492210848184</v>
      </c>
      <c r="V76" s="176">
        <f t="shared" si="66"/>
        <v>12.348492210848184</v>
      </c>
      <c r="W76" s="177">
        <f t="shared" si="66"/>
        <v>12.348492210848184</v>
      </c>
      <c r="AH76" s="15"/>
      <c r="AI76"/>
      <c r="AJ76"/>
      <c r="AK76"/>
    </row>
    <row r="77" spans="2:50" x14ac:dyDescent="0.25">
      <c r="B77" s="142"/>
      <c r="C77" s="243" t="s">
        <v>68</v>
      </c>
      <c r="D77" s="252" t="s">
        <v>60</v>
      </c>
      <c r="E77" s="252"/>
      <c r="F77" s="222">
        <f>F72</f>
        <v>2.4019779077862493</v>
      </c>
      <c r="G77" s="217" t="s">
        <v>32</v>
      </c>
      <c r="I77" s="15"/>
      <c r="J77"/>
      <c r="K77" s="191">
        <f t="shared" ref="K77:W77" si="67">K72</f>
        <v>1.6666907816908525</v>
      </c>
      <c r="L77" s="182">
        <f t="shared" si="67"/>
        <v>1.8298165285726218</v>
      </c>
      <c r="M77" s="182">
        <f t="shared" si="67"/>
        <v>1.9816214489113113</v>
      </c>
      <c r="N77" s="182">
        <f t="shared" si="67"/>
        <v>2.1248766432865187</v>
      </c>
      <c r="O77" s="182">
        <f t="shared" si="67"/>
        <v>2.2615357163961507</v>
      </c>
      <c r="P77" s="182">
        <f t="shared" si="67"/>
        <v>2.3930451306583569</v>
      </c>
      <c r="Q77" s="182">
        <f t="shared" si="67"/>
        <v>2.5205173507509238</v>
      </c>
      <c r="R77" s="182">
        <f t="shared" si="67"/>
        <v>2.6448344058665816</v>
      </c>
      <c r="S77" s="182">
        <f t="shared" si="67"/>
        <v>2.7667133039028804</v>
      </c>
      <c r="T77" s="182">
        <f t="shared" si="67"/>
        <v>2.8867492059050099</v>
      </c>
      <c r="U77" s="182">
        <f t="shared" si="67"/>
        <v>3.0054449731421586</v>
      </c>
      <c r="V77" s="182">
        <f t="shared" si="67"/>
        <v>3.1232320124879767</v>
      </c>
      <c r="W77" s="183">
        <f t="shared" si="67"/>
        <v>3.2404853688576609</v>
      </c>
      <c r="X77"/>
      <c r="AH77" s="15"/>
      <c r="AI77"/>
      <c r="AJ77"/>
      <c r="AK77"/>
      <c r="AR77"/>
      <c r="AS77"/>
      <c r="AT77"/>
      <c r="AU77"/>
      <c r="AV77"/>
      <c r="AW77"/>
      <c r="AX77"/>
    </row>
    <row r="78" spans="2:50" ht="15.75" thickBot="1" x14ac:dyDescent="0.3">
      <c r="B78" s="143"/>
      <c r="C78" s="248"/>
      <c r="D78" s="237" t="s">
        <v>61</v>
      </c>
      <c r="E78" s="252"/>
      <c r="F78" s="223">
        <f t="shared" ref="F78" si="68">IF(F73&lt;F74,F73,F74)</f>
        <v>5.2274481620583044</v>
      </c>
      <c r="G78" s="136" t="s">
        <v>32</v>
      </c>
      <c r="I78" s="273"/>
      <c r="J78" s="121"/>
      <c r="K78" s="196">
        <f t="shared" ref="K78:W78" si="69">IF(K73&lt;K74,K73,K74)</f>
        <v>2.6627804795638315</v>
      </c>
      <c r="L78" s="187">
        <f t="shared" si="69"/>
        <v>3.1953365754765981</v>
      </c>
      <c r="M78" s="187">
        <f t="shared" si="69"/>
        <v>3.7278926713893648</v>
      </c>
      <c r="N78" s="187">
        <f t="shared" si="69"/>
        <v>4.2604487673021305</v>
      </c>
      <c r="O78" s="187">
        <f t="shared" si="69"/>
        <v>4.7651438076614516</v>
      </c>
      <c r="P78" s="187">
        <f t="shared" si="69"/>
        <v>5.2274481620583044</v>
      </c>
      <c r="Q78" s="187">
        <f t="shared" si="69"/>
        <v>5.7204222352418785</v>
      </c>
      <c r="R78" s="187">
        <f t="shared" si="69"/>
        <v>6.2475951992867262</v>
      </c>
      <c r="S78" s="187">
        <f t="shared" si="69"/>
        <v>6.8121207939406805</v>
      </c>
      <c r="T78" s="187">
        <f t="shared" si="69"/>
        <v>7.1560524533357919</v>
      </c>
      <c r="U78" s="187">
        <f t="shared" si="69"/>
        <v>7.1560524533357919</v>
      </c>
      <c r="V78" s="187">
        <f t="shared" si="69"/>
        <v>7.1560524533357919</v>
      </c>
      <c r="W78" s="188">
        <f t="shared" si="69"/>
        <v>7.1560524533357919</v>
      </c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5"/>
      <c r="AI78"/>
      <c r="AJ78"/>
      <c r="AK78"/>
      <c r="AR78"/>
      <c r="AS78"/>
      <c r="AT78"/>
      <c r="AU78"/>
      <c r="AV78"/>
      <c r="AW78"/>
      <c r="AX78"/>
    </row>
    <row r="79" spans="2:50" ht="15.75" thickTop="1" x14ac:dyDescent="0.25">
      <c r="B79" s="139"/>
      <c r="C79" s="139"/>
      <c r="D79" s="125" t="s">
        <v>22</v>
      </c>
      <c r="E79" s="125"/>
      <c r="F79" s="218">
        <f>1.359*10^-3*(F$16/($C$16*10^-3*$B97*10^-3)*(0.507*0.171))^2.0302</f>
        <v>11.199041599274834</v>
      </c>
      <c r="G79" s="149" t="s">
        <v>6</v>
      </c>
      <c r="I79" s="263"/>
      <c r="J79" s="75"/>
      <c r="K79" s="75"/>
      <c r="L79" s="205">
        <f t="shared" ref="L79:AB79" si="70">1.359*10^-3*(L$16/($C$16*10^-3*$B97*10^-3)*(0.507*0.171))^2.0302</f>
        <v>3.9699361910103446</v>
      </c>
      <c r="M79" s="279">
        <f t="shared" si="70"/>
        <v>5.428738203854647</v>
      </c>
      <c r="N79" s="206">
        <f t="shared" si="70"/>
        <v>7.119248451358823</v>
      </c>
      <c r="O79" s="206">
        <f t="shared" si="70"/>
        <v>9.0424059531869592</v>
      </c>
      <c r="P79" s="206">
        <f t="shared" si="70"/>
        <v>11.199041599274834</v>
      </c>
      <c r="Q79" s="206">
        <f t="shared" si="70"/>
        <v>13.589900820840464</v>
      </c>
      <c r="R79" s="206">
        <f t="shared" si="70"/>
        <v>16.215659769181464</v>
      </c>
      <c r="S79" s="206">
        <f t="shared" si="70"/>
        <v>19.076937273301763</v>
      </c>
      <c r="T79" s="206">
        <f t="shared" si="70"/>
        <v>22.174303931887806</v>
      </c>
      <c r="U79" s="206">
        <f t="shared" si="70"/>
        <v>25.508289190285147</v>
      </c>
      <c r="V79" s="206">
        <f t="shared" si="70"/>
        <v>29.079386958641951</v>
      </c>
      <c r="W79" s="206">
        <f t="shared" si="70"/>
        <v>32.888060147508007</v>
      </c>
      <c r="X79" s="206">
        <f t="shared" si="70"/>
        <v>36.934744382978153</v>
      </c>
      <c r="Y79" s="206">
        <f t="shared" si="70"/>
        <v>41.219851088532735</v>
      </c>
      <c r="Z79" s="206">
        <f t="shared" si="70"/>
        <v>45.743770070151662</v>
      </c>
      <c r="AA79" s="206">
        <f t="shared" si="70"/>
        <v>50.5068717062804</v>
      </c>
      <c r="AB79" s="207">
        <f t="shared" si="70"/>
        <v>55.509508819481944</v>
      </c>
      <c r="AC79" s="126"/>
      <c r="AD79" s="126"/>
      <c r="AE79" s="126"/>
      <c r="AF79" s="126"/>
      <c r="AG79" s="127"/>
      <c r="AH79" s="15"/>
      <c r="AI79"/>
      <c r="AJ79"/>
      <c r="AK79"/>
      <c r="AL79"/>
      <c r="AR79" s="3"/>
      <c r="AS79"/>
      <c r="AT79"/>
      <c r="AU79"/>
      <c r="AV79"/>
      <c r="AW79"/>
      <c r="AX79" s="3"/>
    </row>
    <row r="80" spans="2:50" x14ac:dyDescent="0.25">
      <c r="B80" s="147" t="s">
        <v>38</v>
      </c>
      <c r="C80" s="147" t="s">
        <v>117</v>
      </c>
      <c r="D80" s="132" t="s">
        <v>46</v>
      </c>
      <c r="E80" s="132"/>
      <c r="F80" s="229">
        <f>IF(-114.08+32.01*LN(F$16/($C$16*$B97)*(507*171))+10*LOG($C$16*$B97/(507*171))&lt;15,"&lt;15",-114.08+32.01*LN(F$16/($C$16*$B97)*(507*171))+10*LOG($C$16*$B97/(507*171)))</f>
        <v>28.799151529390649</v>
      </c>
      <c r="G80" s="136" t="s">
        <v>49</v>
      </c>
      <c r="I80" s="15"/>
      <c r="J80"/>
      <c r="K80"/>
      <c r="L80" s="236" t="str">
        <f t="shared" ref="L80:AB80" si="71">IF(-114.08+32.01*LN(L$16/($C$16*$B97)*(507*171))+10*LOG($C$16*$B97/(507*171))&lt;15,"&lt;15",-114.08+32.01*LN(L$16/($C$16*$B97)*(507*171))+10*LOG($C$16*$B97/(507*171)))</f>
        <v>&lt;15</v>
      </c>
      <c r="M80" s="250">
        <f t="shared" si="71"/>
        <v>17.381986573911853</v>
      </c>
      <c r="N80" s="231">
        <f t="shared" si="71"/>
        <v>21.656326451822814</v>
      </c>
      <c r="O80" s="231">
        <f t="shared" si="71"/>
        <v>25.426561423183635</v>
      </c>
      <c r="P80" s="231">
        <f t="shared" si="71"/>
        <v>28.799151529390649</v>
      </c>
      <c r="Q80" s="231">
        <f t="shared" si="71"/>
        <v>31.850030384927116</v>
      </c>
      <c r="R80" s="231">
        <f t="shared" si="71"/>
        <v>34.63526456236513</v>
      </c>
      <c r="S80" s="231">
        <f t="shared" si="71"/>
        <v>37.197431634995034</v>
      </c>
      <c r="T80" s="231">
        <f t="shared" si="71"/>
        <v>39.569627823635692</v>
      </c>
      <c r="U80" s="231">
        <f t="shared" si="71"/>
        <v>41.778089639932993</v>
      </c>
      <c r="V80" s="231">
        <f t="shared" si="71"/>
        <v>43.843967701546653</v>
      </c>
      <c r="W80" s="231">
        <f t="shared" si="71"/>
        <v>45.784561845890742</v>
      </c>
      <c r="X80" s="231">
        <f t="shared" si="71"/>
        <v>47.614202672907474</v>
      </c>
      <c r="Y80" s="231">
        <f t="shared" si="71"/>
        <v>49.344894425769006</v>
      </c>
      <c r="Z80" s="231">
        <f t="shared" si="71"/>
        <v>50.986792779114488</v>
      </c>
      <c r="AA80" s="231">
        <f t="shared" si="71"/>
        <v>52.548565934178008</v>
      </c>
      <c r="AB80" s="232">
        <f t="shared" si="71"/>
        <v>54.037671634650955</v>
      </c>
      <c r="AG80" s="129"/>
      <c r="AH80" s="15"/>
      <c r="AI80"/>
      <c r="AJ80"/>
      <c r="AK80"/>
      <c r="AL80"/>
      <c r="AR80" s="3"/>
      <c r="AS80"/>
      <c r="AT80"/>
      <c r="AU80"/>
      <c r="AV80"/>
      <c r="AW80"/>
      <c r="AX80" s="3"/>
    </row>
    <row r="81" spans="2:50" x14ac:dyDescent="0.25">
      <c r="B81" s="242" t="s">
        <v>33</v>
      </c>
      <c r="C81" s="242" t="s">
        <v>35</v>
      </c>
      <c r="D81" s="132" t="s">
        <v>23</v>
      </c>
      <c r="E81" s="132"/>
      <c r="F81" s="229">
        <f>IF(-15-114.08+32.01*LN(F$16/($C$16*$B97)*(507*171))+10*LOG($C$16*$B97/(507*171))&lt;5,"&lt;5",-15-114.08+32.01*LN(F$16/($C$16*$B97)*(507*171))+10*LOG($C$16*$B97/(507*171)))</f>
        <v>13.799151529390661</v>
      </c>
      <c r="G81" s="136" t="s">
        <v>42</v>
      </c>
      <c r="I81" s="15"/>
      <c r="J81"/>
      <c r="K81"/>
      <c r="L81" s="236" t="str">
        <f t="shared" ref="L81:AB81" si="72">IF(-15-114.08+32.01*LN(L$16/($C$16*$B97)*(507*171))+10*LOG($C$16*$B97/(507*171))&lt;5,"&lt;5",-15-114.08+32.01*LN(L$16/($C$16*$B97)*(507*171))+10*LOG($C$16*$B97/(507*171)))</f>
        <v>&lt;5</v>
      </c>
      <c r="M81" s="250" t="str">
        <f t="shared" si="72"/>
        <v>&lt;5</v>
      </c>
      <c r="N81" s="231">
        <f t="shared" si="72"/>
        <v>6.6563264518228271</v>
      </c>
      <c r="O81" s="231">
        <f t="shared" si="72"/>
        <v>10.426561423183648</v>
      </c>
      <c r="P81" s="231">
        <f t="shared" si="72"/>
        <v>13.799151529390661</v>
      </c>
      <c r="Q81" s="231">
        <f t="shared" si="72"/>
        <v>16.85003038492713</v>
      </c>
      <c r="R81" s="231">
        <f t="shared" si="72"/>
        <v>19.635264562365144</v>
      </c>
      <c r="S81" s="231">
        <f t="shared" si="72"/>
        <v>22.197431634995048</v>
      </c>
      <c r="T81" s="231">
        <f t="shared" si="72"/>
        <v>24.569627823635706</v>
      </c>
      <c r="U81" s="231">
        <f t="shared" si="72"/>
        <v>26.778089639933008</v>
      </c>
      <c r="V81" s="231">
        <f t="shared" si="72"/>
        <v>28.843967701546667</v>
      </c>
      <c r="W81" s="231">
        <f t="shared" si="72"/>
        <v>30.784561845890757</v>
      </c>
      <c r="X81" s="231">
        <f t="shared" si="72"/>
        <v>32.614202672907489</v>
      </c>
      <c r="Y81" s="231">
        <f t="shared" si="72"/>
        <v>34.34489442576902</v>
      </c>
      <c r="Z81" s="231">
        <f t="shared" si="72"/>
        <v>35.986792779114502</v>
      </c>
      <c r="AA81" s="231">
        <f t="shared" si="72"/>
        <v>37.548565934178022</v>
      </c>
      <c r="AB81" s="232">
        <f t="shared" si="72"/>
        <v>39.03767163465097</v>
      </c>
      <c r="AG81" s="129"/>
      <c r="AH81" s="15"/>
      <c r="AI81"/>
      <c r="AJ81"/>
      <c r="AK81"/>
      <c r="AL81"/>
      <c r="AR81" s="3"/>
      <c r="AS81"/>
      <c r="AT81"/>
      <c r="AU81"/>
      <c r="AV81"/>
      <c r="AW81"/>
      <c r="AX81" s="3"/>
    </row>
    <row r="82" spans="2:50" hidden="1" x14ac:dyDescent="0.25">
      <c r="B82" s="242"/>
      <c r="C82" s="2"/>
      <c r="D82" s="43" t="s">
        <v>71</v>
      </c>
      <c r="E82" s="43"/>
      <c r="F82" s="106">
        <f>1.075*0.707*F93</f>
        <v>2.3941388555851244</v>
      </c>
      <c r="G82" s="136"/>
      <c r="I82" s="264"/>
      <c r="J82" s="259"/>
      <c r="K82" s="259"/>
      <c r="L82" s="106">
        <f t="shared" ref="L82:AB82" si="73">1.075*0.707*L93</f>
        <v>1.8331520399576742</v>
      </c>
      <c r="M82" s="106">
        <f t="shared" si="73"/>
        <v>1.9831786115653152</v>
      </c>
      <c r="N82" s="106">
        <f t="shared" si="73"/>
        <v>2.1240071344522025</v>
      </c>
      <c r="O82" s="106">
        <f t="shared" si="73"/>
        <v>2.2575556441920828</v>
      </c>
      <c r="P82" s="106">
        <f t="shared" si="73"/>
        <v>2.3852352313091294</v>
      </c>
      <c r="Q82" s="106">
        <f t="shared" si="73"/>
        <v>2.5081235824564265</v>
      </c>
      <c r="R82" s="106">
        <f t="shared" si="73"/>
        <v>2.6270687148298513</v>
      </c>
      <c r="S82" s="106">
        <f t="shared" si="73"/>
        <v>2.7427544534338972</v>
      </c>
      <c r="T82" s="106">
        <f t="shared" si="73"/>
        <v>2.8557436140285826</v>
      </c>
      <c r="U82" s="106">
        <f t="shared" si="73"/>
        <v>2.9665075313290483</v>
      </c>
      <c r="V82" s="106">
        <f t="shared" si="73"/>
        <v>3.0754468722306672</v>
      </c>
      <c r="W82" s="106">
        <f t="shared" si="73"/>
        <v>3.1829066903140206</v>
      </c>
      <c r="X82" s="106">
        <f t="shared" si="73"/>
        <v>3.2891875604557241</v>
      </c>
      <c r="Y82" s="106">
        <f t="shared" si="73"/>
        <v>3.3945539758163017</v>
      </c>
      <c r="Z82" s="106">
        <f t="shared" si="73"/>
        <v>3.4992407894978368</v>
      </c>
      <c r="AA82" s="106">
        <f t="shared" si="73"/>
        <v>3.6034582317009143</v>
      </c>
      <c r="AB82" s="272">
        <f t="shared" si="73"/>
        <v>3.7073958706841292</v>
      </c>
      <c r="AC82" s="106"/>
      <c r="AD82" s="106"/>
      <c r="AE82" s="106"/>
      <c r="AF82" s="106"/>
      <c r="AG82" s="106"/>
      <c r="AH82" s="106"/>
      <c r="AI82" s="90"/>
      <c r="AJ82" s="90"/>
      <c r="AK82" s="90"/>
      <c r="AL82" s="43"/>
      <c r="AO82" s="2"/>
      <c r="AP82"/>
      <c r="AQ82" s="13"/>
      <c r="AR82" s="12"/>
      <c r="AS82" s="3"/>
      <c r="AT82" s="3"/>
      <c r="AU82" s="3"/>
      <c r="AV82" s="3"/>
      <c r="AW82"/>
      <c r="AX82"/>
    </row>
    <row r="83" spans="2:50" hidden="1" x14ac:dyDescent="0.25">
      <c r="B83" s="242"/>
      <c r="C83" s="2"/>
      <c r="D83" s="43" t="s">
        <v>72</v>
      </c>
      <c r="E83" s="43"/>
      <c r="F83" s="106">
        <f>1.075*0.707*F94</f>
        <v>4.8285641288969838</v>
      </c>
      <c r="G83" s="136"/>
      <c r="I83" s="264"/>
      <c r="J83" s="259"/>
      <c r="K83" s="259"/>
      <c r="L83" s="106">
        <f t="shared" ref="L83:AB83" si="74">1.075*0.707*L94</f>
        <v>3.418271633176436</v>
      </c>
      <c r="M83" s="106">
        <f t="shared" si="74"/>
        <v>3.7623219644067714</v>
      </c>
      <c r="N83" s="106">
        <f t="shared" si="74"/>
        <v>4.1090170150030412</v>
      </c>
      <c r="O83" s="106">
        <f t="shared" si="74"/>
        <v>4.4631575966857477</v>
      </c>
      <c r="P83" s="106">
        <f t="shared" si="74"/>
        <v>4.8285641288969838</v>
      </c>
      <c r="Q83" s="106">
        <f t="shared" si="74"/>
        <v>5.2083977055357193</v>
      </c>
      <c r="R83" s="106">
        <f t="shared" si="74"/>
        <v>5.6053540481594846</v>
      </c>
      <c r="S83" s="106">
        <f t="shared" si="74"/>
        <v>6.0217873584236594</v>
      </c>
      <c r="T83" s="106">
        <f t="shared" si="74"/>
        <v>6.4597930373966586</v>
      </c>
      <c r="U83" s="106">
        <f t="shared" si="74"/>
        <v>6.9212650223877468</v>
      </c>
      <c r="V83" s="106">
        <f t="shared" si="74"/>
        <v>7.4079367921672423</v>
      </c>
      <c r="W83" s="106">
        <f t="shared" si="74"/>
        <v>7.9214114865605536</v>
      </c>
      <c r="X83" s="106">
        <f t="shared" si="74"/>
        <v>8.4631845475975958</v>
      </c>
      <c r="Y83" s="106">
        <f t="shared" si="74"/>
        <v>9.034661086455877</v>
      </c>
      <c r="Z83" s="106">
        <f t="shared" si="74"/>
        <v>9.6371694443145905</v>
      </c>
      <c r="AA83" s="106">
        <f t="shared" si="74"/>
        <v>10.271971950247082</v>
      </c>
      <c r="AB83" s="272">
        <f t="shared" si="74"/>
        <v>10.940273577238962</v>
      </c>
      <c r="AC83" s="106"/>
      <c r="AD83" s="106"/>
      <c r="AE83" s="106"/>
      <c r="AF83" s="106"/>
      <c r="AG83" s="106"/>
      <c r="AH83" s="106"/>
      <c r="AI83" s="90"/>
      <c r="AJ83" s="90"/>
      <c r="AK83" s="90"/>
      <c r="AL83" s="43"/>
      <c r="AO83" s="2"/>
      <c r="AP83"/>
      <c r="AQ83" s="13"/>
      <c r="AR83" s="12"/>
      <c r="AS83" s="3"/>
      <c r="AT83" s="3"/>
      <c r="AU83" s="3"/>
      <c r="AV83" s="3"/>
      <c r="AW83"/>
      <c r="AX83"/>
    </row>
    <row r="84" spans="2:50" hidden="1" x14ac:dyDescent="0.25">
      <c r="B84" s="242"/>
      <c r="C84" s="2"/>
      <c r="D84" s="43" t="s">
        <v>79</v>
      </c>
      <c r="E84" s="43"/>
      <c r="F84" s="106">
        <f>1.075*0.707*F95</f>
        <v>4.7243597063605298</v>
      </c>
      <c r="G84" s="136"/>
      <c r="I84" s="264"/>
      <c r="J84" s="259"/>
      <c r="K84" s="259"/>
      <c r="L84" s="106">
        <f t="shared" ref="L84:AB84" si="75">1.075*0.707*L95</f>
        <v>2.8346158238163177</v>
      </c>
      <c r="M84" s="106">
        <f t="shared" si="75"/>
        <v>3.3070517944523714</v>
      </c>
      <c r="N84" s="106">
        <f t="shared" si="75"/>
        <v>3.7794877650884233</v>
      </c>
      <c r="O84" s="106">
        <f t="shared" si="75"/>
        <v>4.2519237357244766</v>
      </c>
      <c r="P84" s="106">
        <f t="shared" si="75"/>
        <v>4.7243597063605298</v>
      </c>
      <c r="Q84" s="106">
        <f t="shared" si="75"/>
        <v>5.1967956769965822</v>
      </c>
      <c r="R84" s="106">
        <f t="shared" si="75"/>
        <v>5.6692316476326354</v>
      </c>
      <c r="S84" s="106">
        <f t="shared" si="75"/>
        <v>6.1416676182686878</v>
      </c>
      <c r="T84" s="106">
        <f t="shared" si="75"/>
        <v>6.6141035889047428</v>
      </c>
      <c r="U84" s="106">
        <f t="shared" si="75"/>
        <v>7.0865395595407934</v>
      </c>
      <c r="V84" s="106">
        <f t="shared" si="75"/>
        <v>7.1894919507812851</v>
      </c>
      <c r="W84" s="106">
        <f t="shared" si="75"/>
        <v>7.1894919507812851</v>
      </c>
      <c r="X84" s="106">
        <f t="shared" si="75"/>
        <v>7.1894919507812851</v>
      </c>
      <c r="Y84" s="106">
        <f t="shared" si="75"/>
        <v>7.1894919507812851</v>
      </c>
      <c r="Z84" s="106">
        <f t="shared" si="75"/>
        <v>7.1894919507812851</v>
      </c>
      <c r="AA84" s="106">
        <f t="shared" si="75"/>
        <v>7.1894919507812851</v>
      </c>
      <c r="AB84" s="272">
        <f t="shared" si="75"/>
        <v>7.1894919507812851</v>
      </c>
      <c r="AC84" s="106"/>
      <c r="AD84" s="106"/>
      <c r="AE84" s="106"/>
      <c r="AF84" s="106"/>
      <c r="AG84" s="106"/>
      <c r="AH84" s="106"/>
      <c r="AI84" s="90"/>
      <c r="AJ84" s="90"/>
      <c r="AK84" s="90"/>
      <c r="AL84" s="43"/>
      <c r="AO84" s="2"/>
      <c r="AP84"/>
      <c r="AQ84" s="13"/>
      <c r="AR84" s="12"/>
      <c r="AS84" s="3"/>
      <c r="AT84" s="3"/>
      <c r="AU84" s="3"/>
      <c r="AV84" s="3"/>
      <c r="AW84"/>
      <c r="AX84"/>
    </row>
    <row r="85" spans="2:50" hidden="1" x14ac:dyDescent="0.25">
      <c r="B85" s="242"/>
      <c r="C85" s="2"/>
      <c r="D85" s="43" t="s">
        <v>73</v>
      </c>
      <c r="E85" s="43"/>
      <c r="F85" s="106">
        <f>1.075*1.225*F93</f>
        <v>4.1482603933405624</v>
      </c>
      <c r="G85" s="136"/>
      <c r="I85" s="264"/>
      <c r="J85" s="259"/>
      <c r="K85" s="259"/>
      <c r="L85" s="106">
        <f t="shared" ref="L85:AB85" si="76">1.075*1.225*L93</f>
        <v>3.1762535345801286</v>
      </c>
      <c r="M85" s="106">
        <f t="shared" si="76"/>
        <v>3.436200564593368</v>
      </c>
      <c r="N85" s="106">
        <f t="shared" si="76"/>
        <v>3.6802103814765887</v>
      </c>
      <c r="O85" s="106">
        <f t="shared" si="76"/>
        <v>3.911606314194203</v>
      </c>
      <c r="P85" s="106">
        <f t="shared" si="76"/>
        <v>4.132833321575224</v>
      </c>
      <c r="Q85" s="106">
        <f t="shared" si="76"/>
        <v>4.3457586824740062</v>
      </c>
      <c r="R85" s="106">
        <f t="shared" si="76"/>
        <v>4.5518517336160791</v>
      </c>
      <c r="S85" s="106">
        <f t="shared" si="76"/>
        <v>4.7522973203062584</v>
      </c>
      <c r="T85" s="106">
        <f t="shared" si="76"/>
        <v>4.9480706183663559</v>
      </c>
      <c r="U85" s="106">
        <f t="shared" si="76"/>
        <v>5.1399882968572621</v>
      </c>
      <c r="V85" s="106">
        <f t="shared" si="76"/>
        <v>5.3287445805976903</v>
      </c>
      <c r="W85" s="106">
        <f t="shared" si="76"/>
        <v>5.5149373347025117</v>
      </c>
      <c r="X85" s="106">
        <f t="shared" si="76"/>
        <v>5.6990873572252649</v>
      </c>
      <c r="Y85" s="106">
        <f t="shared" si="76"/>
        <v>5.8816529283945824</v>
      </c>
      <c r="Z85" s="106">
        <f t="shared" si="76"/>
        <v>6.0630409719021934</v>
      </c>
      <c r="AA85" s="106">
        <f t="shared" si="76"/>
        <v>6.2436157479966337</v>
      </c>
      <c r="AB85" s="272">
        <f t="shared" si="76"/>
        <v>6.4237057165319076</v>
      </c>
      <c r="AC85" s="106"/>
      <c r="AD85" s="106"/>
      <c r="AE85" s="106"/>
      <c r="AF85" s="106"/>
      <c r="AG85" s="106"/>
      <c r="AH85" s="106"/>
      <c r="AI85" s="90"/>
      <c r="AJ85" s="90"/>
      <c r="AK85" s="90"/>
      <c r="AL85" s="43"/>
      <c r="AO85" s="2"/>
      <c r="AP85"/>
      <c r="AQ85" s="13"/>
      <c r="AR85" s="12"/>
      <c r="AS85" s="3"/>
      <c r="AT85" s="3"/>
      <c r="AU85" s="3"/>
      <c r="AV85" s="3"/>
      <c r="AW85"/>
      <c r="AX85"/>
    </row>
    <row r="86" spans="2:50" hidden="1" x14ac:dyDescent="0.25">
      <c r="B86" s="242"/>
      <c r="C86" s="2"/>
      <c r="D86" s="43" t="s">
        <v>74</v>
      </c>
      <c r="E86" s="43"/>
      <c r="F86" s="106">
        <f>1.075*1.225*F94</f>
        <v>8.3663239857125973</v>
      </c>
      <c r="G86" s="136"/>
      <c r="I86" s="264"/>
      <c r="J86" s="259"/>
      <c r="K86" s="259"/>
      <c r="L86" s="106">
        <f t="shared" ref="L86:AB86" si="77">1.075*1.225*L94</f>
        <v>5.9227478792661028</v>
      </c>
      <c r="M86" s="106">
        <f t="shared" si="77"/>
        <v>6.5188746908038127</v>
      </c>
      <c r="N86" s="106">
        <f t="shared" si="77"/>
        <v>7.1195839368864586</v>
      </c>
      <c r="O86" s="106">
        <f t="shared" si="77"/>
        <v>7.7331938556436235</v>
      </c>
      <c r="P86" s="106">
        <f t="shared" si="77"/>
        <v>8.3663239857125973</v>
      </c>
      <c r="Q86" s="106">
        <f t="shared" si="77"/>
        <v>9.0244514699876319</v>
      </c>
      <c r="R86" s="106">
        <f t="shared" si="77"/>
        <v>9.7122471131476225</v>
      </c>
      <c r="S86" s="106">
        <f t="shared" si="77"/>
        <v>10.433789977466738</v>
      </c>
      <c r="T86" s="106">
        <f t="shared" si="77"/>
        <v>11.192710708360549</v>
      </c>
      <c r="U86" s="106">
        <f t="shared" si="77"/>
        <v>11.99229088037481</v>
      </c>
      <c r="V86" s="106">
        <f t="shared" si="77"/>
        <v>12.835534045834333</v>
      </c>
      <c r="W86" s="106">
        <f t="shared" si="77"/>
        <v>13.725217922258386</v>
      </c>
      <c r="X86" s="106">
        <f t="shared" si="77"/>
        <v>14.663933622075042</v>
      </c>
      <c r="Y86" s="106">
        <f t="shared" si="77"/>
        <v>15.654115743859194</v>
      </c>
      <c r="Z86" s="106">
        <f t="shared" si="77"/>
        <v>16.698065868861914</v>
      </c>
      <c r="AA86" s="106">
        <f t="shared" si="77"/>
        <v>17.797971200923161</v>
      </c>
      <c r="AB86" s="272">
        <f t="shared" si="77"/>
        <v>18.955919564522954</v>
      </c>
      <c r="AC86" s="106"/>
      <c r="AD86" s="106"/>
      <c r="AE86" s="106"/>
      <c r="AF86" s="106"/>
      <c r="AG86" s="106"/>
      <c r="AH86" s="106"/>
      <c r="AI86" s="90"/>
      <c r="AJ86" s="90"/>
      <c r="AK86" s="90"/>
      <c r="AL86" s="43"/>
      <c r="AO86" s="2"/>
      <c r="AP86"/>
      <c r="AQ86" s="13"/>
      <c r="AR86" s="12"/>
      <c r="AS86" s="3"/>
      <c r="AT86" s="3"/>
      <c r="AU86" s="3"/>
      <c r="AV86" s="3"/>
      <c r="AW86"/>
      <c r="AX86"/>
    </row>
    <row r="87" spans="2:50" hidden="1" x14ac:dyDescent="0.25">
      <c r="B87" s="242"/>
      <c r="C87" s="2"/>
      <c r="D87" s="43" t="s">
        <v>80</v>
      </c>
      <c r="E87" s="43"/>
      <c r="F87" s="106">
        <f>1.075*1.225*F95</f>
        <v>8.1857717684464628</v>
      </c>
      <c r="G87" s="136"/>
      <c r="I87" s="264"/>
      <c r="J87" s="259"/>
      <c r="K87" s="259"/>
      <c r="L87" s="106">
        <f t="shared" ref="L87:AB87" si="78">1.075*1.225*L95</f>
        <v>4.9114630610678773</v>
      </c>
      <c r="M87" s="106">
        <f t="shared" si="78"/>
        <v>5.730040237912525</v>
      </c>
      <c r="N87" s="106">
        <f t="shared" si="78"/>
        <v>6.5486174147571701</v>
      </c>
      <c r="O87" s="106">
        <f t="shared" si="78"/>
        <v>7.367194591601816</v>
      </c>
      <c r="P87" s="106">
        <f t="shared" si="78"/>
        <v>8.1857717684464628</v>
      </c>
      <c r="Q87" s="106">
        <f t="shared" si="78"/>
        <v>9.0043489452911096</v>
      </c>
      <c r="R87" s="106">
        <f t="shared" si="78"/>
        <v>9.8229261221357547</v>
      </c>
      <c r="S87" s="106">
        <f t="shared" si="78"/>
        <v>10.641503298980401</v>
      </c>
      <c r="T87" s="106">
        <f t="shared" si="78"/>
        <v>11.46008047582505</v>
      </c>
      <c r="U87" s="106">
        <f t="shared" si="78"/>
        <v>12.278657652669693</v>
      </c>
      <c r="V87" s="106">
        <f t="shared" si="78"/>
        <v>12.457040508779455</v>
      </c>
      <c r="W87" s="106">
        <f t="shared" si="78"/>
        <v>12.457040508779455</v>
      </c>
      <c r="X87" s="106">
        <f t="shared" si="78"/>
        <v>12.457040508779455</v>
      </c>
      <c r="Y87" s="106">
        <f t="shared" si="78"/>
        <v>12.457040508779455</v>
      </c>
      <c r="Z87" s="106">
        <f t="shared" si="78"/>
        <v>12.457040508779455</v>
      </c>
      <c r="AA87" s="106">
        <f t="shared" si="78"/>
        <v>12.457040508779455</v>
      </c>
      <c r="AB87" s="272">
        <f t="shared" si="78"/>
        <v>12.457040508779455</v>
      </c>
      <c r="AC87" s="106"/>
      <c r="AD87" s="106"/>
      <c r="AE87" s="106"/>
      <c r="AF87" s="106"/>
      <c r="AG87" s="106"/>
      <c r="AH87" s="106"/>
      <c r="AI87" s="90"/>
      <c r="AJ87" s="90"/>
      <c r="AK87" s="90"/>
      <c r="AL87" s="43"/>
      <c r="AO87" s="2"/>
      <c r="AP87"/>
      <c r="AQ87" s="13"/>
      <c r="AR87" s="12"/>
      <c r="AS87" s="3"/>
      <c r="AT87" s="3"/>
      <c r="AU87" s="3"/>
      <c r="AV87" s="3"/>
      <c r="AW87"/>
      <c r="AX87"/>
    </row>
    <row r="88" spans="2:50" ht="15.75" thickBot="1" x14ac:dyDescent="0.3">
      <c r="B88" s="151"/>
      <c r="C88" s="289"/>
      <c r="D88" s="145" t="s">
        <v>93</v>
      </c>
      <c r="E88" s="145"/>
      <c r="F88" s="283">
        <f>2+(F$16/$C$16*$F$10/$F$8^3)</f>
        <v>2.3890154200184459</v>
      </c>
      <c r="G88" s="214" t="s">
        <v>32</v>
      </c>
      <c r="I88" s="290"/>
      <c r="J88" s="291"/>
      <c r="K88" s="291"/>
      <c r="L88" s="297">
        <f t="shared" ref="L88:AB88" si="79">2+(L$16/$C$16*$F$10/$F$8^3)</f>
        <v>2.2334092520110675</v>
      </c>
      <c r="M88" s="285">
        <f t="shared" si="79"/>
        <v>2.2723107940129119</v>
      </c>
      <c r="N88" s="285">
        <f t="shared" si="79"/>
        <v>2.3112123360147567</v>
      </c>
      <c r="O88" s="285">
        <f t="shared" si="79"/>
        <v>2.3501138780166011</v>
      </c>
      <c r="P88" s="285">
        <f t="shared" si="79"/>
        <v>2.3890154200184459</v>
      </c>
      <c r="Q88" s="285">
        <f t="shared" si="79"/>
        <v>2.4279169620202903</v>
      </c>
      <c r="R88" s="285">
        <f t="shared" si="79"/>
        <v>2.4668185040221351</v>
      </c>
      <c r="S88" s="285">
        <f t="shared" si="79"/>
        <v>2.5057200460239795</v>
      </c>
      <c r="T88" s="285">
        <f t="shared" si="79"/>
        <v>2.5446215880258243</v>
      </c>
      <c r="U88" s="285">
        <f t="shared" si="79"/>
        <v>2.5835231300276686</v>
      </c>
      <c r="V88" s="285">
        <f t="shared" si="79"/>
        <v>2.6224246720295135</v>
      </c>
      <c r="W88" s="285">
        <f t="shared" si="79"/>
        <v>2.6613262140313578</v>
      </c>
      <c r="X88" s="285">
        <f t="shared" si="79"/>
        <v>2.7002277560332022</v>
      </c>
      <c r="Y88" s="285">
        <f t="shared" si="79"/>
        <v>2.739129298035047</v>
      </c>
      <c r="Z88" s="285">
        <f t="shared" si="79"/>
        <v>2.7780308400368918</v>
      </c>
      <c r="AA88" s="285">
        <f t="shared" si="79"/>
        <v>2.8169323820387362</v>
      </c>
      <c r="AB88" s="286">
        <f t="shared" si="79"/>
        <v>2.8558339240405806</v>
      </c>
      <c r="AC88" s="93"/>
      <c r="AD88" s="93"/>
      <c r="AE88" s="93"/>
      <c r="AF88" s="93"/>
      <c r="AG88" s="303"/>
      <c r="AH88" s="93"/>
      <c r="AI88" s="90"/>
      <c r="AJ88" s="90"/>
      <c r="AK88" s="90"/>
      <c r="AL88" s="43"/>
      <c r="AO88" s="2"/>
      <c r="AP88"/>
      <c r="AQ88" s="13"/>
      <c r="AR88" s="12"/>
      <c r="AS88" s="3"/>
      <c r="AT88" s="3"/>
      <c r="AU88" s="3"/>
      <c r="AV88" s="3"/>
      <c r="AW88"/>
      <c r="AX88"/>
    </row>
    <row r="89" spans="2:50" x14ac:dyDescent="0.25">
      <c r="B89" s="140"/>
      <c r="C89" s="243"/>
      <c r="D89" s="132" t="s">
        <v>56</v>
      </c>
      <c r="E89" s="132"/>
      <c r="F89" s="220">
        <f>F82</f>
        <v>2.3941388555851244</v>
      </c>
      <c r="G89" s="136" t="s">
        <v>32</v>
      </c>
      <c r="I89" s="15"/>
      <c r="J89"/>
      <c r="K89"/>
      <c r="L89" s="195">
        <f t="shared" ref="L89:AB89" si="80">L82</f>
        <v>1.8331520399576742</v>
      </c>
      <c r="M89" s="184">
        <f t="shared" si="80"/>
        <v>1.9831786115653152</v>
      </c>
      <c r="N89" s="184">
        <f t="shared" si="80"/>
        <v>2.1240071344522025</v>
      </c>
      <c r="O89" s="184">
        <f t="shared" si="80"/>
        <v>2.2575556441920828</v>
      </c>
      <c r="P89" s="184">
        <f t="shared" si="80"/>
        <v>2.3852352313091294</v>
      </c>
      <c r="Q89" s="184">
        <f t="shared" si="80"/>
        <v>2.5081235824564265</v>
      </c>
      <c r="R89" s="184">
        <f t="shared" si="80"/>
        <v>2.6270687148298513</v>
      </c>
      <c r="S89" s="184">
        <f t="shared" si="80"/>
        <v>2.7427544534338972</v>
      </c>
      <c r="T89" s="184">
        <f t="shared" si="80"/>
        <v>2.8557436140285826</v>
      </c>
      <c r="U89" s="184">
        <f t="shared" si="80"/>
        <v>2.9665075313290483</v>
      </c>
      <c r="V89" s="184">
        <f t="shared" si="80"/>
        <v>3.0754468722306672</v>
      </c>
      <c r="W89" s="184">
        <f t="shared" si="80"/>
        <v>3.1829066903140206</v>
      </c>
      <c r="X89" s="184">
        <f t="shared" si="80"/>
        <v>3.2891875604557241</v>
      </c>
      <c r="Y89" s="184">
        <f t="shared" si="80"/>
        <v>3.3945539758163017</v>
      </c>
      <c r="Z89" s="184">
        <f t="shared" si="80"/>
        <v>3.4992407894978368</v>
      </c>
      <c r="AA89" s="184">
        <f t="shared" si="80"/>
        <v>3.6034582317009143</v>
      </c>
      <c r="AB89" s="185">
        <f t="shared" si="80"/>
        <v>3.7073958706841292</v>
      </c>
      <c r="AH89" s="15"/>
      <c r="AI89"/>
      <c r="AJ89"/>
      <c r="AK89"/>
      <c r="AR89"/>
      <c r="AS89"/>
      <c r="AT89"/>
      <c r="AU89"/>
      <c r="AV89"/>
      <c r="AW89"/>
      <c r="AX89" s="3"/>
    </row>
    <row r="90" spans="2:50" x14ac:dyDescent="0.25">
      <c r="B90" s="140"/>
      <c r="C90" s="247" t="s">
        <v>65</v>
      </c>
      <c r="D90" s="253" t="s">
        <v>57</v>
      </c>
      <c r="E90" s="253"/>
      <c r="F90" s="221">
        <f>IF(F83&lt;F84,F83,F84)</f>
        <v>4.7243597063605298</v>
      </c>
      <c r="G90" s="216" t="s">
        <v>32</v>
      </c>
      <c r="I90" s="15"/>
      <c r="J90"/>
      <c r="K90"/>
      <c r="L90" s="190">
        <f t="shared" ref="L90:AB90" si="81">IF(L83&lt;L84,L83,L84)</f>
        <v>2.8346158238163177</v>
      </c>
      <c r="M90" s="179">
        <f t="shared" si="81"/>
        <v>3.3070517944523714</v>
      </c>
      <c r="N90" s="179">
        <f t="shared" si="81"/>
        <v>3.7794877650884233</v>
      </c>
      <c r="O90" s="179">
        <f t="shared" si="81"/>
        <v>4.2519237357244766</v>
      </c>
      <c r="P90" s="179">
        <f t="shared" si="81"/>
        <v>4.7243597063605298</v>
      </c>
      <c r="Q90" s="179">
        <f t="shared" si="81"/>
        <v>5.1967956769965822</v>
      </c>
      <c r="R90" s="179">
        <f t="shared" si="81"/>
        <v>5.6053540481594846</v>
      </c>
      <c r="S90" s="179">
        <f t="shared" si="81"/>
        <v>6.0217873584236594</v>
      </c>
      <c r="T90" s="179">
        <f t="shared" si="81"/>
        <v>6.4597930373966586</v>
      </c>
      <c r="U90" s="179">
        <f t="shared" si="81"/>
        <v>6.9212650223877468</v>
      </c>
      <c r="V90" s="179">
        <f t="shared" si="81"/>
        <v>7.1894919507812851</v>
      </c>
      <c r="W90" s="179">
        <f t="shared" si="81"/>
        <v>7.1894919507812851</v>
      </c>
      <c r="X90" s="179">
        <f t="shared" si="81"/>
        <v>7.1894919507812851</v>
      </c>
      <c r="Y90" s="179">
        <f t="shared" si="81"/>
        <v>7.1894919507812851</v>
      </c>
      <c r="Z90" s="179">
        <f t="shared" si="81"/>
        <v>7.1894919507812851</v>
      </c>
      <c r="AA90" s="179">
        <f t="shared" si="81"/>
        <v>7.1894919507812851</v>
      </c>
      <c r="AB90" s="180">
        <f t="shared" si="81"/>
        <v>7.1894919507812851</v>
      </c>
      <c r="AH90" s="15"/>
      <c r="AI90"/>
      <c r="AJ90"/>
      <c r="AK90"/>
      <c r="AR90"/>
      <c r="AS90"/>
      <c r="AT90"/>
      <c r="AU90"/>
      <c r="AV90"/>
      <c r="AW90"/>
      <c r="AX90" s="3"/>
    </row>
    <row r="91" spans="2:50" x14ac:dyDescent="0.25">
      <c r="B91" s="140"/>
      <c r="C91" s="243" t="s">
        <v>66</v>
      </c>
      <c r="D91" s="252" t="s">
        <v>60</v>
      </c>
      <c r="E91" s="252"/>
      <c r="F91" s="222">
        <f>F85</f>
        <v>4.1482603933405624</v>
      </c>
      <c r="G91" s="217" t="s">
        <v>32</v>
      </c>
      <c r="I91" s="15"/>
      <c r="J91"/>
      <c r="K91"/>
      <c r="L91" s="191">
        <f t="shared" ref="L91:AB91" si="82">L85</f>
        <v>3.1762535345801286</v>
      </c>
      <c r="M91" s="182">
        <f t="shared" si="82"/>
        <v>3.436200564593368</v>
      </c>
      <c r="N91" s="182">
        <f t="shared" si="82"/>
        <v>3.6802103814765887</v>
      </c>
      <c r="O91" s="182">
        <f t="shared" si="82"/>
        <v>3.911606314194203</v>
      </c>
      <c r="P91" s="182">
        <f t="shared" si="82"/>
        <v>4.132833321575224</v>
      </c>
      <c r="Q91" s="182">
        <f t="shared" si="82"/>
        <v>4.3457586824740062</v>
      </c>
      <c r="R91" s="182">
        <f t="shared" si="82"/>
        <v>4.5518517336160791</v>
      </c>
      <c r="S91" s="182">
        <f t="shared" si="82"/>
        <v>4.7522973203062584</v>
      </c>
      <c r="T91" s="182">
        <f t="shared" si="82"/>
        <v>4.9480706183663559</v>
      </c>
      <c r="U91" s="182">
        <f t="shared" si="82"/>
        <v>5.1399882968572621</v>
      </c>
      <c r="V91" s="182">
        <f t="shared" si="82"/>
        <v>5.3287445805976903</v>
      </c>
      <c r="W91" s="182">
        <f t="shared" si="82"/>
        <v>5.5149373347025117</v>
      </c>
      <c r="X91" s="182">
        <f t="shared" si="82"/>
        <v>5.6990873572252649</v>
      </c>
      <c r="Y91" s="182">
        <f t="shared" si="82"/>
        <v>5.8816529283945824</v>
      </c>
      <c r="Z91" s="182">
        <f t="shared" si="82"/>
        <v>6.0630409719021934</v>
      </c>
      <c r="AA91" s="182">
        <f t="shared" si="82"/>
        <v>6.2436157479966337</v>
      </c>
      <c r="AB91" s="183">
        <f t="shared" si="82"/>
        <v>6.4237057165319076</v>
      </c>
      <c r="AH91" s="15"/>
      <c r="AI91"/>
      <c r="AJ91"/>
      <c r="AK91"/>
      <c r="AS91" s="12"/>
      <c r="AT91" s="12"/>
      <c r="AU91" s="3"/>
      <c r="AV91" s="3"/>
      <c r="AW91" s="3"/>
      <c r="AX91" s="3"/>
    </row>
    <row r="92" spans="2:50" ht="15.75" thickBot="1" x14ac:dyDescent="0.3">
      <c r="B92" s="140"/>
      <c r="C92" s="243"/>
      <c r="D92" s="238" t="s">
        <v>61</v>
      </c>
      <c r="E92" s="238"/>
      <c r="F92" s="223">
        <f t="shared" ref="F92" si="83">IF(F86&lt;F87,F86,F87)</f>
        <v>8.1857717684464628</v>
      </c>
      <c r="G92" s="214" t="s">
        <v>32</v>
      </c>
      <c r="I92" s="15"/>
      <c r="J92"/>
      <c r="K92"/>
      <c r="L92" s="192">
        <f t="shared" ref="L92:AB92" si="84">IF(L86&lt;L87,L86,L87)</f>
        <v>4.9114630610678773</v>
      </c>
      <c r="M92" s="193">
        <f t="shared" si="84"/>
        <v>5.730040237912525</v>
      </c>
      <c r="N92" s="193">
        <f t="shared" si="84"/>
        <v>6.5486174147571701</v>
      </c>
      <c r="O92" s="193">
        <f t="shared" si="84"/>
        <v>7.367194591601816</v>
      </c>
      <c r="P92" s="193">
        <f t="shared" si="84"/>
        <v>8.1857717684464628</v>
      </c>
      <c r="Q92" s="193">
        <f t="shared" si="84"/>
        <v>9.0043489452911096</v>
      </c>
      <c r="R92" s="193">
        <f t="shared" si="84"/>
        <v>9.7122471131476225</v>
      </c>
      <c r="S92" s="193">
        <f t="shared" si="84"/>
        <v>10.433789977466738</v>
      </c>
      <c r="T92" s="193">
        <f t="shared" si="84"/>
        <v>11.192710708360549</v>
      </c>
      <c r="U92" s="193">
        <f t="shared" si="84"/>
        <v>11.99229088037481</v>
      </c>
      <c r="V92" s="193">
        <f t="shared" si="84"/>
        <v>12.457040508779455</v>
      </c>
      <c r="W92" s="193">
        <f t="shared" si="84"/>
        <v>12.457040508779455</v>
      </c>
      <c r="X92" s="193">
        <f t="shared" si="84"/>
        <v>12.457040508779455</v>
      </c>
      <c r="Y92" s="193">
        <f t="shared" si="84"/>
        <v>12.457040508779455</v>
      </c>
      <c r="Z92" s="193">
        <f t="shared" si="84"/>
        <v>12.457040508779455</v>
      </c>
      <c r="AA92" s="193">
        <f t="shared" si="84"/>
        <v>12.457040508779455</v>
      </c>
      <c r="AB92" s="194">
        <f t="shared" si="84"/>
        <v>12.457040508779455</v>
      </c>
      <c r="AH92" s="15"/>
      <c r="AI92"/>
      <c r="AJ92"/>
      <c r="AK92"/>
    </row>
    <row r="93" spans="2:50" hidden="1" x14ac:dyDescent="0.25">
      <c r="B93" s="242"/>
      <c r="C93" s="256"/>
      <c r="D93" s="43" t="s">
        <v>75</v>
      </c>
      <c r="E93" s="43"/>
      <c r="F93" s="370">
        <f>(0.2529+2.7683*10^-4*F79)*SQRT(F$16)/$F$4*$F$5*$F$7/$F$8</f>
        <v>3.1500790836947794</v>
      </c>
      <c r="G93" s="136"/>
      <c r="I93" s="267"/>
      <c r="J93" s="259"/>
      <c r="K93" s="259"/>
      <c r="L93" s="269">
        <f>(0.2529+2.7683*10^-4*L79)*SQRT(L$16)*$F$7/$F$8</f>
        <v>2.4119628169569083</v>
      </c>
      <c r="M93" s="265">
        <f t="shared" ref="M93:AB93" si="85">(0.2529+2.7683*10^-4*M79)*SQRT(M$16)*$F$7/$F$8</f>
        <v>2.6093597073324104</v>
      </c>
      <c r="N93" s="265">
        <f t="shared" si="85"/>
        <v>2.7946543001246047</v>
      </c>
      <c r="O93" s="265">
        <f t="shared" si="85"/>
        <v>2.9703702433368413</v>
      </c>
      <c r="P93" s="265">
        <f t="shared" si="85"/>
        <v>3.1383641739536587</v>
      </c>
      <c r="Q93" s="265">
        <f t="shared" si="85"/>
        <v>3.3000540540856242</v>
      </c>
      <c r="R93" s="265">
        <f t="shared" si="85"/>
        <v>3.4565556591294384</v>
      </c>
      <c r="S93" s="265">
        <f t="shared" si="85"/>
        <v>3.6087687292311403</v>
      </c>
      <c r="T93" s="265">
        <f t="shared" si="85"/>
        <v>3.7574337870840862</v>
      </c>
      <c r="U93" s="265">
        <f t="shared" si="85"/>
        <v>3.9031709895451443</v>
      </c>
      <c r="V93" s="265">
        <f t="shared" si="85"/>
        <v>4.0465075125563859</v>
      </c>
      <c r="W93" s="265">
        <f t="shared" si="85"/>
        <v>4.1878973590526902</v>
      </c>
      <c r="X93" s="265">
        <f t="shared" si="85"/>
        <v>4.3277360092835426</v>
      </c>
      <c r="Y93" s="265">
        <f t="shared" si="85"/>
        <v>4.4663714691178606</v>
      </c>
      <c r="Z93" s="265">
        <f t="shared" si="85"/>
        <v>4.6041127456305215</v>
      </c>
      <c r="AA93" s="265">
        <f t="shared" si="85"/>
        <v>4.7412364484075056</v>
      </c>
      <c r="AB93" s="266">
        <f t="shared" si="85"/>
        <v>4.8779920011632898</v>
      </c>
      <c r="AC93" s="259"/>
      <c r="AD93" s="259"/>
      <c r="AE93" s="259"/>
      <c r="AF93" s="259"/>
      <c r="AG93" s="259"/>
      <c r="AH93" s="259"/>
      <c r="AI93" s="90"/>
      <c r="AJ93" s="90"/>
      <c r="AK93" s="90"/>
      <c r="AL93" s="43"/>
      <c r="AO93" s="2"/>
      <c r="AP93"/>
      <c r="AQ93" s="13"/>
      <c r="AR93" s="12"/>
      <c r="AS93" s="3"/>
      <c r="AT93" s="3"/>
      <c r="AU93" s="3"/>
      <c r="AV93" s="3"/>
      <c r="AW93"/>
      <c r="AX93"/>
    </row>
    <row r="94" spans="2:50" hidden="1" x14ac:dyDescent="0.25">
      <c r="B94" s="242"/>
      <c r="C94" s="88"/>
      <c r="D94" s="43" t="s">
        <v>76</v>
      </c>
      <c r="E94" s="43"/>
      <c r="F94" s="229">
        <f>(0.675+9.273*10^-3*F79)*SQRT(F$16)*$F$4*$F$6/$F$7*$F$8</f>
        <v>6.3531648681253703</v>
      </c>
      <c r="G94" s="136"/>
      <c r="I94" s="267"/>
      <c r="J94" s="259"/>
      <c r="K94" s="259"/>
      <c r="L94" s="236">
        <f>(0.675+9.273*10^-3*L79)*SQRT(L$16)*$F$4/$F$7*$F$8</f>
        <v>4.4975778864858871</v>
      </c>
      <c r="M94" s="231">
        <f t="shared" ref="M94:AB94" si="86">(0.675+9.273*10^-3*M79)*SQRT(M$16)*$F$4/$F$7*$F$8</f>
        <v>4.9502607998510202</v>
      </c>
      <c r="N94" s="231">
        <f t="shared" si="86"/>
        <v>5.4064234926522703</v>
      </c>
      <c r="O94" s="231">
        <f t="shared" si="86"/>
        <v>5.8723826146320821</v>
      </c>
      <c r="P94" s="231">
        <f t="shared" si="86"/>
        <v>6.3531648681253703</v>
      </c>
      <c r="Q94" s="231">
        <f t="shared" si="86"/>
        <v>6.8529294503940257</v>
      </c>
      <c r="R94" s="231">
        <f t="shared" si="86"/>
        <v>7.3752232468135723</v>
      </c>
      <c r="S94" s="231">
        <f t="shared" si="86"/>
        <v>7.9231437892485905</v>
      </c>
      <c r="T94" s="231">
        <f t="shared" si="86"/>
        <v>8.4994480936767332</v>
      </c>
      <c r="U94" s="231">
        <f t="shared" si="86"/>
        <v>9.1066281009016112</v>
      </c>
      <c r="V94" s="231">
        <f t="shared" si="86"/>
        <v>9.7469646290151548</v>
      </c>
      <c r="W94" s="231">
        <f t="shared" si="86"/>
        <v>10.422567003138784</v>
      </c>
      <c r="X94" s="231">
        <f t="shared" si="86"/>
        <v>11.135402845429553</v>
      </c>
      <c r="Y94" s="231">
        <f t="shared" si="86"/>
        <v>11.887320925569393</v>
      </c>
      <c r="Z94" s="231">
        <f t="shared" si="86"/>
        <v>12.680069003407244</v>
      </c>
      <c r="AA94" s="231">
        <f t="shared" si="86"/>
        <v>13.51530798361512</v>
      </c>
      <c r="AB94" s="232">
        <f t="shared" si="86"/>
        <v>14.394623304810976</v>
      </c>
      <c r="AC94" s="106"/>
      <c r="AD94" s="106"/>
      <c r="AE94" s="106"/>
      <c r="AF94" s="106"/>
      <c r="AG94" s="106"/>
      <c r="AH94" s="106"/>
      <c r="AI94" s="90"/>
      <c r="AJ94" s="90"/>
      <c r="AK94" s="90"/>
      <c r="AL94" s="43"/>
      <c r="AO94" s="2"/>
      <c r="AP94"/>
      <c r="AQ94" s="13"/>
      <c r="AR94" s="12"/>
      <c r="AS94" s="3"/>
      <c r="AT94" s="3"/>
      <c r="AU94" s="3"/>
      <c r="AV94" s="3"/>
      <c r="AW94"/>
      <c r="AX94"/>
    </row>
    <row r="95" spans="2:50" ht="15.75" hidden="1" thickBot="1" x14ac:dyDescent="0.3">
      <c r="B95" s="242"/>
      <c r="C95" s="88"/>
      <c r="D95" s="43" t="s">
        <v>77</v>
      </c>
      <c r="E95" s="43"/>
      <c r="F95" s="219">
        <f>IF(($F$3*(F$16*10^-3)/SQRT($C$16*10^-3*$B$97*10^-3)*$F$4/$F$6^2*$F$8)&lt;(4*$F$13*$F$8),($F$3*(F$16*10^-3)/SQRT($C$16*10^-3*$B$97*10^-3)*$F$4/$F$6^2*$F$8),(4*$F$13*$F$8))</f>
        <v>6.2160582959251736</v>
      </c>
      <c r="G95" s="136"/>
      <c r="I95" s="267"/>
      <c r="J95" s="259"/>
      <c r="K95" s="259"/>
      <c r="L95" s="208">
        <f t="shared" ref="L95:AB95" si="87">IF(($F$3*(L$16*10^-3)/SQRT($C$16*10^-3*$B$97*10^-3)*$F$4/$F$6^2*$F$8)&lt;(4*$F$13*$F$8),($F$3*(L$16*10^-3)/SQRT($C$16*10^-3*$B$97*10^-3)*$F$4/$F$6^2*$F$8),(4*$F$13*$F$8))</f>
        <v>3.7296349775551039</v>
      </c>
      <c r="M95" s="209">
        <f t="shared" si="87"/>
        <v>4.3512408071476223</v>
      </c>
      <c r="N95" s="209">
        <f t="shared" si="87"/>
        <v>4.9728466367401385</v>
      </c>
      <c r="O95" s="209">
        <f t="shared" si="87"/>
        <v>5.5944524663326556</v>
      </c>
      <c r="P95" s="209">
        <f t="shared" si="87"/>
        <v>6.2160582959251736</v>
      </c>
      <c r="Q95" s="209">
        <f t="shared" si="87"/>
        <v>6.8376641255176906</v>
      </c>
      <c r="R95" s="209">
        <f t="shared" si="87"/>
        <v>7.4592699551102077</v>
      </c>
      <c r="S95" s="209">
        <f t="shared" si="87"/>
        <v>8.0808757847027248</v>
      </c>
      <c r="T95" s="209">
        <f t="shared" si="87"/>
        <v>8.7024816142952446</v>
      </c>
      <c r="U95" s="209">
        <f t="shared" si="87"/>
        <v>9.324087443887759</v>
      </c>
      <c r="V95" s="209">
        <f t="shared" si="87"/>
        <v>9.4595466606773275</v>
      </c>
      <c r="W95" s="209">
        <f t="shared" si="87"/>
        <v>9.4595466606773275</v>
      </c>
      <c r="X95" s="209">
        <f t="shared" si="87"/>
        <v>9.4595466606773275</v>
      </c>
      <c r="Y95" s="209">
        <f t="shared" si="87"/>
        <v>9.4595466606773275</v>
      </c>
      <c r="Z95" s="209">
        <f t="shared" si="87"/>
        <v>9.4595466606773275</v>
      </c>
      <c r="AA95" s="209">
        <f t="shared" si="87"/>
        <v>9.4595466606773275</v>
      </c>
      <c r="AB95" s="210">
        <f t="shared" si="87"/>
        <v>9.4595466606773275</v>
      </c>
      <c r="AC95" s="106"/>
      <c r="AD95" s="106"/>
      <c r="AE95" s="106"/>
      <c r="AF95" s="106"/>
      <c r="AG95" s="106"/>
      <c r="AH95" s="106"/>
      <c r="AI95" s="90"/>
      <c r="AJ95" s="90"/>
      <c r="AK95" s="90"/>
      <c r="AL95" s="43"/>
      <c r="AO95" s="2"/>
      <c r="AP95"/>
      <c r="AQ95" s="13"/>
      <c r="AR95" s="12"/>
      <c r="AS95" s="3"/>
      <c r="AT95" s="3"/>
      <c r="AU95" s="3"/>
      <c r="AV95" s="3"/>
      <c r="AW95"/>
      <c r="AX95"/>
    </row>
    <row r="96" spans="2:50" x14ac:dyDescent="0.25">
      <c r="B96" s="140"/>
      <c r="C96" s="243"/>
      <c r="D96" s="239" t="s">
        <v>56</v>
      </c>
      <c r="E96" s="239"/>
      <c r="F96" s="220">
        <f>F93</f>
        <v>3.1500790836947794</v>
      </c>
      <c r="G96" s="215" t="s">
        <v>32</v>
      </c>
      <c r="I96" s="226"/>
      <c r="J96" s="137"/>
      <c r="K96" s="137"/>
      <c r="L96" s="195">
        <f t="shared" ref="L96:AB96" si="88">L93</f>
        <v>2.4119628169569083</v>
      </c>
      <c r="M96" s="184">
        <f t="shared" si="88"/>
        <v>2.6093597073324104</v>
      </c>
      <c r="N96" s="184">
        <f t="shared" si="88"/>
        <v>2.7946543001246047</v>
      </c>
      <c r="O96" s="184">
        <f t="shared" si="88"/>
        <v>2.9703702433368413</v>
      </c>
      <c r="P96" s="184">
        <f t="shared" si="88"/>
        <v>3.1383641739536587</v>
      </c>
      <c r="Q96" s="184">
        <f t="shared" si="88"/>
        <v>3.3000540540856242</v>
      </c>
      <c r="R96" s="184">
        <f t="shared" si="88"/>
        <v>3.4565556591294384</v>
      </c>
      <c r="S96" s="184">
        <f t="shared" si="88"/>
        <v>3.6087687292311403</v>
      </c>
      <c r="T96" s="184">
        <f t="shared" si="88"/>
        <v>3.7574337870840862</v>
      </c>
      <c r="U96" s="184">
        <f t="shared" si="88"/>
        <v>3.9031709895451443</v>
      </c>
      <c r="V96" s="184">
        <f t="shared" si="88"/>
        <v>4.0465075125563859</v>
      </c>
      <c r="W96" s="184">
        <f t="shared" si="88"/>
        <v>4.1878973590526902</v>
      </c>
      <c r="X96" s="184">
        <f t="shared" si="88"/>
        <v>4.3277360092835426</v>
      </c>
      <c r="Y96" s="184">
        <f t="shared" si="88"/>
        <v>4.4663714691178606</v>
      </c>
      <c r="Z96" s="184">
        <f t="shared" si="88"/>
        <v>4.6041127456305215</v>
      </c>
      <c r="AA96" s="184">
        <f t="shared" si="88"/>
        <v>4.7412364484075056</v>
      </c>
      <c r="AB96" s="185">
        <f t="shared" si="88"/>
        <v>4.8779920011632898</v>
      </c>
      <c r="AH96" s="15"/>
      <c r="AI96"/>
      <c r="AJ96"/>
      <c r="AK96"/>
      <c r="AS96"/>
      <c r="AT96" s="12"/>
      <c r="AU96" s="3"/>
      <c r="AV96" s="3"/>
      <c r="AW96" s="3"/>
      <c r="AX96" s="3"/>
    </row>
    <row r="97" spans="2:50" x14ac:dyDescent="0.25">
      <c r="B97" s="254">
        <v>177</v>
      </c>
      <c r="C97" s="244" t="s">
        <v>58</v>
      </c>
      <c r="D97" s="253" t="s">
        <v>57</v>
      </c>
      <c r="E97" s="253"/>
      <c r="F97" s="221">
        <f t="shared" ref="F97" si="89">IF(F94&lt;F95,F94,F95)</f>
        <v>6.2160582959251736</v>
      </c>
      <c r="G97" s="216" t="s">
        <v>32</v>
      </c>
      <c r="I97" s="15"/>
      <c r="J97"/>
      <c r="K97"/>
      <c r="L97" s="190">
        <f t="shared" ref="L97:AB97" si="90">IF(L94&lt;L95,L94,L95)</f>
        <v>3.7296349775551039</v>
      </c>
      <c r="M97" s="179">
        <f t="shared" si="90"/>
        <v>4.3512408071476223</v>
      </c>
      <c r="N97" s="179">
        <f t="shared" si="90"/>
        <v>4.9728466367401385</v>
      </c>
      <c r="O97" s="179">
        <f t="shared" si="90"/>
        <v>5.5944524663326556</v>
      </c>
      <c r="P97" s="179">
        <f t="shared" si="90"/>
        <v>6.2160582959251736</v>
      </c>
      <c r="Q97" s="179">
        <f t="shared" si="90"/>
        <v>6.8376641255176906</v>
      </c>
      <c r="R97" s="179">
        <f t="shared" si="90"/>
        <v>7.3752232468135723</v>
      </c>
      <c r="S97" s="179">
        <f t="shared" si="90"/>
        <v>7.9231437892485905</v>
      </c>
      <c r="T97" s="179">
        <f t="shared" si="90"/>
        <v>8.4994480936767332</v>
      </c>
      <c r="U97" s="179">
        <f t="shared" si="90"/>
        <v>9.1066281009016112</v>
      </c>
      <c r="V97" s="179">
        <f t="shared" si="90"/>
        <v>9.4595466606773275</v>
      </c>
      <c r="W97" s="179">
        <f t="shared" si="90"/>
        <v>9.4595466606773275</v>
      </c>
      <c r="X97" s="179">
        <f t="shared" si="90"/>
        <v>9.4595466606773275</v>
      </c>
      <c r="Y97" s="179">
        <f t="shared" si="90"/>
        <v>9.4595466606773275</v>
      </c>
      <c r="Z97" s="179">
        <f t="shared" si="90"/>
        <v>9.4595466606773275</v>
      </c>
      <c r="AA97" s="179">
        <f t="shared" si="90"/>
        <v>9.4595466606773275</v>
      </c>
      <c r="AB97" s="180">
        <f t="shared" si="90"/>
        <v>9.4595466606773275</v>
      </c>
      <c r="AH97" s="15"/>
      <c r="AI97"/>
      <c r="AJ97"/>
      <c r="AK97"/>
    </row>
    <row r="98" spans="2:50" x14ac:dyDescent="0.25">
      <c r="B98" s="254" t="s">
        <v>44</v>
      </c>
      <c r="C98" s="243" t="s">
        <v>59</v>
      </c>
      <c r="D98" s="252" t="s">
        <v>60</v>
      </c>
      <c r="E98" s="252"/>
      <c r="F98" s="222">
        <f>F93</f>
        <v>3.1500790836947794</v>
      </c>
      <c r="G98" s="217" t="s">
        <v>32</v>
      </c>
      <c r="I98" s="15"/>
      <c r="J98"/>
      <c r="K98"/>
      <c r="L98" s="191">
        <f t="shared" ref="L98:AB98" si="91">L93</f>
        <v>2.4119628169569083</v>
      </c>
      <c r="M98" s="182">
        <f t="shared" si="91"/>
        <v>2.6093597073324104</v>
      </c>
      <c r="N98" s="182">
        <f t="shared" si="91"/>
        <v>2.7946543001246047</v>
      </c>
      <c r="O98" s="182">
        <f t="shared" si="91"/>
        <v>2.9703702433368413</v>
      </c>
      <c r="P98" s="182">
        <f t="shared" si="91"/>
        <v>3.1383641739536587</v>
      </c>
      <c r="Q98" s="182">
        <f t="shared" si="91"/>
        <v>3.3000540540856242</v>
      </c>
      <c r="R98" s="182">
        <f t="shared" si="91"/>
        <v>3.4565556591294384</v>
      </c>
      <c r="S98" s="182">
        <f t="shared" si="91"/>
        <v>3.6087687292311403</v>
      </c>
      <c r="T98" s="182">
        <f t="shared" si="91"/>
        <v>3.7574337870840862</v>
      </c>
      <c r="U98" s="182">
        <f t="shared" si="91"/>
        <v>3.9031709895451443</v>
      </c>
      <c r="V98" s="182">
        <f t="shared" si="91"/>
        <v>4.0465075125563859</v>
      </c>
      <c r="W98" s="182">
        <f t="shared" si="91"/>
        <v>4.1878973590526902</v>
      </c>
      <c r="X98" s="182">
        <f t="shared" si="91"/>
        <v>4.3277360092835426</v>
      </c>
      <c r="Y98" s="182">
        <f t="shared" si="91"/>
        <v>4.4663714691178606</v>
      </c>
      <c r="Z98" s="182">
        <f t="shared" si="91"/>
        <v>4.6041127456305215</v>
      </c>
      <c r="AA98" s="182">
        <f t="shared" si="91"/>
        <v>4.7412364484075056</v>
      </c>
      <c r="AB98" s="183">
        <f t="shared" si="91"/>
        <v>4.8779920011632898</v>
      </c>
      <c r="AH98" s="15"/>
      <c r="AI98"/>
      <c r="AJ98"/>
      <c r="AK98"/>
      <c r="AS98" s="12"/>
      <c r="AT98" s="12"/>
      <c r="AU98" s="3"/>
      <c r="AV98" s="3"/>
      <c r="AW98" s="3"/>
      <c r="AX98" s="3"/>
    </row>
    <row r="99" spans="2:50" ht="15.75" thickBot="1" x14ac:dyDescent="0.3">
      <c r="B99" s="141"/>
      <c r="C99" s="246"/>
      <c r="D99" s="238" t="s">
        <v>61</v>
      </c>
      <c r="E99" s="238"/>
      <c r="F99" s="223">
        <f t="shared" ref="F99" si="92">IF(F94&lt;F95,F94,F95)</f>
        <v>6.2160582959251736</v>
      </c>
      <c r="G99" s="214" t="s">
        <v>32</v>
      </c>
      <c r="I99" s="204"/>
      <c r="J99" s="135"/>
      <c r="K99" s="135"/>
      <c r="L99" s="192">
        <f t="shared" ref="L99:AB99" si="93">IF(L94&lt;L95,L94,L95)</f>
        <v>3.7296349775551039</v>
      </c>
      <c r="M99" s="193">
        <f t="shared" si="93"/>
        <v>4.3512408071476223</v>
      </c>
      <c r="N99" s="193">
        <f t="shared" si="93"/>
        <v>4.9728466367401385</v>
      </c>
      <c r="O99" s="193">
        <f t="shared" si="93"/>
        <v>5.5944524663326556</v>
      </c>
      <c r="P99" s="193">
        <f t="shared" si="93"/>
        <v>6.2160582959251736</v>
      </c>
      <c r="Q99" s="193">
        <f t="shared" si="93"/>
        <v>6.8376641255176906</v>
      </c>
      <c r="R99" s="193">
        <f t="shared" si="93"/>
        <v>7.3752232468135723</v>
      </c>
      <c r="S99" s="193">
        <f t="shared" si="93"/>
        <v>7.9231437892485905</v>
      </c>
      <c r="T99" s="193">
        <f t="shared" si="93"/>
        <v>8.4994480936767332</v>
      </c>
      <c r="U99" s="193">
        <f t="shared" si="93"/>
        <v>9.1066281009016112</v>
      </c>
      <c r="V99" s="193">
        <f t="shared" si="93"/>
        <v>9.4595466606773275</v>
      </c>
      <c r="W99" s="193">
        <f t="shared" si="93"/>
        <v>9.4595466606773275</v>
      </c>
      <c r="X99" s="193">
        <f t="shared" si="93"/>
        <v>9.4595466606773275</v>
      </c>
      <c r="Y99" s="193">
        <f t="shared" si="93"/>
        <v>9.4595466606773275</v>
      </c>
      <c r="Z99" s="193">
        <f t="shared" si="93"/>
        <v>9.4595466606773275</v>
      </c>
      <c r="AA99" s="193">
        <f t="shared" si="93"/>
        <v>9.4595466606773275</v>
      </c>
      <c r="AB99" s="194">
        <f t="shared" si="93"/>
        <v>9.4595466606773275</v>
      </c>
      <c r="AH99" s="15"/>
      <c r="AI99"/>
      <c r="AJ99"/>
      <c r="AK99"/>
    </row>
    <row r="100" spans="2:50" ht="15.75" hidden="1" thickBot="1" x14ac:dyDescent="0.3">
      <c r="B100" s="242"/>
      <c r="C100" s="2"/>
      <c r="D100" s="43" t="s">
        <v>71</v>
      </c>
      <c r="E100" s="43"/>
      <c r="F100" s="229">
        <f>1.07*1.22*F93</f>
        <v>4.1121132358551655</v>
      </c>
      <c r="G100" s="136"/>
      <c r="I100" s="267"/>
      <c r="J100" s="259"/>
      <c r="K100" s="259"/>
      <c r="L100" s="236">
        <f t="shared" ref="L100:AB100" si="94">1.07*1.22*L93</f>
        <v>3.1485762612555486</v>
      </c>
      <c r="M100" s="231">
        <f t="shared" si="94"/>
        <v>3.4062581619517287</v>
      </c>
      <c r="N100" s="231">
        <f t="shared" si="94"/>
        <v>3.6481417233826594</v>
      </c>
      <c r="O100" s="231">
        <f t="shared" si="94"/>
        <v>3.8775213156519128</v>
      </c>
      <c r="P100" s="231">
        <f t="shared" si="94"/>
        <v>4.0968205926791068</v>
      </c>
      <c r="Q100" s="231">
        <f t="shared" si="94"/>
        <v>4.3078905622033741</v>
      </c>
      <c r="R100" s="231">
        <f t="shared" si="94"/>
        <v>4.5121877574275695</v>
      </c>
      <c r="S100" s="231">
        <f t="shared" si="94"/>
        <v>4.7108866991383307</v>
      </c>
      <c r="T100" s="231">
        <f t="shared" si="94"/>
        <v>4.9049540656595667</v>
      </c>
      <c r="U100" s="231">
        <f t="shared" si="94"/>
        <v>5.0951994097522322</v>
      </c>
      <c r="V100" s="231">
        <f t="shared" si="94"/>
        <v>5.2823109068911069</v>
      </c>
      <c r="W100" s="231">
        <f t="shared" si="94"/>
        <v>5.4668812125073822</v>
      </c>
      <c r="X100" s="231">
        <f t="shared" si="94"/>
        <v>5.6494265865187367</v>
      </c>
      <c r="Y100" s="231">
        <f t="shared" si="94"/>
        <v>5.8304013157864558</v>
      </c>
      <c r="Z100" s="231">
        <f t="shared" si="94"/>
        <v>6.0102087781460831</v>
      </c>
      <c r="AA100" s="231">
        <f t="shared" si="94"/>
        <v>6.1892100597511579</v>
      </c>
      <c r="AB100" s="232">
        <f t="shared" si="94"/>
        <v>6.3677307583185589</v>
      </c>
      <c r="AC100" s="106"/>
      <c r="AD100" s="106"/>
      <c r="AE100" s="106"/>
      <c r="AF100" s="106"/>
      <c r="AG100" s="106"/>
      <c r="AH100" s="106"/>
      <c r="AI100" s="90"/>
      <c r="AJ100" s="90"/>
      <c r="AK100" s="90"/>
      <c r="AL100" s="43"/>
      <c r="AO100" s="2"/>
      <c r="AP100"/>
      <c r="AQ100" s="13"/>
      <c r="AR100" s="12"/>
      <c r="AS100" s="3"/>
      <c r="AT100" s="3"/>
      <c r="AU100" s="3"/>
      <c r="AV100" s="3"/>
      <c r="AW100"/>
      <c r="AX100"/>
    </row>
    <row r="101" spans="2:50" ht="15.75" hidden="1" thickBot="1" x14ac:dyDescent="0.3">
      <c r="B101" s="242"/>
      <c r="C101" s="2"/>
      <c r="D101" s="43" t="s">
        <v>72</v>
      </c>
      <c r="E101" s="43"/>
      <c r="F101" s="229">
        <f>1.07*1.22*F94</f>
        <v>8.2934214188508584</v>
      </c>
      <c r="G101" s="136"/>
      <c r="I101" s="267"/>
      <c r="J101" s="259"/>
      <c r="K101" s="259"/>
      <c r="L101" s="236">
        <f t="shared" ref="L101:AB101" si="95">1.07*1.22*L94</f>
        <v>5.8711381730186778</v>
      </c>
      <c r="M101" s="231">
        <f t="shared" si="95"/>
        <v>6.4620704481255222</v>
      </c>
      <c r="N101" s="231">
        <f t="shared" si="95"/>
        <v>7.0575452273082746</v>
      </c>
      <c r="O101" s="231">
        <f t="shared" si="95"/>
        <v>7.6658082651407202</v>
      </c>
      <c r="P101" s="231">
        <f t="shared" si="95"/>
        <v>8.2934214188508584</v>
      </c>
      <c r="Q101" s="231">
        <f t="shared" si="95"/>
        <v>8.9458141045443611</v>
      </c>
      <c r="R101" s="231">
        <f t="shared" si="95"/>
        <v>9.6276164263904374</v>
      </c>
      <c r="S101" s="231">
        <f t="shared" si="95"/>
        <v>10.342871902485111</v>
      </c>
      <c r="T101" s="231">
        <f t="shared" si="95"/>
        <v>11.095179541485608</v>
      </c>
      <c r="U101" s="231">
        <f t="shared" si="95"/>
        <v>11.887792322916964</v>
      </c>
      <c r="V101" s="231">
        <f t="shared" si="95"/>
        <v>12.723687626716384</v>
      </c>
      <c r="W101" s="231">
        <f t="shared" si="95"/>
        <v>13.605618965897371</v>
      </c>
      <c r="X101" s="231">
        <f t="shared" si="95"/>
        <v>14.53615487442374</v>
      </c>
      <c r="Y101" s="231">
        <f t="shared" si="95"/>
        <v>15.517708736238287</v>
      </c>
      <c r="Z101" s="231">
        <f t="shared" si="95"/>
        <v>16.552562077047817</v>
      </c>
      <c r="AA101" s="231">
        <f t="shared" si="95"/>
        <v>17.642883041811178</v>
      </c>
      <c r="AB101" s="232">
        <f t="shared" si="95"/>
        <v>18.790741262100248</v>
      </c>
      <c r="AC101" s="106"/>
      <c r="AD101" s="106"/>
      <c r="AE101" s="106"/>
      <c r="AF101" s="106"/>
      <c r="AG101" s="106"/>
      <c r="AH101" s="106"/>
      <c r="AI101" s="90"/>
      <c r="AJ101" s="90"/>
      <c r="AK101" s="90"/>
      <c r="AL101" s="43"/>
      <c r="AO101" s="2"/>
      <c r="AP101"/>
      <c r="AQ101" s="13"/>
      <c r="AR101" s="12"/>
      <c r="AS101" s="3"/>
      <c r="AT101" s="3"/>
      <c r="AU101" s="3"/>
      <c r="AV101" s="3"/>
      <c r="AW101"/>
      <c r="AX101"/>
    </row>
    <row r="102" spans="2:50" ht="15.75" hidden="1" thickBot="1" x14ac:dyDescent="0.3">
      <c r="B102" s="242"/>
      <c r="C102" s="2"/>
      <c r="D102" s="43" t="s">
        <v>79</v>
      </c>
      <c r="E102" s="43"/>
      <c r="F102" s="229">
        <f>1.07*1.22*F95</f>
        <v>8.1144424995007221</v>
      </c>
      <c r="G102" s="136"/>
      <c r="I102" s="267"/>
      <c r="J102" s="259"/>
      <c r="K102" s="259"/>
      <c r="L102" s="236">
        <f t="shared" ref="L102:AB102" si="96">1.07*1.22*L95</f>
        <v>4.8686654997004331</v>
      </c>
      <c r="M102" s="231">
        <f t="shared" si="96"/>
        <v>5.6801097496505069</v>
      </c>
      <c r="N102" s="231">
        <f t="shared" si="96"/>
        <v>6.4915539996005771</v>
      </c>
      <c r="O102" s="231">
        <f t="shared" si="96"/>
        <v>7.3029982495506491</v>
      </c>
      <c r="P102" s="231">
        <f t="shared" si="96"/>
        <v>8.1144424995007221</v>
      </c>
      <c r="Q102" s="231">
        <f t="shared" si="96"/>
        <v>8.925886749450795</v>
      </c>
      <c r="R102" s="231">
        <f t="shared" si="96"/>
        <v>9.7373309994008661</v>
      </c>
      <c r="S102" s="231">
        <f t="shared" si="96"/>
        <v>10.548775249350937</v>
      </c>
      <c r="T102" s="231">
        <f t="shared" si="96"/>
        <v>11.360219499301014</v>
      </c>
      <c r="U102" s="231">
        <f t="shared" si="96"/>
        <v>12.171663749251081</v>
      </c>
      <c r="V102" s="231">
        <f t="shared" si="96"/>
        <v>12.348492210848184</v>
      </c>
      <c r="W102" s="231">
        <f t="shared" si="96"/>
        <v>12.348492210848184</v>
      </c>
      <c r="X102" s="231">
        <f t="shared" si="96"/>
        <v>12.348492210848184</v>
      </c>
      <c r="Y102" s="231">
        <f t="shared" si="96"/>
        <v>12.348492210848184</v>
      </c>
      <c r="Z102" s="231">
        <f t="shared" si="96"/>
        <v>12.348492210848184</v>
      </c>
      <c r="AA102" s="231">
        <f t="shared" si="96"/>
        <v>12.348492210848184</v>
      </c>
      <c r="AB102" s="232">
        <f t="shared" si="96"/>
        <v>12.348492210848184</v>
      </c>
      <c r="AC102" s="106"/>
      <c r="AD102" s="106"/>
      <c r="AE102" s="106"/>
      <c r="AF102" s="106"/>
      <c r="AG102" s="106"/>
      <c r="AH102" s="106"/>
      <c r="AI102" s="90"/>
      <c r="AJ102" s="90"/>
      <c r="AK102" s="90"/>
      <c r="AL102" s="43"/>
      <c r="AO102" s="2"/>
      <c r="AP102"/>
      <c r="AQ102" s="13"/>
      <c r="AR102" s="12"/>
      <c r="AS102" s="3"/>
      <c r="AT102" s="3"/>
      <c r="AU102" s="3"/>
      <c r="AV102" s="3"/>
      <c r="AW102"/>
      <c r="AX102"/>
    </row>
    <row r="103" spans="2:50" ht="15.75" hidden="1" thickBot="1" x14ac:dyDescent="0.3">
      <c r="B103" s="242"/>
      <c r="C103" s="2"/>
      <c r="D103" s="43" t="s">
        <v>73</v>
      </c>
      <c r="E103" s="43"/>
      <c r="F103" s="229">
        <f>1.07*0.707*F93</f>
        <v>2.3830033260242636</v>
      </c>
      <c r="G103" s="136"/>
      <c r="I103" s="267"/>
      <c r="J103" s="259"/>
      <c r="K103" s="259"/>
      <c r="L103" s="236">
        <f t="shared" ref="L103:AB103" si="97">1.07*0.707*L93</f>
        <v>1.8246257513997315</v>
      </c>
      <c r="M103" s="231">
        <f t="shared" si="97"/>
        <v>1.9739545249998951</v>
      </c>
      <c r="N103" s="231">
        <f t="shared" si="97"/>
        <v>2.1141280315012621</v>
      </c>
      <c r="O103" s="231">
        <f t="shared" si="97"/>
        <v>2.2470553853818869</v>
      </c>
      <c r="P103" s="231">
        <f t="shared" si="97"/>
        <v>2.3741411139542032</v>
      </c>
      <c r="Q103" s="231">
        <f t="shared" si="97"/>
        <v>2.496457891375234</v>
      </c>
      <c r="R103" s="231">
        <f t="shared" si="97"/>
        <v>2.6148497905748287</v>
      </c>
      <c r="S103" s="231">
        <f t="shared" si="97"/>
        <v>2.7299974559760654</v>
      </c>
      <c r="T103" s="231">
        <f t="shared" si="97"/>
        <v>2.8424610855912404</v>
      </c>
      <c r="U103" s="231">
        <f t="shared" si="97"/>
        <v>2.9527098218810064</v>
      </c>
      <c r="V103" s="231">
        <f t="shared" si="97"/>
        <v>3.0611424681737804</v>
      </c>
      <c r="W103" s="231">
        <f t="shared" si="97"/>
        <v>3.1681024731497698</v>
      </c>
      <c r="X103" s="231">
        <f t="shared" si="97"/>
        <v>3.2738890136629073</v>
      </c>
      <c r="Y103" s="231">
        <f t="shared" si="97"/>
        <v>3.3787653526729704</v>
      </c>
      <c r="Z103" s="231">
        <f t="shared" si="97"/>
        <v>3.482965250942033</v>
      </c>
      <c r="AA103" s="231">
        <f t="shared" si="97"/>
        <v>3.5866979608557941</v>
      </c>
      <c r="AB103" s="232">
        <f t="shared" si="97"/>
        <v>3.690152168960017</v>
      </c>
      <c r="AC103" s="106"/>
      <c r="AD103" s="106"/>
      <c r="AE103" s="106"/>
      <c r="AF103" s="106"/>
      <c r="AG103" s="106"/>
      <c r="AH103" s="106"/>
      <c r="AI103" s="90"/>
      <c r="AJ103" s="90"/>
      <c r="AK103" s="90"/>
      <c r="AL103" s="43"/>
      <c r="AO103" s="2"/>
      <c r="AP103"/>
      <c r="AQ103" s="13"/>
      <c r="AR103" s="12"/>
      <c r="AS103" s="3"/>
      <c r="AT103" s="3"/>
      <c r="AU103" s="3"/>
      <c r="AV103" s="3"/>
      <c r="AW103"/>
      <c r="AX103"/>
    </row>
    <row r="104" spans="2:50" ht="15.75" hidden="1" thickBot="1" x14ac:dyDescent="0.3">
      <c r="B104" s="242"/>
      <c r="C104" s="2"/>
      <c r="D104" s="43" t="s">
        <v>74</v>
      </c>
      <c r="E104" s="43"/>
      <c r="F104" s="229">
        <f>1.07*0.707*F94</f>
        <v>4.8061056910881614</v>
      </c>
      <c r="G104" s="136"/>
      <c r="I104" s="267"/>
      <c r="J104" s="259"/>
      <c r="K104" s="259"/>
      <c r="L104" s="236">
        <f t="shared" ref="L104:AB104" si="98">1.07*0.707*L94</f>
        <v>3.4023726953477085</v>
      </c>
      <c r="M104" s="231">
        <f t="shared" si="98"/>
        <v>3.7448227924792983</v>
      </c>
      <c r="N104" s="231">
        <f t="shared" si="98"/>
        <v>4.0899053079565162</v>
      </c>
      <c r="O104" s="231">
        <f t="shared" si="98"/>
        <v>4.4423987241430236</v>
      </c>
      <c r="P104" s="231">
        <f t="shared" si="98"/>
        <v>4.8061056910881614</v>
      </c>
      <c r="Q104" s="231">
        <f t="shared" si="98"/>
        <v>5.1841725999285764</v>
      </c>
      <c r="R104" s="231">
        <f t="shared" si="98"/>
        <v>5.5792826339819994</v>
      </c>
      <c r="S104" s="231">
        <f t="shared" si="98"/>
        <v>5.9937790451286661</v>
      </c>
      <c r="T104" s="231">
        <f t="shared" si="98"/>
        <v>6.4297474883855115</v>
      </c>
      <c r="U104" s="231">
        <f t="shared" si="98"/>
        <v>6.8890730920510599</v>
      </c>
      <c r="V104" s="231">
        <f t="shared" si="98"/>
        <v>7.3734812722036747</v>
      </c>
      <c r="W104" s="231">
        <f t="shared" si="98"/>
        <v>7.8845677122044586</v>
      </c>
      <c r="X104" s="231">
        <f t="shared" si="98"/>
        <v>8.4238208985390024</v>
      </c>
      <c r="Y104" s="231">
        <f t="shared" si="98"/>
        <v>8.9926394069839901</v>
      </c>
      <c r="Z104" s="231">
        <f t="shared" si="98"/>
        <v>9.5923454003875452</v>
      </c>
      <c r="AA104" s="231">
        <f t="shared" si="98"/>
        <v>10.224195336525002</v>
      </c>
      <c r="AB104" s="232">
        <f t="shared" si="98"/>
        <v>10.889388583856455</v>
      </c>
      <c r="AC104" s="106"/>
      <c r="AD104" s="106"/>
      <c r="AE104" s="106"/>
      <c r="AF104" s="106"/>
      <c r="AG104" s="106"/>
      <c r="AH104" s="106"/>
      <c r="AI104" s="90"/>
      <c r="AJ104" s="90"/>
      <c r="AK104" s="90"/>
      <c r="AL104" s="43"/>
      <c r="AO104" s="2"/>
      <c r="AP104"/>
      <c r="AQ104" s="13"/>
      <c r="AR104" s="12"/>
      <c r="AS104" s="3"/>
      <c r="AT104" s="3"/>
      <c r="AU104" s="3"/>
      <c r="AV104" s="3"/>
      <c r="AW104"/>
      <c r="AX104"/>
    </row>
    <row r="105" spans="2:50" ht="15.75" hidden="1" thickBot="1" x14ac:dyDescent="0.3">
      <c r="B105" s="242"/>
      <c r="C105" s="2"/>
      <c r="D105" s="43" t="s">
        <v>80</v>
      </c>
      <c r="E105" s="43"/>
      <c r="F105" s="229">
        <f>1.07*0.707*F95</f>
        <v>4.7023859402844348</v>
      </c>
      <c r="G105" s="136"/>
      <c r="I105" s="267"/>
      <c r="J105" s="259"/>
      <c r="K105" s="259"/>
      <c r="L105" s="236">
        <f t="shared" ref="L105:AB105" si="99">1.07*0.707*L95</f>
        <v>2.8214315641706604</v>
      </c>
      <c r="M105" s="231">
        <f t="shared" si="99"/>
        <v>3.2916701581991048</v>
      </c>
      <c r="N105" s="231">
        <f t="shared" si="99"/>
        <v>3.7619087522275474</v>
      </c>
      <c r="O105" s="231">
        <f t="shared" si="99"/>
        <v>4.2321473462559904</v>
      </c>
      <c r="P105" s="231">
        <f t="shared" si="99"/>
        <v>4.7023859402844348</v>
      </c>
      <c r="Q105" s="231">
        <f t="shared" si="99"/>
        <v>5.1726245343128774</v>
      </c>
      <c r="R105" s="231">
        <f t="shared" si="99"/>
        <v>5.6428631283413209</v>
      </c>
      <c r="S105" s="231">
        <f t="shared" si="99"/>
        <v>6.1131017223697643</v>
      </c>
      <c r="T105" s="231">
        <f t="shared" si="99"/>
        <v>6.5833403163982096</v>
      </c>
      <c r="U105" s="231">
        <f t="shared" si="99"/>
        <v>7.0535789104266504</v>
      </c>
      <c r="V105" s="231">
        <f t="shared" si="99"/>
        <v>7.1560524533357919</v>
      </c>
      <c r="W105" s="231">
        <f t="shared" si="99"/>
        <v>7.1560524533357919</v>
      </c>
      <c r="X105" s="231">
        <f t="shared" si="99"/>
        <v>7.1560524533357919</v>
      </c>
      <c r="Y105" s="231">
        <f t="shared" si="99"/>
        <v>7.1560524533357919</v>
      </c>
      <c r="Z105" s="231">
        <f t="shared" si="99"/>
        <v>7.1560524533357919</v>
      </c>
      <c r="AA105" s="231">
        <f t="shared" si="99"/>
        <v>7.1560524533357919</v>
      </c>
      <c r="AB105" s="232">
        <f t="shared" si="99"/>
        <v>7.1560524533357919</v>
      </c>
      <c r="AC105" s="106"/>
      <c r="AD105" s="106"/>
      <c r="AE105" s="106"/>
      <c r="AF105" s="106"/>
      <c r="AG105" s="106"/>
      <c r="AH105" s="106"/>
      <c r="AI105" s="90"/>
      <c r="AJ105" s="90"/>
      <c r="AK105" s="90"/>
      <c r="AL105" s="43"/>
      <c r="AO105" s="2"/>
      <c r="AP105"/>
      <c r="AQ105" s="13"/>
      <c r="AR105" s="12"/>
      <c r="AS105" s="3"/>
      <c r="AT105" s="3"/>
      <c r="AU105" s="3"/>
      <c r="AV105" s="3"/>
      <c r="AW105"/>
      <c r="AX105"/>
    </row>
    <row r="106" spans="2:50" x14ac:dyDescent="0.25">
      <c r="B106" s="142"/>
      <c r="C106" s="243"/>
      <c r="D106" s="239" t="s">
        <v>56</v>
      </c>
      <c r="E106" s="239"/>
      <c r="F106" s="220">
        <f>F100</f>
        <v>4.1121132358551655</v>
      </c>
      <c r="G106" s="215" t="s">
        <v>32</v>
      </c>
      <c r="I106" s="15"/>
      <c r="J106"/>
      <c r="K106"/>
      <c r="L106" s="195">
        <f t="shared" ref="L106:AB106" si="100">L100</f>
        <v>3.1485762612555486</v>
      </c>
      <c r="M106" s="184">
        <f t="shared" si="100"/>
        <v>3.4062581619517287</v>
      </c>
      <c r="N106" s="184">
        <f t="shared" si="100"/>
        <v>3.6481417233826594</v>
      </c>
      <c r="O106" s="184">
        <f t="shared" si="100"/>
        <v>3.8775213156519128</v>
      </c>
      <c r="P106" s="184">
        <f t="shared" si="100"/>
        <v>4.0968205926791068</v>
      </c>
      <c r="Q106" s="184">
        <f t="shared" si="100"/>
        <v>4.3078905622033741</v>
      </c>
      <c r="R106" s="184">
        <f t="shared" si="100"/>
        <v>4.5121877574275695</v>
      </c>
      <c r="S106" s="184">
        <f t="shared" si="100"/>
        <v>4.7108866991383307</v>
      </c>
      <c r="T106" s="184">
        <f t="shared" si="100"/>
        <v>4.9049540656595667</v>
      </c>
      <c r="U106" s="184">
        <f t="shared" si="100"/>
        <v>5.0951994097522322</v>
      </c>
      <c r="V106" s="184">
        <f t="shared" si="100"/>
        <v>5.2823109068911069</v>
      </c>
      <c r="W106" s="184">
        <f t="shared" si="100"/>
        <v>5.4668812125073822</v>
      </c>
      <c r="X106" s="184">
        <f t="shared" si="100"/>
        <v>5.6494265865187367</v>
      </c>
      <c r="Y106" s="184">
        <f t="shared" si="100"/>
        <v>5.8304013157864558</v>
      </c>
      <c r="Z106" s="184">
        <f t="shared" si="100"/>
        <v>6.0102087781460831</v>
      </c>
      <c r="AA106" s="184">
        <f t="shared" si="100"/>
        <v>6.1892100597511579</v>
      </c>
      <c r="AB106" s="185">
        <f t="shared" si="100"/>
        <v>6.3677307583185589</v>
      </c>
      <c r="AH106" s="15"/>
      <c r="AI106"/>
      <c r="AJ106"/>
      <c r="AK106"/>
      <c r="AS106" s="12"/>
      <c r="AT106" s="12"/>
      <c r="AU106" s="3"/>
      <c r="AV106" s="3"/>
      <c r="AW106" s="3"/>
      <c r="AX106" s="3"/>
    </row>
    <row r="107" spans="2:50" x14ac:dyDescent="0.25">
      <c r="B107" s="141"/>
      <c r="C107" s="244" t="s">
        <v>67</v>
      </c>
      <c r="D107" s="253" t="s">
        <v>57</v>
      </c>
      <c r="E107" s="253"/>
      <c r="F107" s="221">
        <f>IF(F101&lt;F102,F101,F102)</f>
        <v>8.1144424995007221</v>
      </c>
      <c r="G107" s="216" t="s">
        <v>32</v>
      </c>
      <c r="I107" s="15"/>
      <c r="J107"/>
      <c r="K107"/>
      <c r="L107" s="190">
        <f t="shared" ref="L107:AB107" si="101">IF(L101&lt;L102,L101,L102)</f>
        <v>4.8686654997004331</v>
      </c>
      <c r="M107" s="179">
        <f t="shared" si="101"/>
        <v>5.6801097496505069</v>
      </c>
      <c r="N107" s="179">
        <f t="shared" si="101"/>
        <v>6.4915539996005771</v>
      </c>
      <c r="O107" s="179">
        <f t="shared" si="101"/>
        <v>7.3029982495506491</v>
      </c>
      <c r="P107" s="179">
        <f t="shared" si="101"/>
        <v>8.1144424995007221</v>
      </c>
      <c r="Q107" s="179">
        <f t="shared" si="101"/>
        <v>8.925886749450795</v>
      </c>
      <c r="R107" s="179">
        <f t="shared" si="101"/>
        <v>9.6276164263904374</v>
      </c>
      <c r="S107" s="179">
        <f t="shared" si="101"/>
        <v>10.342871902485111</v>
      </c>
      <c r="T107" s="179">
        <f t="shared" si="101"/>
        <v>11.095179541485608</v>
      </c>
      <c r="U107" s="179">
        <f t="shared" si="101"/>
        <v>11.887792322916964</v>
      </c>
      <c r="V107" s="179">
        <f t="shared" si="101"/>
        <v>12.348492210848184</v>
      </c>
      <c r="W107" s="179">
        <f t="shared" si="101"/>
        <v>12.348492210848184</v>
      </c>
      <c r="X107" s="179">
        <f t="shared" si="101"/>
        <v>12.348492210848184</v>
      </c>
      <c r="Y107" s="179">
        <f t="shared" si="101"/>
        <v>12.348492210848184</v>
      </c>
      <c r="Z107" s="179">
        <f t="shared" si="101"/>
        <v>12.348492210848184</v>
      </c>
      <c r="AA107" s="179">
        <f t="shared" si="101"/>
        <v>12.348492210848184</v>
      </c>
      <c r="AB107" s="180">
        <f t="shared" si="101"/>
        <v>12.348492210848184</v>
      </c>
      <c r="AH107" s="15"/>
      <c r="AI107"/>
      <c r="AJ107"/>
      <c r="AK107"/>
    </row>
    <row r="108" spans="2:50" x14ac:dyDescent="0.25">
      <c r="B108" s="142"/>
      <c r="C108" s="243" t="s">
        <v>68</v>
      </c>
      <c r="D108" s="252" t="s">
        <v>60</v>
      </c>
      <c r="E108" s="252"/>
      <c r="F108" s="222">
        <f>F103</f>
        <v>2.3830033260242636</v>
      </c>
      <c r="G108" s="217" t="s">
        <v>32</v>
      </c>
      <c r="I108" s="15"/>
      <c r="J108"/>
      <c r="K108"/>
      <c r="L108" s="191">
        <f t="shared" ref="L108:AB108" si="102">L103</f>
        <v>1.8246257513997315</v>
      </c>
      <c r="M108" s="182">
        <f t="shared" si="102"/>
        <v>1.9739545249998951</v>
      </c>
      <c r="N108" s="182">
        <f t="shared" si="102"/>
        <v>2.1141280315012621</v>
      </c>
      <c r="O108" s="182">
        <f t="shared" si="102"/>
        <v>2.2470553853818869</v>
      </c>
      <c r="P108" s="182">
        <f t="shared" si="102"/>
        <v>2.3741411139542032</v>
      </c>
      <c r="Q108" s="182">
        <f t="shared" si="102"/>
        <v>2.496457891375234</v>
      </c>
      <c r="R108" s="182">
        <f t="shared" si="102"/>
        <v>2.6148497905748287</v>
      </c>
      <c r="S108" s="182">
        <f t="shared" si="102"/>
        <v>2.7299974559760654</v>
      </c>
      <c r="T108" s="182">
        <f t="shared" si="102"/>
        <v>2.8424610855912404</v>
      </c>
      <c r="U108" s="182">
        <f t="shared" si="102"/>
        <v>2.9527098218810064</v>
      </c>
      <c r="V108" s="182">
        <f t="shared" si="102"/>
        <v>3.0611424681737804</v>
      </c>
      <c r="W108" s="182">
        <f t="shared" si="102"/>
        <v>3.1681024731497698</v>
      </c>
      <c r="X108" s="182">
        <f t="shared" si="102"/>
        <v>3.2738890136629073</v>
      </c>
      <c r="Y108" s="182">
        <f t="shared" si="102"/>
        <v>3.3787653526729704</v>
      </c>
      <c r="Z108" s="182">
        <f t="shared" si="102"/>
        <v>3.482965250942033</v>
      </c>
      <c r="AA108" s="182">
        <f t="shared" si="102"/>
        <v>3.5866979608557941</v>
      </c>
      <c r="AB108" s="183">
        <f t="shared" si="102"/>
        <v>3.690152168960017</v>
      </c>
      <c r="AH108" s="15"/>
      <c r="AI108"/>
      <c r="AJ108"/>
      <c r="AK108"/>
      <c r="AR108"/>
      <c r="AS108"/>
      <c r="AT108"/>
      <c r="AU108"/>
      <c r="AV108"/>
      <c r="AW108"/>
      <c r="AX108"/>
    </row>
    <row r="109" spans="2:50" ht="15.75" thickBot="1" x14ac:dyDescent="0.3">
      <c r="B109" s="143"/>
      <c r="C109" s="248"/>
      <c r="D109" s="238" t="s">
        <v>61</v>
      </c>
      <c r="E109" s="238"/>
      <c r="F109" s="223">
        <f t="shared" ref="F109" si="103">IF(F104&lt;F105,F104,F105)</f>
        <v>4.7023859402844348</v>
      </c>
      <c r="G109" s="130" t="s">
        <v>32</v>
      </c>
      <c r="I109" s="273"/>
      <c r="J109" s="121"/>
      <c r="K109" s="121"/>
      <c r="L109" s="196">
        <f t="shared" ref="L109:AB109" si="104">IF(L104&lt;L105,L104,L105)</f>
        <v>2.8214315641706604</v>
      </c>
      <c r="M109" s="187">
        <f t="shared" si="104"/>
        <v>3.2916701581991048</v>
      </c>
      <c r="N109" s="187">
        <f t="shared" si="104"/>
        <v>3.7619087522275474</v>
      </c>
      <c r="O109" s="187">
        <f t="shared" si="104"/>
        <v>4.2321473462559904</v>
      </c>
      <c r="P109" s="187">
        <f t="shared" si="104"/>
        <v>4.7023859402844348</v>
      </c>
      <c r="Q109" s="187">
        <f t="shared" si="104"/>
        <v>5.1726245343128774</v>
      </c>
      <c r="R109" s="187">
        <f t="shared" si="104"/>
        <v>5.5792826339819994</v>
      </c>
      <c r="S109" s="187">
        <f t="shared" si="104"/>
        <v>5.9937790451286661</v>
      </c>
      <c r="T109" s="187">
        <f t="shared" si="104"/>
        <v>6.4297474883855115</v>
      </c>
      <c r="U109" s="187">
        <f t="shared" si="104"/>
        <v>6.8890730920510599</v>
      </c>
      <c r="V109" s="187">
        <f t="shared" si="104"/>
        <v>7.1560524533357919</v>
      </c>
      <c r="W109" s="187">
        <f t="shared" si="104"/>
        <v>7.1560524533357919</v>
      </c>
      <c r="X109" s="187">
        <f t="shared" si="104"/>
        <v>7.1560524533357919</v>
      </c>
      <c r="Y109" s="187">
        <f t="shared" si="104"/>
        <v>7.1560524533357919</v>
      </c>
      <c r="Z109" s="187">
        <f t="shared" si="104"/>
        <v>7.1560524533357919</v>
      </c>
      <c r="AA109" s="187">
        <f t="shared" si="104"/>
        <v>7.1560524533357919</v>
      </c>
      <c r="AB109" s="188">
        <f t="shared" si="104"/>
        <v>7.1560524533357919</v>
      </c>
      <c r="AC109" s="17"/>
      <c r="AD109" s="17"/>
      <c r="AE109" s="17"/>
      <c r="AF109" s="17"/>
      <c r="AG109" s="17"/>
      <c r="AH109" s="15"/>
      <c r="AI109"/>
      <c r="AJ109"/>
      <c r="AK109"/>
      <c r="AR109"/>
      <c r="AS109"/>
      <c r="AT109"/>
      <c r="AU109"/>
      <c r="AV109"/>
      <c r="AW109"/>
      <c r="AX109"/>
    </row>
    <row r="110" spans="2:50" ht="15.75" thickTop="1" x14ac:dyDescent="0.25">
      <c r="B110" s="139"/>
      <c r="C110" s="139"/>
      <c r="D110" s="125" t="s">
        <v>22</v>
      </c>
      <c r="E110" s="125"/>
      <c r="F110" s="218">
        <f>1.359*10^-3*(F$16/($C$16*10^-3*$B128*10^-3)*(0.507*0.171))^2.0302</f>
        <v>7.4749480314430965</v>
      </c>
      <c r="G110" s="149" t="s">
        <v>6</v>
      </c>
      <c r="I110" s="263"/>
      <c r="J110" s="75"/>
      <c r="K110" s="75"/>
      <c r="L110" s="75"/>
      <c r="M110" s="205">
        <f t="shared" ref="M110:AG110" si="105">1.359*10^-3*(M$16/($C$16*10^-3*$B128*10^-3)*(0.507*0.171))^2.0302</f>
        <v>3.623482919534009</v>
      </c>
      <c r="N110" s="206">
        <f t="shared" si="105"/>
        <v>4.7518362821587097</v>
      </c>
      <c r="O110" s="206">
        <f t="shared" si="105"/>
        <v>6.0354731233127055</v>
      </c>
      <c r="P110" s="206">
        <f t="shared" si="105"/>
        <v>7.4749480314430965</v>
      </c>
      <c r="Q110" s="206">
        <f t="shared" si="105"/>
        <v>9.0707585544486395</v>
      </c>
      <c r="R110" s="206">
        <f t="shared" si="105"/>
        <v>10.823355998431417</v>
      </c>
      <c r="S110" s="206">
        <f t="shared" si="105"/>
        <v>12.733153408972434</v>
      </c>
      <c r="T110" s="206">
        <f t="shared" si="105"/>
        <v>14.800531639691227</v>
      </c>
      <c r="U110" s="206">
        <f t="shared" si="105"/>
        <v>17.025844075867152</v>
      </c>
      <c r="V110" s="206">
        <f t="shared" si="105"/>
        <v>19.409420384343193</v>
      </c>
      <c r="W110" s="206">
        <f t="shared" si="105"/>
        <v>21.951569540871759</v>
      </c>
      <c r="X110" s="206">
        <f t="shared" si="105"/>
        <v>24.652582309835665</v>
      </c>
      <c r="Y110" s="206">
        <f t="shared" si="105"/>
        <v>27.512733301263626</v>
      </c>
      <c r="Z110" s="206">
        <f t="shared" si="105"/>
        <v>30.532282696298473</v>
      </c>
      <c r="AA110" s="206">
        <f t="shared" si="105"/>
        <v>33.711477708918963</v>
      </c>
      <c r="AB110" s="206">
        <f t="shared" si="105"/>
        <v>37.050553835198443</v>
      </c>
      <c r="AC110" s="206">
        <f t="shared" si="105"/>
        <v>40.549735929475261</v>
      </c>
      <c r="AD110" s="206">
        <f t="shared" si="105"/>
        <v>44.209239138079681</v>
      </c>
      <c r="AE110" s="206">
        <f t="shared" si="105"/>
        <v>48.02926971475506</v>
      </c>
      <c r="AF110" s="206">
        <f t="shared" si="105"/>
        <v>52.010025736998664</v>
      </c>
      <c r="AG110" s="212">
        <f t="shared" si="105"/>
        <v>56.15169773878835</v>
      </c>
      <c r="AH110" s="15"/>
      <c r="AI110"/>
      <c r="AJ110"/>
      <c r="AK110"/>
      <c r="AL110"/>
      <c r="AR110" s="3"/>
      <c r="AS110"/>
      <c r="AT110"/>
      <c r="AU110"/>
      <c r="AV110"/>
      <c r="AW110"/>
      <c r="AX110" s="3"/>
    </row>
    <row r="111" spans="2:50" x14ac:dyDescent="0.25">
      <c r="B111" s="147" t="s">
        <v>38</v>
      </c>
      <c r="C111" s="147" t="s">
        <v>117</v>
      </c>
      <c r="D111" s="132" t="s">
        <v>46</v>
      </c>
      <c r="E111" s="132"/>
      <c r="F111" s="229">
        <f>IF(-114.08+32.01*LN(F$16/($C$16*$B128)*(507*171))+10*LOG($C$16*$B128/(507*171))&lt;15,"&lt;15",-114.08+32.01*LN(F$16/($C$16*$B128)*(507*171))+10*LOG($C$16*$B128/(507*171)))</f>
        <v>23.289847487000031</v>
      </c>
      <c r="G111" s="136" t="s">
        <v>49</v>
      </c>
      <c r="I111" s="15"/>
      <c r="J111"/>
      <c r="K111"/>
      <c r="L111"/>
      <c r="M111" s="236" t="str">
        <f t="shared" ref="M111:AG111" si="106">IF(-114.08+32.01*LN(M$16/($C$16*$B128)*(507*171))+10*LOG($C$16*$B128/(507*171))&lt;15,"&lt;15",-114.08+32.01*LN(M$16/($C$16*$B128)*(507*171))+10*LOG($C$16*$B128/(507*171)))</f>
        <v>&lt;15</v>
      </c>
      <c r="N111" s="231">
        <f t="shared" si="106"/>
        <v>16.147022409432196</v>
      </c>
      <c r="O111" s="231">
        <f t="shared" si="106"/>
        <v>19.917257380793046</v>
      </c>
      <c r="P111" s="231">
        <f t="shared" si="106"/>
        <v>23.289847487000031</v>
      </c>
      <c r="Q111" s="231">
        <f t="shared" si="106"/>
        <v>26.34072634253647</v>
      </c>
      <c r="R111" s="231">
        <f t="shared" si="106"/>
        <v>29.125960519974541</v>
      </c>
      <c r="S111" s="231">
        <f t="shared" si="106"/>
        <v>31.688127592604445</v>
      </c>
      <c r="T111" s="231">
        <f t="shared" si="106"/>
        <v>34.060323781245074</v>
      </c>
      <c r="U111" s="231">
        <f t="shared" si="106"/>
        <v>36.268785597542376</v>
      </c>
      <c r="V111" s="231">
        <f t="shared" si="106"/>
        <v>38.334663659156035</v>
      </c>
      <c r="W111" s="231">
        <f t="shared" si="106"/>
        <v>40.275257803500125</v>
      </c>
      <c r="X111" s="231">
        <f t="shared" si="106"/>
        <v>42.104898630516885</v>
      </c>
      <c r="Y111" s="231">
        <f t="shared" si="106"/>
        <v>43.835590383378417</v>
      </c>
      <c r="Z111" s="231">
        <f t="shared" si="106"/>
        <v>45.477488736723899</v>
      </c>
      <c r="AA111" s="231">
        <f t="shared" si="106"/>
        <v>47.039261891787419</v>
      </c>
      <c r="AB111" s="231">
        <f t="shared" si="106"/>
        <v>48.528367592260338</v>
      </c>
      <c r="AC111" s="231">
        <f t="shared" si="106"/>
        <v>49.951268512152751</v>
      </c>
      <c r="AD111" s="231">
        <f t="shared" si="106"/>
        <v>51.31360176969838</v>
      </c>
      <c r="AE111" s="231">
        <f t="shared" si="106"/>
        <v>52.620313814291734</v>
      </c>
      <c r="AF111" s="231">
        <f t="shared" si="106"/>
        <v>53.875768842328284</v>
      </c>
      <c r="AG111" s="233">
        <f t="shared" si="106"/>
        <v>55.08383674105923</v>
      </c>
      <c r="AH111"/>
      <c r="AI111"/>
      <c r="AJ111"/>
      <c r="AK111"/>
      <c r="AL111"/>
      <c r="AR111" s="3"/>
      <c r="AS111"/>
      <c r="AT111"/>
      <c r="AU111"/>
      <c r="AV111"/>
      <c r="AW111"/>
      <c r="AX111" s="3"/>
    </row>
    <row r="112" spans="2:50" x14ac:dyDescent="0.25">
      <c r="B112" s="242" t="s">
        <v>33</v>
      </c>
      <c r="C112" s="242" t="s">
        <v>35</v>
      </c>
      <c r="D112" s="132" t="s">
        <v>23</v>
      </c>
      <c r="E112" s="132"/>
      <c r="F112" s="229">
        <f>IF(-15-114.08+32.01*LN(F$16/($C$16*$B128)*(507*171))+10*LOG($C$16*$B128/(507*171))&lt;5,"&lt;5",-15-114.08+32.01*LN(F$16/($C$16*$B128)*(507*171))+10*LOG($C$16*$B128/(507*171)))</f>
        <v>8.2898474870000456</v>
      </c>
      <c r="G112" s="136" t="s">
        <v>42</v>
      </c>
      <c r="I112" s="15"/>
      <c r="J112"/>
      <c r="K112"/>
      <c r="L112"/>
      <c r="M112" s="236" t="str">
        <f t="shared" ref="M112:AG112" si="107">IF(-15-114.08+32.01*LN(M$16/($C$16*$B128)*(507*171))+10*LOG($C$16*$B128/(507*171))&lt;5,"&lt;5",-15-114.08+32.01*LN(M$16/($C$16*$B128)*(507*171))+10*LOG($C$16*$B128/(507*171)))</f>
        <v>&lt;5</v>
      </c>
      <c r="N112" s="231" t="str">
        <f t="shared" si="107"/>
        <v>&lt;5</v>
      </c>
      <c r="O112" s="231" t="str">
        <f t="shared" si="107"/>
        <v>&lt;5</v>
      </c>
      <c r="P112" s="231">
        <f t="shared" si="107"/>
        <v>8.2898474870000456</v>
      </c>
      <c r="Q112" s="231">
        <f t="shared" si="107"/>
        <v>11.340726342536485</v>
      </c>
      <c r="R112" s="231">
        <f t="shared" si="107"/>
        <v>14.125960519974555</v>
      </c>
      <c r="S112" s="231">
        <f t="shared" si="107"/>
        <v>16.688127592604459</v>
      </c>
      <c r="T112" s="231">
        <f t="shared" si="107"/>
        <v>19.060323781245089</v>
      </c>
      <c r="U112" s="231">
        <f t="shared" si="107"/>
        <v>21.26878559754239</v>
      </c>
      <c r="V112" s="231">
        <f t="shared" si="107"/>
        <v>23.33466365915605</v>
      </c>
      <c r="W112" s="231">
        <f t="shared" si="107"/>
        <v>25.275257803500139</v>
      </c>
      <c r="X112" s="231">
        <f t="shared" si="107"/>
        <v>27.1048986305169</v>
      </c>
      <c r="Y112" s="231">
        <f t="shared" si="107"/>
        <v>28.835590383378431</v>
      </c>
      <c r="Z112" s="231">
        <f t="shared" si="107"/>
        <v>30.477488736723913</v>
      </c>
      <c r="AA112" s="231">
        <f t="shared" si="107"/>
        <v>32.039261891787433</v>
      </c>
      <c r="AB112" s="231">
        <f t="shared" si="107"/>
        <v>33.528367592260352</v>
      </c>
      <c r="AC112" s="231">
        <f t="shared" si="107"/>
        <v>34.951268512152765</v>
      </c>
      <c r="AD112" s="231">
        <f t="shared" si="107"/>
        <v>36.313601769698394</v>
      </c>
      <c r="AE112" s="231">
        <f t="shared" si="107"/>
        <v>37.620313814291748</v>
      </c>
      <c r="AF112" s="231">
        <f t="shared" si="107"/>
        <v>38.875768842328299</v>
      </c>
      <c r="AG112" s="233">
        <f t="shared" si="107"/>
        <v>40.083836741059244</v>
      </c>
      <c r="AH112"/>
      <c r="AI112"/>
      <c r="AJ112"/>
      <c r="AK112"/>
      <c r="AL112"/>
      <c r="AR112" s="3"/>
      <c r="AS112"/>
      <c r="AT112"/>
      <c r="AU112"/>
      <c r="AV112"/>
      <c r="AW112"/>
      <c r="AX112" s="3"/>
    </row>
    <row r="113" spans="2:50" hidden="1" x14ac:dyDescent="0.25">
      <c r="B113" s="242"/>
      <c r="C113" s="2"/>
      <c r="D113" s="43" t="s">
        <v>71</v>
      </c>
      <c r="E113" s="43"/>
      <c r="F113" s="106">
        <f>1.075*0.707*F124</f>
        <v>2.3844973975518156</v>
      </c>
      <c r="G113" s="136"/>
      <c r="I113" s="264"/>
      <c r="J113" s="259"/>
      <c r="K113" s="259"/>
      <c r="L113" s="259"/>
      <c r="M113" s="259">
        <f t="shared" ref="M113:AG113" si="108">1.075*0.707*M124</f>
        <v>1.9792828563880085</v>
      </c>
      <c r="N113" s="106">
        <f t="shared" si="108"/>
        <v>2.1185454968391149</v>
      </c>
      <c r="O113" s="106">
        <f t="shared" si="108"/>
        <v>2.2501978270062435</v>
      </c>
      <c r="P113" s="106">
        <f t="shared" si="108"/>
        <v>2.3756296291409056</v>
      </c>
      <c r="Q113" s="106">
        <f t="shared" si="108"/>
        <v>2.4958983713405991</v>
      </c>
      <c r="R113" s="106">
        <f t="shared" si="108"/>
        <v>2.6118327842777735</v>
      </c>
      <c r="S113" s="106">
        <f t="shared" si="108"/>
        <v>2.7240982157689939</v>
      </c>
      <c r="T113" s="106">
        <f t="shared" si="108"/>
        <v>2.8332397159856328</v>
      </c>
      <c r="U113" s="106">
        <f t="shared" si="108"/>
        <v>2.9397114862755944</v>
      </c>
      <c r="V113" s="106">
        <f t="shared" si="108"/>
        <v>3.0438976268601103</v>
      </c>
      <c r="W113" s="106">
        <f t="shared" si="108"/>
        <v>3.1461271364850596</v>
      </c>
      <c r="X113" s="106">
        <f t="shared" si="108"/>
        <v>3.2466850005584016</v>
      </c>
      <c r="Y113" s="106">
        <f t="shared" si="108"/>
        <v>3.3458205483493226</v>
      </c>
      <c r="Z113" s="106">
        <f t="shared" si="108"/>
        <v>3.4437538602641911</v>
      </c>
      <c r="AA113" s="106">
        <f t="shared" si="108"/>
        <v>3.5406807550496291</v>
      </c>
      <c r="AB113" s="106">
        <f t="shared" si="108"/>
        <v>3.6367767244639837</v>
      </c>
      <c r="AC113" s="106">
        <f t="shared" si="108"/>
        <v>3.7322000754699252</v>
      </c>
      <c r="AD113" s="106">
        <f t="shared" si="108"/>
        <v>3.8270944672439873</v>
      </c>
      <c r="AE113" s="106">
        <f t="shared" si="108"/>
        <v>3.9215909800750914</v>
      </c>
      <c r="AF113" s="106">
        <f t="shared" si="108"/>
        <v>4.0158098179346169</v>
      </c>
      <c r="AG113" s="295">
        <f t="shared" si="108"/>
        <v>4.1098617213023294</v>
      </c>
      <c r="AH113" s="106"/>
      <c r="AI113" s="106"/>
      <c r="AJ113" s="106"/>
      <c r="AK113" s="106"/>
      <c r="AL113" s="106"/>
      <c r="AO113" s="2"/>
      <c r="AP113"/>
      <c r="AQ113" s="13"/>
      <c r="AR113" s="12"/>
      <c r="AS113" s="3"/>
      <c r="AT113" s="3"/>
      <c r="AU113" s="3"/>
      <c r="AV113" s="3"/>
      <c r="AW113"/>
      <c r="AX113"/>
    </row>
    <row r="114" spans="2:50" hidden="1" x14ac:dyDescent="0.25">
      <c r="B114" s="242"/>
      <c r="C114" s="2"/>
      <c r="D114" s="43" t="s">
        <v>72</v>
      </c>
      <c r="E114" s="43"/>
      <c r="F114" s="106">
        <f>1.075*0.707*F125</f>
        <v>4.6144695152466397</v>
      </c>
      <c r="G114" s="136"/>
      <c r="I114" s="264"/>
      <c r="J114" s="259"/>
      <c r="K114" s="259"/>
      <c r="L114" s="259"/>
      <c r="M114" s="259">
        <f t="shared" ref="M114:AG114" si="109">1.075*0.707*M125</f>
        <v>3.6754913644136749</v>
      </c>
      <c r="N114" s="106">
        <f t="shared" si="109"/>
        <v>3.9872852199324003</v>
      </c>
      <c r="O114" s="106">
        <f t="shared" si="109"/>
        <v>4.2991627736518208</v>
      </c>
      <c r="P114" s="106">
        <f t="shared" si="109"/>
        <v>4.6144695152466397</v>
      </c>
      <c r="Q114" s="106">
        <f t="shared" si="109"/>
        <v>4.9359158970244765</v>
      </c>
      <c r="R114" s="106">
        <f t="shared" si="109"/>
        <v>5.2657677725648639</v>
      </c>
      <c r="S114" s="106">
        <f t="shared" si="109"/>
        <v>5.605967514432022</v>
      </c>
      <c r="T114" s="106">
        <f t="shared" si="109"/>
        <v>5.9582145550948935</v>
      </c>
      <c r="U114" s="106">
        <f t="shared" si="109"/>
        <v>6.3240209545400639</v>
      </c>
      <c r="V114" s="106">
        <f t="shared" si="109"/>
        <v>6.7047509449629663</v>
      </c>
      <c r="W114" s="106">
        <f t="shared" si="109"/>
        <v>7.1016498277555584</v>
      </c>
      <c r="X114" s="106">
        <f t="shared" si="109"/>
        <v>7.5158655788326367</v>
      </c>
      <c r="Y114" s="106">
        <f t="shared" si="109"/>
        <v>7.9484653287431897</v>
      </c>
      <c r="Z114" s="106">
        <f t="shared" si="109"/>
        <v>8.4004481572077463</v>
      </c>
      <c r="AA114" s="106">
        <f t="shared" si="109"/>
        <v>8.8727551833833633</v>
      </c>
      <c r="AB114" s="106">
        <f t="shared" si="109"/>
        <v>9.3662776359604898</v>
      </c>
      <c r="AC114" s="106">
        <f t="shared" si="109"/>
        <v>9.8818633896718904</v>
      </c>
      <c r="AD114" s="106">
        <f t="shared" si="109"/>
        <v>10.420322320590078</v>
      </c>
      <c r="AE114" s="106">
        <f t="shared" si="109"/>
        <v>10.982430739582902</v>
      </c>
      <c r="AF114" s="106">
        <f t="shared" si="109"/>
        <v>11.568935097676565</v>
      </c>
      <c r="AG114" s="295">
        <f t="shared" si="109"/>
        <v>12.180555110017355</v>
      </c>
      <c r="AH114" s="106"/>
      <c r="AI114" s="106"/>
      <c r="AJ114" s="106"/>
      <c r="AK114" s="106"/>
      <c r="AL114" s="106"/>
      <c r="AO114" s="2"/>
      <c r="AP114"/>
      <c r="AQ114" s="13"/>
      <c r="AR114" s="12"/>
      <c r="AS114" s="3"/>
      <c r="AT114" s="3"/>
      <c r="AU114" s="3"/>
      <c r="AV114" s="3"/>
      <c r="AW114"/>
      <c r="AX114"/>
    </row>
    <row r="115" spans="2:50" hidden="1" x14ac:dyDescent="0.25">
      <c r="B115" s="242"/>
      <c r="C115" s="2"/>
      <c r="D115" s="43" t="s">
        <v>79</v>
      </c>
      <c r="E115" s="43"/>
      <c r="F115" s="106">
        <f>1.075*0.707*F126</f>
        <v>4.2766402043054619</v>
      </c>
      <c r="G115" s="136"/>
      <c r="I115" s="264"/>
      <c r="J115" s="259"/>
      <c r="K115" s="259"/>
      <c r="L115" s="259"/>
      <c r="M115" s="259">
        <f t="shared" ref="M115:AG115" si="110">1.075*0.707*M126</f>
        <v>2.9936481430138238</v>
      </c>
      <c r="N115" s="106">
        <f t="shared" si="110"/>
        <v>3.4213121634443691</v>
      </c>
      <c r="O115" s="106">
        <f t="shared" si="110"/>
        <v>3.8489761838749152</v>
      </c>
      <c r="P115" s="106">
        <f t="shared" si="110"/>
        <v>4.2766402043054619</v>
      </c>
      <c r="Q115" s="106">
        <f t="shared" si="110"/>
        <v>4.7043042247360081</v>
      </c>
      <c r="R115" s="106">
        <f t="shared" si="110"/>
        <v>5.1319682451665543</v>
      </c>
      <c r="S115" s="106">
        <f t="shared" si="110"/>
        <v>5.5596322655971004</v>
      </c>
      <c r="T115" s="106">
        <f t="shared" si="110"/>
        <v>5.9872962860276475</v>
      </c>
      <c r="U115" s="106">
        <f t="shared" si="110"/>
        <v>6.4149603064581928</v>
      </c>
      <c r="V115" s="106">
        <f t="shared" si="110"/>
        <v>6.8426243268887381</v>
      </c>
      <c r="W115" s="106">
        <f t="shared" si="110"/>
        <v>7.1894919507812851</v>
      </c>
      <c r="X115" s="106">
        <f t="shared" si="110"/>
        <v>7.1894919507812851</v>
      </c>
      <c r="Y115" s="106">
        <f t="shared" si="110"/>
        <v>7.1894919507812851</v>
      </c>
      <c r="Z115" s="106">
        <f t="shared" si="110"/>
        <v>7.1894919507812851</v>
      </c>
      <c r="AA115" s="106">
        <f t="shared" si="110"/>
        <v>7.1894919507812851</v>
      </c>
      <c r="AB115" s="106">
        <f t="shared" si="110"/>
        <v>7.1894919507812851</v>
      </c>
      <c r="AC115" s="106">
        <f t="shared" si="110"/>
        <v>7.1894919507812851</v>
      </c>
      <c r="AD115" s="106">
        <f t="shared" si="110"/>
        <v>7.1894919507812851</v>
      </c>
      <c r="AE115" s="106">
        <f t="shared" si="110"/>
        <v>7.1894919507812851</v>
      </c>
      <c r="AF115" s="106">
        <f t="shared" si="110"/>
        <v>7.1894919507812851</v>
      </c>
      <c r="AG115" s="295">
        <f t="shared" si="110"/>
        <v>7.1894919507812851</v>
      </c>
      <c r="AH115" s="106"/>
      <c r="AI115" s="106"/>
      <c r="AJ115" s="106"/>
      <c r="AK115" s="106"/>
      <c r="AL115" s="106"/>
      <c r="AO115" s="2"/>
      <c r="AP115"/>
      <c r="AQ115" s="13"/>
      <c r="AR115" s="12"/>
      <c r="AS115" s="3"/>
      <c r="AT115" s="3"/>
      <c r="AU115" s="3"/>
      <c r="AV115" s="3"/>
      <c r="AW115"/>
      <c r="AX115"/>
    </row>
    <row r="116" spans="2:50" hidden="1" x14ac:dyDescent="0.25">
      <c r="B116" s="242"/>
      <c r="C116" s="2"/>
      <c r="D116" s="43" t="s">
        <v>73</v>
      </c>
      <c r="E116" s="43"/>
      <c r="F116" s="106">
        <f>1.075*1.225*F124</f>
        <v>4.1315548967481961</v>
      </c>
      <c r="G116" s="136"/>
      <c r="I116" s="264"/>
      <c r="J116" s="259"/>
      <c r="K116" s="259"/>
      <c r="L116" s="259"/>
      <c r="M116" s="259">
        <f t="shared" ref="M116:AG116" si="111">1.075*1.225*M124</f>
        <v>3.4294504937415993</v>
      </c>
      <c r="N116" s="106">
        <f t="shared" si="111"/>
        <v>3.6707471479885658</v>
      </c>
      <c r="O116" s="106">
        <f t="shared" si="111"/>
        <v>3.8988576210504222</v>
      </c>
      <c r="P116" s="106">
        <f t="shared" si="111"/>
        <v>4.1161899514817675</v>
      </c>
      <c r="Q116" s="106">
        <f t="shared" si="111"/>
        <v>4.3245763859861865</v>
      </c>
      <c r="R116" s="106">
        <f t="shared" si="111"/>
        <v>4.5254528440456472</v>
      </c>
      <c r="S116" s="106">
        <f t="shared" si="111"/>
        <v>4.7199721560353858</v>
      </c>
      <c r="T116" s="106">
        <f t="shared" si="111"/>
        <v>4.9090787158166913</v>
      </c>
      <c r="U116" s="106">
        <f t="shared" si="111"/>
        <v>5.0935595059230607</v>
      </c>
      <c r="V116" s="106">
        <f t="shared" si="111"/>
        <v>5.2740800465397957</v>
      </c>
      <c r="W116" s="106">
        <f t="shared" si="111"/>
        <v>5.4512103849988662</v>
      </c>
      <c r="X116" s="106">
        <f t="shared" si="111"/>
        <v>5.6254443078982215</v>
      </c>
      <c r="Y116" s="106">
        <f t="shared" si="111"/>
        <v>5.7972138213973414</v>
      </c>
      <c r="Z116" s="106">
        <f t="shared" si="111"/>
        <v>5.9669002529330051</v>
      </c>
      <c r="AA116" s="106">
        <f t="shared" si="111"/>
        <v>6.1348428924127241</v>
      </c>
      <c r="AB116" s="106">
        <f t="shared" si="111"/>
        <v>6.3013458097148236</v>
      </c>
      <c r="AC116" s="106">
        <f t="shared" si="111"/>
        <v>6.4666832990815539</v>
      </c>
      <c r="AD116" s="106">
        <f t="shared" si="111"/>
        <v>6.6311042749277007</v>
      </c>
      <c r="AE116" s="106">
        <f t="shared" si="111"/>
        <v>6.7948358565657525</v>
      </c>
      <c r="AF116" s="106">
        <f t="shared" si="111"/>
        <v>6.9580863182035442</v>
      </c>
      <c r="AG116" s="295">
        <f t="shared" si="111"/>
        <v>7.1210475369099777</v>
      </c>
      <c r="AH116" s="106"/>
      <c r="AI116" s="106"/>
      <c r="AJ116" s="106"/>
      <c r="AK116" s="106"/>
      <c r="AL116" s="106"/>
      <c r="AO116" s="2"/>
      <c r="AP116"/>
      <c r="AQ116" s="13"/>
      <c r="AR116" s="12"/>
      <c r="AS116" s="3"/>
      <c r="AT116" s="3"/>
      <c r="AU116" s="3"/>
      <c r="AV116" s="3"/>
      <c r="AW116"/>
      <c r="AX116"/>
    </row>
    <row r="117" spans="2:50" hidden="1" x14ac:dyDescent="0.25">
      <c r="B117" s="242"/>
      <c r="C117" s="2"/>
      <c r="D117" s="43" t="s">
        <v>74</v>
      </c>
      <c r="E117" s="43"/>
      <c r="F117" s="106">
        <f>1.075*1.225*F125</f>
        <v>7.9953679719619997</v>
      </c>
      <c r="G117" s="136"/>
      <c r="I117" s="264"/>
      <c r="J117" s="259"/>
      <c r="K117" s="259"/>
      <c r="L117" s="259"/>
      <c r="M117" s="259">
        <f t="shared" ref="M117:AG117" si="112">1.075*1.225*M125</f>
        <v>6.3684256314098331</v>
      </c>
      <c r="N117" s="106">
        <f t="shared" si="112"/>
        <v>6.9086625097838619</v>
      </c>
      <c r="O117" s="106">
        <f t="shared" si="112"/>
        <v>7.4490444097927586</v>
      </c>
      <c r="P117" s="106">
        <f t="shared" si="112"/>
        <v>7.9953679719619997</v>
      </c>
      <c r="Q117" s="106">
        <f t="shared" si="112"/>
        <v>8.5523295245473605</v>
      </c>
      <c r="R117" s="106">
        <f t="shared" si="112"/>
        <v>9.1238550514737753</v>
      </c>
      <c r="S117" s="106">
        <f t="shared" si="112"/>
        <v>9.713310049758455</v>
      </c>
      <c r="T117" s="106">
        <f t="shared" si="112"/>
        <v>10.323639080609965</v>
      </c>
      <c r="U117" s="106">
        <f t="shared" si="112"/>
        <v>10.957462049945656</v>
      </c>
      <c r="V117" s="106">
        <f t="shared" si="112"/>
        <v>11.617142726420983</v>
      </c>
      <c r="W117" s="106">
        <f t="shared" si="112"/>
        <v>12.304838810467553</v>
      </c>
      <c r="X117" s="106">
        <f t="shared" si="112"/>
        <v>13.02253936926447</v>
      </c>
      <c r="Y117" s="106">
        <f t="shared" si="112"/>
        <v>13.772093391386717</v>
      </c>
      <c r="Z117" s="106">
        <f t="shared" si="112"/>
        <v>14.555231955557977</v>
      </c>
      <c r="AA117" s="106">
        <f t="shared" si="112"/>
        <v>15.373585713783056</v>
      </c>
      <c r="AB117" s="106">
        <f t="shared" si="112"/>
        <v>16.228698874188972</v>
      </c>
      <c r="AC117" s="106">
        <f t="shared" si="112"/>
        <v>17.122040526659216</v>
      </c>
      <c r="AD117" s="106">
        <f t="shared" si="112"/>
        <v>18.055013921814492</v>
      </c>
      <c r="AE117" s="106">
        <f t="shared" si="112"/>
        <v>19.028964152742656</v>
      </c>
      <c r="AF117" s="106">
        <f t="shared" si="112"/>
        <v>20.045184575182169</v>
      </c>
      <c r="AG117" s="295">
        <f t="shared" si="112"/>
        <v>21.104922220327104</v>
      </c>
      <c r="AH117" s="106"/>
      <c r="AI117" s="106"/>
      <c r="AJ117" s="106"/>
      <c r="AK117" s="106"/>
      <c r="AL117" s="106"/>
      <c r="AO117" s="2"/>
      <c r="AP117"/>
      <c r="AQ117" s="13"/>
      <c r="AR117" s="12"/>
      <c r="AS117" s="3"/>
      <c r="AT117" s="3"/>
      <c r="AU117" s="3"/>
      <c r="AV117" s="3"/>
      <c r="AW117"/>
      <c r="AX117"/>
    </row>
    <row r="118" spans="2:50" hidden="1" x14ac:dyDescent="0.25">
      <c r="B118" s="242"/>
      <c r="C118" s="2"/>
      <c r="D118" s="43" t="s">
        <v>80</v>
      </c>
      <c r="E118" s="43"/>
      <c r="F118" s="106">
        <f>1.075*1.225*F126</f>
        <v>7.4100201559748111</v>
      </c>
      <c r="G118" s="136"/>
      <c r="I118" s="264"/>
      <c r="J118" s="259"/>
      <c r="K118" s="259"/>
      <c r="L118" s="259"/>
      <c r="M118" s="259">
        <f t="shared" ref="M118:AG118" si="113">1.075*1.225*M126</f>
        <v>5.1870141091823676</v>
      </c>
      <c r="N118" s="106">
        <f t="shared" si="113"/>
        <v>5.9280161247798482</v>
      </c>
      <c r="O118" s="106">
        <f t="shared" si="113"/>
        <v>6.6690181403773288</v>
      </c>
      <c r="P118" s="106">
        <f t="shared" si="113"/>
        <v>7.4100201559748111</v>
      </c>
      <c r="Q118" s="106">
        <f t="shared" si="113"/>
        <v>8.1510221715722917</v>
      </c>
      <c r="R118" s="106">
        <f t="shared" si="113"/>
        <v>8.8920241871697723</v>
      </c>
      <c r="S118" s="106">
        <f t="shared" si="113"/>
        <v>9.6330262027672546</v>
      </c>
      <c r="T118" s="106">
        <f t="shared" si="113"/>
        <v>10.374028218364735</v>
      </c>
      <c r="U118" s="106">
        <f t="shared" si="113"/>
        <v>11.115030233962216</v>
      </c>
      <c r="V118" s="106">
        <f t="shared" si="113"/>
        <v>11.856032249559696</v>
      </c>
      <c r="W118" s="106">
        <f t="shared" si="113"/>
        <v>12.457040508779455</v>
      </c>
      <c r="X118" s="106">
        <f t="shared" si="113"/>
        <v>12.457040508779455</v>
      </c>
      <c r="Y118" s="106">
        <f t="shared" si="113"/>
        <v>12.457040508779455</v>
      </c>
      <c r="Z118" s="106">
        <f t="shared" si="113"/>
        <v>12.457040508779455</v>
      </c>
      <c r="AA118" s="106">
        <f t="shared" si="113"/>
        <v>12.457040508779455</v>
      </c>
      <c r="AB118" s="106">
        <f t="shared" si="113"/>
        <v>12.457040508779455</v>
      </c>
      <c r="AC118" s="106">
        <f t="shared" si="113"/>
        <v>12.457040508779455</v>
      </c>
      <c r="AD118" s="106">
        <f t="shared" si="113"/>
        <v>12.457040508779455</v>
      </c>
      <c r="AE118" s="106">
        <f t="shared" si="113"/>
        <v>12.457040508779455</v>
      </c>
      <c r="AF118" s="106">
        <f t="shared" si="113"/>
        <v>12.457040508779455</v>
      </c>
      <c r="AG118" s="295">
        <f t="shared" si="113"/>
        <v>12.457040508779455</v>
      </c>
      <c r="AH118" s="106"/>
      <c r="AI118" s="106"/>
      <c r="AJ118" s="106"/>
      <c r="AK118" s="106"/>
      <c r="AL118" s="106"/>
      <c r="AO118" s="2"/>
      <c r="AP118"/>
      <c r="AQ118" s="13"/>
      <c r="AR118" s="12"/>
      <c r="AS118" s="3"/>
      <c r="AT118" s="3"/>
      <c r="AU118" s="3"/>
      <c r="AV118" s="3"/>
      <c r="AW118"/>
      <c r="AX118"/>
    </row>
    <row r="119" spans="2:50" ht="13.9" customHeight="1" thickBot="1" x14ac:dyDescent="0.3">
      <c r="B119" s="151"/>
      <c r="C119" s="289"/>
      <c r="D119" s="145" t="s">
        <v>93</v>
      </c>
      <c r="E119" s="145"/>
      <c r="F119" s="283">
        <f>2+(F$16/$C$16*$F$10/$F$8^3)</f>
        <v>2.3890154200184459</v>
      </c>
      <c r="G119" s="214" t="s">
        <v>32</v>
      </c>
      <c r="I119" s="290"/>
      <c r="J119" s="291"/>
      <c r="K119" s="291"/>
      <c r="L119" s="291"/>
      <c r="M119" s="297">
        <f t="shared" ref="M119:AG119" si="114">2+(M$16/$C$16*$F$10/$F$8^3)</f>
        <v>2.2723107940129119</v>
      </c>
      <c r="N119" s="285">
        <f t="shared" si="114"/>
        <v>2.3112123360147567</v>
      </c>
      <c r="O119" s="285">
        <f t="shared" si="114"/>
        <v>2.3501138780166011</v>
      </c>
      <c r="P119" s="285">
        <f t="shared" si="114"/>
        <v>2.3890154200184459</v>
      </c>
      <c r="Q119" s="285">
        <f t="shared" si="114"/>
        <v>2.4279169620202903</v>
      </c>
      <c r="R119" s="285">
        <f t="shared" si="114"/>
        <v>2.4668185040221351</v>
      </c>
      <c r="S119" s="285">
        <f t="shared" si="114"/>
        <v>2.5057200460239795</v>
      </c>
      <c r="T119" s="285">
        <f t="shared" si="114"/>
        <v>2.5446215880258243</v>
      </c>
      <c r="U119" s="285">
        <f t="shared" si="114"/>
        <v>2.5835231300276686</v>
      </c>
      <c r="V119" s="285">
        <f t="shared" si="114"/>
        <v>2.6224246720295135</v>
      </c>
      <c r="W119" s="285">
        <f t="shared" si="114"/>
        <v>2.6613262140313578</v>
      </c>
      <c r="X119" s="285">
        <f t="shared" si="114"/>
        <v>2.7002277560332022</v>
      </c>
      <c r="Y119" s="285">
        <f t="shared" si="114"/>
        <v>2.739129298035047</v>
      </c>
      <c r="Z119" s="285">
        <f t="shared" si="114"/>
        <v>2.7780308400368918</v>
      </c>
      <c r="AA119" s="285">
        <f t="shared" si="114"/>
        <v>2.8169323820387362</v>
      </c>
      <c r="AB119" s="285">
        <f t="shared" si="114"/>
        <v>2.8558339240405806</v>
      </c>
      <c r="AC119" s="285">
        <f t="shared" si="114"/>
        <v>2.8947354660424254</v>
      </c>
      <c r="AD119" s="285">
        <f t="shared" si="114"/>
        <v>2.9336370080442702</v>
      </c>
      <c r="AE119" s="285">
        <f t="shared" si="114"/>
        <v>2.9725385500461146</v>
      </c>
      <c r="AF119" s="285">
        <f t="shared" si="114"/>
        <v>3.0114400920479589</v>
      </c>
      <c r="AG119" s="296">
        <f t="shared" si="114"/>
        <v>3.0503416340498037</v>
      </c>
      <c r="AH119" s="93"/>
      <c r="AI119" s="93"/>
      <c r="AJ119" s="93"/>
      <c r="AK119" s="93"/>
      <c r="AL119" s="93"/>
      <c r="AO119" s="2"/>
      <c r="AP119"/>
      <c r="AQ119" s="13"/>
      <c r="AR119" s="12"/>
      <c r="AS119" s="3"/>
      <c r="AT119" s="3"/>
      <c r="AU119" s="3"/>
      <c r="AV119" s="3"/>
      <c r="AW119"/>
      <c r="AX119"/>
    </row>
    <row r="120" spans="2:50" x14ac:dyDescent="0.25">
      <c r="B120" s="140"/>
      <c r="C120" s="243"/>
      <c r="D120" s="132" t="s">
        <v>56</v>
      </c>
      <c r="E120" s="132"/>
      <c r="F120" s="220">
        <f>F113</f>
        <v>2.3844973975518156</v>
      </c>
      <c r="G120" s="136" t="s">
        <v>32</v>
      </c>
      <c r="I120" s="15"/>
      <c r="J120"/>
      <c r="K120"/>
      <c r="L120"/>
      <c r="M120" s="195">
        <f t="shared" ref="M120:AG120" si="115">M113</f>
        <v>1.9792828563880085</v>
      </c>
      <c r="N120" s="184">
        <f t="shared" si="115"/>
        <v>2.1185454968391149</v>
      </c>
      <c r="O120" s="184">
        <f t="shared" si="115"/>
        <v>2.2501978270062435</v>
      </c>
      <c r="P120" s="184">
        <f t="shared" si="115"/>
        <v>2.3756296291409056</v>
      </c>
      <c r="Q120" s="184">
        <f t="shared" si="115"/>
        <v>2.4958983713405991</v>
      </c>
      <c r="R120" s="184">
        <f t="shared" si="115"/>
        <v>2.6118327842777735</v>
      </c>
      <c r="S120" s="184">
        <f t="shared" si="115"/>
        <v>2.7240982157689939</v>
      </c>
      <c r="T120" s="184">
        <f t="shared" si="115"/>
        <v>2.8332397159856328</v>
      </c>
      <c r="U120" s="184">
        <f t="shared" si="115"/>
        <v>2.9397114862755944</v>
      </c>
      <c r="V120" s="184">
        <f t="shared" si="115"/>
        <v>3.0438976268601103</v>
      </c>
      <c r="W120" s="184">
        <f t="shared" si="115"/>
        <v>3.1461271364850596</v>
      </c>
      <c r="X120" s="184">
        <f t="shared" si="115"/>
        <v>3.2466850005584016</v>
      </c>
      <c r="Y120" s="184">
        <f t="shared" si="115"/>
        <v>3.3458205483493226</v>
      </c>
      <c r="Z120" s="184">
        <f t="shared" si="115"/>
        <v>3.4437538602641911</v>
      </c>
      <c r="AA120" s="184">
        <f t="shared" si="115"/>
        <v>3.5406807550496291</v>
      </c>
      <c r="AB120" s="184">
        <f t="shared" si="115"/>
        <v>3.6367767244639837</v>
      </c>
      <c r="AC120" s="184">
        <f t="shared" si="115"/>
        <v>3.7322000754699252</v>
      </c>
      <c r="AD120" s="184">
        <f t="shared" si="115"/>
        <v>3.8270944672439873</v>
      </c>
      <c r="AE120" s="184">
        <f t="shared" si="115"/>
        <v>3.9215909800750914</v>
      </c>
      <c r="AF120" s="184">
        <f t="shared" si="115"/>
        <v>4.0158098179346169</v>
      </c>
      <c r="AG120" s="200">
        <f t="shared" si="115"/>
        <v>4.1098617213023294</v>
      </c>
      <c r="AH120" s="15"/>
      <c r="AI120"/>
      <c r="AJ120"/>
      <c r="AK120"/>
      <c r="AR120"/>
      <c r="AS120"/>
      <c r="AT120"/>
      <c r="AU120"/>
      <c r="AV120"/>
      <c r="AW120"/>
      <c r="AX120" s="3"/>
    </row>
    <row r="121" spans="2:50" x14ac:dyDescent="0.25">
      <c r="B121" s="140"/>
      <c r="C121" s="247" t="s">
        <v>65</v>
      </c>
      <c r="D121" s="253" t="s">
        <v>57</v>
      </c>
      <c r="E121" s="253"/>
      <c r="F121" s="221">
        <f>IF(F114&lt;F115,F114,F115)</f>
        <v>4.2766402043054619</v>
      </c>
      <c r="G121" s="216" t="s">
        <v>32</v>
      </c>
      <c r="I121" s="15"/>
      <c r="J121"/>
      <c r="K121"/>
      <c r="L121"/>
      <c r="M121" s="190">
        <f t="shared" ref="M121:AG121" si="116">IF(M114&lt;M115,M114,M115)</f>
        <v>2.9936481430138238</v>
      </c>
      <c r="N121" s="179">
        <f t="shared" si="116"/>
        <v>3.4213121634443691</v>
      </c>
      <c r="O121" s="179">
        <f t="shared" si="116"/>
        <v>3.8489761838749152</v>
      </c>
      <c r="P121" s="179">
        <f t="shared" si="116"/>
        <v>4.2766402043054619</v>
      </c>
      <c r="Q121" s="179">
        <f t="shared" si="116"/>
        <v>4.7043042247360081</v>
      </c>
      <c r="R121" s="179">
        <f t="shared" si="116"/>
        <v>5.1319682451665543</v>
      </c>
      <c r="S121" s="179">
        <f t="shared" si="116"/>
        <v>5.5596322655971004</v>
      </c>
      <c r="T121" s="179">
        <f t="shared" si="116"/>
        <v>5.9582145550948935</v>
      </c>
      <c r="U121" s="179">
        <f t="shared" si="116"/>
        <v>6.3240209545400639</v>
      </c>
      <c r="V121" s="179">
        <f t="shared" si="116"/>
        <v>6.7047509449629663</v>
      </c>
      <c r="W121" s="179">
        <f t="shared" si="116"/>
        <v>7.1016498277555584</v>
      </c>
      <c r="X121" s="179">
        <f t="shared" si="116"/>
        <v>7.1894919507812851</v>
      </c>
      <c r="Y121" s="179">
        <f t="shared" si="116"/>
        <v>7.1894919507812851</v>
      </c>
      <c r="Z121" s="179">
        <f t="shared" si="116"/>
        <v>7.1894919507812851</v>
      </c>
      <c r="AA121" s="179">
        <f t="shared" si="116"/>
        <v>7.1894919507812851</v>
      </c>
      <c r="AB121" s="179">
        <f t="shared" si="116"/>
        <v>7.1894919507812851</v>
      </c>
      <c r="AC121" s="179">
        <f t="shared" si="116"/>
        <v>7.1894919507812851</v>
      </c>
      <c r="AD121" s="179">
        <f t="shared" si="116"/>
        <v>7.1894919507812851</v>
      </c>
      <c r="AE121" s="179">
        <f t="shared" si="116"/>
        <v>7.1894919507812851</v>
      </c>
      <c r="AF121" s="179">
        <f t="shared" si="116"/>
        <v>7.1894919507812851</v>
      </c>
      <c r="AG121" s="197">
        <f t="shared" si="116"/>
        <v>7.1894919507812851</v>
      </c>
      <c r="AH121" s="15"/>
      <c r="AI121"/>
      <c r="AJ121"/>
      <c r="AK121"/>
      <c r="AR121"/>
      <c r="AS121"/>
      <c r="AT121"/>
      <c r="AU121"/>
      <c r="AV121"/>
      <c r="AW121"/>
      <c r="AX121" s="3"/>
    </row>
    <row r="122" spans="2:50" x14ac:dyDescent="0.25">
      <c r="B122" s="140"/>
      <c r="C122" s="243" t="s">
        <v>66</v>
      </c>
      <c r="D122" s="252" t="s">
        <v>60</v>
      </c>
      <c r="E122" s="252"/>
      <c r="F122" s="222">
        <f>F116</f>
        <v>4.1315548967481961</v>
      </c>
      <c r="G122" s="217" t="s">
        <v>32</v>
      </c>
      <c r="I122" s="15"/>
      <c r="J122"/>
      <c r="K122"/>
      <c r="L122"/>
      <c r="M122" s="191">
        <f t="shared" ref="M122:AG122" si="117">M116</f>
        <v>3.4294504937415993</v>
      </c>
      <c r="N122" s="182">
        <f t="shared" si="117"/>
        <v>3.6707471479885658</v>
      </c>
      <c r="O122" s="182">
        <f t="shared" si="117"/>
        <v>3.8988576210504222</v>
      </c>
      <c r="P122" s="182">
        <f t="shared" si="117"/>
        <v>4.1161899514817675</v>
      </c>
      <c r="Q122" s="182">
        <f t="shared" si="117"/>
        <v>4.3245763859861865</v>
      </c>
      <c r="R122" s="182">
        <f t="shared" si="117"/>
        <v>4.5254528440456472</v>
      </c>
      <c r="S122" s="182">
        <f t="shared" si="117"/>
        <v>4.7199721560353858</v>
      </c>
      <c r="T122" s="182">
        <f t="shared" si="117"/>
        <v>4.9090787158166913</v>
      </c>
      <c r="U122" s="182">
        <f t="shared" si="117"/>
        <v>5.0935595059230607</v>
      </c>
      <c r="V122" s="182">
        <f t="shared" si="117"/>
        <v>5.2740800465397957</v>
      </c>
      <c r="W122" s="182">
        <f t="shared" si="117"/>
        <v>5.4512103849988662</v>
      </c>
      <c r="X122" s="182">
        <f t="shared" si="117"/>
        <v>5.6254443078982215</v>
      </c>
      <c r="Y122" s="182">
        <f t="shared" si="117"/>
        <v>5.7972138213973414</v>
      </c>
      <c r="Z122" s="182">
        <f t="shared" si="117"/>
        <v>5.9669002529330051</v>
      </c>
      <c r="AA122" s="182">
        <f t="shared" si="117"/>
        <v>6.1348428924127241</v>
      </c>
      <c r="AB122" s="182">
        <f t="shared" si="117"/>
        <v>6.3013458097148236</v>
      </c>
      <c r="AC122" s="182">
        <f t="shared" si="117"/>
        <v>6.4666832990815539</v>
      </c>
      <c r="AD122" s="182">
        <f t="shared" si="117"/>
        <v>6.6311042749277007</v>
      </c>
      <c r="AE122" s="182">
        <f t="shared" si="117"/>
        <v>6.7948358565657525</v>
      </c>
      <c r="AF122" s="182">
        <f t="shared" si="117"/>
        <v>6.9580863182035442</v>
      </c>
      <c r="AG122" s="198">
        <f t="shared" si="117"/>
        <v>7.1210475369099777</v>
      </c>
      <c r="AH122" s="15"/>
      <c r="AI122"/>
      <c r="AJ122"/>
      <c r="AK122"/>
      <c r="AS122" s="12"/>
      <c r="AT122" s="12"/>
      <c r="AU122" s="3"/>
      <c r="AV122" s="3"/>
      <c r="AW122" s="3"/>
      <c r="AX122" s="3"/>
    </row>
    <row r="123" spans="2:50" ht="15.75" thickBot="1" x14ac:dyDescent="0.3">
      <c r="B123" s="140"/>
      <c r="C123" s="246"/>
      <c r="D123" s="238" t="s">
        <v>61</v>
      </c>
      <c r="E123" s="238"/>
      <c r="F123" s="223">
        <f t="shared" ref="F123" si="118">IF(F117&lt;F118,F117,F118)</f>
        <v>7.4100201559748111</v>
      </c>
      <c r="G123" s="214" t="s">
        <v>32</v>
      </c>
      <c r="I123" s="204"/>
      <c r="J123" s="135"/>
      <c r="K123" s="135"/>
      <c r="L123" s="135"/>
      <c r="M123" s="192">
        <f t="shared" ref="M123:AG123" si="119">IF(M117&lt;M118,M117,M118)</f>
        <v>5.1870141091823676</v>
      </c>
      <c r="N123" s="193">
        <f t="shared" si="119"/>
        <v>5.9280161247798482</v>
      </c>
      <c r="O123" s="193">
        <f t="shared" si="119"/>
        <v>6.6690181403773288</v>
      </c>
      <c r="P123" s="193">
        <f t="shared" si="119"/>
        <v>7.4100201559748111</v>
      </c>
      <c r="Q123" s="193">
        <f t="shared" si="119"/>
        <v>8.1510221715722917</v>
      </c>
      <c r="R123" s="193">
        <f t="shared" si="119"/>
        <v>8.8920241871697723</v>
      </c>
      <c r="S123" s="193">
        <f t="shared" si="119"/>
        <v>9.6330262027672546</v>
      </c>
      <c r="T123" s="193">
        <f t="shared" si="119"/>
        <v>10.323639080609965</v>
      </c>
      <c r="U123" s="193">
        <f t="shared" si="119"/>
        <v>10.957462049945656</v>
      </c>
      <c r="V123" s="193">
        <f t="shared" si="119"/>
        <v>11.617142726420983</v>
      </c>
      <c r="W123" s="193">
        <f t="shared" si="119"/>
        <v>12.304838810467553</v>
      </c>
      <c r="X123" s="193">
        <f t="shared" si="119"/>
        <v>12.457040508779455</v>
      </c>
      <c r="Y123" s="193">
        <f t="shared" si="119"/>
        <v>12.457040508779455</v>
      </c>
      <c r="Z123" s="193">
        <f t="shared" si="119"/>
        <v>12.457040508779455</v>
      </c>
      <c r="AA123" s="193">
        <f t="shared" si="119"/>
        <v>12.457040508779455</v>
      </c>
      <c r="AB123" s="193">
        <f t="shared" si="119"/>
        <v>12.457040508779455</v>
      </c>
      <c r="AC123" s="193">
        <f t="shared" si="119"/>
        <v>12.457040508779455</v>
      </c>
      <c r="AD123" s="193">
        <f t="shared" si="119"/>
        <v>12.457040508779455</v>
      </c>
      <c r="AE123" s="193">
        <f t="shared" si="119"/>
        <v>12.457040508779455</v>
      </c>
      <c r="AF123" s="193">
        <f t="shared" si="119"/>
        <v>12.457040508779455</v>
      </c>
      <c r="AG123" s="199">
        <f t="shared" si="119"/>
        <v>12.457040508779455</v>
      </c>
      <c r="AH123" s="15"/>
      <c r="AI123"/>
      <c r="AJ123"/>
      <c r="AK123"/>
    </row>
    <row r="124" spans="2:50" hidden="1" x14ac:dyDescent="0.25">
      <c r="B124" s="242"/>
      <c r="C124" s="256"/>
      <c r="D124" s="43" t="s">
        <v>75</v>
      </c>
      <c r="E124" s="43"/>
      <c r="F124" s="370">
        <f>(0.2529+2.7683*10^-4*F110)*SQRT(F$16)/$F$4*$F$5*$F$7/$F$8</f>
        <v>3.1373933719967315</v>
      </c>
      <c r="G124" s="136"/>
      <c r="I124" s="267"/>
      <c r="J124" s="259"/>
      <c r="K124" s="259"/>
      <c r="L124" s="259"/>
      <c r="M124" s="269">
        <f>(0.2529+2.7683*10^-4*M110)*SQRT(M$16)*$F$7/$F$8</f>
        <v>2.6042338822907256</v>
      </c>
      <c r="N124" s="265">
        <f t="shared" ref="N124:AG124" si="120">(0.2529+2.7683*10^-4*N110)*SQRT(N$16)*$F$7/$F$8</f>
        <v>2.7874681712300453</v>
      </c>
      <c r="O124" s="265">
        <f t="shared" si="120"/>
        <v>2.960689223389025</v>
      </c>
      <c r="P124" s="265">
        <f t="shared" si="120"/>
        <v>3.1257256394735777</v>
      </c>
      <c r="Q124" s="265">
        <f t="shared" si="120"/>
        <v>3.2839687791067389</v>
      </c>
      <c r="R124" s="265">
        <f t="shared" si="120"/>
        <v>3.4365090415154418</v>
      </c>
      <c r="S124" s="265">
        <f t="shared" si="120"/>
        <v>3.5842218555560597</v>
      </c>
      <c r="T124" s="265">
        <f t="shared" si="120"/>
        <v>3.7278243689163291</v>
      </c>
      <c r="U124" s="265">
        <f t="shared" si="120"/>
        <v>3.8679141952904113</v>
      </c>
      <c r="V124" s="265">
        <f t="shared" si="120"/>
        <v>4.0049967130819519</v>
      </c>
      <c r="W124" s="265">
        <f t="shared" si="120"/>
        <v>4.139504801138199</v>
      </c>
      <c r="X124" s="265">
        <f t="shared" si="120"/>
        <v>4.2718134279246103</v>
      </c>
      <c r="Y124" s="265">
        <f t="shared" si="120"/>
        <v>4.4022506474778105</v>
      </c>
      <c r="Z124" s="265">
        <f t="shared" si="120"/>
        <v>4.531106029754536</v>
      </c>
      <c r="AA124" s="265">
        <f t="shared" si="120"/>
        <v>4.6586372225250869</v>
      </c>
      <c r="AB124" s="265">
        <f t="shared" si="120"/>
        <v>4.7850751284023341</v>
      </c>
      <c r="AC124" s="265">
        <f t="shared" si="120"/>
        <v>4.9106280391696657</v>
      </c>
      <c r="AD124" s="265">
        <f t="shared" si="120"/>
        <v>5.0354849738416334</v>
      </c>
      <c r="AE124" s="265">
        <f t="shared" si="120"/>
        <v>5.1598184008093044</v>
      </c>
      <c r="AF124" s="265">
        <f t="shared" si="120"/>
        <v>5.2837864779903514</v>
      </c>
      <c r="AG124" s="369">
        <f t="shared" si="120"/>
        <v>5.4075349117493898</v>
      </c>
      <c r="AH124" s="259"/>
      <c r="AI124" s="259"/>
      <c r="AJ124" s="259"/>
      <c r="AK124" s="259"/>
      <c r="AL124" s="259"/>
      <c r="AO124" s="2"/>
      <c r="AP124"/>
      <c r="AQ124" s="13"/>
      <c r="AR124" s="12"/>
      <c r="AS124" s="3"/>
      <c r="AT124" s="3"/>
      <c r="AU124" s="3"/>
      <c r="AV124" s="3"/>
      <c r="AW124"/>
      <c r="AX124"/>
    </row>
    <row r="125" spans="2:50" hidden="1" x14ac:dyDescent="0.25">
      <c r="B125" s="242"/>
      <c r="C125" s="88"/>
      <c r="D125" s="43" t="s">
        <v>76</v>
      </c>
      <c r="E125" s="43"/>
      <c r="F125" s="229">
        <f>(0.675+9.273*10^-3*F110)*SQRT(F$16)*$F$4*$F$6/$F$7*$F$8</f>
        <v>6.0714706953674416</v>
      </c>
      <c r="G125" s="136"/>
      <c r="I125" s="267"/>
      <c r="J125" s="259"/>
      <c r="K125" s="259"/>
      <c r="L125" s="259"/>
      <c r="M125" s="236">
        <f>(0.675+9.273*10^-3*M110)*SQRT(M$16)*$F$4/$F$7*$F$8</f>
        <v>4.8360137685124505</v>
      </c>
      <c r="N125" s="231">
        <f t="shared" ref="N125:AG125" si="121">(0.675+9.273*10^-3*N110)*SQRT(N$16)*$F$4/$F$7*$F$8</f>
        <v>5.246255346774646</v>
      </c>
      <c r="O125" s="231">
        <f t="shared" si="121"/>
        <v>5.6566070506257304</v>
      </c>
      <c r="P125" s="231">
        <f t="shared" si="121"/>
        <v>6.0714706953674416</v>
      </c>
      <c r="Q125" s="231">
        <f t="shared" si="121"/>
        <v>6.4944125483036439</v>
      </c>
      <c r="R125" s="231">
        <f t="shared" si="121"/>
        <v>6.9284138976545036</v>
      </c>
      <c r="S125" s="231">
        <f t="shared" si="121"/>
        <v>7.3760304127259264</v>
      </c>
      <c r="T125" s="231">
        <f t="shared" si="121"/>
        <v>7.8394981153184355</v>
      </c>
      <c r="U125" s="231">
        <f t="shared" si="121"/>
        <v>8.3208064926023013</v>
      </c>
      <c r="V125" s="231">
        <f t="shared" si="121"/>
        <v>8.8217505278944337</v>
      </c>
      <c r="W125" s="231">
        <f t="shared" si="121"/>
        <v>9.3439687217598877</v>
      </c>
      <c r="X125" s="231">
        <f t="shared" si="121"/>
        <v>9.8889715191377086</v>
      </c>
      <c r="Y125" s="231">
        <f t="shared" si="121"/>
        <v>10.458162992984692</v>
      </c>
      <c r="Z125" s="231">
        <f t="shared" si="121"/>
        <v>11.052857678639185</v>
      </c>
      <c r="AA125" s="231">
        <f t="shared" si="121"/>
        <v>11.674293850048832</v>
      </c>
      <c r="AB125" s="231">
        <f t="shared" si="121"/>
        <v>12.323644137969792</v>
      </c>
      <c r="AC125" s="231">
        <f t="shared" si="121"/>
        <v>13.002024130353464</v>
      </c>
      <c r="AD125" s="231">
        <f t="shared" si="121"/>
        <v>13.710499418558703</v>
      </c>
      <c r="AE125" s="231">
        <f t="shared" si="121"/>
        <v>14.450091430654128</v>
      </c>
      <c r="AF125" s="231">
        <f t="shared" si="121"/>
        <v>15.221782306735392</v>
      </c>
      <c r="AG125" s="233">
        <f t="shared" si="121"/>
        <v>16.026519009265954</v>
      </c>
      <c r="AH125" s="106"/>
      <c r="AI125" s="106"/>
      <c r="AJ125" s="106"/>
      <c r="AK125" s="106"/>
      <c r="AL125" s="106"/>
      <c r="AO125" s="2"/>
      <c r="AP125"/>
      <c r="AQ125" s="13"/>
      <c r="AR125" s="12"/>
      <c r="AS125" s="3"/>
      <c r="AT125" s="3"/>
      <c r="AU125" s="3"/>
      <c r="AV125" s="3"/>
      <c r="AW125"/>
      <c r="AX125"/>
    </row>
    <row r="126" spans="2:50" ht="15.75" hidden="1" thickBot="1" x14ac:dyDescent="0.3">
      <c r="B126" s="242"/>
      <c r="C126" s="282"/>
      <c r="D126" s="43" t="s">
        <v>77</v>
      </c>
      <c r="E126" s="43"/>
      <c r="F126" s="219">
        <f>IF(($F$3*(F$16*10^-3)/SQRT($C$16*10^-3*$B$128*10^-3)*$F$4/$F$6^2*$F$8)&lt;(4*$F$13*$F$8),($F$3*(F$16*10^-3)/SQRT($C$16*10^-3*$B$128*10^-3)*$F$4/$F$6^2*$F$8),(4*$F$13*$F$8))</f>
        <v>5.6269730657616028</v>
      </c>
      <c r="G126" s="136"/>
      <c r="I126" s="267"/>
      <c r="J126" s="259"/>
      <c r="K126" s="259"/>
      <c r="L126" s="259"/>
      <c r="M126" s="208">
        <f t="shared" ref="M126:AG126" si="122">IF(($F$3*(M$16*10^-3)/SQRT($C$16*10^-3*$B$128*10^-3)*$F$4/$F$6^2*$F$8)&lt;(4*$F$13*$F$8),($F$3*(M$16*10^-3)/SQRT($C$16*10^-3*$B$128*10^-3)*$F$4/$F$6^2*$F$8),(4*$F$13*$F$8))</f>
        <v>3.9388811460331223</v>
      </c>
      <c r="N126" s="209">
        <f t="shared" si="122"/>
        <v>4.5015784526092819</v>
      </c>
      <c r="O126" s="209">
        <f t="shared" si="122"/>
        <v>5.0642757591854419</v>
      </c>
      <c r="P126" s="209">
        <f t="shared" si="122"/>
        <v>5.6269730657616028</v>
      </c>
      <c r="Q126" s="209">
        <f t="shared" si="122"/>
        <v>6.1896703723377628</v>
      </c>
      <c r="R126" s="209">
        <f t="shared" si="122"/>
        <v>6.7523676789139229</v>
      </c>
      <c r="S126" s="209">
        <f t="shared" si="122"/>
        <v>7.3150649854900838</v>
      </c>
      <c r="T126" s="209">
        <f t="shared" si="122"/>
        <v>7.8777622920662447</v>
      </c>
      <c r="U126" s="209">
        <f t="shared" si="122"/>
        <v>8.4404595986424038</v>
      </c>
      <c r="V126" s="209">
        <f t="shared" si="122"/>
        <v>9.0031569052185638</v>
      </c>
      <c r="W126" s="209">
        <f t="shared" si="122"/>
        <v>9.4595466606773275</v>
      </c>
      <c r="X126" s="209">
        <f t="shared" si="122"/>
        <v>9.4595466606773275</v>
      </c>
      <c r="Y126" s="209">
        <f t="shared" si="122"/>
        <v>9.4595466606773275</v>
      </c>
      <c r="Z126" s="209">
        <f t="shared" si="122"/>
        <v>9.4595466606773275</v>
      </c>
      <c r="AA126" s="209">
        <f t="shared" si="122"/>
        <v>9.4595466606773275</v>
      </c>
      <c r="AB126" s="209">
        <f t="shared" si="122"/>
        <v>9.4595466606773275</v>
      </c>
      <c r="AC126" s="209">
        <f t="shared" si="122"/>
        <v>9.4595466606773275</v>
      </c>
      <c r="AD126" s="209">
        <f t="shared" si="122"/>
        <v>9.4595466606773275</v>
      </c>
      <c r="AE126" s="209">
        <f t="shared" si="122"/>
        <v>9.4595466606773275</v>
      </c>
      <c r="AF126" s="209">
        <f t="shared" si="122"/>
        <v>9.4595466606773275</v>
      </c>
      <c r="AG126" s="213">
        <f t="shared" si="122"/>
        <v>9.4595466606773275</v>
      </c>
      <c r="AH126" s="106"/>
      <c r="AI126" s="106"/>
      <c r="AJ126" s="106"/>
      <c r="AK126" s="106"/>
      <c r="AL126" s="106"/>
      <c r="AO126" s="2"/>
      <c r="AP126"/>
      <c r="AQ126" s="13"/>
      <c r="AR126" s="12"/>
      <c r="AS126" s="3"/>
      <c r="AT126" s="3"/>
      <c r="AU126" s="3"/>
      <c r="AV126" s="3"/>
      <c r="AW126"/>
      <c r="AX126"/>
    </row>
    <row r="127" spans="2:50" x14ac:dyDescent="0.25">
      <c r="B127" s="140"/>
      <c r="C127" s="245"/>
      <c r="D127" s="239" t="s">
        <v>56</v>
      </c>
      <c r="E127" s="239"/>
      <c r="F127" s="220">
        <f>F124</f>
        <v>3.1373933719967315</v>
      </c>
      <c r="G127" s="215" t="s">
        <v>32</v>
      </c>
      <c r="I127" s="15"/>
      <c r="J127"/>
      <c r="K127"/>
      <c r="L127"/>
      <c r="M127" s="195">
        <f t="shared" ref="M127:AG127" si="123">M124</f>
        <v>2.6042338822907256</v>
      </c>
      <c r="N127" s="184">
        <f t="shared" si="123"/>
        <v>2.7874681712300453</v>
      </c>
      <c r="O127" s="184">
        <f t="shared" si="123"/>
        <v>2.960689223389025</v>
      </c>
      <c r="P127" s="184">
        <f t="shared" si="123"/>
        <v>3.1257256394735777</v>
      </c>
      <c r="Q127" s="184">
        <f t="shared" si="123"/>
        <v>3.2839687791067389</v>
      </c>
      <c r="R127" s="184">
        <f t="shared" si="123"/>
        <v>3.4365090415154418</v>
      </c>
      <c r="S127" s="184">
        <f t="shared" si="123"/>
        <v>3.5842218555560597</v>
      </c>
      <c r="T127" s="184">
        <f t="shared" si="123"/>
        <v>3.7278243689163291</v>
      </c>
      <c r="U127" s="184">
        <f t="shared" si="123"/>
        <v>3.8679141952904113</v>
      </c>
      <c r="V127" s="184">
        <f t="shared" si="123"/>
        <v>4.0049967130819519</v>
      </c>
      <c r="W127" s="184">
        <f t="shared" si="123"/>
        <v>4.139504801138199</v>
      </c>
      <c r="X127" s="184">
        <f t="shared" si="123"/>
        <v>4.2718134279246103</v>
      </c>
      <c r="Y127" s="184">
        <f t="shared" si="123"/>
        <v>4.4022506474778105</v>
      </c>
      <c r="Z127" s="184">
        <f t="shared" si="123"/>
        <v>4.531106029754536</v>
      </c>
      <c r="AA127" s="184">
        <f t="shared" si="123"/>
        <v>4.6586372225250869</v>
      </c>
      <c r="AB127" s="184">
        <f t="shared" si="123"/>
        <v>4.7850751284023341</v>
      </c>
      <c r="AC127" s="184">
        <f t="shared" si="123"/>
        <v>4.9106280391696657</v>
      </c>
      <c r="AD127" s="184">
        <f t="shared" si="123"/>
        <v>5.0354849738416334</v>
      </c>
      <c r="AE127" s="184">
        <f t="shared" si="123"/>
        <v>5.1598184008093044</v>
      </c>
      <c r="AF127" s="184">
        <f t="shared" si="123"/>
        <v>5.2837864779903514</v>
      </c>
      <c r="AG127" s="200">
        <f t="shared" si="123"/>
        <v>5.4075349117493898</v>
      </c>
      <c r="AH127" s="15"/>
      <c r="AI127"/>
      <c r="AJ127"/>
      <c r="AK127"/>
      <c r="AS127"/>
      <c r="AT127" s="12"/>
      <c r="AU127" s="3"/>
      <c r="AV127" s="3"/>
      <c r="AW127" s="3"/>
      <c r="AX127" s="3"/>
    </row>
    <row r="128" spans="2:50" x14ac:dyDescent="0.25">
      <c r="B128" s="254">
        <v>216</v>
      </c>
      <c r="C128" s="244" t="s">
        <v>58</v>
      </c>
      <c r="D128" s="253" t="s">
        <v>57</v>
      </c>
      <c r="E128" s="253"/>
      <c r="F128" s="221">
        <f t="shared" ref="F128" si="124">IF(F125&lt;F126,F125,F126)</f>
        <v>5.6269730657616028</v>
      </c>
      <c r="G128" s="216" t="s">
        <v>32</v>
      </c>
      <c r="I128" s="15"/>
      <c r="J128"/>
      <c r="K128"/>
      <c r="L128"/>
      <c r="M128" s="190">
        <f t="shared" ref="M128:AG128" si="125">IF(M125&lt;M126,M125,M126)</f>
        <v>3.9388811460331223</v>
      </c>
      <c r="N128" s="179">
        <f t="shared" si="125"/>
        <v>4.5015784526092819</v>
      </c>
      <c r="O128" s="179">
        <f t="shared" si="125"/>
        <v>5.0642757591854419</v>
      </c>
      <c r="P128" s="179">
        <f t="shared" si="125"/>
        <v>5.6269730657616028</v>
      </c>
      <c r="Q128" s="179">
        <f t="shared" si="125"/>
        <v>6.1896703723377628</v>
      </c>
      <c r="R128" s="179">
        <f t="shared" si="125"/>
        <v>6.7523676789139229</v>
      </c>
      <c r="S128" s="179">
        <f t="shared" si="125"/>
        <v>7.3150649854900838</v>
      </c>
      <c r="T128" s="179">
        <f t="shared" si="125"/>
        <v>7.8394981153184355</v>
      </c>
      <c r="U128" s="179">
        <f t="shared" si="125"/>
        <v>8.3208064926023013</v>
      </c>
      <c r="V128" s="179">
        <f t="shared" si="125"/>
        <v>8.8217505278944337</v>
      </c>
      <c r="W128" s="179">
        <f t="shared" si="125"/>
        <v>9.3439687217598877</v>
      </c>
      <c r="X128" s="179">
        <f t="shared" si="125"/>
        <v>9.4595466606773275</v>
      </c>
      <c r="Y128" s="179">
        <f t="shared" si="125"/>
        <v>9.4595466606773275</v>
      </c>
      <c r="Z128" s="179">
        <f t="shared" si="125"/>
        <v>9.4595466606773275</v>
      </c>
      <c r="AA128" s="179">
        <f t="shared" si="125"/>
        <v>9.4595466606773275</v>
      </c>
      <c r="AB128" s="179">
        <f t="shared" si="125"/>
        <v>9.4595466606773275</v>
      </c>
      <c r="AC128" s="179">
        <f t="shared" si="125"/>
        <v>9.4595466606773275</v>
      </c>
      <c r="AD128" s="179">
        <f t="shared" si="125"/>
        <v>9.4595466606773275</v>
      </c>
      <c r="AE128" s="179">
        <f t="shared" si="125"/>
        <v>9.4595466606773275</v>
      </c>
      <c r="AF128" s="179">
        <f t="shared" si="125"/>
        <v>9.4595466606773275</v>
      </c>
      <c r="AG128" s="197">
        <f t="shared" si="125"/>
        <v>9.4595466606773275</v>
      </c>
      <c r="AH128" s="15"/>
      <c r="AI128"/>
      <c r="AJ128"/>
      <c r="AK128"/>
    </row>
    <row r="129" spans="2:50" x14ac:dyDescent="0.25">
      <c r="B129" s="254" t="s">
        <v>45</v>
      </c>
      <c r="C129" s="243" t="s">
        <v>59</v>
      </c>
      <c r="D129" s="252" t="s">
        <v>60</v>
      </c>
      <c r="E129" s="252"/>
      <c r="F129" s="222">
        <f>F124</f>
        <v>3.1373933719967315</v>
      </c>
      <c r="G129" s="217" t="s">
        <v>32</v>
      </c>
      <c r="I129" s="15"/>
      <c r="J129"/>
      <c r="K129"/>
      <c r="L129"/>
      <c r="M129" s="191">
        <f t="shared" ref="M129:AG129" si="126">M124</f>
        <v>2.6042338822907256</v>
      </c>
      <c r="N129" s="182">
        <f t="shared" si="126"/>
        <v>2.7874681712300453</v>
      </c>
      <c r="O129" s="182">
        <f t="shared" si="126"/>
        <v>2.960689223389025</v>
      </c>
      <c r="P129" s="182">
        <f t="shared" si="126"/>
        <v>3.1257256394735777</v>
      </c>
      <c r="Q129" s="182">
        <f t="shared" si="126"/>
        <v>3.2839687791067389</v>
      </c>
      <c r="R129" s="182">
        <f t="shared" si="126"/>
        <v>3.4365090415154418</v>
      </c>
      <c r="S129" s="182">
        <f t="shared" si="126"/>
        <v>3.5842218555560597</v>
      </c>
      <c r="T129" s="182">
        <f t="shared" si="126"/>
        <v>3.7278243689163291</v>
      </c>
      <c r="U129" s="182">
        <f t="shared" si="126"/>
        <v>3.8679141952904113</v>
      </c>
      <c r="V129" s="182">
        <f t="shared" si="126"/>
        <v>4.0049967130819519</v>
      </c>
      <c r="W129" s="182">
        <f t="shared" si="126"/>
        <v>4.139504801138199</v>
      </c>
      <c r="X129" s="182">
        <f t="shared" si="126"/>
        <v>4.2718134279246103</v>
      </c>
      <c r="Y129" s="182">
        <f t="shared" si="126"/>
        <v>4.4022506474778105</v>
      </c>
      <c r="Z129" s="182">
        <f t="shared" si="126"/>
        <v>4.531106029754536</v>
      </c>
      <c r="AA129" s="182">
        <f t="shared" si="126"/>
        <v>4.6586372225250869</v>
      </c>
      <c r="AB129" s="182">
        <f t="shared" si="126"/>
        <v>4.7850751284023341</v>
      </c>
      <c r="AC129" s="182">
        <f t="shared" si="126"/>
        <v>4.9106280391696657</v>
      </c>
      <c r="AD129" s="182">
        <f t="shared" si="126"/>
        <v>5.0354849738416334</v>
      </c>
      <c r="AE129" s="182">
        <f t="shared" si="126"/>
        <v>5.1598184008093044</v>
      </c>
      <c r="AF129" s="182">
        <f t="shared" si="126"/>
        <v>5.2837864779903514</v>
      </c>
      <c r="AG129" s="198">
        <f t="shared" si="126"/>
        <v>5.4075349117493898</v>
      </c>
      <c r="AH129" s="15"/>
      <c r="AI129"/>
      <c r="AJ129"/>
      <c r="AK129"/>
      <c r="AS129" s="12"/>
      <c r="AT129" s="12"/>
      <c r="AU129" s="3"/>
      <c r="AV129" s="3"/>
      <c r="AW129" s="3"/>
      <c r="AX129" s="3"/>
    </row>
    <row r="130" spans="2:50" ht="15.75" thickBot="1" x14ac:dyDescent="0.3">
      <c r="B130" s="141"/>
      <c r="C130" s="246"/>
      <c r="D130" s="238" t="s">
        <v>61</v>
      </c>
      <c r="E130" s="238"/>
      <c r="F130" s="223">
        <f t="shared" ref="F130" si="127">IF(F125&lt;F126,F125,F126)</f>
        <v>5.6269730657616028</v>
      </c>
      <c r="G130" s="214" t="s">
        <v>32</v>
      </c>
      <c r="I130" s="204"/>
      <c r="J130" s="135"/>
      <c r="K130" s="135"/>
      <c r="L130" s="135"/>
      <c r="M130" s="192">
        <f t="shared" ref="M130:AG130" si="128">IF(M125&lt;M126,M125,M126)</f>
        <v>3.9388811460331223</v>
      </c>
      <c r="N130" s="193">
        <f t="shared" si="128"/>
        <v>4.5015784526092819</v>
      </c>
      <c r="O130" s="193">
        <f t="shared" si="128"/>
        <v>5.0642757591854419</v>
      </c>
      <c r="P130" s="193">
        <f t="shared" si="128"/>
        <v>5.6269730657616028</v>
      </c>
      <c r="Q130" s="193">
        <f t="shared" si="128"/>
        <v>6.1896703723377628</v>
      </c>
      <c r="R130" s="193">
        <f t="shared" si="128"/>
        <v>6.7523676789139229</v>
      </c>
      <c r="S130" s="193">
        <f t="shared" si="128"/>
        <v>7.3150649854900838</v>
      </c>
      <c r="T130" s="193">
        <f t="shared" si="128"/>
        <v>7.8394981153184355</v>
      </c>
      <c r="U130" s="193">
        <f t="shared" si="128"/>
        <v>8.3208064926023013</v>
      </c>
      <c r="V130" s="193">
        <f t="shared" si="128"/>
        <v>8.8217505278944337</v>
      </c>
      <c r="W130" s="193">
        <f t="shared" si="128"/>
        <v>9.3439687217598877</v>
      </c>
      <c r="X130" s="193">
        <f t="shared" si="128"/>
        <v>9.4595466606773275</v>
      </c>
      <c r="Y130" s="193">
        <f t="shared" si="128"/>
        <v>9.4595466606773275</v>
      </c>
      <c r="Z130" s="193">
        <f t="shared" si="128"/>
        <v>9.4595466606773275</v>
      </c>
      <c r="AA130" s="193">
        <f t="shared" si="128"/>
        <v>9.4595466606773275</v>
      </c>
      <c r="AB130" s="193">
        <f t="shared" si="128"/>
        <v>9.4595466606773275</v>
      </c>
      <c r="AC130" s="193">
        <f t="shared" si="128"/>
        <v>9.4595466606773275</v>
      </c>
      <c r="AD130" s="193">
        <f t="shared" si="128"/>
        <v>9.4595466606773275</v>
      </c>
      <c r="AE130" s="193">
        <f t="shared" si="128"/>
        <v>9.4595466606773275</v>
      </c>
      <c r="AF130" s="193">
        <f t="shared" si="128"/>
        <v>9.4595466606773275</v>
      </c>
      <c r="AG130" s="199">
        <f t="shared" si="128"/>
        <v>9.4595466606773275</v>
      </c>
      <c r="AH130" s="15"/>
      <c r="AI130"/>
      <c r="AJ130"/>
      <c r="AK130"/>
    </row>
    <row r="131" spans="2:50" ht="15.75" hidden="1" thickBot="1" x14ac:dyDescent="0.3">
      <c r="B131" s="242"/>
      <c r="C131" s="2"/>
      <c r="D131" s="43" t="s">
        <v>71</v>
      </c>
      <c r="E131" s="43"/>
      <c r="F131" s="229">
        <f>1.07*1.22*F124</f>
        <v>4.0955533078045336</v>
      </c>
      <c r="G131" s="136"/>
      <c r="I131" s="267"/>
      <c r="J131" s="259"/>
      <c r="K131" s="259"/>
      <c r="L131" s="259"/>
      <c r="M131" s="236">
        <f t="shared" ref="M131:AG131" si="129">1.07*1.22*M124</f>
        <v>3.3995669099423136</v>
      </c>
      <c r="N131" s="231">
        <f t="shared" si="129"/>
        <v>3.6387609507237015</v>
      </c>
      <c r="O131" s="231">
        <f t="shared" si="129"/>
        <v>3.8648837122120336</v>
      </c>
      <c r="P131" s="231">
        <f t="shared" si="129"/>
        <v>4.080322249768809</v>
      </c>
      <c r="Q131" s="231">
        <f t="shared" si="129"/>
        <v>4.2868928442459371</v>
      </c>
      <c r="R131" s="231">
        <f t="shared" si="129"/>
        <v>4.4860189027942585</v>
      </c>
      <c r="S131" s="231">
        <f t="shared" si="129"/>
        <v>4.6788432102428805</v>
      </c>
      <c r="T131" s="231">
        <f t="shared" si="129"/>
        <v>4.8663019311833766</v>
      </c>
      <c r="U131" s="231">
        <f t="shared" si="129"/>
        <v>5.049175190532103</v>
      </c>
      <c r="V131" s="231">
        <f t="shared" si="129"/>
        <v>5.2281227092571809</v>
      </c>
      <c r="W131" s="231">
        <f t="shared" si="129"/>
        <v>5.4037095674058051</v>
      </c>
      <c r="X131" s="231">
        <f t="shared" si="129"/>
        <v>5.5764252488127868</v>
      </c>
      <c r="Y131" s="231">
        <f t="shared" si="129"/>
        <v>5.7466979952175343</v>
      </c>
      <c r="Z131" s="231">
        <f t="shared" si="129"/>
        <v>5.9149058112415718</v>
      </c>
      <c r="AA131" s="231">
        <f t="shared" si="129"/>
        <v>6.0813850302842489</v>
      </c>
      <c r="AB131" s="231">
        <f t="shared" si="129"/>
        <v>6.2464370726164073</v>
      </c>
      <c r="AC131" s="231">
        <f t="shared" si="129"/>
        <v>6.4103338423320819</v>
      </c>
      <c r="AD131" s="231">
        <f t="shared" si="129"/>
        <v>6.5733220848528688</v>
      </c>
      <c r="AE131" s="231">
        <f t="shared" si="129"/>
        <v>6.7356269404164664</v>
      </c>
      <c r="AF131" s="231">
        <f t="shared" si="129"/>
        <v>6.8974548683686052</v>
      </c>
      <c r="AG131" s="233">
        <f t="shared" si="129"/>
        <v>7.0589960737976538</v>
      </c>
      <c r="AH131" s="106"/>
      <c r="AI131" s="106"/>
      <c r="AJ131" s="106"/>
      <c r="AK131" s="106"/>
      <c r="AL131" s="106"/>
      <c r="AO131" s="2"/>
      <c r="AP131"/>
      <c r="AQ131" s="13"/>
      <c r="AR131" s="12"/>
      <c r="AS131" s="3"/>
      <c r="AT131" s="3"/>
      <c r="AU131" s="3"/>
      <c r="AV131" s="3"/>
      <c r="AW131"/>
      <c r="AX131"/>
    </row>
    <row r="132" spans="2:50" ht="15.75" hidden="1" thickBot="1" x14ac:dyDescent="0.3">
      <c r="B132" s="242"/>
      <c r="C132" s="2"/>
      <c r="D132" s="43" t="s">
        <v>72</v>
      </c>
      <c r="E132" s="43"/>
      <c r="F132" s="229">
        <f>1.07*1.22*F125</f>
        <v>7.9256978457326586</v>
      </c>
      <c r="G132" s="136"/>
      <c r="I132" s="267"/>
      <c r="J132" s="259"/>
      <c r="K132" s="259"/>
      <c r="L132" s="259"/>
      <c r="M132" s="236">
        <f t="shared" ref="M132:AG132" si="130">1.07*1.22*M125</f>
        <v>6.3129323734161531</v>
      </c>
      <c r="N132" s="231">
        <f t="shared" si="130"/>
        <v>6.8484617296796237</v>
      </c>
      <c r="O132" s="231">
        <f t="shared" si="130"/>
        <v>7.3841348438868293</v>
      </c>
      <c r="P132" s="231">
        <f t="shared" si="130"/>
        <v>7.9256978457326586</v>
      </c>
      <c r="Q132" s="231">
        <f t="shared" si="130"/>
        <v>8.4778061405555771</v>
      </c>
      <c r="R132" s="231">
        <f t="shared" si="130"/>
        <v>9.0443515019981895</v>
      </c>
      <c r="S132" s="231">
        <f t="shared" si="130"/>
        <v>9.6286701007724247</v>
      </c>
      <c r="T132" s="231">
        <f t="shared" si="130"/>
        <v>10.233680839736687</v>
      </c>
      <c r="U132" s="231">
        <f t="shared" si="130"/>
        <v>10.861980795443046</v>
      </c>
      <c r="V132" s="231">
        <f t="shared" si="130"/>
        <v>11.515913139113394</v>
      </c>
      <c r="W132" s="231">
        <f t="shared" si="130"/>
        <v>12.197616769385359</v>
      </c>
      <c r="X132" s="231">
        <f t="shared" si="130"/>
        <v>12.909063421082365</v>
      </c>
      <c r="Y132" s="231">
        <f t="shared" si="130"/>
        <v>13.652085971042217</v>
      </c>
      <c r="Z132" s="231">
        <f t="shared" si="130"/>
        <v>14.428400413695593</v>
      </c>
      <c r="AA132" s="231">
        <f t="shared" si="130"/>
        <v>15.239623191853747</v>
      </c>
      <c r="AB132" s="231">
        <f t="shared" si="130"/>
        <v>16.087285057705767</v>
      </c>
      <c r="AC132" s="231">
        <f t="shared" si="130"/>
        <v>16.972842299763414</v>
      </c>
      <c r="AD132" s="231">
        <f t="shared" si="130"/>
        <v>17.897685940986531</v>
      </c>
      <c r="AE132" s="231">
        <f t="shared" si="130"/>
        <v>18.863149353575899</v>
      </c>
      <c r="AF132" s="231">
        <f t="shared" si="130"/>
        <v>19.870514623212383</v>
      </c>
      <c r="AG132" s="233">
        <f t="shared" si="130"/>
        <v>20.921017914695778</v>
      </c>
      <c r="AH132" s="106"/>
      <c r="AI132" s="106"/>
      <c r="AJ132" s="106"/>
      <c r="AK132" s="106"/>
      <c r="AL132" s="106"/>
      <c r="AO132" s="2"/>
      <c r="AP132"/>
      <c r="AQ132" s="13"/>
      <c r="AR132" s="12"/>
      <c r="AS132" s="3"/>
      <c r="AT132" s="3"/>
      <c r="AU132" s="3"/>
      <c r="AV132" s="3"/>
      <c r="AW132"/>
      <c r="AX132"/>
    </row>
    <row r="133" spans="2:50" ht="15.75" hidden="1" thickBot="1" x14ac:dyDescent="0.3">
      <c r="B133" s="242"/>
      <c r="C133" s="2"/>
      <c r="D133" s="43" t="s">
        <v>79</v>
      </c>
      <c r="E133" s="43"/>
      <c r="F133" s="229">
        <f>1.07*1.22*F126</f>
        <v>7.3454506400451969</v>
      </c>
      <c r="G133" s="136"/>
      <c r="I133" s="267"/>
      <c r="J133" s="259"/>
      <c r="K133" s="259"/>
      <c r="L133" s="259"/>
      <c r="M133" s="236">
        <f t="shared" ref="M133:AG133" si="131">1.07*1.22*M126</f>
        <v>5.1418154480316387</v>
      </c>
      <c r="N133" s="231">
        <f t="shared" si="131"/>
        <v>5.8763605120361575</v>
      </c>
      <c r="O133" s="231">
        <f t="shared" si="131"/>
        <v>6.6109055760406763</v>
      </c>
      <c r="P133" s="231">
        <f t="shared" si="131"/>
        <v>7.3454506400451969</v>
      </c>
      <c r="Q133" s="231">
        <f t="shared" si="131"/>
        <v>8.0799957040497166</v>
      </c>
      <c r="R133" s="231">
        <f t="shared" si="131"/>
        <v>8.8145407680542363</v>
      </c>
      <c r="S133" s="231">
        <f t="shared" si="131"/>
        <v>9.5490858320587559</v>
      </c>
      <c r="T133" s="231">
        <f t="shared" si="131"/>
        <v>10.283630896063277</v>
      </c>
      <c r="U133" s="231">
        <f t="shared" si="131"/>
        <v>11.018175960067795</v>
      </c>
      <c r="V133" s="231">
        <f t="shared" si="131"/>
        <v>11.752721024072315</v>
      </c>
      <c r="W133" s="231">
        <f t="shared" si="131"/>
        <v>12.348492210848184</v>
      </c>
      <c r="X133" s="231">
        <f t="shared" si="131"/>
        <v>12.348492210848184</v>
      </c>
      <c r="Y133" s="231">
        <f t="shared" si="131"/>
        <v>12.348492210848184</v>
      </c>
      <c r="Z133" s="231">
        <f t="shared" si="131"/>
        <v>12.348492210848184</v>
      </c>
      <c r="AA133" s="231">
        <f t="shared" si="131"/>
        <v>12.348492210848184</v>
      </c>
      <c r="AB133" s="231">
        <f t="shared" si="131"/>
        <v>12.348492210848184</v>
      </c>
      <c r="AC133" s="231">
        <f t="shared" si="131"/>
        <v>12.348492210848184</v>
      </c>
      <c r="AD133" s="231">
        <f t="shared" si="131"/>
        <v>12.348492210848184</v>
      </c>
      <c r="AE133" s="231">
        <f t="shared" si="131"/>
        <v>12.348492210848184</v>
      </c>
      <c r="AF133" s="231">
        <f t="shared" si="131"/>
        <v>12.348492210848184</v>
      </c>
      <c r="AG133" s="233">
        <f t="shared" si="131"/>
        <v>12.348492210848184</v>
      </c>
      <c r="AH133" s="106"/>
      <c r="AI133" s="106"/>
      <c r="AJ133" s="106"/>
      <c r="AK133" s="106"/>
      <c r="AL133" s="106"/>
      <c r="AO133" s="2"/>
      <c r="AP133"/>
      <c r="AQ133" s="13"/>
      <c r="AR133" s="12"/>
      <c r="AS133" s="3"/>
      <c r="AT133" s="3"/>
      <c r="AU133" s="3"/>
      <c r="AV133" s="3"/>
      <c r="AW133"/>
      <c r="AX133"/>
    </row>
    <row r="134" spans="2:50" ht="15.75" hidden="1" thickBot="1" x14ac:dyDescent="0.3">
      <c r="B134" s="242"/>
      <c r="C134" s="2"/>
      <c r="D134" s="43" t="s">
        <v>73</v>
      </c>
      <c r="E134" s="43"/>
      <c r="F134" s="229">
        <f>1.07*0.707*F124</f>
        <v>2.3734067119818074</v>
      </c>
      <c r="G134" s="136"/>
      <c r="I134" s="267"/>
      <c r="J134" s="259"/>
      <c r="K134" s="259"/>
      <c r="L134" s="259"/>
      <c r="M134" s="236">
        <f t="shared" ref="M134:AG134" si="132">1.07*0.707*M124</f>
        <v>1.970076889614111</v>
      </c>
      <c r="N134" s="231">
        <f t="shared" si="132"/>
        <v>2.108691796853817</v>
      </c>
      <c r="O134" s="231">
        <f t="shared" si="132"/>
        <v>2.2397317906015637</v>
      </c>
      <c r="P134" s="231">
        <f t="shared" si="132"/>
        <v>2.3645801890053666</v>
      </c>
      <c r="Q134" s="231">
        <f t="shared" si="132"/>
        <v>2.484289541706457</v>
      </c>
      <c r="R134" s="231">
        <f t="shared" si="132"/>
        <v>2.5996847248160164</v>
      </c>
      <c r="S134" s="231">
        <f t="shared" si="132"/>
        <v>2.7114279915096033</v>
      </c>
      <c r="T134" s="231">
        <f t="shared" si="132"/>
        <v>2.8200618568415137</v>
      </c>
      <c r="U134" s="231">
        <f t="shared" si="132"/>
        <v>2.9260384095952432</v>
      </c>
      <c r="V134" s="231">
        <f t="shared" si="132"/>
        <v>3.0297399634793658</v>
      </c>
      <c r="W134" s="231">
        <f t="shared" si="132"/>
        <v>3.1314939870130361</v>
      </c>
      <c r="X134" s="231">
        <f t="shared" si="132"/>
        <v>3.2315841400906886</v>
      </c>
      <c r="Y134" s="231">
        <f t="shared" si="132"/>
        <v>3.3302585923104888</v>
      </c>
      <c r="Z134" s="231">
        <f t="shared" si="132"/>
        <v>3.427736400449009</v>
      </c>
      <c r="AA134" s="231">
        <f t="shared" si="132"/>
        <v>3.5242124724680028</v>
      </c>
      <c r="AB134" s="231">
        <f t="shared" si="132"/>
        <v>3.6198614838850816</v>
      </c>
      <c r="AC134" s="231">
        <f t="shared" si="132"/>
        <v>3.7148410053514604</v>
      </c>
      <c r="AD134" s="231">
        <f t="shared" si="132"/>
        <v>3.8092940278614571</v>
      </c>
      <c r="AE134" s="231">
        <f t="shared" si="132"/>
        <v>3.9033510220282306</v>
      </c>
      <c r="AF134" s="231">
        <f t="shared" si="132"/>
        <v>3.9971316327349209</v>
      </c>
      <c r="AG134" s="233">
        <f t="shared" si="132"/>
        <v>4.0907460853892958</v>
      </c>
      <c r="AH134" s="106"/>
      <c r="AI134" s="106"/>
      <c r="AJ134" s="106"/>
      <c r="AK134" s="106"/>
      <c r="AL134" s="106"/>
      <c r="AO134" s="2"/>
      <c r="AP134"/>
      <c r="AQ134" s="13"/>
      <c r="AR134" s="12"/>
      <c r="AS134" s="3"/>
      <c r="AT134" s="3"/>
      <c r="AU134" s="3"/>
      <c r="AV134" s="3"/>
      <c r="AW134"/>
      <c r="AX134"/>
    </row>
    <row r="135" spans="2:50" ht="15.75" hidden="1" thickBot="1" x14ac:dyDescent="0.3">
      <c r="B135" s="242"/>
      <c r="C135" s="2"/>
      <c r="D135" s="43" t="s">
        <v>74</v>
      </c>
      <c r="E135" s="43"/>
      <c r="F135" s="229">
        <f>1.07*0.707*F125</f>
        <v>4.5930068663385155</v>
      </c>
      <c r="G135" s="136"/>
      <c r="I135" s="267"/>
      <c r="J135" s="259"/>
      <c r="K135" s="259"/>
      <c r="L135" s="259"/>
      <c r="M135" s="236">
        <f t="shared" ref="M135:AG135" si="133">1.07*0.707*M125</f>
        <v>3.6583960557419837</v>
      </c>
      <c r="N135" s="231">
        <f t="shared" si="133"/>
        <v>3.9687397072815518</v>
      </c>
      <c r="O135" s="231">
        <f t="shared" si="133"/>
        <v>4.2791666677278588</v>
      </c>
      <c r="P135" s="231">
        <f t="shared" si="133"/>
        <v>4.5930068663385155</v>
      </c>
      <c r="Q135" s="231">
        <f t="shared" si="133"/>
        <v>4.9129581486662239</v>
      </c>
      <c r="R135" s="231">
        <f t="shared" si="133"/>
        <v>5.2412758294366553</v>
      </c>
      <c r="S135" s="231">
        <f t="shared" si="133"/>
        <v>5.579893246923036</v>
      </c>
      <c r="T135" s="231">
        <f t="shared" si="133"/>
        <v>5.9305019292572432</v>
      </c>
      <c r="U135" s="231">
        <f t="shared" si="133"/>
        <v>6.2946069035887149</v>
      </c>
      <c r="V135" s="231">
        <f t="shared" si="133"/>
        <v>6.6735660568468598</v>
      </c>
      <c r="W135" s="231">
        <f t="shared" si="133"/>
        <v>7.0686188983241376</v>
      </c>
      <c r="X135" s="231">
        <f t="shared" si="133"/>
        <v>7.4809080645124855</v>
      </c>
      <c r="Y135" s="231">
        <f t="shared" si="133"/>
        <v>7.9114957225629894</v>
      </c>
      <c r="Z135" s="231">
        <f t="shared" si="133"/>
        <v>8.3613763053137564</v>
      </c>
      <c r="AA135" s="231">
        <f t="shared" si="133"/>
        <v>8.8314865546234405</v>
      </c>
      <c r="AB135" s="231">
        <f t="shared" si="133"/>
        <v>9.3227135539327683</v>
      </c>
      <c r="AC135" s="231">
        <f t="shared" si="133"/>
        <v>9.8359012343710912</v>
      </c>
      <c r="AD135" s="231">
        <f t="shared" si="133"/>
        <v>10.371855705145473</v>
      </c>
      <c r="AE135" s="231">
        <f t="shared" si="133"/>
        <v>10.931349666375541</v>
      </c>
      <c r="AF135" s="231">
        <f t="shared" si="133"/>
        <v>11.515126097222257</v>
      </c>
      <c r="AG135" s="233">
        <f t="shared" si="133"/>
        <v>12.123901365319602</v>
      </c>
      <c r="AH135" s="106"/>
      <c r="AI135" s="106"/>
      <c r="AJ135" s="106"/>
      <c r="AK135" s="106"/>
      <c r="AL135" s="106"/>
      <c r="AO135" s="2"/>
      <c r="AP135"/>
      <c r="AQ135" s="13"/>
      <c r="AR135" s="12"/>
      <c r="AS135" s="3"/>
      <c r="AT135" s="3"/>
      <c r="AU135" s="3"/>
      <c r="AV135" s="3"/>
      <c r="AW135"/>
      <c r="AX135"/>
    </row>
    <row r="136" spans="2:50" ht="15.75" hidden="1" thickBot="1" x14ac:dyDescent="0.3">
      <c r="B136" s="242"/>
      <c r="C136" s="2"/>
      <c r="D136" s="43" t="s">
        <v>80</v>
      </c>
      <c r="E136" s="43"/>
      <c r="F136" s="229">
        <f>1.07*0.707*F126</f>
        <v>4.256748854517995</v>
      </c>
      <c r="G136" s="136"/>
      <c r="I136" s="267"/>
      <c r="J136" s="259"/>
      <c r="K136" s="259"/>
      <c r="L136" s="259"/>
      <c r="M136" s="236">
        <f t="shared" ref="M136:AG136" si="134">1.07*0.707*M126</f>
        <v>2.9797241981625966</v>
      </c>
      <c r="N136" s="231">
        <f t="shared" si="134"/>
        <v>3.4053990836143955</v>
      </c>
      <c r="O136" s="231">
        <f t="shared" si="134"/>
        <v>3.8310739690661948</v>
      </c>
      <c r="P136" s="231">
        <f t="shared" si="134"/>
        <v>4.256748854517995</v>
      </c>
      <c r="Q136" s="231">
        <f t="shared" si="134"/>
        <v>4.6824237399697939</v>
      </c>
      <c r="R136" s="231">
        <f t="shared" si="134"/>
        <v>5.1080986254215937</v>
      </c>
      <c r="S136" s="231">
        <f t="shared" si="134"/>
        <v>5.5337735108733934</v>
      </c>
      <c r="T136" s="231">
        <f t="shared" si="134"/>
        <v>5.9594483963251932</v>
      </c>
      <c r="U136" s="231">
        <f t="shared" si="134"/>
        <v>6.3851232817769921</v>
      </c>
      <c r="V136" s="231">
        <f t="shared" si="134"/>
        <v>6.8107981672287909</v>
      </c>
      <c r="W136" s="231">
        <f t="shared" si="134"/>
        <v>7.1560524533357919</v>
      </c>
      <c r="X136" s="231">
        <f t="shared" si="134"/>
        <v>7.1560524533357919</v>
      </c>
      <c r="Y136" s="231">
        <f t="shared" si="134"/>
        <v>7.1560524533357919</v>
      </c>
      <c r="Z136" s="231">
        <f t="shared" si="134"/>
        <v>7.1560524533357919</v>
      </c>
      <c r="AA136" s="231">
        <f t="shared" si="134"/>
        <v>7.1560524533357919</v>
      </c>
      <c r="AB136" s="231">
        <f t="shared" si="134"/>
        <v>7.1560524533357919</v>
      </c>
      <c r="AC136" s="231">
        <f t="shared" si="134"/>
        <v>7.1560524533357919</v>
      </c>
      <c r="AD136" s="231">
        <f t="shared" si="134"/>
        <v>7.1560524533357919</v>
      </c>
      <c r="AE136" s="231">
        <f t="shared" si="134"/>
        <v>7.1560524533357919</v>
      </c>
      <c r="AF136" s="231">
        <f t="shared" si="134"/>
        <v>7.1560524533357919</v>
      </c>
      <c r="AG136" s="233">
        <f t="shared" si="134"/>
        <v>7.1560524533357919</v>
      </c>
      <c r="AH136" s="106"/>
      <c r="AI136" s="106"/>
      <c r="AJ136" s="106"/>
      <c r="AK136" s="106"/>
      <c r="AL136" s="106"/>
      <c r="AO136" s="2"/>
      <c r="AP136"/>
      <c r="AQ136" s="13"/>
      <c r="AR136" s="12"/>
      <c r="AS136" s="3"/>
      <c r="AT136" s="3"/>
      <c r="AU136" s="3"/>
      <c r="AV136" s="3"/>
      <c r="AW136"/>
      <c r="AX136"/>
    </row>
    <row r="137" spans="2:50" x14ac:dyDescent="0.25">
      <c r="B137" s="142"/>
      <c r="C137" s="243"/>
      <c r="D137" s="239" t="s">
        <v>56</v>
      </c>
      <c r="E137" s="239"/>
      <c r="F137" s="220">
        <f>F131</f>
        <v>4.0955533078045336</v>
      </c>
      <c r="G137" s="215" t="s">
        <v>32</v>
      </c>
      <c r="I137" s="15"/>
      <c r="J137"/>
      <c r="K137"/>
      <c r="L137"/>
      <c r="M137" s="195">
        <f t="shared" ref="M137:AG137" si="135">M131</f>
        <v>3.3995669099423136</v>
      </c>
      <c r="N137" s="184">
        <f t="shared" si="135"/>
        <v>3.6387609507237015</v>
      </c>
      <c r="O137" s="184">
        <f t="shared" si="135"/>
        <v>3.8648837122120336</v>
      </c>
      <c r="P137" s="184">
        <f t="shared" si="135"/>
        <v>4.080322249768809</v>
      </c>
      <c r="Q137" s="184">
        <f t="shared" si="135"/>
        <v>4.2868928442459371</v>
      </c>
      <c r="R137" s="184">
        <f t="shared" si="135"/>
        <v>4.4860189027942585</v>
      </c>
      <c r="S137" s="184">
        <f t="shared" si="135"/>
        <v>4.6788432102428805</v>
      </c>
      <c r="T137" s="184">
        <f t="shared" si="135"/>
        <v>4.8663019311833766</v>
      </c>
      <c r="U137" s="184">
        <f t="shared" si="135"/>
        <v>5.049175190532103</v>
      </c>
      <c r="V137" s="184">
        <f t="shared" si="135"/>
        <v>5.2281227092571809</v>
      </c>
      <c r="W137" s="184">
        <f t="shared" si="135"/>
        <v>5.4037095674058051</v>
      </c>
      <c r="X137" s="184">
        <f t="shared" si="135"/>
        <v>5.5764252488127868</v>
      </c>
      <c r="Y137" s="184">
        <f t="shared" si="135"/>
        <v>5.7466979952175343</v>
      </c>
      <c r="Z137" s="184">
        <f t="shared" si="135"/>
        <v>5.9149058112415718</v>
      </c>
      <c r="AA137" s="184">
        <f t="shared" si="135"/>
        <v>6.0813850302842489</v>
      </c>
      <c r="AB137" s="184">
        <f t="shared" si="135"/>
        <v>6.2464370726164073</v>
      </c>
      <c r="AC137" s="184">
        <f t="shared" si="135"/>
        <v>6.4103338423320819</v>
      </c>
      <c r="AD137" s="184">
        <f t="shared" si="135"/>
        <v>6.5733220848528688</v>
      </c>
      <c r="AE137" s="184">
        <f t="shared" si="135"/>
        <v>6.7356269404164664</v>
      </c>
      <c r="AF137" s="184">
        <f t="shared" si="135"/>
        <v>6.8974548683686052</v>
      </c>
      <c r="AG137" s="200">
        <f t="shared" si="135"/>
        <v>7.0589960737976538</v>
      </c>
      <c r="AH137" s="15"/>
      <c r="AI137"/>
      <c r="AJ137"/>
      <c r="AK137"/>
      <c r="AS137" s="12"/>
      <c r="AT137" s="12"/>
      <c r="AU137" s="3"/>
      <c r="AV137" s="3"/>
      <c r="AW137" s="3"/>
      <c r="AX137" s="3"/>
    </row>
    <row r="138" spans="2:50" x14ac:dyDescent="0.25">
      <c r="B138" s="141"/>
      <c r="C138" s="244" t="s">
        <v>67</v>
      </c>
      <c r="D138" s="253" t="s">
        <v>57</v>
      </c>
      <c r="E138" s="253"/>
      <c r="F138" s="221">
        <f>IF(F132&lt;F133,F132,F133)</f>
        <v>7.3454506400451969</v>
      </c>
      <c r="G138" s="216" t="s">
        <v>32</v>
      </c>
      <c r="I138" s="227"/>
      <c r="J138" s="131"/>
      <c r="K138" s="131"/>
      <c r="L138" s="131"/>
      <c r="M138" s="190">
        <f t="shared" ref="M138:AG138" si="136">IF(M132&lt;M133,M132,M133)</f>
        <v>5.1418154480316387</v>
      </c>
      <c r="N138" s="179">
        <f t="shared" si="136"/>
        <v>5.8763605120361575</v>
      </c>
      <c r="O138" s="179">
        <f t="shared" si="136"/>
        <v>6.6109055760406763</v>
      </c>
      <c r="P138" s="179">
        <f t="shared" si="136"/>
        <v>7.3454506400451969</v>
      </c>
      <c r="Q138" s="179">
        <f t="shared" si="136"/>
        <v>8.0799957040497166</v>
      </c>
      <c r="R138" s="179">
        <f t="shared" si="136"/>
        <v>8.8145407680542363</v>
      </c>
      <c r="S138" s="179">
        <f t="shared" si="136"/>
        <v>9.5490858320587559</v>
      </c>
      <c r="T138" s="179">
        <f t="shared" si="136"/>
        <v>10.233680839736687</v>
      </c>
      <c r="U138" s="179">
        <f t="shared" si="136"/>
        <v>10.861980795443046</v>
      </c>
      <c r="V138" s="179">
        <f t="shared" si="136"/>
        <v>11.515913139113394</v>
      </c>
      <c r="W138" s="179">
        <f t="shared" si="136"/>
        <v>12.197616769385359</v>
      </c>
      <c r="X138" s="179">
        <f t="shared" si="136"/>
        <v>12.348492210848184</v>
      </c>
      <c r="Y138" s="179">
        <f t="shared" si="136"/>
        <v>12.348492210848184</v>
      </c>
      <c r="Z138" s="179">
        <f t="shared" si="136"/>
        <v>12.348492210848184</v>
      </c>
      <c r="AA138" s="179">
        <f t="shared" si="136"/>
        <v>12.348492210848184</v>
      </c>
      <c r="AB138" s="179">
        <f t="shared" si="136"/>
        <v>12.348492210848184</v>
      </c>
      <c r="AC138" s="179">
        <f t="shared" si="136"/>
        <v>12.348492210848184</v>
      </c>
      <c r="AD138" s="179">
        <f t="shared" si="136"/>
        <v>12.348492210848184</v>
      </c>
      <c r="AE138" s="179">
        <f t="shared" si="136"/>
        <v>12.348492210848184</v>
      </c>
      <c r="AF138" s="179">
        <f t="shared" si="136"/>
        <v>12.348492210848184</v>
      </c>
      <c r="AG138" s="197">
        <f t="shared" si="136"/>
        <v>12.348492210848184</v>
      </c>
      <c r="AH138" s="15"/>
      <c r="AI138"/>
      <c r="AJ138"/>
      <c r="AK138"/>
    </row>
    <row r="139" spans="2:50" x14ac:dyDescent="0.25">
      <c r="B139" s="142"/>
      <c r="C139" s="243" t="s">
        <v>68</v>
      </c>
      <c r="D139" s="252" t="s">
        <v>60</v>
      </c>
      <c r="E139" s="252"/>
      <c r="F139" s="222">
        <f>F134</f>
        <v>2.3734067119818074</v>
      </c>
      <c r="G139" s="217" t="s">
        <v>32</v>
      </c>
      <c r="I139" s="228"/>
      <c r="J139" s="52"/>
      <c r="K139" s="52"/>
      <c r="L139" s="52"/>
      <c r="M139" s="191">
        <f t="shared" ref="M139:AG139" si="137">M134</f>
        <v>1.970076889614111</v>
      </c>
      <c r="N139" s="182">
        <f t="shared" si="137"/>
        <v>2.108691796853817</v>
      </c>
      <c r="O139" s="182">
        <f t="shared" si="137"/>
        <v>2.2397317906015637</v>
      </c>
      <c r="P139" s="182">
        <f t="shared" si="137"/>
        <v>2.3645801890053666</v>
      </c>
      <c r="Q139" s="182">
        <f t="shared" si="137"/>
        <v>2.484289541706457</v>
      </c>
      <c r="R139" s="182">
        <f t="shared" si="137"/>
        <v>2.5996847248160164</v>
      </c>
      <c r="S139" s="182">
        <f t="shared" si="137"/>
        <v>2.7114279915096033</v>
      </c>
      <c r="T139" s="182">
        <f t="shared" si="137"/>
        <v>2.8200618568415137</v>
      </c>
      <c r="U139" s="182">
        <f t="shared" si="137"/>
        <v>2.9260384095952432</v>
      </c>
      <c r="V139" s="182">
        <f t="shared" si="137"/>
        <v>3.0297399634793658</v>
      </c>
      <c r="W139" s="182">
        <f t="shared" si="137"/>
        <v>3.1314939870130361</v>
      </c>
      <c r="X139" s="182">
        <f t="shared" si="137"/>
        <v>3.2315841400906886</v>
      </c>
      <c r="Y139" s="182">
        <f t="shared" si="137"/>
        <v>3.3302585923104888</v>
      </c>
      <c r="Z139" s="182">
        <f t="shared" si="137"/>
        <v>3.427736400449009</v>
      </c>
      <c r="AA139" s="182">
        <f t="shared" si="137"/>
        <v>3.5242124724680028</v>
      </c>
      <c r="AB139" s="182">
        <f t="shared" si="137"/>
        <v>3.6198614838850816</v>
      </c>
      <c r="AC139" s="182">
        <f t="shared" si="137"/>
        <v>3.7148410053514604</v>
      </c>
      <c r="AD139" s="182">
        <f t="shared" si="137"/>
        <v>3.8092940278614571</v>
      </c>
      <c r="AE139" s="182">
        <f t="shared" si="137"/>
        <v>3.9033510220282306</v>
      </c>
      <c r="AF139" s="182">
        <f t="shared" si="137"/>
        <v>3.9971316327349209</v>
      </c>
      <c r="AG139" s="198">
        <f t="shared" si="137"/>
        <v>4.0907460853892958</v>
      </c>
      <c r="AH139" s="15"/>
      <c r="AI139"/>
      <c r="AJ139"/>
      <c r="AK139"/>
      <c r="AR139"/>
      <c r="AS139"/>
      <c r="AT139"/>
      <c r="AU139"/>
      <c r="AV139"/>
      <c r="AW139"/>
      <c r="AX139"/>
    </row>
    <row r="140" spans="2:50" ht="15.75" thickBot="1" x14ac:dyDescent="0.3">
      <c r="B140" s="143"/>
      <c r="C140" s="249"/>
      <c r="D140" s="237" t="s">
        <v>61</v>
      </c>
      <c r="E140" s="237"/>
      <c r="F140" s="225">
        <f t="shared" ref="F140" si="138">IF(F135&lt;F136,F135,F136)</f>
        <v>4.256748854517995</v>
      </c>
      <c r="G140" s="130" t="s">
        <v>32</v>
      </c>
      <c r="I140" s="204"/>
      <c r="J140" s="135"/>
      <c r="K140" s="135"/>
      <c r="L140" s="135"/>
      <c r="M140" s="196">
        <f t="shared" ref="M140:AG140" si="139">IF(M135&lt;M136,M135,M136)</f>
        <v>2.9797241981625966</v>
      </c>
      <c r="N140" s="187">
        <f t="shared" si="139"/>
        <v>3.4053990836143955</v>
      </c>
      <c r="O140" s="187">
        <f t="shared" si="139"/>
        <v>3.8310739690661948</v>
      </c>
      <c r="P140" s="187">
        <f t="shared" si="139"/>
        <v>4.256748854517995</v>
      </c>
      <c r="Q140" s="187">
        <f t="shared" si="139"/>
        <v>4.6824237399697939</v>
      </c>
      <c r="R140" s="187">
        <f t="shared" si="139"/>
        <v>5.1080986254215937</v>
      </c>
      <c r="S140" s="187">
        <f t="shared" si="139"/>
        <v>5.5337735108733934</v>
      </c>
      <c r="T140" s="187">
        <f t="shared" si="139"/>
        <v>5.9305019292572432</v>
      </c>
      <c r="U140" s="187">
        <f t="shared" si="139"/>
        <v>6.2946069035887149</v>
      </c>
      <c r="V140" s="187">
        <f t="shared" si="139"/>
        <v>6.6735660568468598</v>
      </c>
      <c r="W140" s="187">
        <f t="shared" si="139"/>
        <v>7.0686188983241376</v>
      </c>
      <c r="X140" s="187">
        <f t="shared" si="139"/>
        <v>7.1560524533357919</v>
      </c>
      <c r="Y140" s="187">
        <f t="shared" si="139"/>
        <v>7.1560524533357919</v>
      </c>
      <c r="Z140" s="187">
        <f t="shared" si="139"/>
        <v>7.1560524533357919</v>
      </c>
      <c r="AA140" s="187">
        <f t="shared" si="139"/>
        <v>7.1560524533357919</v>
      </c>
      <c r="AB140" s="187">
        <f t="shared" si="139"/>
        <v>7.1560524533357919</v>
      </c>
      <c r="AC140" s="187">
        <f t="shared" si="139"/>
        <v>7.1560524533357919</v>
      </c>
      <c r="AD140" s="187">
        <f t="shared" si="139"/>
        <v>7.1560524533357919</v>
      </c>
      <c r="AE140" s="187">
        <f t="shared" si="139"/>
        <v>7.1560524533357919</v>
      </c>
      <c r="AF140" s="187">
        <f t="shared" si="139"/>
        <v>7.1560524533357919</v>
      </c>
      <c r="AG140" s="201">
        <f t="shared" si="139"/>
        <v>7.1560524533357919</v>
      </c>
      <c r="AH140" s="15"/>
      <c r="AI140"/>
      <c r="AJ140"/>
      <c r="AK140"/>
      <c r="AR140"/>
      <c r="AS140"/>
      <c r="AT140"/>
      <c r="AU140"/>
      <c r="AV140"/>
      <c r="AW140"/>
      <c r="AX140"/>
    </row>
    <row r="141" spans="2:50" ht="16.5" thickTop="1" thickBot="1" x14ac:dyDescent="0.3">
      <c r="I141" s="235">
        <v>30</v>
      </c>
      <c r="J141" s="202">
        <v>40</v>
      </c>
      <c r="K141" s="202">
        <v>50</v>
      </c>
      <c r="L141" s="202">
        <v>60</v>
      </c>
      <c r="M141" s="202">
        <v>70</v>
      </c>
      <c r="N141" s="202">
        <v>80</v>
      </c>
      <c r="O141" s="202">
        <v>90</v>
      </c>
      <c r="P141" s="202">
        <v>100</v>
      </c>
      <c r="Q141" s="202">
        <v>110</v>
      </c>
      <c r="R141" s="202">
        <v>120</v>
      </c>
      <c r="S141" s="202">
        <v>130</v>
      </c>
      <c r="T141" s="202">
        <v>140</v>
      </c>
      <c r="U141" s="202">
        <v>150</v>
      </c>
      <c r="V141" s="202">
        <v>160</v>
      </c>
      <c r="W141" s="202">
        <v>170</v>
      </c>
      <c r="X141" s="202">
        <v>180</v>
      </c>
      <c r="Y141" s="202">
        <v>190</v>
      </c>
      <c r="Z141" s="202">
        <v>200</v>
      </c>
      <c r="AA141" s="202">
        <v>210</v>
      </c>
      <c r="AB141" s="202">
        <v>220</v>
      </c>
      <c r="AC141" s="202">
        <v>230</v>
      </c>
      <c r="AD141" s="202">
        <v>240</v>
      </c>
      <c r="AE141" s="202">
        <v>250</v>
      </c>
      <c r="AF141" s="202">
        <v>260</v>
      </c>
      <c r="AG141" s="203">
        <v>270</v>
      </c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</row>
    <row r="142" spans="2:50" ht="15.75" thickTop="1" x14ac:dyDescent="0.25"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</row>
    <row r="143" spans="2:50" x14ac:dyDescent="0.25"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</row>
    <row r="144" spans="2:50" x14ac:dyDescent="0.25"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</row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</sheetData>
  <sheetProtection algorithmName="SHA-512" hashValue="Z4X6k5F6BitiEzv1zEcfKCCS7xJ+JEsarladyiSxjzKr9sJ9+jNUoq3bo8oy2yOSaGbNlK/KLDZtnvAbiGIdBA==" saltValue="oXQaya5KmKSB3+sDwBjklg==" spinCount="100000" sheet="1" objects="1" scenarios="1" selectLockedCells="1"/>
  <conditionalFormatting sqref="F13">
    <cfRule type="expression" dxfId="520" priority="7" stopIfTrue="1">
      <formula>IF(F13&lt;2,TRUE,FALSE)</formula>
    </cfRule>
    <cfRule type="expression" dxfId="519" priority="8">
      <formula>IF(F13&gt;4.5,TRUE,FALSE)</formula>
    </cfRule>
  </conditionalFormatting>
  <conditionalFormatting sqref="F14">
    <cfRule type="expression" dxfId="518" priority="5" stopIfTrue="1">
      <formula>IF(ABS(F14)&gt;12,TRUE,FALSE)</formula>
    </cfRule>
    <cfRule type="expression" dxfId="517" priority="6">
      <formula>IF(ABS(F14)&lt;8,TRUE,FALSE)</formula>
    </cfRule>
  </conditionalFormatting>
  <conditionalFormatting sqref="F15">
    <cfRule type="expression" dxfId="516" priority="3" stopIfTrue="1">
      <formula>IF(F15&gt;95,TRUE,FALSE)</formula>
    </cfRule>
    <cfRule type="expression" dxfId="515" priority="4">
      <formula>IF(F15&lt;70,TRUE,FALSE)</formula>
    </cfRule>
  </conditionalFormatting>
  <conditionalFormatting sqref="F16">
    <cfRule type="expression" dxfId="514" priority="1" stopIfTrue="1">
      <formula>IF(F16&gt;270,TRUE,FALSE)</formula>
    </cfRule>
    <cfRule type="expression" dxfId="513" priority="2">
      <formula>IF(F16&lt;30,TRUE,FALSE)</formula>
    </cfRule>
  </conditionalFormatting>
  <conditionalFormatting sqref="F17">
    <cfRule type="cellIs" dxfId="512" priority="142" operator="lessThan">
      <formula>3</formula>
    </cfRule>
    <cfRule type="cellIs" dxfId="511" priority="143" operator="lessThanOrEqual">
      <formula>20</formula>
    </cfRule>
    <cfRule type="cellIs" dxfId="510" priority="144" operator="lessThanOrEqual">
      <formula>30</formula>
    </cfRule>
    <cfRule type="cellIs" dxfId="509" priority="145" operator="lessThanOrEqual">
      <formula>40</formula>
    </cfRule>
    <cfRule type="cellIs" dxfId="508" priority="146" operator="greaterThan">
      <formula>40</formula>
    </cfRule>
  </conditionalFormatting>
  <conditionalFormatting sqref="F18">
    <cfRule type="cellIs" dxfId="507" priority="102" operator="equal">
      <formula>"&lt;15"</formula>
    </cfRule>
    <cfRule type="cellIs" dxfId="506" priority="103" operator="lessThanOrEqual">
      <formula>40</formula>
    </cfRule>
    <cfRule type="cellIs" dxfId="505" priority="104" operator="lessThanOrEqual">
      <formula>45</formula>
    </cfRule>
    <cfRule type="cellIs" dxfId="504" priority="105" operator="lessThanOrEqual">
      <formula>50</formula>
    </cfRule>
    <cfRule type="cellIs" dxfId="503" priority="106" operator="greaterThan">
      <formula>50</formula>
    </cfRule>
  </conditionalFormatting>
  <conditionalFormatting sqref="F19">
    <cfRule type="cellIs" dxfId="502" priority="137" operator="equal">
      <formula>"&lt;5"</formula>
    </cfRule>
    <cfRule type="cellIs" dxfId="501" priority="138" operator="lessThanOrEqual">
      <formula>25</formula>
    </cfRule>
    <cfRule type="cellIs" dxfId="500" priority="139" operator="lessThanOrEqual">
      <formula>30</formula>
    </cfRule>
    <cfRule type="cellIs" dxfId="499" priority="140" operator="lessThanOrEqual">
      <formula>35</formula>
    </cfRule>
    <cfRule type="cellIs" dxfId="498" priority="141" operator="greaterThan">
      <formula>35</formula>
    </cfRule>
  </conditionalFormatting>
  <conditionalFormatting sqref="F26">
    <cfRule type="expression" dxfId="497" priority="23">
      <formula>IF(F26&gt;$F$13,TRUE,FALSE)</formula>
    </cfRule>
  </conditionalFormatting>
  <conditionalFormatting sqref="F27:F30">
    <cfRule type="expression" dxfId="496" priority="81">
      <formula>$F$17&gt;50</formula>
    </cfRule>
    <cfRule type="expression" dxfId="495" priority="82">
      <formula>$F$17&lt;3</formula>
    </cfRule>
  </conditionalFormatting>
  <conditionalFormatting sqref="F34:F37">
    <cfRule type="expression" dxfId="494" priority="71">
      <formula>$F$17&gt;50</formula>
    </cfRule>
    <cfRule type="expression" dxfId="493" priority="72">
      <formula>$F$17&lt;3</formula>
    </cfRule>
  </conditionalFormatting>
  <conditionalFormatting sqref="F44:F47">
    <cfRule type="expression" dxfId="492" priority="73">
      <formula>$F$17&gt;50</formula>
    </cfRule>
    <cfRule type="expression" dxfId="491" priority="74">
      <formula>$F$17&lt;3</formula>
    </cfRule>
  </conditionalFormatting>
  <conditionalFormatting sqref="F48">
    <cfRule type="cellIs" dxfId="490" priority="132" operator="lessThan">
      <formula>3</formula>
    </cfRule>
    <cfRule type="cellIs" dxfId="489" priority="133" operator="lessThanOrEqual">
      <formula>20</formula>
    </cfRule>
    <cfRule type="cellIs" dxfId="488" priority="134" operator="lessThanOrEqual">
      <formula>30</formula>
    </cfRule>
    <cfRule type="cellIs" dxfId="487" priority="135" operator="lessThanOrEqual">
      <formula>40</formula>
    </cfRule>
    <cfRule type="cellIs" dxfId="486" priority="136" operator="greaterThan">
      <formula>40</formula>
    </cfRule>
  </conditionalFormatting>
  <conditionalFormatting sqref="F49">
    <cfRule type="cellIs" dxfId="485" priority="97" operator="equal">
      <formula>"&lt;15"</formula>
    </cfRule>
    <cfRule type="cellIs" dxfId="484" priority="98" operator="lessThanOrEqual">
      <formula>40</formula>
    </cfRule>
    <cfRule type="cellIs" dxfId="483" priority="99" operator="lessThanOrEqual">
      <formula>45</formula>
    </cfRule>
    <cfRule type="cellIs" dxfId="482" priority="100" operator="lessThanOrEqual">
      <formula>50</formula>
    </cfRule>
    <cfRule type="cellIs" dxfId="481" priority="101" operator="greaterThan">
      <formula>50</formula>
    </cfRule>
  </conditionalFormatting>
  <conditionalFormatting sqref="F50">
    <cfRule type="cellIs" dxfId="480" priority="127" operator="equal">
      <formula>"&lt;5"</formula>
    </cfRule>
    <cfRule type="cellIs" dxfId="479" priority="128" operator="lessThanOrEqual">
      <formula>25</formula>
    </cfRule>
    <cfRule type="cellIs" dxfId="478" priority="129" operator="lessThanOrEqual">
      <formula>30</formula>
    </cfRule>
    <cfRule type="cellIs" dxfId="477" priority="130" operator="lessThanOrEqual">
      <formula>35</formula>
    </cfRule>
    <cfRule type="cellIs" dxfId="476" priority="131" operator="greaterThan">
      <formula>35</formula>
    </cfRule>
  </conditionalFormatting>
  <conditionalFormatting sqref="F57">
    <cfRule type="expression" dxfId="475" priority="24">
      <formula>IF(F57&gt;$F$13,TRUE,FALSE)</formula>
    </cfRule>
  </conditionalFormatting>
  <conditionalFormatting sqref="F58:F78">
    <cfRule type="expression" dxfId="474" priority="61">
      <formula>$F$48&gt;50</formula>
    </cfRule>
    <cfRule type="expression" dxfId="473" priority="62">
      <formula>$F$48&lt;3</formula>
    </cfRule>
  </conditionalFormatting>
  <conditionalFormatting sqref="F79">
    <cfRule type="cellIs" dxfId="472" priority="122" operator="lessThan">
      <formula>3</formula>
    </cfRule>
    <cfRule type="cellIs" dxfId="471" priority="123" operator="lessThanOrEqual">
      <formula>20</formula>
    </cfRule>
    <cfRule type="cellIs" dxfId="470" priority="124" operator="lessThanOrEqual">
      <formula>30</formula>
    </cfRule>
    <cfRule type="cellIs" dxfId="469" priority="125" operator="lessThanOrEqual">
      <formula>40</formula>
    </cfRule>
    <cfRule type="cellIs" dxfId="468" priority="126" operator="greaterThan">
      <formula>40</formula>
    </cfRule>
  </conditionalFormatting>
  <conditionalFormatting sqref="F80">
    <cfRule type="cellIs" dxfId="467" priority="92" operator="equal">
      <formula>"&lt;15"</formula>
    </cfRule>
    <cfRule type="cellIs" dxfId="466" priority="93" operator="lessThanOrEqual">
      <formula>40</formula>
    </cfRule>
    <cfRule type="cellIs" dxfId="465" priority="94" operator="lessThanOrEqual">
      <formula>45</formula>
    </cfRule>
    <cfRule type="cellIs" dxfId="464" priority="95" operator="lessThanOrEqual">
      <formula>50</formula>
    </cfRule>
    <cfRule type="cellIs" dxfId="463" priority="96" operator="greaterThan">
      <formula>50</formula>
    </cfRule>
  </conditionalFormatting>
  <conditionalFormatting sqref="F81">
    <cfRule type="cellIs" dxfId="462" priority="117" operator="equal">
      <formula>"&lt;5"</formula>
    </cfRule>
    <cfRule type="cellIs" dxfId="461" priority="118" operator="lessThanOrEqual">
      <formula>25</formula>
    </cfRule>
    <cfRule type="cellIs" dxfId="460" priority="119" operator="lessThanOrEqual">
      <formula>30</formula>
    </cfRule>
    <cfRule type="cellIs" dxfId="459" priority="120" operator="lessThanOrEqual">
      <formula>35</formula>
    </cfRule>
    <cfRule type="cellIs" dxfId="458" priority="121" operator="greaterThan">
      <formula>35</formula>
    </cfRule>
  </conditionalFormatting>
  <conditionalFormatting sqref="F88">
    <cfRule type="expression" dxfId="457" priority="26">
      <formula>IF(F88&gt;$F$13,TRUE,FALSE)</formula>
    </cfRule>
  </conditionalFormatting>
  <conditionalFormatting sqref="F89:F92">
    <cfRule type="expression" dxfId="456" priority="59">
      <formula>$F$79&gt;50</formula>
    </cfRule>
    <cfRule type="expression" dxfId="455" priority="60">
      <formula>$F$79&lt;3</formula>
    </cfRule>
  </conditionalFormatting>
  <conditionalFormatting sqref="F96:F99">
    <cfRule type="expression" dxfId="454" priority="57">
      <formula>$F$79&gt;50</formula>
    </cfRule>
    <cfRule type="expression" dxfId="453" priority="58">
      <formula>$F$79&lt;3</formula>
    </cfRule>
  </conditionalFormatting>
  <conditionalFormatting sqref="F106:F109">
    <cfRule type="expression" dxfId="452" priority="55">
      <formula>$F$79&gt;50</formula>
    </cfRule>
    <cfRule type="expression" dxfId="451" priority="56">
      <formula>$F$79&lt;3</formula>
    </cfRule>
  </conditionalFormatting>
  <conditionalFormatting sqref="F110">
    <cfRule type="cellIs" dxfId="450" priority="112" operator="lessThan">
      <formula>3</formula>
    </cfRule>
    <cfRule type="cellIs" dxfId="449" priority="113" operator="lessThanOrEqual">
      <formula>20</formula>
    </cfRule>
    <cfRule type="cellIs" dxfId="448" priority="114" operator="lessThanOrEqual">
      <formula>30</formula>
    </cfRule>
    <cfRule type="cellIs" dxfId="447" priority="115" operator="lessThanOrEqual">
      <formula>40</formula>
    </cfRule>
    <cfRule type="cellIs" dxfId="446" priority="116" operator="greaterThan">
      <formula>40</formula>
    </cfRule>
  </conditionalFormatting>
  <conditionalFormatting sqref="F111">
    <cfRule type="cellIs" dxfId="445" priority="87" operator="equal">
      <formula>"&lt;15"</formula>
    </cfRule>
    <cfRule type="cellIs" dxfId="444" priority="88" operator="lessThanOrEqual">
      <formula>40</formula>
    </cfRule>
    <cfRule type="cellIs" dxfId="443" priority="89" operator="lessThanOrEqual">
      <formula>45</formula>
    </cfRule>
    <cfRule type="cellIs" dxfId="442" priority="90" operator="lessThanOrEqual">
      <formula>50</formula>
    </cfRule>
    <cfRule type="cellIs" dxfId="441" priority="91" operator="greaterThan">
      <formula>50</formula>
    </cfRule>
  </conditionalFormatting>
  <conditionalFormatting sqref="F112">
    <cfRule type="cellIs" dxfId="440" priority="107" operator="equal">
      <formula>"&lt;5"</formula>
    </cfRule>
    <cfRule type="cellIs" dxfId="439" priority="108" operator="lessThanOrEqual">
      <formula>25</formula>
    </cfRule>
    <cfRule type="cellIs" dxfId="438" priority="109" operator="lessThanOrEqual">
      <formula>30</formula>
    </cfRule>
    <cfRule type="cellIs" dxfId="437" priority="110" operator="lessThanOrEqual">
      <formula>35</formula>
    </cfRule>
    <cfRule type="cellIs" dxfId="436" priority="111" operator="greaterThan">
      <formula>35</formula>
    </cfRule>
  </conditionalFormatting>
  <conditionalFormatting sqref="F119">
    <cfRule type="expression" dxfId="435" priority="25">
      <formula>IF(F119&gt;$F$13,TRUE,FALSE)</formula>
    </cfRule>
  </conditionalFormatting>
  <conditionalFormatting sqref="F120:F123">
    <cfRule type="expression" dxfId="434" priority="53">
      <formula>$F$110&gt;50</formula>
    </cfRule>
    <cfRule type="expression" dxfId="433" priority="54">
      <formula>$F$110&lt;3</formula>
    </cfRule>
  </conditionalFormatting>
  <conditionalFormatting sqref="F127:F130">
    <cfRule type="expression" dxfId="432" priority="51">
      <formula>$F$110&gt;50</formula>
    </cfRule>
    <cfRule type="expression" dxfId="431" priority="52">
      <formula>$F$110&lt;3</formula>
    </cfRule>
  </conditionalFormatting>
  <conditionalFormatting sqref="F137:F140">
    <cfRule type="expression" dxfId="430" priority="49">
      <formula>$F$110&gt;50</formula>
    </cfRule>
    <cfRule type="expression" dxfId="429" priority="50">
      <formula>$F$110&lt;3</formula>
    </cfRule>
  </conditionalFormatting>
  <conditionalFormatting sqref="I57:J57">
    <cfRule type="expression" dxfId="428" priority="175">
      <formula>IF(I57&gt;$F$13,TRUE,FALSE)</formula>
    </cfRule>
  </conditionalFormatting>
  <conditionalFormatting sqref="I17:Q17">
    <cfRule type="cellIs" dxfId="427" priority="416" operator="lessThan">
      <formula>3</formula>
    </cfRule>
    <cfRule type="cellIs" dxfId="426" priority="417" operator="lessThanOrEqual">
      <formula>20</formula>
    </cfRule>
    <cfRule type="cellIs" dxfId="425" priority="418" operator="lessThanOrEqual">
      <formula>30</formula>
    </cfRule>
    <cfRule type="cellIs" dxfId="424" priority="419" operator="lessThanOrEqual">
      <formula>40</formula>
    </cfRule>
    <cfRule type="cellIs" dxfId="423" priority="420" operator="greaterThan">
      <formula>40</formula>
    </cfRule>
  </conditionalFormatting>
  <conditionalFormatting sqref="I18:Q18">
    <cfRule type="cellIs" dxfId="422" priority="406" operator="equal">
      <formula>"&lt;15"</formula>
    </cfRule>
    <cfRule type="cellIs" dxfId="421" priority="407" operator="lessThanOrEqual">
      <formula>40</formula>
    </cfRule>
    <cfRule type="cellIs" dxfId="420" priority="408" operator="lessThanOrEqual">
      <formula>45</formula>
    </cfRule>
    <cfRule type="cellIs" dxfId="419" priority="409" operator="lessThanOrEqual">
      <formula>50</formula>
    </cfRule>
    <cfRule type="cellIs" dxfId="418" priority="410" operator="greaterThan">
      <formula>50</formula>
    </cfRule>
  </conditionalFormatting>
  <conditionalFormatting sqref="I19:Q19">
    <cfRule type="cellIs" dxfId="417" priority="411" operator="equal">
      <formula>"&lt;5"</formula>
    </cfRule>
    <cfRule type="cellIs" dxfId="416" priority="412" operator="lessThanOrEqual">
      <formula>25</formula>
    </cfRule>
    <cfRule type="cellIs" dxfId="415" priority="413" operator="lessThanOrEqual">
      <formula>30</formula>
    </cfRule>
    <cfRule type="cellIs" dxfId="414" priority="414" operator="lessThanOrEqual">
      <formula>35</formula>
    </cfRule>
    <cfRule type="cellIs" dxfId="413" priority="415" operator="greaterThan">
      <formula>35</formula>
    </cfRule>
  </conditionalFormatting>
  <conditionalFormatting sqref="I27:Q30">
    <cfRule type="expression" dxfId="412" priority="43">
      <formula>$F$17&gt;50</formula>
    </cfRule>
    <cfRule type="expression" dxfId="411" priority="44">
      <formula>$F$17&lt;3</formula>
    </cfRule>
  </conditionalFormatting>
  <conditionalFormatting sqref="I34:Q37">
    <cfRule type="expression" dxfId="410" priority="33">
      <formula>$F$17&gt;50</formula>
    </cfRule>
    <cfRule type="expression" dxfId="409" priority="34">
      <formula>$F$17&lt;3</formula>
    </cfRule>
  </conditionalFormatting>
  <conditionalFormatting sqref="I44:Q47">
    <cfRule type="expression" dxfId="408" priority="35">
      <formula>$F$17&gt;50</formula>
    </cfRule>
    <cfRule type="expression" dxfId="407" priority="36">
      <formula>$F$17&lt;3</formula>
    </cfRule>
  </conditionalFormatting>
  <conditionalFormatting sqref="K48:W48">
    <cfRule type="cellIs" dxfId="406" priority="347" operator="lessThan">
      <formula>3</formula>
    </cfRule>
    <cfRule type="cellIs" dxfId="405" priority="348" operator="lessThanOrEqual">
      <formula>20</formula>
    </cfRule>
    <cfRule type="cellIs" dxfId="404" priority="349" operator="lessThanOrEqual">
      <formula>30</formula>
    </cfRule>
    <cfRule type="cellIs" dxfId="403" priority="350" operator="lessThanOrEqual">
      <formula>40</formula>
    </cfRule>
    <cfRule type="cellIs" dxfId="402" priority="351" operator="greaterThan">
      <formula>40</formula>
    </cfRule>
  </conditionalFormatting>
  <conditionalFormatting sqref="K49:W49">
    <cfRule type="cellIs" dxfId="401" priority="332" operator="equal">
      <formula>"&lt;15"</formula>
    </cfRule>
    <cfRule type="cellIs" dxfId="400" priority="333" operator="lessThanOrEqual">
      <formula>40</formula>
    </cfRule>
    <cfRule type="cellIs" dxfId="399" priority="334" operator="lessThanOrEqual">
      <formula>45</formula>
    </cfRule>
    <cfRule type="cellIs" dxfId="398" priority="335" operator="lessThanOrEqual">
      <formula>50</formula>
    </cfRule>
    <cfRule type="cellIs" dxfId="397" priority="336" operator="greaterThan">
      <formula>50</formula>
    </cfRule>
  </conditionalFormatting>
  <conditionalFormatting sqref="K50:W50">
    <cfRule type="cellIs" dxfId="396" priority="342" operator="equal">
      <formula>"&lt;5"</formula>
    </cfRule>
    <cfRule type="cellIs" dxfId="395" priority="343" operator="lessThanOrEqual">
      <formula>25</formula>
    </cfRule>
    <cfRule type="cellIs" dxfId="394" priority="344" operator="lessThanOrEqual">
      <formula>30</formula>
    </cfRule>
    <cfRule type="cellIs" dxfId="393" priority="345" operator="lessThanOrEqual">
      <formula>35</formula>
    </cfRule>
    <cfRule type="cellIs" dxfId="392" priority="346" operator="greaterThan">
      <formula>35</formula>
    </cfRule>
  </conditionalFormatting>
  <conditionalFormatting sqref="K58:W78">
    <cfRule type="expression" dxfId="391" priority="27">
      <formula>$F$48&gt;50</formula>
    </cfRule>
    <cfRule type="expression" dxfId="390" priority="28">
      <formula>$F$48&lt;3</formula>
    </cfRule>
  </conditionalFormatting>
  <conditionalFormatting sqref="L79:AB79">
    <cfRule type="cellIs" dxfId="389" priority="205" operator="lessThan">
      <formula>3</formula>
    </cfRule>
    <cfRule type="cellIs" dxfId="388" priority="206" operator="lessThanOrEqual">
      <formula>20</formula>
    </cfRule>
    <cfRule type="cellIs" dxfId="387" priority="207" operator="lessThanOrEqual">
      <formula>30</formula>
    </cfRule>
    <cfRule type="cellIs" dxfId="386" priority="208" operator="lessThanOrEqual">
      <formula>40</formula>
    </cfRule>
    <cfRule type="cellIs" dxfId="385" priority="209" operator="greaterThan">
      <formula>40</formula>
    </cfRule>
  </conditionalFormatting>
  <conditionalFormatting sqref="L80:AB80">
    <cfRule type="cellIs" dxfId="384" priority="195" operator="equal">
      <formula>"&lt;15"</formula>
    </cfRule>
    <cfRule type="cellIs" dxfId="383" priority="196" operator="lessThanOrEqual">
      <formula>40</formula>
    </cfRule>
    <cfRule type="cellIs" dxfId="382" priority="197" operator="lessThanOrEqual">
      <formula>45</formula>
    </cfRule>
    <cfRule type="cellIs" dxfId="381" priority="198" operator="lessThanOrEqual">
      <formula>50</formula>
    </cfRule>
    <cfRule type="cellIs" dxfId="380" priority="199" operator="greaterThan">
      <formula>50</formula>
    </cfRule>
  </conditionalFormatting>
  <conditionalFormatting sqref="L81:AB81">
    <cfRule type="cellIs" dxfId="379" priority="200" operator="equal">
      <formula>"&lt;5"</formula>
    </cfRule>
    <cfRule type="cellIs" dxfId="378" priority="201" operator="lessThanOrEqual">
      <formula>25</formula>
    </cfRule>
    <cfRule type="cellIs" dxfId="377" priority="202" operator="lessThanOrEqual">
      <formula>30</formula>
    </cfRule>
    <cfRule type="cellIs" dxfId="376" priority="203" operator="lessThanOrEqual">
      <formula>35</formula>
    </cfRule>
    <cfRule type="cellIs" dxfId="375" priority="204" operator="greaterThan">
      <formula>35</formula>
    </cfRule>
  </conditionalFormatting>
  <conditionalFormatting sqref="L89:AB92">
    <cfRule type="expression" dxfId="374" priority="19">
      <formula>$F$79&gt;50</formula>
    </cfRule>
    <cfRule type="expression" dxfId="373" priority="20">
      <formula>$F$79&lt;3</formula>
    </cfRule>
  </conditionalFormatting>
  <conditionalFormatting sqref="L96:AB99">
    <cfRule type="expression" dxfId="372" priority="17">
      <formula>$F$79&gt;50</formula>
    </cfRule>
    <cfRule type="expression" dxfId="371" priority="18">
      <formula>$F$79&lt;3</formula>
    </cfRule>
  </conditionalFormatting>
  <conditionalFormatting sqref="L106:AB109">
    <cfRule type="expression" dxfId="370" priority="15">
      <formula>$F$79&gt;50</formula>
    </cfRule>
    <cfRule type="expression" dxfId="369" priority="16">
      <formula>$F$79&lt;3</formula>
    </cfRule>
  </conditionalFormatting>
  <conditionalFormatting sqref="M110:AG110">
    <cfRule type="cellIs" dxfId="368" priority="516" operator="lessThan">
      <formula>3</formula>
    </cfRule>
    <cfRule type="cellIs" dxfId="367" priority="517" operator="lessThanOrEqual">
      <formula>20</formula>
    </cfRule>
    <cfRule type="cellIs" dxfId="366" priority="518" operator="lessThanOrEqual">
      <formula>30</formula>
    </cfRule>
    <cfRule type="cellIs" dxfId="365" priority="519" operator="lessThanOrEqual">
      <formula>40</formula>
    </cfRule>
    <cfRule type="cellIs" dxfId="364" priority="520" operator="greaterThan">
      <formula>40</formula>
    </cfRule>
  </conditionalFormatting>
  <conditionalFormatting sqref="M111:AG111">
    <cfRule type="cellIs" dxfId="363" priority="466" operator="equal">
      <formula>"&lt;15"</formula>
    </cfRule>
    <cfRule type="cellIs" dxfId="362" priority="467" operator="lessThanOrEqual">
      <formula>40</formula>
    </cfRule>
    <cfRule type="cellIs" dxfId="361" priority="468" operator="lessThanOrEqual">
      <formula>45</formula>
    </cfRule>
    <cfRule type="cellIs" dxfId="360" priority="469" operator="lessThanOrEqual">
      <formula>50</formula>
    </cfRule>
    <cfRule type="cellIs" dxfId="359" priority="470" operator="greaterThan">
      <formula>50</formula>
    </cfRule>
  </conditionalFormatting>
  <conditionalFormatting sqref="M112:AG112">
    <cfRule type="cellIs" dxfId="358" priority="511" operator="equal">
      <formula>"&lt;5"</formula>
    </cfRule>
    <cfRule type="cellIs" dxfId="357" priority="512" operator="lessThanOrEqual">
      <formula>25</formula>
    </cfRule>
    <cfRule type="cellIs" dxfId="356" priority="513" operator="lessThanOrEqual">
      <formula>30</formula>
    </cfRule>
    <cfRule type="cellIs" dxfId="355" priority="514" operator="lessThanOrEqual">
      <formula>35</formula>
    </cfRule>
    <cfRule type="cellIs" dxfId="354" priority="515" operator="greaterThan">
      <formula>35</formula>
    </cfRule>
  </conditionalFormatting>
  <conditionalFormatting sqref="M120:AG123">
    <cfRule type="expression" dxfId="353" priority="13">
      <formula>$F$110&gt;50</formula>
    </cfRule>
    <cfRule type="expression" dxfId="352" priority="14">
      <formula>$F$110&lt;3</formula>
    </cfRule>
  </conditionalFormatting>
  <conditionalFormatting sqref="M127:AG130">
    <cfRule type="expression" dxfId="351" priority="11">
      <formula>$F$110&gt;50</formula>
    </cfRule>
    <cfRule type="expression" dxfId="350" priority="12">
      <formula>$F$110&lt;3</formula>
    </cfRule>
  </conditionalFormatting>
  <conditionalFormatting sqref="M137:AG140">
    <cfRule type="expression" dxfId="349" priority="9">
      <formula>$F$110&gt;50</formula>
    </cfRule>
    <cfRule type="expression" dxfId="348" priority="10">
      <formula>$F$110&lt;3</formula>
    </cfRule>
  </conditionalFormatting>
  <conditionalFormatting sqref="X57">
    <cfRule type="expression" dxfId="346" priority="315">
      <formula>IF(X57&gt;$F$13,TRUE,FALSE)</formula>
    </cfRule>
  </conditionalFormatting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2063" r:id="rId4">
          <objectPr defaultSize="0" autoPict="0" r:id="rId5">
            <anchor moveWithCells="1">
              <from>
                <xdr:col>3</xdr:col>
                <xdr:colOff>28575</xdr:colOff>
                <xdr:row>15</xdr:row>
                <xdr:rowOff>19050</xdr:rowOff>
              </from>
              <to>
                <xdr:col>3</xdr:col>
                <xdr:colOff>152400</xdr:colOff>
                <xdr:row>15</xdr:row>
                <xdr:rowOff>180975</xdr:rowOff>
              </to>
            </anchor>
          </objectPr>
        </oleObject>
      </mc:Choice>
      <mc:Fallback>
        <oleObject progId="Equation.3" shapeId="2063" r:id="rId4"/>
      </mc:Fallback>
    </mc:AlternateContent>
    <mc:AlternateContent xmlns:mc="http://schemas.openxmlformats.org/markup-compatibility/2006">
      <mc:Choice Requires="x14">
        <oleObject progId="Equation.3" shapeId="2064" r:id="rId6">
          <objectPr defaultSize="0" autoPict="0" r:id="rId5">
            <anchor moveWithCells="1">
              <from>
                <xdr:col>3</xdr:col>
                <xdr:colOff>28575</xdr:colOff>
                <xdr:row>15</xdr:row>
                <xdr:rowOff>19050</xdr:rowOff>
              </from>
              <to>
                <xdr:col>3</xdr:col>
                <xdr:colOff>152400</xdr:colOff>
                <xdr:row>15</xdr:row>
                <xdr:rowOff>180975</xdr:rowOff>
              </to>
            </anchor>
          </objectPr>
        </oleObject>
      </mc:Choice>
      <mc:Fallback>
        <oleObject progId="Equation.3" shapeId="2064" r:id="rId6"/>
      </mc:Fallback>
    </mc:AlternateContent>
    <mc:AlternateContent xmlns:mc="http://schemas.openxmlformats.org/markup-compatibility/2006">
      <mc:Choice Requires="x14">
        <oleObject progId="Equation.3" shapeId="2065" r:id="rId7">
          <objectPr defaultSize="0" autoPict="0" r:id="rId5">
            <anchor moveWithCells="1">
              <from>
                <xdr:col>3</xdr:col>
                <xdr:colOff>28575</xdr:colOff>
                <xdr:row>15</xdr:row>
                <xdr:rowOff>19050</xdr:rowOff>
              </from>
              <to>
                <xdr:col>3</xdr:col>
                <xdr:colOff>152400</xdr:colOff>
                <xdr:row>15</xdr:row>
                <xdr:rowOff>180975</xdr:rowOff>
              </to>
            </anchor>
          </objectPr>
        </oleObject>
      </mc:Choice>
      <mc:Fallback>
        <oleObject progId="Equation.3" shapeId="2065" r:id="rId7"/>
      </mc:Fallback>
    </mc:AlternateContent>
  </oleObjec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50" id="{2F716A3E-A5E3-48A7-A502-A2B55C82EBB9}">
            <xm:f>IF('DN 950'!R26&gt;'DN 950'!$F$13,TRUE,FALSE)</xm:f>
            <x14:dxf>
              <font>
                <color rgb="FFFF0000"/>
              </font>
            </x14:dxf>
          </x14:cfRule>
          <xm:sqref>R26:V26 Y57:AC57 AC88:AH88 AH119</xm:sqref>
        </x14:conditionalFormatting>
        <x14:conditionalFormatting xmlns:xm="http://schemas.microsoft.com/office/excel/2006/main">
          <x14:cfRule type="expression" priority="764" id="{2F716A3E-A5E3-48A7-A502-A2B55C82EBB9}">
            <xm:f>IF('DN 950'!AJ119&gt;'DN 950'!$F$13,TRUE,FALSE)</xm:f>
            <x14:dxf>
              <font>
                <color rgb="FFFF0000"/>
              </font>
            </x14:dxf>
          </x14:cfRule>
          <xm:sqref>AI119:AL119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9"/>
  <dimension ref="A1:AW166"/>
  <sheetViews>
    <sheetView workbookViewId="0"/>
  </sheetViews>
  <sheetFormatPr defaultColWidth="8.7109375" defaultRowHeight="15" x14ac:dyDescent="0.25"/>
  <cols>
    <col min="1" max="1" width="5" customWidth="1"/>
    <col min="2" max="2" width="9.28515625" customWidth="1"/>
    <col min="3" max="3" width="9.7109375" style="2" customWidth="1"/>
    <col min="4" max="4" width="12.28515625" style="13" customWidth="1"/>
    <col min="5" max="5" width="12.28515625" style="13" hidden="1" customWidth="1"/>
    <col min="6" max="6" width="7.7109375" style="106" hidden="1" customWidth="1"/>
    <col min="7" max="8" width="5" hidden="1" customWidth="1"/>
    <col min="9" max="41" width="5" style="3" customWidth="1"/>
    <col min="42" max="49" width="5" style="2" customWidth="1"/>
  </cols>
  <sheetData>
    <row r="1" spans="1:49" ht="15.75" thickBot="1" x14ac:dyDescent="0.3"/>
    <row r="2" spans="1:49" hidden="1" x14ac:dyDescent="0.25">
      <c r="C2" s="2" t="s">
        <v>62</v>
      </c>
      <c r="D2" s="43" t="s">
        <v>69</v>
      </c>
      <c r="E2" s="43"/>
      <c r="F2" s="93">
        <v>7</v>
      </c>
      <c r="G2" s="260"/>
      <c r="H2" s="260"/>
    </row>
    <row r="3" spans="1:49" hidden="1" x14ac:dyDescent="0.25">
      <c r="D3" s="43" t="s">
        <v>70</v>
      </c>
      <c r="E3" s="43"/>
      <c r="F3" s="93">
        <v>21</v>
      </c>
      <c r="G3" s="260"/>
      <c r="H3" s="260"/>
    </row>
    <row r="4" spans="1:49" hidden="1" x14ac:dyDescent="0.25">
      <c r="D4" s="43" t="s">
        <v>78</v>
      </c>
      <c r="E4" s="43"/>
      <c r="F4" s="93">
        <f>SQRT(ABS(12/F14))</f>
        <v>1</v>
      </c>
      <c r="G4" s="260" t="s">
        <v>85</v>
      </c>
      <c r="H4" s="260"/>
    </row>
    <row r="5" spans="1:49" hidden="1" x14ac:dyDescent="0.25">
      <c r="D5" s="43" t="s">
        <v>81</v>
      </c>
      <c r="E5" s="43"/>
      <c r="F5" s="93">
        <f>SQRT(1.209*F13^-0.199)</f>
        <v>1.0037328076321883</v>
      </c>
      <c r="G5" s="260" t="s">
        <v>86</v>
      </c>
      <c r="H5" s="260"/>
    </row>
    <row r="6" spans="1:49" hidden="1" x14ac:dyDescent="0.25">
      <c r="D6" s="43" t="s">
        <v>82</v>
      </c>
      <c r="E6" s="43"/>
      <c r="F6" s="93">
        <f>SQRT(2.5/F13)</f>
        <v>1</v>
      </c>
      <c r="G6" s="260" t="s">
        <v>87</v>
      </c>
      <c r="H6" s="260"/>
    </row>
    <row r="7" spans="1:49" hidden="1" x14ac:dyDescent="0.25">
      <c r="D7" s="43" t="s">
        <v>83</v>
      </c>
      <c r="E7" s="43"/>
      <c r="F7" s="277">
        <f>SQRT(195/145)</f>
        <v>1.1596670152276025</v>
      </c>
      <c r="G7" s="260" t="s">
        <v>84</v>
      </c>
      <c r="H7" s="260"/>
    </row>
    <row r="8" spans="1:49" hidden="1" x14ac:dyDescent="0.25">
      <c r="D8" s="43" t="s">
        <v>91</v>
      </c>
      <c r="E8" s="43"/>
      <c r="F8" s="277">
        <f>SQRT(19.92*F9^2.153)</f>
        <v>0.94595466606773282</v>
      </c>
      <c r="G8" s="260" t="s">
        <v>92</v>
      </c>
      <c r="H8" s="260"/>
    </row>
    <row r="9" spans="1:49" hidden="1" x14ac:dyDescent="0.25">
      <c r="D9" s="43" t="s">
        <v>52</v>
      </c>
      <c r="E9" s="43"/>
      <c r="F9" s="276">
        <f>0.679-4.915*10^-3*F15</f>
        <v>0.23665000000000003</v>
      </c>
      <c r="G9" s="260" t="s">
        <v>90</v>
      </c>
      <c r="H9" s="260"/>
    </row>
    <row r="10" spans="1:49" hidden="1" x14ac:dyDescent="0.25">
      <c r="D10" s="43" t="s">
        <v>94</v>
      </c>
      <c r="E10" s="43"/>
      <c r="F10" s="277">
        <v>1.9</v>
      </c>
      <c r="G10" s="260"/>
      <c r="H10" s="260"/>
    </row>
    <row r="11" spans="1:49" ht="15.75" hidden="1" thickBot="1" x14ac:dyDescent="0.3">
      <c r="F11"/>
      <c r="G11" s="260"/>
      <c r="H11" s="260"/>
    </row>
    <row r="12" spans="1:49" ht="16.5" hidden="1" thickTop="1" thickBot="1" x14ac:dyDescent="0.3">
      <c r="F12" s="240" t="s">
        <v>41</v>
      </c>
    </row>
    <row r="13" spans="1:49" ht="16.5" hidden="1" thickTop="1" thickBot="1" x14ac:dyDescent="0.3">
      <c r="E13" s="125" t="s">
        <v>54</v>
      </c>
      <c r="F13" s="376">
        <v>2.5</v>
      </c>
      <c r="G13" s="152" t="s">
        <v>32</v>
      </c>
      <c r="H13" s="123" t="s">
        <v>102</v>
      </c>
    </row>
    <row r="14" spans="1:49" ht="16.5" thickTop="1" thickBot="1" x14ac:dyDescent="0.3">
      <c r="B14" s="299" t="s">
        <v>63</v>
      </c>
      <c r="C14" s="139" t="s">
        <v>115</v>
      </c>
      <c r="D14"/>
      <c r="E14" s="132" t="s">
        <v>53</v>
      </c>
      <c r="F14" s="364">
        <v>-12</v>
      </c>
      <c r="G14" s="153" t="s">
        <v>34</v>
      </c>
      <c r="H14" s="123" t="s">
        <v>100</v>
      </c>
    </row>
    <row r="15" spans="1:49" ht="16.5" thickTop="1" thickBot="1" x14ac:dyDescent="0.3">
      <c r="A15" s="2"/>
      <c r="B15" s="300" t="s">
        <v>64</v>
      </c>
      <c r="C15" s="242" t="s">
        <v>33</v>
      </c>
      <c r="D15" s="241" t="s">
        <v>154</v>
      </c>
      <c r="E15" s="13" t="s">
        <v>88</v>
      </c>
      <c r="F15" s="372">
        <v>90</v>
      </c>
      <c r="G15" s="153" t="s">
        <v>89</v>
      </c>
      <c r="H15" s="123" t="s">
        <v>101</v>
      </c>
    </row>
    <row r="16" spans="1:49" ht="16.5" thickTop="1" thickBot="1" x14ac:dyDescent="0.3">
      <c r="B16" s="301" t="s">
        <v>95</v>
      </c>
      <c r="C16" s="298">
        <v>915</v>
      </c>
      <c r="D16" s="498" t="s">
        <v>55</v>
      </c>
      <c r="E16" s="132"/>
      <c r="F16" s="372">
        <v>150</v>
      </c>
      <c r="G16" s="262" t="s">
        <v>15</v>
      </c>
      <c r="H16" s="334"/>
      <c r="I16" s="235">
        <v>50</v>
      </c>
      <c r="J16" s="202">
        <v>60</v>
      </c>
      <c r="K16" s="202">
        <v>70</v>
      </c>
      <c r="L16" s="202">
        <v>80</v>
      </c>
      <c r="M16" s="202">
        <v>90</v>
      </c>
      <c r="N16" s="202">
        <v>100</v>
      </c>
      <c r="O16" s="202">
        <v>110</v>
      </c>
      <c r="P16" s="202">
        <v>120</v>
      </c>
      <c r="Q16" s="202">
        <v>130</v>
      </c>
      <c r="R16" s="202">
        <v>140</v>
      </c>
      <c r="S16" s="202">
        <v>150</v>
      </c>
      <c r="T16" s="202">
        <v>160</v>
      </c>
      <c r="U16" s="202">
        <v>170</v>
      </c>
      <c r="V16" s="202">
        <v>180</v>
      </c>
      <c r="W16" s="202">
        <v>190</v>
      </c>
      <c r="X16" s="202">
        <v>200</v>
      </c>
      <c r="Y16" s="202">
        <v>210</v>
      </c>
      <c r="Z16" s="202">
        <v>220</v>
      </c>
      <c r="AA16" s="202">
        <v>230</v>
      </c>
      <c r="AB16" s="202">
        <v>240</v>
      </c>
      <c r="AC16" s="202">
        <v>250</v>
      </c>
      <c r="AD16" s="202">
        <v>260</v>
      </c>
      <c r="AE16" s="202">
        <v>270</v>
      </c>
      <c r="AF16" s="202">
        <v>280</v>
      </c>
      <c r="AG16" s="202">
        <v>290</v>
      </c>
      <c r="AH16" s="202">
        <v>300</v>
      </c>
      <c r="AI16" s="202">
        <v>320</v>
      </c>
      <c r="AJ16" s="202">
        <v>340</v>
      </c>
      <c r="AK16" s="202">
        <v>360</v>
      </c>
      <c r="AL16" s="202">
        <v>380</v>
      </c>
      <c r="AM16" s="203">
        <v>400</v>
      </c>
      <c r="AN16" s="12"/>
      <c r="AO16" s="12"/>
      <c r="AP16" s="12"/>
      <c r="AQ16" s="12"/>
      <c r="AR16" s="12"/>
      <c r="AS16" s="12"/>
      <c r="AT16" s="12"/>
      <c r="AU16" s="12"/>
      <c r="AV16" s="12"/>
      <c r="AW16" s="12"/>
    </row>
    <row r="17" spans="2:49" ht="15.75" thickTop="1" x14ac:dyDescent="0.25">
      <c r="B17" s="139"/>
      <c r="C17" s="139"/>
      <c r="D17" s="125" t="s">
        <v>22</v>
      </c>
      <c r="E17" s="125"/>
      <c r="F17" s="218">
        <f>1.359*10^-3*(F$16/($C$16*10^-3*$B35*10^-3)*(0.507*0.171))^2.0302</f>
        <v>32.54169092994605</v>
      </c>
      <c r="G17" s="149" t="s">
        <v>6</v>
      </c>
      <c r="I17" s="169">
        <f t="shared" ref="I17:V17" si="0">1.359*10^-3*(I$16/($C$16*10^-3*$B35*10^-3)*(0.507*0.171))^2.0302</f>
        <v>3.4977482231880304</v>
      </c>
      <c r="J17" s="206">
        <f t="shared" si="0"/>
        <v>5.0645668776825374</v>
      </c>
      <c r="K17" s="206">
        <f t="shared" si="0"/>
        <v>6.9256044359379958</v>
      </c>
      <c r="L17" s="206">
        <f t="shared" si="0"/>
        <v>9.0822391509442379</v>
      </c>
      <c r="M17" s="206">
        <f t="shared" si="0"/>
        <v>11.535668958300095</v>
      </c>
      <c r="N17" s="206">
        <f t="shared" si="0"/>
        <v>14.286953849261099</v>
      </c>
      <c r="O17" s="206">
        <f t="shared" si="0"/>
        <v>17.337044792829015</v>
      </c>
      <c r="P17" s="206">
        <f t="shared" si="0"/>
        <v>20.686804375529533</v>
      </c>
      <c r="Q17" s="206">
        <f t="shared" si="0"/>
        <v>24.337022056115945</v>
      </c>
      <c r="R17" s="206">
        <f t="shared" si="0"/>
        <v>28.288425764476479</v>
      </c>
      <c r="S17" s="206">
        <f t="shared" si="0"/>
        <v>32.54169092994605</v>
      </c>
      <c r="T17" s="206">
        <f t="shared" si="0"/>
        <v>37.097447648540246</v>
      </c>
      <c r="U17" s="206">
        <f t="shared" si="0"/>
        <v>41.956286469156026</v>
      </c>
      <c r="V17" s="207">
        <f t="shared" si="0"/>
        <v>47.118763133091171</v>
      </c>
      <c r="W17" s="126"/>
      <c r="X17" s="126"/>
      <c r="Y17" s="126"/>
      <c r="Z17" s="126"/>
      <c r="AA17" s="126"/>
      <c r="AB17" s="126"/>
      <c r="AC17" s="126"/>
      <c r="AD17" s="126"/>
      <c r="AE17" s="126"/>
      <c r="AF17" s="75"/>
      <c r="AG17" s="75"/>
      <c r="AH17" s="170"/>
      <c r="AI17" s="155" t="s">
        <v>14</v>
      </c>
      <c r="AJ17" s="156" t="s">
        <v>20</v>
      </c>
      <c r="AK17" s="157" t="s">
        <v>21</v>
      </c>
      <c r="AL17" s="158" t="s">
        <v>18</v>
      </c>
      <c r="AM17" s="152" t="s">
        <v>6</v>
      </c>
      <c r="AQ17"/>
      <c r="AR17" s="12"/>
      <c r="AS17" s="43"/>
      <c r="AT17" s="3"/>
      <c r="AU17" s="3"/>
      <c r="AV17" s="3"/>
      <c r="AW17" s="3"/>
    </row>
    <row r="18" spans="2:49" x14ac:dyDescent="0.25">
      <c r="B18" s="147" t="s">
        <v>38</v>
      </c>
      <c r="C18" s="147" t="s">
        <v>117</v>
      </c>
      <c r="D18" s="132" t="s">
        <v>46</v>
      </c>
      <c r="E18" s="132"/>
      <c r="F18" s="229">
        <f>IF(-114.08+32.01*LN(F$16/($C$16*$B35)*(507*171))+10*LOG($C$16*$B35/(507*171))&lt;15,"&lt;15",-114.08+32.01*LN(F$16/($C$16*$B35)*(507*171))+10*LOG($C$16*$B35/(507*171)))</f>
        <v>45.09669988973247</v>
      </c>
      <c r="G18" s="136" t="s">
        <v>49</v>
      </c>
      <c r="I18" s="230" t="str">
        <f t="shared" ref="I18:V18" si="1">IF(-114.08+32.01*LN(I$16/($C$16*$B35)*(507*171))+10*LOG($C$16*$B35/(507*171))&lt;15,"&lt;15",-114.08+32.01*LN(I$16/($C$16*$B35)*(507*171))+10*LOG($C$16*$B35/(507*171)))</f>
        <v>&lt;15</v>
      </c>
      <c r="J18" s="231">
        <f t="shared" si="1"/>
        <v>15.766233562440766</v>
      </c>
      <c r="K18" s="231">
        <f t="shared" si="1"/>
        <v>20.700596823711301</v>
      </c>
      <c r="L18" s="231">
        <f t="shared" si="1"/>
        <v>24.974936701622291</v>
      </c>
      <c r="M18" s="231">
        <f t="shared" si="1"/>
        <v>28.745171672983112</v>
      </c>
      <c r="N18" s="231">
        <f t="shared" si="1"/>
        <v>32.117761779190126</v>
      </c>
      <c r="O18" s="231">
        <f t="shared" si="1"/>
        <v>35.168640634726565</v>
      </c>
      <c r="P18" s="231">
        <f t="shared" si="1"/>
        <v>37.953874812164635</v>
      </c>
      <c r="Q18" s="231">
        <f t="shared" si="1"/>
        <v>40.516041884794539</v>
      </c>
      <c r="R18" s="231">
        <f t="shared" si="1"/>
        <v>42.888238073435168</v>
      </c>
      <c r="S18" s="231">
        <f t="shared" si="1"/>
        <v>45.09669988973247</v>
      </c>
      <c r="T18" s="231">
        <f t="shared" si="1"/>
        <v>47.16257795134613</v>
      </c>
      <c r="U18" s="231">
        <f t="shared" si="1"/>
        <v>49.103172095690191</v>
      </c>
      <c r="V18" s="232">
        <f t="shared" si="1"/>
        <v>50.932812922706979</v>
      </c>
      <c r="AF18"/>
      <c r="AG18"/>
      <c r="AH18" s="171"/>
      <c r="AI18" s="163" t="s">
        <v>19</v>
      </c>
      <c r="AJ18" s="9" t="s">
        <v>47</v>
      </c>
      <c r="AK18" s="10" t="s">
        <v>18</v>
      </c>
      <c r="AL18" s="11" t="s">
        <v>48</v>
      </c>
      <c r="AM18" s="153" t="s">
        <v>49</v>
      </c>
      <c r="AQ18"/>
      <c r="AR18" s="12"/>
      <c r="AS18" s="43"/>
      <c r="AT18" s="3"/>
      <c r="AU18" s="3"/>
      <c r="AV18" s="3"/>
      <c r="AW18" s="3"/>
    </row>
    <row r="19" spans="2:49" x14ac:dyDescent="0.25">
      <c r="B19" s="242" t="s">
        <v>33</v>
      </c>
      <c r="C19" s="242" t="s">
        <v>35</v>
      </c>
      <c r="D19" s="132" t="s">
        <v>23</v>
      </c>
      <c r="E19" s="132"/>
      <c r="F19" s="229">
        <f>IF(-15-114.08+32.01*LN(F$16/($C$16*$B35)*(507*171))+10*LOG($C$16*$B35/(507*171))&lt;5,"&lt;5",-15-114.08+32.01*LN(F$16/($C$16*$B35)*(507*171))+10*LOG($C$16*$B35/(507*171)))</f>
        <v>30.096699889732484</v>
      </c>
      <c r="G19" s="136" t="s">
        <v>42</v>
      </c>
      <c r="I19" s="230" t="str">
        <f t="shared" ref="I19:V19" si="2">IF(-15-114.08+32.01*LN(I$16/($C$16*$B35)*(507*171))+10*LOG($C$16*$B35/(507*171))&lt;5,"&lt;5",-15-114.08+32.01*LN(I$16/($C$16*$B35)*(507*171))+10*LOG($C$16*$B35/(507*171)))</f>
        <v>&lt;5</v>
      </c>
      <c r="J19" s="231" t="str">
        <f t="shared" si="2"/>
        <v>&lt;5</v>
      </c>
      <c r="K19" s="231">
        <f t="shared" si="2"/>
        <v>5.7005968237113143</v>
      </c>
      <c r="L19" s="231">
        <f t="shared" si="2"/>
        <v>9.9749367016223029</v>
      </c>
      <c r="M19" s="231">
        <f t="shared" si="2"/>
        <v>13.745171672983124</v>
      </c>
      <c r="N19" s="231">
        <f t="shared" si="2"/>
        <v>17.11776177919014</v>
      </c>
      <c r="O19" s="231">
        <f t="shared" si="2"/>
        <v>20.168640634726579</v>
      </c>
      <c r="P19" s="231">
        <f t="shared" si="2"/>
        <v>22.953874812164649</v>
      </c>
      <c r="Q19" s="231">
        <f t="shared" si="2"/>
        <v>25.516041884794554</v>
      </c>
      <c r="R19" s="231">
        <f t="shared" si="2"/>
        <v>27.888238073435183</v>
      </c>
      <c r="S19" s="231">
        <f t="shared" si="2"/>
        <v>30.096699889732484</v>
      </c>
      <c r="T19" s="231">
        <f t="shared" si="2"/>
        <v>32.162577951346144</v>
      </c>
      <c r="U19" s="231">
        <f t="shared" si="2"/>
        <v>34.103172095690205</v>
      </c>
      <c r="V19" s="232">
        <f t="shared" si="2"/>
        <v>35.932812922706994</v>
      </c>
      <c r="AF19"/>
      <c r="AG19"/>
      <c r="AH19" s="171"/>
      <c r="AI19" s="168" t="s">
        <v>16</v>
      </c>
      <c r="AJ19" s="165" t="s">
        <v>20</v>
      </c>
      <c r="AK19" s="166" t="s">
        <v>51</v>
      </c>
      <c r="AL19" s="167" t="s">
        <v>21</v>
      </c>
      <c r="AM19" s="234" t="s">
        <v>42</v>
      </c>
      <c r="AQ19"/>
      <c r="AR19" s="13"/>
      <c r="AS19" s="12"/>
      <c r="AT19" s="3"/>
      <c r="AU19" s="3"/>
      <c r="AV19" s="3"/>
      <c r="AW19" s="3"/>
    </row>
    <row r="20" spans="2:49" hidden="1" x14ac:dyDescent="0.25">
      <c r="B20" s="242"/>
      <c r="D20" s="43" t="s">
        <v>71</v>
      </c>
      <c r="E20" s="43"/>
      <c r="F20" s="106">
        <f>1.075*0.707*F31</f>
        <v>2.9998823876048228</v>
      </c>
      <c r="G20" s="136"/>
      <c r="I20" s="264">
        <f t="shared" ref="I20:V20" si="3">1.075*0.707*I31</f>
        <v>1.6725700062164079</v>
      </c>
      <c r="J20" s="231">
        <f t="shared" si="3"/>
        <v>1.8353390322662055</v>
      </c>
      <c r="K20" s="231">
        <f t="shared" si="3"/>
        <v>1.9864088607295323</v>
      </c>
      <c r="L20" s="231">
        <f t="shared" si="3"/>
        <v>2.1285357687046065</v>
      </c>
      <c r="M20" s="231">
        <f t="shared" si="3"/>
        <v>2.2636565365051995</v>
      </c>
      <c r="N20" s="106">
        <f t="shared" si="3"/>
        <v>2.3931999228678924</v>
      </c>
      <c r="O20" s="231">
        <f t="shared" si="3"/>
        <v>2.5182603790958331</v>
      </c>
      <c r="P20" s="231">
        <f t="shared" si="3"/>
        <v>2.6397019142204603</v>
      </c>
      <c r="Q20" s="231">
        <f t="shared" si="3"/>
        <v>2.7582236740038972</v>
      </c>
      <c r="R20" s="231">
        <f t="shared" si="3"/>
        <v>2.8744032049259514</v>
      </c>
      <c r="S20" s="231">
        <f t="shared" si="3"/>
        <v>2.9887260482015763</v>
      </c>
      <c r="T20" s="231">
        <f t="shared" si="3"/>
        <v>3.1016066073401922</v>
      </c>
      <c r="U20" s="231">
        <f t="shared" si="3"/>
        <v>3.2134032481337549</v>
      </c>
      <c r="V20" s="232">
        <f t="shared" si="3"/>
        <v>3.3244294718019884</v>
      </c>
      <c r="AF20"/>
      <c r="AG20"/>
      <c r="AH20"/>
      <c r="AI20" s="251"/>
      <c r="AJ20" s="90"/>
      <c r="AK20" s="90"/>
      <c r="AL20" s="90"/>
      <c r="AM20" s="153"/>
      <c r="AQ20"/>
      <c r="AR20" s="13"/>
      <c r="AS20" s="12"/>
      <c r="AT20" s="3"/>
      <c r="AU20" s="3"/>
      <c r="AV20" s="3"/>
      <c r="AW20" s="3"/>
    </row>
    <row r="21" spans="2:49" hidden="1" x14ac:dyDescent="0.25">
      <c r="B21" s="242"/>
      <c r="D21" s="43" t="s">
        <v>72</v>
      </c>
      <c r="E21" s="43"/>
      <c r="F21" s="106">
        <f>1.075*0.707*F32</f>
        <v>7.4164827820242927</v>
      </c>
      <c r="G21" s="136"/>
      <c r="I21" s="264">
        <f t="shared" ref="I21:V21" si="4">1.075*0.707*I32</f>
        <v>3.1012459363549731</v>
      </c>
      <c r="J21" s="231">
        <f t="shared" si="4"/>
        <v>3.4670164453341084</v>
      </c>
      <c r="K21" s="231">
        <f t="shared" si="4"/>
        <v>3.8343194232537714</v>
      </c>
      <c r="L21" s="231">
        <f t="shared" si="4"/>
        <v>4.2099535501262197</v>
      </c>
      <c r="M21" s="231">
        <f t="shared" si="4"/>
        <v>4.599137430102135</v>
      </c>
      <c r="N21" s="106">
        <f t="shared" si="4"/>
        <v>5.006085280851253</v>
      </c>
      <c r="O21" s="231">
        <f t="shared" si="4"/>
        <v>5.4343318554368327</v>
      </c>
      <c r="P21" s="231">
        <f t="shared" si="4"/>
        <v>5.8869293096925572</v>
      </c>
      <c r="Q21" s="231">
        <f t="shared" si="4"/>
        <v>6.3665733222190708</v>
      </c>
      <c r="R21" s="231">
        <f t="shared" si="4"/>
        <v>6.8756876199623997</v>
      </c>
      <c r="S21" s="231">
        <f t="shared" si="4"/>
        <v>7.4164827820242927</v>
      </c>
      <c r="T21" s="231">
        <f t="shared" si="4"/>
        <v>7.9909984559114422</v>
      </c>
      <c r="U21" s="231">
        <f t="shared" si="4"/>
        <v>8.6011344908799181</v>
      </c>
      <c r="V21" s="232">
        <f t="shared" si="4"/>
        <v>9.2486744379595187</v>
      </c>
      <c r="AF21"/>
      <c r="AG21"/>
      <c r="AH21"/>
      <c r="AI21" s="251"/>
      <c r="AJ21" s="90"/>
      <c r="AK21" s="90"/>
      <c r="AL21" s="90"/>
      <c r="AM21" s="153"/>
      <c r="AQ21"/>
      <c r="AR21" s="13"/>
      <c r="AS21" s="12"/>
      <c r="AT21" s="3"/>
      <c r="AU21" s="3"/>
      <c r="AV21" s="3"/>
      <c r="AW21" s="3"/>
    </row>
    <row r="22" spans="2:49" hidden="1" x14ac:dyDescent="0.25">
      <c r="B22" s="242"/>
      <c r="D22" s="43" t="s">
        <v>79</v>
      </c>
      <c r="E22" s="43"/>
      <c r="F22" s="106">
        <f>1.075*0.707*F33</f>
        <v>7.1894919507812851</v>
      </c>
      <c r="G22" s="136"/>
      <c r="I22" s="264">
        <f t="shared" ref="I22:V22" si="5">1.075*0.707*I33</f>
        <v>2.5081837889285459</v>
      </c>
      <c r="J22" s="231">
        <f t="shared" si="5"/>
        <v>3.0098205467142547</v>
      </c>
      <c r="K22" s="231">
        <f t="shared" si="5"/>
        <v>3.5114573044999644</v>
      </c>
      <c r="L22" s="231">
        <f t="shared" si="5"/>
        <v>4.0130940622856723</v>
      </c>
      <c r="M22" s="231">
        <f t="shared" si="5"/>
        <v>4.5147308200713816</v>
      </c>
      <c r="N22" s="106">
        <f t="shared" si="5"/>
        <v>5.0163675778570918</v>
      </c>
      <c r="O22" s="231">
        <f t="shared" si="5"/>
        <v>5.5180043356428001</v>
      </c>
      <c r="P22" s="231">
        <f t="shared" si="5"/>
        <v>6.0196410934285094</v>
      </c>
      <c r="Q22" s="231">
        <f t="shared" si="5"/>
        <v>6.5212778512142178</v>
      </c>
      <c r="R22" s="231">
        <f t="shared" si="5"/>
        <v>6.7392542408275924</v>
      </c>
      <c r="S22" s="231">
        <f t="shared" si="5"/>
        <v>6.8098014322706311</v>
      </c>
      <c r="T22" s="231">
        <f t="shared" si="5"/>
        <v>6.8803486237136715</v>
      </c>
      <c r="U22" s="231">
        <f t="shared" si="5"/>
        <v>6.950895815156712</v>
      </c>
      <c r="V22" s="232">
        <f t="shared" si="5"/>
        <v>7.0214430065997524</v>
      </c>
      <c r="AF22"/>
      <c r="AG22"/>
      <c r="AH22"/>
      <c r="AI22" s="251"/>
      <c r="AJ22" s="90"/>
      <c r="AK22" s="90"/>
      <c r="AL22" s="90"/>
      <c r="AM22" s="153"/>
      <c r="AQ22"/>
      <c r="AR22" s="13"/>
      <c r="AS22" s="12"/>
      <c r="AT22" s="3"/>
      <c r="AU22" s="3"/>
      <c r="AV22" s="3"/>
      <c r="AW22" s="3"/>
    </row>
    <row r="23" spans="2:49" hidden="1" x14ac:dyDescent="0.25">
      <c r="B23" s="242"/>
      <c r="D23" s="43" t="s">
        <v>73</v>
      </c>
      <c r="E23" s="43"/>
      <c r="F23" s="106">
        <f>1.075*1.225*F31</f>
        <v>5.1978160181271686</v>
      </c>
      <c r="G23" s="136"/>
      <c r="I23" s="264">
        <f t="shared" ref="I23:V23" si="6">1.075*1.225*I31</f>
        <v>2.8980173375036773</v>
      </c>
      <c r="J23" s="231">
        <f t="shared" si="6"/>
        <v>3.1800428776889702</v>
      </c>
      <c r="K23" s="231">
        <f t="shared" si="6"/>
        <v>3.4417975309670119</v>
      </c>
      <c r="L23" s="231">
        <f t="shared" si="6"/>
        <v>3.6880570249832294</v>
      </c>
      <c r="M23" s="231">
        <f t="shared" si="6"/>
        <v>3.9221771672119794</v>
      </c>
      <c r="N23" s="106">
        <f t="shared" si="6"/>
        <v>4.1466335297215968</v>
      </c>
      <c r="O23" s="231">
        <f t="shared" si="6"/>
        <v>4.3633224390274341</v>
      </c>
      <c r="P23" s="231">
        <f t="shared" si="6"/>
        <v>4.5737409404809961</v>
      </c>
      <c r="Q23" s="231">
        <f t="shared" si="6"/>
        <v>4.7791004252542777</v>
      </c>
      <c r="R23" s="231">
        <f t="shared" si="6"/>
        <v>4.9804015926934806</v>
      </c>
      <c r="S23" s="231">
        <f t="shared" si="6"/>
        <v>5.1784857270819398</v>
      </c>
      <c r="T23" s="231">
        <f t="shared" si="6"/>
        <v>5.3740708543023139</v>
      </c>
      <c r="U23" s="231">
        <f t="shared" si="6"/>
        <v>5.5677779051822487</v>
      </c>
      <c r="V23" s="232">
        <f t="shared" si="6"/>
        <v>5.7601500749044359</v>
      </c>
      <c r="AF23"/>
      <c r="AG23"/>
      <c r="AH23"/>
      <c r="AI23" s="251"/>
      <c r="AJ23" s="90"/>
      <c r="AK23" s="90"/>
      <c r="AL23" s="90"/>
      <c r="AM23" s="153"/>
      <c r="AQ23"/>
      <c r="AR23" s="13"/>
      <c r="AS23" s="12"/>
      <c r="AT23" s="3"/>
      <c r="AU23" s="3"/>
      <c r="AV23" s="3"/>
      <c r="AW23" s="3"/>
    </row>
    <row r="24" spans="2:49" hidden="1" x14ac:dyDescent="0.25">
      <c r="B24" s="242"/>
      <c r="D24" s="43" t="s">
        <v>74</v>
      </c>
      <c r="E24" s="43"/>
      <c r="F24" s="106">
        <f>1.075*1.225*F32</f>
        <v>12.850341454002489</v>
      </c>
      <c r="G24" s="136"/>
      <c r="I24" s="264">
        <f t="shared" ref="I24:V24" si="7">1.075*1.225*I32</f>
        <v>5.3734459293279242</v>
      </c>
      <c r="J24" s="231">
        <f t="shared" si="7"/>
        <v>6.0072067122125645</v>
      </c>
      <c r="K24" s="231">
        <f t="shared" si="7"/>
        <v>6.6436227630634654</v>
      </c>
      <c r="L24" s="231">
        <f t="shared" si="7"/>
        <v>7.2944739729909749</v>
      </c>
      <c r="M24" s="231">
        <f t="shared" si="7"/>
        <v>7.9688024778997386</v>
      </c>
      <c r="N24" s="106">
        <f t="shared" si="7"/>
        <v>8.6739101400888057</v>
      </c>
      <c r="O24" s="231">
        <f t="shared" si="7"/>
        <v>9.4159215316974834</v>
      </c>
      <c r="P24" s="231">
        <f t="shared" si="7"/>
        <v>10.20012504154651</v>
      </c>
      <c r="Q24" s="231">
        <f t="shared" si="7"/>
        <v>11.031191399884531</v>
      </c>
      <c r="R24" s="231">
        <f t="shared" si="7"/>
        <v>11.913320133598218</v>
      </c>
      <c r="S24" s="231">
        <f t="shared" si="7"/>
        <v>12.850341454002489</v>
      </c>
      <c r="T24" s="231">
        <f t="shared" si="7"/>
        <v>13.845789403806956</v>
      </c>
      <c r="U24" s="231">
        <f t="shared" si="7"/>
        <v>14.902955801029561</v>
      </c>
      <c r="V24" s="232">
        <f t="shared" si="7"/>
        <v>16.024930956860555</v>
      </c>
      <c r="AF24"/>
      <c r="AG24"/>
      <c r="AH24"/>
      <c r="AI24" s="251"/>
      <c r="AJ24" s="90"/>
      <c r="AK24" s="90"/>
      <c r="AL24" s="90"/>
      <c r="AM24" s="153"/>
      <c r="AQ24"/>
      <c r="AR24" s="13"/>
      <c r="AS24" s="12"/>
      <c r="AT24" s="3"/>
      <c r="AU24" s="3"/>
      <c r="AV24" s="3"/>
      <c r="AW24" s="3"/>
    </row>
    <row r="25" spans="2:49" hidden="1" x14ac:dyDescent="0.25">
      <c r="B25" s="242"/>
      <c r="D25" s="43" t="s">
        <v>80</v>
      </c>
      <c r="E25" s="43"/>
      <c r="F25" s="106">
        <f>1.075*1.225*F33</f>
        <v>12.457040508779455</v>
      </c>
      <c r="G25" s="136"/>
      <c r="I25" s="264">
        <f t="shared" ref="I25:V25" si="8">1.075*1.225*I33</f>
        <v>4.3458630006187677</v>
      </c>
      <c r="J25" s="231">
        <f t="shared" si="8"/>
        <v>5.2150356007425209</v>
      </c>
      <c r="K25" s="231">
        <f t="shared" si="8"/>
        <v>6.084208200866275</v>
      </c>
      <c r="L25" s="231">
        <f t="shared" si="8"/>
        <v>6.9533808009900273</v>
      </c>
      <c r="M25" s="231">
        <f t="shared" si="8"/>
        <v>7.8225534011137814</v>
      </c>
      <c r="N25" s="106">
        <f t="shared" si="8"/>
        <v>8.6917260012375355</v>
      </c>
      <c r="O25" s="231">
        <f t="shared" si="8"/>
        <v>9.5608986013612878</v>
      </c>
      <c r="P25" s="231">
        <f t="shared" si="8"/>
        <v>10.430071201485042</v>
      </c>
      <c r="Q25" s="231">
        <f t="shared" si="8"/>
        <v>11.299243801608794</v>
      </c>
      <c r="R25" s="231">
        <f t="shared" si="8"/>
        <v>11.676925664800285</v>
      </c>
      <c r="S25" s="231">
        <f t="shared" si="8"/>
        <v>11.79916089749862</v>
      </c>
      <c r="T25" s="231">
        <f t="shared" si="8"/>
        <v>11.921396130196957</v>
      </c>
      <c r="U25" s="231">
        <f t="shared" si="8"/>
        <v>12.043631362895294</v>
      </c>
      <c r="V25" s="232">
        <f t="shared" si="8"/>
        <v>12.165866595593631</v>
      </c>
      <c r="AF25"/>
      <c r="AG25"/>
      <c r="AH25"/>
      <c r="AI25" s="251"/>
      <c r="AJ25" s="90"/>
      <c r="AK25" s="90"/>
      <c r="AL25" s="90"/>
      <c r="AM25" s="153"/>
      <c r="AQ25"/>
      <c r="AR25" s="13"/>
      <c r="AS25" s="12"/>
      <c r="AT25" s="3"/>
      <c r="AU25" s="3"/>
      <c r="AV25" s="3"/>
      <c r="AW25" s="3"/>
    </row>
    <row r="26" spans="2:49" ht="15.75" thickBot="1" x14ac:dyDescent="0.3">
      <c r="B26" s="151"/>
      <c r="C26" s="289"/>
      <c r="D26" s="145" t="s">
        <v>93</v>
      </c>
      <c r="E26" s="145"/>
      <c r="F26" s="283">
        <f>2+(F$16/$C$16*$F$10/$F$8^3)</f>
        <v>2.3679703235256446</v>
      </c>
      <c r="G26" s="214" t="s">
        <v>32</v>
      </c>
      <c r="I26" s="284">
        <f t="shared" ref="I26:V26" si="9">2+(I$16/$C$16*$F$10/$F$8^3)</f>
        <v>2.1226567745085481</v>
      </c>
      <c r="J26" s="285">
        <f t="shared" si="9"/>
        <v>2.1471881294102579</v>
      </c>
      <c r="K26" s="285">
        <f t="shared" si="9"/>
        <v>2.1717194843119674</v>
      </c>
      <c r="L26" s="285">
        <f t="shared" si="9"/>
        <v>2.1962508392136773</v>
      </c>
      <c r="M26" s="285">
        <f t="shared" si="9"/>
        <v>2.2207821941153867</v>
      </c>
      <c r="N26" s="285">
        <f t="shared" si="9"/>
        <v>2.2453135490170966</v>
      </c>
      <c r="O26" s="285">
        <f t="shared" si="9"/>
        <v>2.269844903918806</v>
      </c>
      <c r="P26" s="285">
        <f t="shared" si="9"/>
        <v>2.2943762588205159</v>
      </c>
      <c r="Q26" s="285">
        <f t="shared" si="9"/>
        <v>2.3189076137222253</v>
      </c>
      <c r="R26" s="285">
        <f t="shared" si="9"/>
        <v>2.3434389686239352</v>
      </c>
      <c r="S26" s="285">
        <f t="shared" si="9"/>
        <v>2.3679703235256446</v>
      </c>
      <c r="T26" s="285">
        <f t="shared" si="9"/>
        <v>2.3925016784273541</v>
      </c>
      <c r="U26" s="285">
        <f t="shared" si="9"/>
        <v>2.4170330333290639</v>
      </c>
      <c r="V26" s="286">
        <f t="shared" si="9"/>
        <v>2.4415643882307734</v>
      </c>
      <c r="AF26"/>
      <c r="AG26"/>
      <c r="AH26"/>
      <c r="AI26" s="164" t="s">
        <v>43</v>
      </c>
      <c r="AJ26" s="154"/>
      <c r="AK26" s="154"/>
      <c r="AL26" s="154"/>
      <c r="AM26" s="161"/>
      <c r="AQ26"/>
      <c r="AR26" s="13"/>
      <c r="AS26" s="12"/>
      <c r="AT26" s="3"/>
      <c r="AU26" s="3"/>
      <c r="AV26" s="3"/>
      <c r="AW26" s="3"/>
    </row>
    <row r="27" spans="2:49" x14ac:dyDescent="0.25">
      <c r="B27" s="140"/>
      <c r="C27" s="243"/>
      <c r="D27" s="132" t="s">
        <v>56</v>
      </c>
      <c r="E27" s="132"/>
      <c r="F27" s="224">
        <f>F20</f>
        <v>2.9998823876048228</v>
      </c>
      <c r="G27" s="136" t="s">
        <v>32</v>
      </c>
      <c r="I27" s="255">
        <f t="shared" ref="I27:V27" si="10">I20</f>
        <v>1.6725700062164079</v>
      </c>
      <c r="J27" s="176">
        <f t="shared" si="10"/>
        <v>1.8353390322662055</v>
      </c>
      <c r="K27" s="176">
        <f t="shared" si="10"/>
        <v>1.9864088607295323</v>
      </c>
      <c r="L27" s="176">
        <f t="shared" si="10"/>
        <v>2.1285357687046065</v>
      </c>
      <c r="M27" s="176">
        <f t="shared" si="10"/>
        <v>2.2636565365051995</v>
      </c>
      <c r="N27" s="176">
        <f t="shared" si="10"/>
        <v>2.3931999228678924</v>
      </c>
      <c r="O27" s="176">
        <f t="shared" si="10"/>
        <v>2.5182603790958331</v>
      </c>
      <c r="P27" s="176">
        <f t="shared" si="10"/>
        <v>2.6397019142204603</v>
      </c>
      <c r="Q27" s="176">
        <f t="shared" si="10"/>
        <v>2.7582236740038972</v>
      </c>
      <c r="R27" s="176">
        <f t="shared" si="10"/>
        <v>2.8744032049259514</v>
      </c>
      <c r="S27" s="176">
        <f t="shared" si="10"/>
        <v>2.9887260482015763</v>
      </c>
      <c r="T27" s="176">
        <f t="shared" si="10"/>
        <v>3.1016066073401922</v>
      </c>
      <c r="U27" s="176">
        <f t="shared" si="10"/>
        <v>3.2134032481337549</v>
      </c>
      <c r="V27" s="177">
        <f t="shared" si="10"/>
        <v>3.3244294718019884</v>
      </c>
      <c r="AF27"/>
      <c r="AG27"/>
      <c r="AH27"/>
      <c r="AM27" s="302"/>
      <c r="AQ27"/>
      <c r="AR27"/>
      <c r="AS27"/>
      <c r="AT27"/>
      <c r="AU27"/>
      <c r="AV27"/>
      <c r="AW27" s="3"/>
    </row>
    <row r="28" spans="2:49" x14ac:dyDescent="0.25">
      <c r="B28" s="140"/>
      <c r="C28" s="247" t="s">
        <v>65</v>
      </c>
      <c r="D28" s="144" t="s">
        <v>57</v>
      </c>
      <c r="E28" s="144"/>
      <c r="F28" s="221">
        <f>IF(F21&lt;F22,F21,F22)</f>
        <v>7.1894919507812851</v>
      </c>
      <c r="G28" s="216" t="s">
        <v>32</v>
      </c>
      <c r="I28" s="178">
        <f t="shared" ref="I28:V28" si="11">IF(I21&lt;I22,I21,I22)</f>
        <v>2.5081837889285459</v>
      </c>
      <c r="J28" s="179">
        <f t="shared" si="11"/>
        <v>3.0098205467142547</v>
      </c>
      <c r="K28" s="179">
        <f t="shared" si="11"/>
        <v>3.5114573044999644</v>
      </c>
      <c r="L28" s="179">
        <f t="shared" si="11"/>
        <v>4.0130940622856723</v>
      </c>
      <c r="M28" s="179">
        <f t="shared" si="11"/>
        <v>4.5147308200713816</v>
      </c>
      <c r="N28" s="179">
        <f t="shared" si="11"/>
        <v>5.006085280851253</v>
      </c>
      <c r="O28" s="179">
        <f t="shared" si="11"/>
        <v>5.4343318554368327</v>
      </c>
      <c r="P28" s="179">
        <f t="shared" si="11"/>
        <v>5.8869293096925572</v>
      </c>
      <c r="Q28" s="179">
        <f t="shared" si="11"/>
        <v>6.3665733222190708</v>
      </c>
      <c r="R28" s="179">
        <f t="shared" si="11"/>
        <v>6.7392542408275924</v>
      </c>
      <c r="S28" s="179">
        <f t="shared" si="11"/>
        <v>6.8098014322706311</v>
      </c>
      <c r="T28" s="179">
        <f t="shared" si="11"/>
        <v>6.8803486237136715</v>
      </c>
      <c r="U28" s="179">
        <f t="shared" si="11"/>
        <v>6.950895815156712</v>
      </c>
      <c r="V28" s="180">
        <f t="shared" si="11"/>
        <v>7.0214430065997524</v>
      </c>
      <c r="AF28"/>
      <c r="AG28"/>
      <c r="AH28"/>
      <c r="AM28" s="129"/>
      <c r="AQ28"/>
      <c r="AR28"/>
      <c r="AS28"/>
      <c r="AT28"/>
      <c r="AU28"/>
      <c r="AV28"/>
      <c r="AW28" s="3"/>
    </row>
    <row r="29" spans="2:49" x14ac:dyDescent="0.25">
      <c r="B29" s="140"/>
      <c r="C29" s="243" t="s">
        <v>66</v>
      </c>
      <c r="D29" s="132" t="s">
        <v>60</v>
      </c>
      <c r="E29" s="132"/>
      <c r="F29" s="222">
        <f>F23</f>
        <v>5.1978160181271686</v>
      </c>
      <c r="G29" s="217" t="s">
        <v>32</v>
      </c>
      <c r="I29" s="181">
        <f t="shared" ref="I29:V29" si="12">I23</f>
        <v>2.8980173375036773</v>
      </c>
      <c r="J29" s="182">
        <f t="shared" si="12"/>
        <v>3.1800428776889702</v>
      </c>
      <c r="K29" s="182">
        <f t="shared" si="12"/>
        <v>3.4417975309670119</v>
      </c>
      <c r="L29" s="182">
        <f t="shared" si="12"/>
        <v>3.6880570249832294</v>
      </c>
      <c r="M29" s="182">
        <f t="shared" si="12"/>
        <v>3.9221771672119794</v>
      </c>
      <c r="N29" s="182">
        <f t="shared" si="12"/>
        <v>4.1466335297215968</v>
      </c>
      <c r="O29" s="182">
        <f t="shared" si="12"/>
        <v>4.3633224390274341</v>
      </c>
      <c r="P29" s="182">
        <f t="shared" si="12"/>
        <v>4.5737409404809961</v>
      </c>
      <c r="Q29" s="182">
        <f t="shared" si="12"/>
        <v>4.7791004252542777</v>
      </c>
      <c r="R29" s="182">
        <f t="shared" si="12"/>
        <v>4.9804015926934806</v>
      </c>
      <c r="S29" s="182">
        <f t="shared" si="12"/>
        <v>5.1784857270819398</v>
      </c>
      <c r="T29" s="182">
        <f t="shared" si="12"/>
        <v>5.3740708543023139</v>
      </c>
      <c r="U29" s="182">
        <f t="shared" si="12"/>
        <v>5.5677779051822487</v>
      </c>
      <c r="V29" s="183">
        <f t="shared" si="12"/>
        <v>5.7601500749044359</v>
      </c>
      <c r="AF29"/>
      <c r="AG29"/>
      <c r="AH29"/>
      <c r="AM29" s="129"/>
      <c r="AR29" s="12"/>
      <c r="AS29" s="12"/>
      <c r="AT29" s="3"/>
      <c r="AU29" s="3"/>
      <c r="AV29" s="3"/>
      <c r="AW29" s="3"/>
    </row>
    <row r="30" spans="2:49" ht="15.75" thickBot="1" x14ac:dyDescent="0.3">
      <c r="B30" s="140"/>
      <c r="C30" s="246"/>
      <c r="D30" s="145" t="s">
        <v>61</v>
      </c>
      <c r="E30" s="145"/>
      <c r="F30" s="223">
        <f t="shared" ref="F30:V30" si="13">IF(F24&lt;F25,F24,F25)</f>
        <v>12.457040508779455</v>
      </c>
      <c r="G30" s="214" t="s">
        <v>32</v>
      </c>
      <c r="I30" s="258">
        <f t="shared" si="13"/>
        <v>4.3458630006187677</v>
      </c>
      <c r="J30" s="193">
        <f t="shared" si="13"/>
        <v>5.2150356007425209</v>
      </c>
      <c r="K30" s="193">
        <f t="shared" si="13"/>
        <v>6.084208200866275</v>
      </c>
      <c r="L30" s="193">
        <f t="shared" si="13"/>
        <v>6.9533808009900273</v>
      </c>
      <c r="M30" s="193">
        <f t="shared" si="13"/>
        <v>7.8225534011137814</v>
      </c>
      <c r="N30" s="193">
        <f t="shared" si="13"/>
        <v>8.6739101400888057</v>
      </c>
      <c r="O30" s="193">
        <f t="shared" si="13"/>
        <v>9.4159215316974834</v>
      </c>
      <c r="P30" s="193">
        <f t="shared" si="13"/>
        <v>10.20012504154651</v>
      </c>
      <c r="Q30" s="193">
        <f t="shared" si="13"/>
        <v>11.031191399884531</v>
      </c>
      <c r="R30" s="193">
        <f t="shared" si="13"/>
        <v>11.676925664800285</v>
      </c>
      <c r="S30" s="193">
        <f t="shared" si="13"/>
        <v>11.79916089749862</v>
      </c>
      <c r="T30" s="193">
        <f t="shared" si="13"/>
        <v>11.921396130196957</v>
      </c>
      <c r="U30" s="193">
        <f t="shared" si="13"/>
        <v>12.043631362895294</v>
      </c>
      <c r="V30" s="194">
        <f t="shared" si="13"/>
        <v>12.165866595593631</v>
      </c>
      <c r="AF30"/>
      <c r="AG30"/>
      <c r="AH30"/>
      <c r="AM30" s="129"/>
    </row>
    <row r="31" spans="2:49" hidden="1" x14ac:dyDescent="0.25">
      <c r="B31" s="242"/>
      <c r="D31" s="43" t="s">
        <v>75</v>
      </c>
      <c r="E31" s="43"/>
      <c r="F31" s="370">
        <f>(0.2529+2.7683*10^-4*F17)*SQRT(F$16)/$F$4*$F$5*$F$7/$F$8</f>
        <v>3.9470838296172137</v>
      </c>
      <c r="G31" s="136"/>
      <c r="I31" s="368">
        <f>(0.2529+2.7683*10^-4*I17)*SQRT(I$16)*$F$7/$F$8</f>
        <v>2.2006776174683833</v>
      </c>
      <c r="J31" s="265">
        <f t="shared" ref="J31:V31" si="14">(0.2529+2.7683*10^-4*J17)*SQRT(J$16)*$F$7/$F$8</f>
        <v>2.4148403437600154</v>
      </c>
      <c r="K31" s="265">
        <f t="shared" si="14"/>
        <v>2.6136098953712477</v>
      </c>
      <c r="L31" s="265">
        <f t="shared" si="14"/>
        <v>2.8006128333996996</v>
      </c>
      <c r="M31" s="265">
        <f t="shared" si="14"/>
        <v>2.9783974691690398</v>
      </c>
      <c r="N31" s="265">
        <f t="shared" si="14"/>
        <v>3.148843686547012</v>
      </c>
      <c r="O31" s="265">
        <f t="shared" si="14"/>
        <v>3.3133915056686734</v>
      </c>
      <c r="P31" s="265">
        <f t="shared" si="14"/>
        <v>3.4731777431274766</v>
      </c>
      <c r="Q31" s="265">
        <f t="shared" si="14"/>
        <v>3.6291222972979802</v>
      </c>
      <c r="R31" s="265">
        <f t="shared" si="14"/>
        <v>3.7819850727620166</v>
      </c>
      <c r="S31" s="265">
        <f t="shared" si="14"/>
        <v>3.9324049185244911</v>
      </c>
      <c r="T31" s="265">
        <f t="shared" si="14"/>
        <v>4.0809270844251078</v>
      </c>
      <c r="U31" s="265">
        <f t="shared" si="14"/>
        <v>4.2280230888901746</v>
      </c>
      <c r="V31" s="266">
        <f t="shared" si="14"/>
        <v>4.3741054199559075</v>
      </c>
      <c r="AF31"/>
      <c r="AG31"/>
      <c r="AH31"/>
      <c r="AI31" s="90"/>
      <c r="AJ31" s="90"/>
      <c r="AK31" s="90"/>
      <c r="AL31" s="90"/>
      <c r="AM31" s="153"/>
      <c r="AQ31"/>
      <c r="AR31" s="13"/>
      <c r="AS31" s="12"/>
      <c r="AT31" s="3"/>
      <c r="AU31" s="3"/>
      <c r="AV31" s="3"/>
      <c r="AW31" s="3"/>
    </row>
    <row r="32" spans="2:49" hidden="1" x14ac:dyDescent="0.25">
      <c r="B32" s="242"/>
      <c r="D32" s="43" t="s">
        <v>76</v>
      </c>
      <c r="E32" s="43"/>
      <c r="F32" s="229">
        <f>(0.675+9.273*10^-3*F17)*SQRT(F$16)*$F$4*$F$6/$F$7*$F$8</f>
        <v>9.7582089826312206</v>
      </c>
      <c r="G32" s="136"/>
      <c r="I32" s="230">
        <f>(0.675+9.273*10^-3*I17)*SQRT(I$16)*$F$4/$F$7*$F$8</f>
        <v>4.0804525329495389</v>
      </c>
      <c r="J32" s="231">
        <f t="shared" ref="J32:V32" si="15">(0.675+9.273*10^-3*J17)*SQRT(J$16)*$F$4/$F$7*$F$8</f>
        <v>4.5617136874893705</v>
      </c>
      <c r="K32" s="231">
        <f t="shared" si="15"/>
        <v>5.0449911822029163</v>
      </c>
      <c r="L32" s="231">
        <f t="shared" si="15"/>
        <v>5.5392303544307353</v>
      </c>
      <c r="M32" s="231">
        <f t="shared" si="15"/>
        <v>6.051297562714562</v>
      </c>
      <c r="N32" s="231">
        <f t="shared" si="15"/>
        <v>6.5867376479079685</v>
      </c>
      <c r="O32" s="231">
        <f t="shared" si="15"/>
        <v>7.1502014478955731</v>
      </c>
      <c r="P32" s="231">
        <f t="shared" si="15"/>
        <v>7.745704825094645</v>
      </c>
      <c r="Q32" s="231">
        <f t="shared" si="15"/>
        <v>8.3767946083603455</v>
      </c>
      <c r="R32" s="231">
        <f t="shared" si="15"/>
        <v>9.046659807193711</v>
      </c>
      <c r="S32" s="231">
        <f t="shared" si="15"/>
        <v>9.7582089826312206</v>
      </c>
      <c r="T32" s="231">
        <f t="shared" si="15"/>
        <v>10.514125793113967</v>
      </c>
      <c r="U32" s="231">
        <f t="shared" si="15"/>
        <v>11.316909958067061</v>
      </c>
      <c r="V32" s="232">
        <f t="shared" si="15"/>
        <v>12.168908177967198</v>
      </c>
      <c r="AF32"/>
      <c r="AG32"/>
      <c r="AH32"/>
      <c r="AI32" s="90"/>
      <c r="AJ32" s="90"/>
      <c r="AK32" s="90"/>
      <c r="AL32" s="90"/>
      <c r="AM32" s="153"/>
      <c r="AQ32"/>
      <c r="AR32" s="13"/>
      <c r="AS32" s="12"/>
      <c r="AT32" s="3"/>
      <c r="AU32" s="3"/>
      <c r="AV32" s="3"/>
      <c r="AW32" s="3"/>
    </row>
    <row r="33" spans="2:49" ht="15.75" hidden="1" thickBot="1" x14ac:dyDescent="0.3">
      <c r="B33" s="242"/>
      <c r="D33" s="43" t="s">
        <v>77</v>
      </c>
      <c r="E33" s="43"/>
      <c r="F33" s="219">
        <f>IF(($F$3*(F$16*10^-3)/SQRT($C$16*10^-3*$B$35*10^-3)*$F$4/$F$6^2*$F$8)&lt;(4*$F$13*$F$8),($F$3*(F$16*10^-3)/SQRT($C$16*10^-3*$B$35*10^-3)*$F$4/$F$6^2*$F$8),(4*$F$13*$F$8))</f>
        <v>9.4595466606773275</v>
      </c>
      <c r="G33" s="136"/>
      <c r="I33" s="211">
        <f>IF(($F$3*(I$16*10^-3)/SQRT($C$16*10^-3*$B$35*10^-3)*$F$4*$F$8)&lt;(4*I$26*$F$8),($F$3*(I$16*10^-3)/SQRT($C$16*10^-3*$B$35*10^-3)*$F$4*$F$8),(4*I$26*$F$8))</f>
        <v>3.3001332705220827</v>
      </c>
      <c r="J33" s="209">
        <f t="shared" ref="J33:V33" si="16">IF(($F$3*(J$16*10^-3)/SQRT($C$16*10^-3*$B$35*10^-3)*$F$4*$F$8)&lt;(4*J$26*$F$8),($F$3*(J$16*10^-3)/SQRT($C$16*10^-3*$B$35*10^-3)*$F$4*$F$8),(4*J$26*$F$8))</f>
        <v>3.9601599246264989</v>
      </c>
      <c r="K33" s="209">
        <f t="shared" si="16"/>
        <v>4.620186578730916</v>
      </c>
      <c r="L33" s="209">
        <f t="shared" si="16"/>
        <v>5.2802132328353313</v>
      </c>
      <c r="M33" s="209">
        <f t="shared" si="16"/>
        <v>5.9402398869397484</v>
      </c>
      <c r="N33" s="209">
        <f t="shared" si="16"/>
        <v>6.6002665410441654</v>
      </c>
      <c r="O33" s="209">
        <f t="shared" si="16"/>
        <v>7.2602931951485816</v>
      </c>
      <c r="P33" s="209">
        <f t="shared" si="16"/>
        <v>7.9203198492529978</v>
      </c>
      <c r="Q33" s="209">
        <f t="shared" si="16"/>
        <v>8.5803465033574131</v>
      </c>
      <c r="R33" s="209">
        <f t="shared" si="16"/>
        <v>8.8671481080590677</v>
      </c>
      <c r="S33" s="209">
        <f t="shared" si="16"/>
        <v>8.9599703065960092</v>
      </c>
      <c r="T33" s="209">
        <f t="shared" si="16"/>
        <v>9.0527925051329525</v>
      </c>
      <c r="U33" s="209">
        <f t="shared" si="16"/>
        <v>9.1456147036698958</v>
      </c>
      <c r="V33" s="210">
        <f t="shared" si="16"/>
        <v>9.2384369022068391</v>
      </c>
      <c r="AF33"/>
      <c r="AG33"/>
      <c r="AH33"/>
      <c r="AI33" s="90"/>
      <c r="AJ33" s="90"/>
      <c r="AK33" s="90"/>
      <c r="AL33" s="90"/>
      <c r="AM33" s="153"/>
      <c r="AQ33"/>
      <c r="AR33" s="13"/>
      <c r="AS33" s="12"/>
      <c r="AT33" s="3"/>
      <c r="AU33" s="3"/>
      <c r="AV33" s="3"/>
      <c r="AW33" s="3"/>
    </row>
    <row r="34" spans="2:49" x14ac:dyDescent="0.25">
      <c r="B34" s="140"/>
      <c r="C34" s="243"/>
      <c r="D34" s="328" t="s">
        <v>56</v>
      </c>
      <c r="E34" s="328"/>
      <c r="F34" s="220">
        <f>F31</f>
        <v>3.9470838296172137</v>
      </c>
      <c r="G34" s="215" t="s">
        <v>32</v>
      </c>
      <c r="I34" s="175">
        <f t="shared" ref="I34:V34" si="17">I31</f>
        <v>2.2006776174683833</v>
      </c>
      <c r="J34" s="184">
        <f t="shared" si="17"/>
        <v>2.4148403437600154</v>
      </c>
      <c r="K34" s="184">
        <f t="shared" si="17"/>
        <v>2.6136098953712477</v>
      </c>
      <c r="L34" s="184">
        <f t="shared" si="17"/>
        <v>2.8006128333996996</v>
      </c>
      <c r="M34" s="184">
        <f t="shared" si="17"/>
        <v>2.9783974691690398</v>
      </c>
      <c r="N34" s="184">
        <f t="shared" si="17"/>
        <v>3.148843686547012</v>
      </c>
      <c r="O34" s="184">
        <f t="shared" si="17"/>
        <v>3.3133915056686734</v>
      </c>
      <c r="P34" s="184">
        <f t="shared" si="17"/>
        <v>3.4731777431274766</v>
      </c>
      <c r="Q34" s="184">
        <f t="shared" si="17"/>
        <v>3.6291222972979802</v>
      </c>
      <c r="R34" s="184">
        <f t="shared" si="17"/>
        <v>3.7819850727620166</v>
      </c>
      <c r="S34" s="184">
        <f t="shared" si="17"/>
        <v>3.9324049185244911</v>
      </c>
      <c r="T34" s="184">
        <f t="shared" si="17"/>
        <v>4.0809270844251078</v>
      </c>
      <c r="U34" s="184">
        <f t="shared" si="17"/>
        <v>4.2280230888901746</v>
      </c>
      <c r="V34" s="185">
        <f t="shared" si="17"/>
        <v>4.3741054199559075</v>
      </c>
      <c r="AF34"/>
      <c r="AG34"/>
      <c r="AH34"/>
      <c r="AM34" s="129"/>
      <c r="AR34"/>
      <c r="AS34" s="12"/>
      <c r="AT34" s="3"/>
      <c r="AU34" s="3"/>
      <c r="AV34" s="3"/>
      <c r="AW34" s="3"/>
    </row>
    <row r="35" spans="2:49" x14ac:dyDescent="0.25">
      <c r="B35" s="254">
        <v>99</v>
      </c>
      <c r="C35" s="244" t="s">
        <v>58</v>
      </c>
      <c r="D35" s="144" t="s">
        <v>57</v>
      </c>
      <c r="E35" s="144"/>
      <c r="F35" s="221">
        <f t="shared" ref="F35:V35" si="18">IF(F32&lt;F33,F32,F33)</f>
        <v>9.4595466606773275</v>
      </c>
      <c r="G35" s="216" t="s">
        <v>32</v>
      </c>
      <c r="I35" s="178">
        <f t="shared" si="18"/>
        <v>3.3001332705220827</v>
      </c>
      <c r="J35" s="179">
        <f t="shared" si="18"/>
        <v>3.9601599246264989</v>
      </c>
      <c r="K35" s="179">
        <f t="shared" si="18"/>
        <v>4.620186578730916</v>
      </c>
      <c r="L35" s="179">
        <f t="shared" si="18"/>
        <v>5.2802132328353313</v>
      </c>
      <c r="M35" s="179">
        <f t="shared" si="18"/>
        <v>5.9402398869397484</v>
      </c>
      <c r="N35" s="179">
        <f t="shared" si="18"/>
        <v>6.5867376479079685</v>
      </c>
      <c r="O35" s="179">
        <f t="shared" si="18"/>
        <v>7.1502014478955731</v>
      </c>
      <c r="P35" s="179">
        <f t="shared" si="18"/>
        <v>7.745704825094645</v>
      </c>
      <c r="Q35" s="179">
        <f t="shared" si="18"/>
        <v>8.3767946083603455</v>
      </c>
      <c r="R35" s="179">
        <f t="shared" si="18"/>
        <v>8.8671481080590677</v>
      </c>
      <c r="S35" s="179">
        <f t="shared" si="18"/>
        <v>8.9599703065960092</v>
      </c>
      <c r="T35" s="179">
        <f t="shared" si="18"/>
        <v>9.0527925051329525</v>
      </c>
      <c r="U35" s="179">
        <f t="shared" si="18"/>
        <v>9.1456147036698958</v>
      </c>
      <c r="V35" s="180">
        <f t="shared" si="18"/>
        <v>9.2384369022068391</v>
      </c>
      <c r="AF35"/>
      <c r="AG35"/>
      <c r="AH35"/>
      <c r="AM35" s="129"/>
    </row>
    <row r="36" spans="2:49" x14ac:dyDescent="0.25">
      <c r="B36" s="254" t="s">
        <v>37</v>
      </c>
      <c r="C36" s="243" t="s">
        <v>59</v>
      </c>
      <c r="D36" s="132" t="s">
        <v>60</v>
      </c>
      <c r="E36" s="132"/>
      <c r="F36" s="222">
        <f>F31</f>
        <v>3.9470838296172137</v>
      </c>
      <c r="G36" s="217" t="s">
        <v>32</v>
      </c>
      <c r="I36" s="181">
        <f t="shared" ref="I36:V36" si="19">I31</f>
        <v>2.2006776174683833</v>
      </c>
      <c r="J36" s="182">
        <f t="shared" si="19"/>
        <v>2.4148403437600154</v>
      </c>
      <c r="K36" s="182">
        <f t="shared" si="19"/>
        <v>2.6136098953712477</v>
      </c>
      <c r="L36" s="182">
        <f t="shared" si="19"/>
        <v>2.8006128333996996</v>
      </c>
      <c r="M36" s="182">
        <f t="shared" si="19"/>
        <v>2.9783974691690398</v>
      </c>
      <c r="N36" s="182">
        <f t="shared" si="19"/>
        <v>3.148843686547012</v>
      </c>
      <c r="O36" s="182">
        <f t="shared" si="19"/>
        <v>3.3133915056686734</v>
      </c>
      <c r="P36" s="182">
        <f t="shared" si="19"/>
        <v>3.4731777431274766</v>
      </c>
      <c r="Q36" s="182">
        <f t="shared" si="19"/>
        <v>3.6291222972979802</v>
      </c>
      <c r="R36" s="182">
        <f t="shared" si="19"/>
        <v>3.7819850727620166</v>
      </c>
      <c r="S36" s="182">
        <f t="shared" si="19"/>
        <v>3.9324049185244911</v>
      </c>
      <c r="T36" s="182">
        <f t="shared" si="19"/>
        <v>4.0809270844251078</v>
      </c>
      <c r="U36" s="182">
        <f t="shared" si="19"/>
        <v>4.2280230888901746</v>
      </c>
      <c r="V36" s="183">
        <f t="shared" si="19"/>
        <v>4.3741054199559075</v>
      </c>
      <c r="AF36"/>
      <c r="AG36"/>
      <c r="AH36"/>
      <c r="AM36" s="129"/>
      <c r="AR36" s="12"/>
      <c r="AS36" s="12"/>
      <c r="AT36" s="3"/>
      <c r="AU36" s="3"/>
      <c r="AV36" s="3"/>
      <c r="AW36" s="3"/>
    </row>
    <row r="37" spans="2:49" ht="15.75" thickBot="1" x14ac:dyDescent="0.3">
      <c r="B37" s="141"/>
      <c r="C37" s="246"/>
      <c r="D37" s="145" t="s">
        <v>61</v>
      </c>
      <c r="E37" s="145"/>
      <c r="F37" s="223">
        <f t="shared" ref="F37:V37" si="20">IF(F32&lt;F33,F32,F33)</f>
        <v>9.4595466606773275</v>
      </c>
      <c r="G37" s="214" t="s">
        <v>32</v>
      </c>
      <c r="I37" s="258">
        <f t="shared" si="20"/>
        <v>3.3001332705220827</v>
      </c>
      <c r="J37" s="193">
        <f t="shared" si="20"/>
        <v>3.9601599246264989</v>
      </c>
      <c r="K37" s="193">
        <f t="shared" si="20"/>
        <v>4.620186578730916</v>
      </c>
      <c r="L37" s="193">
        <f t="shared" si="20"/>
        <v>5.2802132328353313</v>
      </c>
      <c r="M37" s="193">
        <f t="shared" si="20"/>
        <v>5.9402398869397484</v>
      </c>
      <c r="N37" s="193">
        <f t="shared" si="20"/>
        <v>6.5867376479079685</v>
      </c>
      <c r="O37" s="193">
        <f t="shared" si="20"/>
        <v>7.1502014478955731</v>
      </c>
      <c r="P37" s="193">
        <f t="shared" si="20"/>
        <v>7.745704825094645</v>
      </c>
      <c r="Q37" s="193">
        <f t="shared" si="20"/>
        <v>8.3767946083603455</v>
      </c>
      <c r="R37" s="193">
        <f t="shared" si="20"/>
        <v>8.8671481080590677</v>
      </c>
      <c r="S37" s="193">
        <f t="shared" si="20"/>
        <v>8.9599703065960092</v>
      </c>
      <c r="T37" s="193">
        <f t="shared" si="20"/>
        <v>9.0527925051329525</v>
      </c>
      <c r="U37" s="193">
        <f t="shared" si="20"/>
        <v>9.1456147036698958</v>
      </c>
      <c r="V37" s="194">
        <f t="shared" si="20"/>
        <v>9.2384369022068391</v>
      </c>
      <c r="AF37"/>
      <c r="AG37"/>
      <c r="AH37"/>
      <c r="AM37" s="129"/>
    </row>
    <row r="38" spans="2:49" ht="15.75" hidden="1" thickBot="1" x14ac:dyDescent="0.3">
      <c r="B38" s="242"/>
      <c r="D38" s="43" t="s">
        <v>71</v>
      </c>
      <c r="E38" s="43"/>
      <c r="F38" s="229">
        <f>1.07*1.22*F31</f>
        <v>5.152523231182311</v>
      </c>
      <c r="G38" s="136"/>
      <c r="I38" s="230">
        <f t="shared" ref="I38:V38" si="21">1.07*1.22*I31</f>
        <v>2.872764561843228</v>
      </c>
      <c r="J38" s="231">
        <f t="shared" si="21"/>
        <v>3.1523325847443244</v>
      </c>
      <c r="K38" s="231">
        <f t="shared" si="21"/>
        <v>3.4118063574176269</v>
      </c>
      <c r="L38" s="231">
        <f t="shared" si="21"/>
        <v>3.6559199927199684</v>
      </c>
      <c r="M38" s="231">
        <f t="shared" si="21"/>
        <v>3.8880000562532651</v>
      </c>
      <c r="N38" s="231">
        <f t="shared" si="21"/>
        <v>4.1105005484184698</v>
      </c>
      <c r="O38" s="231">
        <f t="shared" si="21"/>
        <v>4.3253012714998862</v>
      </c>
      <c r="P38" s="231">
        <f t="shared" si="21"/>
        <v>4.5338862258786081</v>
      </c>
      <c r="Q38" s="231">
        <f t="shared" si="21"/>
        <v>4.7374562468927834</v>
      </c>
      <c r="R38" s="231">
        <f t="shared" si="21"/>
        <v>4.9370033139835368</v>
      </c>
      <c r="S38" s="231">
        <f t="shared" si="21"/>
        <v>5.1333613806418708</v>
      </c>
      <c r="T38" s="231">
        <f t="shared" si="21"/>
        <v>5.3272422160085364</v>
      </c>
      <c r="U38" s="231">
        <f t="shared" si="21"/>
        <v>5.5192613402372341</v>
      </c>
      <c r="V38" s="232">
        <f t="shared" si="21"/>
        <v>5.7099572152104425</v>
      </c>
      <c r="AF38"/>
      <c r="AG38"/>
      <c r="AH38"/>
      <c r="AI38" s="90"/>
      <c r="AJ38" s="90"/>
      <c r="AK38" s="90"/>
      <c r="AL38" s="90"/>
      <c r="AM38" s="153"/>
      <c r="AQ38"/>
      <c r="AR38" s="13"/>
      <c r="AS38" s="12"/>
      <c r="AT38" s="3"/>
      <c r="AU38" s="3"/>
      <c r="AV38" s="3"/>
      <c r="AW38" s="3"/>
    </row>
    <row r="39" spans="2:49" ht="15.75" hidden="1" thickBot="1" x14ac:dyDescent="0.3">
      <c r="B39" s="242"/>
      <c r="D39" s="43" t="s">
        <v>72</v>
      </c>
      <c r="E39" s="43"/>
      <c r="F39" s="229">
        <f>1.07*1.22*F32</f>
        <v>12.738366005926796</v>
      </c>
      <c r="G39" s="136"/>
      <c r="I39" s="230">
        <f t="shared" ref="I39:V39" si="22">1.07*1.22*I32</f>
        <v>5.3266227365123289</v>
      </c>
      <c r="J39" s="231">
        <f t="shared" si="22"/>
        <v>5.9548610476486248</v>
      </c>
      <c r="K39" s="231">
        <f t="shared" si="22"/>
        <v>6.5857314892476877</v>
      </c>
      <c r="L39" s="231">
        <f t="shared" si="22"/>
        <v>7.2309113046738824</v>
      </c>
      <c r="M39" s="231">
        <f t="shared" si="22"/>
        <v>7.8993638383675897</v>
      </c>
      <c r="N39" s="231">
        <f t="shared" si="22"/>
        <v>8.5983273255790635</v>
      </c>
      <c r="O39" s="231">
        <f t="shared" si="22"/>
        <v>9.3338729700828811</v>
      </c>
      <c r="P39" s="231">
        <f t="shared" si="22"/>
        <v>10.11124307867855</v>
      </c>
      <c r="Q39" s="231">
        <f t="shared" si="22"/>
        <v>10.935067681753596</v>
      </c>
      <c r="R39" s="231">
        <f t="shared" si="22"/>
        <v>11.809509712310671</v>
      </c>
      <c r="S39" s="231">
        <f t="shared" si="22"/>
        <v>12.738366005926796</v>
      </c>
      <c r="T39" s="231">
        <f t="shared" si="22"/>
        <v>13.725139810330974</v>
      </c>
      <c r="U39" s="231">
        <f t="shared" si="22"/>
        <v>14.773094259260743</v>
      </c>
      <c r="V39" s="232">
        <f t="shared" si="22"/>
        <v>15.885292735518382</v>
      </c>
      <c r="AF39"/>
      <c r="AG39"/>
      <c r="AH39"/>
      <c r="AI39" s="90"/>
      <c r="AJ39" s="90"/>
      <c r="AK39" s="90"/>
      <c r="AL39" s="90"/>
      <c r="AM39" s="153"/>
      <c r="AQ39"/>
      <c r="AR39" s="13"/>
      <c r="AS39" s="12"/>
      <c r="AT39" s="3"/>
      <c r="AU39" s="3"/>
      <c r="AV39" s="3"/>
      <c r="AW39" s="3"/>
    </row>
    <row r="40" spans="2:49" ht="15.75" hidden="1" thickBot="1" x14ac:dyDescent="0.3">
      <c r="B40" s="242"/>
      <c r="D40" s="43" t="s">
        <v>79</v>
      </c>
      <c r="E40" s="43"/>
      <c r="F40" s="229">
        <f>1.07*1.22*F33</f>
        <v>12.348492210848184</v>
      </c>
      <c r="G40" s="136"/>
      <c r="I40" s="230">
        <f t="shared" ref="I40:V40" si="23">1.07*1.22*I33</f>
        <v>4.3079939713395268</v>
      </c>
      <c r="J40" s="231">
        <f t="shared" si="23"/>
        <v>5.1695927656074323</v>
      </c>
      <c r="K40" s="231">
        <f t="shared" si="23"/>
        <v>6.0311915598753378</v>
      </c>
      <c r="L40" s="231">
        <f t="shared" si="23"/>
        <v>6.8927903541432425</v>
      </c>
      <c r="M40" s="231">
        <f t="shared" si="23"/>
        <v>7.754389148411148</v>
      </c>
      <c r="N40" s="231">
        <f t="shared" si="23"/>
        <v>8.6159879426790535</v>
      </c>
      <c r="O40" s="231">
        <f t="shared" si="23"/>
        <v>9.4775867369469591</v>
      </c>
      <c r="P40" s="231">
        <f t="shared" si="23"/>
        <v>10.339185531214865</v>
      </c>
      <c r="Q40" s="231">
        <f t="shared" si="23"/>
        <v>11.200784325482768</v>
      </c>
      <c r="R40" s="231">
        <f t="shared" si="23"/>
        <v>11.575175140260308</v>
      </c>
      <c r="S40" s="231">
        <f t="shared" si="23"/>
        <v>11.696345238230432</v>
      </c>
      <c r="T40" s="231">
        <f t="shared" si="23"/>
        <v>11.817515336200557</v>
      </c>
      <c r="U40" s="231">
        <f t="shared" si="23"/>
        <v>11.938685434170683</v>
      </c>
      <c r="V40" s="232">
        <f t="shared" si="23"/>
        <v>12.059855532140809</v>
      </c>
      <c r="AF40"/>
      <c r="AG40"/>
      <c r="AH40"/>
      <c r="AI40" s="90"/>
      <c r="AJ40" s="90"/>
      <c r="AK40" s="90"/>
      <c r="AL40" s="90"/>
      <c r="AM40" s="153"/>
      <c r="AQ40"/>
      <c r="AR40" s="13"/>
      <c r="AS40" s="12"/>
      <c r="AT40" s="3"/>
      <c r="AU40" s="3"/>
      <c r="AV40" s="3"/>
      <c r="AW40" s="3"/>
    </row>
    <row r="41" spans="2:49" ht="15.75" hidden="1" thickBot="1" x14ac:dyDescent="0.3">
      <c r="B41" s="242"/>
      <c r="D41" s="43" t="s">
        <v>73</v>
      </c>
      <c r="E41" s="43"/>
      <c r="F41" s="229">
        <f>1.07*0.707*F31</f>
        <v>2.985929446267126</v>
      </c>
      <c r="G41" s="136"/>
      <c r="I41" s="230">
        <f t="shared" ref="I41:V41" si="24">1.07*0.707*I31</f>
        <v>1.6647906108386572</v>
      </c>
      <c r="J41" s="231">
        <f t="shared" si="24"/>
        <v>1.8268025716510141</v>
      </c>
      <c r="K41" s="231">
        <f t="shared" si="24"/>
        <v>1.9771697497493952</v>
      </c>
      <c r="L41" s="231">
        <f t="shared" si="24"/>
        <v>2.1186356023385389</v>
      </c>
      <c r="M41" s="231">
        <f t="shared" si="24"/>
        <v>2.2531279014516867</v>
      </c>
      <c r="N41" s="231">
        <f t="shared" si="24"/>
        <v>2.3820687604359492</v>
      </c>
      <c r="O41" s="231">
        <f t="shared" si="24"/>
        <v>2.5065475401232948</v>
      </c>
      <c r="P41" s="231">
        <f t="shared" si="24"/>
        <v>2.6274242308985047</v>
      </c>
      <c r="Q41" s="231">
        <f t="shared" si="24"/>
        <v>2.745394726682949</v>
      </c>
      <c r="R41" s="231">
        <f t="shared" si="24"/>
        <v>2.861033887693738</v>
      </c>
      <c r="S41" s="231">
        <f t="shared" si="24"/>
        <v>2.9748249968145921</v>
      </c>
      <c r="T41" s="231">
        <f t="shared" si="24"/>
        <v>3.0871805300967496</v>
      </c>
      <c r="U41" s="231">
        <f t="shared" si="24"/>
        <v>3.1984571865145281</v>
      </c>
      <c r="V41" s="232">
        <f t="shared" si="24"/>
        <v>3.3089670091424446</v>
      </c>
      <c r="AF41"/>
      <c r="AG41"/>
      <c r="AH41"/>
      <c r="AI41" s="90"/>
      <c r="AJ41" s="90"/>
      <c r="AK41" s="90"/>
      <c r="AL41" s="90"/>
      <c r="AM41" s="153"/>
      <c r="AQ41"/>
      <c r="AR41" s="13"/>
      <c r="AS41" s="12"/>
      <c r="AT41" s="3"/>
      <c r="AU41" s="3"/>
      <c r="AV41" s="3"/>
      <c r="AW41" s="3"/>
    </row>
    <row r="42" spans="2:49" ht="15.75" hidden="1" thickBot="1" x14ac:dyDescent="0.3">
      <c r="B42" s="242"/>
      <c r="D42" s="43" t="s">
        <v>74</v>
      </c>
      <c r="E42" s="43"/>
      <c r="F42" s="229">
        <f>1.07*0.707*F32</f>
        <v>7.3819875132706922</v>
      </c>
      <c r="G42" s="136"/>
      <c r="I42" s="230">
        <f t="shared" ref="I42:V42" si="25">1.07*0.707*I32</f>
        <v>3.0868215366509966</v>
      </c>
      <c r="J42" s="231">
        <f t="shared" si="25"/>
        <v>3.4508907874488339</v>
      </c>
      <c r="K42" s="231">
        <f t="shared" si="25"/>
        <v>3.8164853794246842</v>
      </c>
      <c r="L42" s="231">
        <f t="shared" si="25"/>
        <v>4.1903723708233072</v>
      </c>
      <c r="M42" s="231">
        <f t="shared" si="25"/>
        <v>4.5777460932179386</v>
      </c>
      <c r="N42" s="231">
        <f t="shared" si="25"/>
        <v>4.9828011632658988</v>
      </c>
      <c r="O42" s="231">
        <f t="shared" si="25"/>
        <v>5.4090558933185218</v>
      </c>
      <c r="P42" s="231">
        <f t="shared" si="25"/>
        <v>5.8595482431358477</v>
      </c>
      <c r="Q42" s="231">
        <f t="shared" si="25"/>
        <v>6.3369613532785181</v>
      </c>
      <c r="R42" s="231">
        <f t="shared" si="25"/>
        <v>6.8437076775439705</v>
      </c>
      <c r="S42" s="231">
        <f t="shared" si="25"/>
        <v>7.3819875132706922</v>
      </c>
      <c r="T42" s="231">
        <f t="shared" si="25"/>
        <v>7.9538310212327854</v>
      </c>
      <c r="U42" s="231">
        <f t="shared" si="25"/>
        <v>8.5611292141781519</v>
      </c>
      <c r="V42" s="232">
        <f t="shared" si="25"/>
        <v>9.2056573475504067</v>
      </c>
      <c r="AF42"/>
      <c r="AG42"/>
      <c r="AH42"/>
      <c r="AI42" s="90"/>
      <c r="AJ42" s="90"/>
      <c r="AK42" s="90"/>
      <c r="AL42" s="90"/>
      <c r="AM42" s="153"/>
      <c r="AQ42"/>
      <c r="AR42" s="13"/>
      <c r="AS42" s="12"/>
      <c r="AT42" s="3"/>
      <c r="AU42" s="3"/>
      <c r="AV42" s="3"/>
      <c r="AW42" s="3"/>
    </row>
    <row r="43" spans="2:49" ht="15.75" hidden="1" thickBot="1" x14ac:dyDescent="0.3">
      <c r="B43" s="242"/>
      <c r="D43" s="43" t="s">
        <v>80</v>
      </c>
      <c r="E43" s="43"/>
      <c r="F43" s="229">
        <f>1.07*0.707*F33</f>
        <v>7.1560524533357919</v>
      </c>
      <c r="G43" s="136"/>
      <c r="I43" s="230">
        <f t="shared" ref="I43:V43" si="26">1.07*0.707*I33</f>
        <v>2.4965178178172502</v>
      </c>
      <c r="J43" s="231">
        <f t="shared" si="26"/>
        <v>2.9958213813807002</v>
      </c>
      <c r="K43" s="231">
        <f t="shared" si="26"/>
        <v>3.4951249449441506</v>
      </c>
      <c r="L43" s="231">
        <f t="shared" si="26"/>
        <v>3.9944285085075997</v>
      </c>
      <c r="M43" s="231">
        <f t="shared" si="26"/>
        <v>4.4937320720710501</v>
      </c>
      <c r="N43" s="231">
        <f t="shared" si="26"/>
        <v>4.9930356356345005</v>
      </c>
      <c r="O43" s="231">
        <f t="shared" si="26"/>
        <v>5.4923391991979509</v>
      </c>
      <c r="P43" s="231">
        <f t="shared" si="26"/>
        <v>5.9916427627614004</v>
      </c>
      <c r="Q43" s="231">
        <f t="shared" si="26"/>
        <v>6.490946326324849</v>
      </c>
      <c r="R43" s="231">
        <f t="shared" si="26"/>
        <v>6.7079088722656044</v>
      </c>
      <c r="S43" s="231">
        <f t="shared" si="26"/>
        <v>6.7781279372368148</v>
      </c>
      <c r="T43" s="231">
        <f t="shared" si="26"/>
        <v>6.8483470022080271</v>
      </c>
      <c r="U43" s="231">
        <f t="shared" si="26"/>
        <v>6.9185660671792393</v>
      </c>
      <c r="V43" s="232">
        <f t="shared" si="26"/>
        <v>6.9887851321504515</v>
      </c>
      <c r="AF43"/>
      <c r="AG43"/>
      <c r="AH43"/>
      <c r="AI43" s="90"/>
      <c r="AJ43" s="90"/>
      <c r="AK43" s="90"/>
      <c r="AL43" s="90"/>
      <c r="AM43" s="153"/>
      <c r="AQ43"/>
      <c r="AR43" s="13"/>
      <c r="AS43" s="12"/>
      <c r="AT43" s="3"/>
      <c r="AU43" s="3"/>
      <c r="AV43" s="3"/>
      <c r="AW43" s="3"/>
    </row>
    <row r="44" spans="2:49" x14ac:dyDescent="0.25">
      <c r="B44" s="142"/>
      <c r="C44" s="243"/>
      <c r="D44" s="328" t="s">
        <v>56</v>
      </c>
      <c r="E44" s="132"/>
      <c r="F44" s="224">
        <f>F38</f>
        <v>5.152523231182311</v>
      </c>
      <c r="G44" s="215" t="s">
        <v>32</v>
      </c>
      <c r="I44" s="255">
        <f t="shared" ref="I44:V44" si="27">I38</f>
        <v>2.872764561843228</v>
      </c>
      <c r="J44" s="176">
        <f t="shared" si="27"/>
        <v>3.1523325847443244</v>
      </c>
      <c r="K44" s="176">
        <f t="shared" si="27"/>
        <v>3.4118063574176269</v>
      </c>
      <c r="L44" s="176">
        <f t="shared" si="27"/>
        <v>3.6559199927199684</v>
      </c>
      <c r="M44" s="176">
        <f t="shared" si="27"/>
        <v>3.8880000562532651</v>
      </c>
      <c r="N44" s="176">
        <f t="shared" si="27"/>
        <v>4.1105005484184698</v>
      </c>
      <c r="O44" s="176">
        <f t="shared" si="27"/>
        <v>4.3253012714998862</v>
      </c>
      <c r="P44" s="176">
        <f t="shared" si="27"/>
        <v>4.5338862258786081</v>
      </c>
      <c r="Q44" s="176">
        <f t="shared" si="27"/>
        <v>4.7374562468927834</v>
      </c>
      <c r="R44" s="176">
        <f t="shared" si="27"/>
        <v>4.9370033139835368</v>
      </c>
      <c r="S44" s="176">
        <f t="shared" si="27"/>
        <v>5.1333613806418708</v>
      </c>
      <c r="T44" s="176">
        <f t="shared" si="27"/>
        <v>5.3272422160085364</v>
      </c>
      <c r="U44" s="176">
        <f t="shared" si="27"/>
        <v>5.5192613402372341</v>
      </c>
      <c r="V44" s="177">
        <f t="shared" si="27"/>
        <v>5.7099572152104425</v>
      </c>
      <c r="AF44"/>
      <c r="AG44"/>
      <c r="AH44"/>
      <c r="AM44" s="129"/>
      <c r="AR44" s="12"/>
      <c r="AS44" s="12"/>
      <c r="AT44" s="3"/>
      <c r="AU44" s="3"/>
      <c r="AV44" s="3"/>
      <c r="AW44" s="3"/>
    </row>
    <row r="45" spans="2:49" x14ac:dyDescent="0.25">
      <c r="B45" s="141"/>
      <c r="C45" s="244" t="s">
        <v>67</v>
      </c>
      <c r="D45" s="144" t="s">
        <v>57</v>
      </c>
      <c r="E45" s="144"/>
      <c r="F45" s="221">
        <f>IF(F39&lt;F40,F39,F40)</f>
        <v>12.348492210848184</v>
      </c>
      <c r="G45" s="216" t="s">
        <v>32</v>
      </c>
      <c r="I45" s="178">
        <f t="shared" ref="I45:V45" si="28">IF(I39&lt;I40,I39,I40)</f>
        <v>4.3079939713395268</v>
      </c>
      <c r="J45" s="179">
        <f t="shared" si="28"/>
        <v>5.1695927656074323</v>
      </c>
      <c r="K45" s="179">
        <f t="shared" si="28"/>
        <v>6.0311915598753378</v>
      </c>
      <c r="L45" s="179">
        <f t="shared" si="28"/>
        <v>6.8927903541432425</v>
      </c>
      <c r="M45" s="179">
        <f t="shared" si="28"/>
        <v>7.754389148411148</v>
      </c>
      <c r="N45" s="179">
        <f t="shared" si="28"/>
        <v>8.5983273255790635</v>
      </c>
      <c r="O45" s="179">
        <f t="shared" si="28"/>
        <v>9.3338729700828811</v>
      </c>
      <c r="P45" s="179">
        <f t="shared" si="28"/>
        <v>10.11124307867855</v>
      </c>
      <c r="Q45" s="179">
        <f t="shared" si="28"/>
        <v>10.935067681753596</v>
      </c>
      <c r="R45" s="179">
        <f t="shared" si="28"/>
        <v>11.575175140260308</v>
      </c>
      <c r="S45" s="179">
        <f t="shared" si="28"/>
        <v>11.696345238230432</v>
      </c>
      <c r="T45" s="179">
        <f t="shared" si="28"/>
        <v>11.817515336200557</v>
      </c>
      <c r="U45" s="179">
        <f t="shared" si="28"/>
        <v>11.938685434170683</v>
      </c>
      <c r="V45" s="180">
        <f t="shared" si="28"/>
        <v>12.059855532140809</v>
      </c>
      <c r="AM45" s="129"/>
    </row>
    <row r="46" spans="2:49" x14ac:dyDescent="0.25">
      <c r="B46" s="142"/>
      <c r="C46" s="243" t="s">
        <v>68</v>
      </c>
      <c r="D46" s="132" t="s">
        <v>60</v>
      </c>
      <c r="E46" s="132"/>
      <c r="F46" s="222">
        <f>F41</f>
        <v>2.985929446267126</v>
      </c>
      <c r="G46" s="217" t="s">
        <v>32</v>
      </c>
      <c r="I46" s="181">
        <f t="shared" ref="I46:V46" si="29">I41</f>
        <v>1.6647906108386572</v>
      </c>
      <c r="J46" s="182">
        <f t="shared" si="29"/>
        <v>1.8268025716510141</v>
      </c>
      <c r="K46" s="182">
        <f t="shared" si="29"/>
        <v>1.9771697497493952</v>
      </c>
      <c r="L46" s="182">
        <f t="shared" si="29"/>
        <v>2.1186356023385389</v>
      </c>
      <c r="M46" s="182">
        <f t="shared" si="29"/>
        <v>2.2531279014516867</v>
      </c>
      <c r="N46" s="182">
        <f t="shared" si="29"/>
        <v>2.3820687604359492</v>
      </c>
      <c r="O46" s="182">
        <f t="shared" si="29"/>
        <v>2.5065475401232948</v>
      </c>
      <c r="P46" s="182">
        <f t="shared" si="29"/>
        <v>2.6274242308985047</v>
      </c>
      <c r="Q46" s="182">
        <f t="shared" si="29"/>
        <v>2.745394726682949</v>
      </c>
      <c r="R46" s="182">
        <f t="shared" si="29"/>
        <v>2.861033887693738</v>
      </c>
      <c r="S46" s="182">
        <f t="shared" si="29"/>
        <v>2.9748249968145921</v>
      </c>
      <c r="T46" s="182">
        <f t="shared" si="29"/>
        <v>3.0871805300967496</v>
      </c>
      <c r="U46" s="182">
        <f t="shared" si="29"/>
        <v>3.1984571865145281</v>
      </c>
      <c r="V46" s="183">
        <f t="shared" si="29"/>
        <v>3.3089670091424446</v>
      </c>
      <c r="AF46"/>
      <c r="AG46"/>
      <c r="AH46"/>
      <c r="AM46" s="129"/>
      <c r="AQ46"/>
      <c r="AR46"/>
      <c r="AS46"/>
      <c r="AT46"/>
      <c r="AU46"/>
      <c r="AV46"/>
      <c r="AW46"/>
    </row>
    <row r="47" spans="2:49" ht="15.75" thickBot="1" x14ac:dyDescent="0.3">
      <c r="B47" s="141"/>
      <c r="C47" s="248"/>
      <c r="D47" s="146" t="s">
        <v>61</v>
      </c>
      <c r="E47" s="146"/>
      <c r="F47" s="225">
        <f t="shared" ref="F47:V47" si="30">IF(F42&lt;F43,F42,F43)</f>
        <v>7.1560524533357919</v>
      </c>
      <c r="G47" s="136" t="s">
        <v>32</v>
      </c>
      <c r="I47" s="186">
        <f t="shared" si="30"/>
        <v>2.4965178178172502</v>
      </c>
      <c r="J47" s="187">
        <f t="shared" si="30"/>
        <v>2.9958213813807002</v>
      </c>
      <c r="K47" s="187">
        <f t="shared" si="30"/>
        <v>3.4951249449441506</v>
      </c>
      <c r="L47" s="187">
        <f t="shared" si="30"/>
        <v>3.9944285085075997</v>
      </c>
      <c r="M47" s="187">
        <f t="shared" si="30"/>
        <v>4.4937320720710501</v>
      </c>
      <c r="N47" s="187">
        <f t="shared" si="30"/>
        <v>4.9828011632658988</v>
      </c>
      <c r="O47" s="187">
        <f t="shared" si="30"/>
        <v>5.4090558933185218</v>
      </c>
      <c r="P47" s="187">
        <f t="shared" si="30"/>
        <v>5.8595482431358477</v>
      </c>
      <c r="Q47" s="187">
        <f t="shared" si="30"/>
        <v>6.3369613532785181</v>
      </c>
      <c r="R47" s="187">
        <f t="shared" si="30"/>
        <v>6.7079088722656044</v>
      </c>
      <c r="S47" s="187">
        <f t="shared" si="30"/>
        <v>6.7781279372368148</v>
      </c>
      <c r="T47" s="187">
        <f t="shared" si="30"/>
        <v>6.8483470022080271</v>
      </c>
      <c r="U47" s="187">
        <f t="shared" si="30"/>
        <v>6.9185660671792393</v>
      </c>
      <c r="V47" s="188">
        <f t="shared" si="30"/>
        <v>6.9887851321504515</v>
      </c>
      <c r="AF47"/>
      <c r="AG47"/>
      <c r="AH47"/>
      <c r="AM47" s="129"/>
      <c r="AQ47"/>
      <c r="AR47"/>
      <c r="AS47"/>
      <c r="AT47"/>
      <c r="AU47"/>
      <c r="AV47"/>
      <c r="AW47"/>
    </row>
    <row r="48" spans="2:49" ht="15.75" thickTop="1" x14ac:dyDescent="0.25">
      <c r="B48" s="139"/>
      <c r="C48" s="139"/>
      <c r="D48" s="125" t="s">
        <v>22</v>
      </c>
      <c r="E48" s="125"/>
      <c r="F48" s="218">
        <f>1.359*10^-3*(F$16/($C$16*10^-3*$B66*10^-3)*(0.507*0.171))^2.0302</f>
        <v>16.580444408449047</v>
      </c>
      <c r="G48" s="149" t="s">
        <v>6</v>
      </c>
      <c r="I48" s="263"/>
      <c r="J48" s="75"/>
      <c r="K48" s="205">
        <f t="shared" ref="K48:AC48" si="31">1.359*10^-3*(K$16/($C$16*10^-3*$B66*10^-3)*(0.507*0.171))^2.0302</f>
        <v>3.528691843093736</v>
      </c>
      <c r="L48" s="206">
        <f t="shared" si="31"/>
        <v>4.627527244071203</v>
      </c>
      <c r="M48" s="206">
        <f t="shared" si="31"/>
        <v>5.8775838750700959</v>
      </c>
      <c r="N48" s="206">
        <f t="shared" si="31"/>
        <v>7.279401816386911</v>
      </c>
      <c r="O48" s="206">
        <f t="shared" si="31"/>
        <v>8.8334655999625706</v>
      </c>
      <c r="P48" s="206">
        <f t="shared" si="31"/>
        <v>10.540214725636464</v>
      </c>
      <c r="Q48" s="206">
        <f t="shared" si="31"/>
        <v>12.400051433630187</v>
      </c>
      <c r="R48" s="206">
        <f t="shared" si="31"/>
        <v>14.413346614352392</v>
      </c>
      <c r="S48" s="206">
        <f t="shared" si="31"/>
        <v>16.580444408449047</v>
      </c>
      <c r="T48" s="206">
        <f t="shared" si="31"/>
        <v>18.901665858609057</v>
      </c>
      <c r="U48" s="206">
        <f t="shared" si="31"/>
        <v>21.377311857714137</v>
      </c>
      <c r="V48" s="206">
        <f t="shared" si="31"/>
        <v>24.007665563689571</v>
      </c>
      <c r="W48" s="206">
        <f t="shared" si="31"/>
        <v>26.792994402707869</v>
      </c>
      <c r="X48" s="206">
        <f t="shared" si="31"/>
        <v>29.733551749518366</v>
      </c>
      <c r="Y48" s="206">
        <f t="shared" si="31"/>
        <v>32.829578350930056</v>
      </c>
      <c r="Z48" s="206">
        <f t="shared" si="31"/>
        <v>36.08130354238947</v>
      </c>
      <c r="AA48" s="206">
        <f t="shared" si="31"/>
        <v>39.48894629599792</v>
      </c>
      <c r="AB48" s="206">
        <f t="shared" si="31"/>
        <v>43.052716129812516</v>
      </c>
      <c r="AC48" s="207">
        <f t="shared" si="31"/>
        <v>46.772813901935272</v>
      </c>
      <c r="AD48" s="126"/>
      <c r="AE48" s="126"/>
      <c r="AF48" s="75"/>
      <c r="AG48" s="75"/>
      <c r="AH48" s="75"/>
      <c r="AI48" s="75"/>
      <c r="AJ48" s="75"/>
      <c r="AK48" s="75"/>
      <c r="AL48" s="75"/>
      <c r="AM48" s="149"/>
      <c r="AN48"/>
      <c r="AO48"/>
      <c r="AP48"/>
      <c r="AQ48"/>
      <c r="AR48"/>
      <c r="AS48"/>
      <c r="AT48"/>
      <c r="AU48"/>
      <c r="AV48"/>
      <c r="AW48"/>
    </row>
    <row r="49" spans="2:49" x14ac:dyDescent="0.25">
      <c r="B49" s="147" t="s">
        <v>38</v>
      </c>
      <c r="C49" s="147" t="s">
        <v>117</v>
      </c>
      <c r="D49" s="132" t="s">
        <v>46</v>
      </c>
      <c r="E49" s="132"/>
      <c r="F49" s="229">
        <f>IF(-114.08+32.01*LN(F$16/($C$16*$B66)*(507*171))+10*LOG($C$16*$B66/(507*171))&lt;15,"&lt;15",-114.08+32.01*LN(F$16/($C$16*$B66)*(507*171))+10*LOG($C$16*$B66/(507*171)))</f>
        <v>35.907534748695454</v>
      </c>
      <c r="G49" s="136" t="s">
        <v>49</v>
      </c>
      <c r="I49" s="15"/>
      <c r="J49"/>
      <c r="K49" s="236" t="str">
        <f t="shared" ref="K49:AC49" si="32">IF(-114.08+32.01*LN(K$16/($C$16*$B66)*(507*171))+10*LOG($C$16*$B66/(507*171))&lt;15,"&lt;15",-114.08+32.01*LN(K$16/($C$16*$B66)*(507*171))+10*LOG($C$16*$B66/(507*171)))</f>
        <v>&lt;15</v>
      </c>
      <c r="L49" s="231">
        <f t="shared" si="32"/>
        <v>15.785771560585248</v>
      </c>
      <c r="M49" s="231">
        <f t="shared" si="32"/>
        <v>19.556006531946068</v>
      </c>
      <c r="N49" s="231">
        <f t="shared" si="32"/>
        <v>22.92859663815311</v>
      </c>
      <c r="O49" s="231">
        <f t="shared" si="32"/>
        <v>25.979475493689549</v>
      </c>
      <c r="P49" s="231">
        <f t="shared" si="32"/>
        <v>28.764709671127591</v>
      </c>
      <c r="Q49" s="231">
        <f t="shared" si="32"/>
        <v>31.326876743757467</v>
      </c>
      <c r="R49" s="231">
        <f t="shared" si="32"/>
        <v>33.699072932398124</v>
      </c>
      <c r="S49" s="231">
        <f t="shared" si="32"/>
        <v>35.907534748695454</v>
      </c>
      <c r="T49" s="231">
        <f t="shared" si="32"/>
        <v>37.973412810309114</v>
      </c>
      <c r="U49" s="231">
        <f t="shared" si="32"/>
        <v>39.914006954653175</v>
      </c>
      <c r="V49" s="231">
        <f t="shared" si="32"/>
        <v>41.743647781669935</v>
      </c>
      <c r="W49" s="231">
        <f t="shared" si="32"/>
        <v>43.474339534531438</v>
      </c>
      <c r="X49" s="231">
        <f t="shared" si="32"/>
        <v>45.116237887876949</v>
      </c>
      <c r="Y49" s="231">
        <f t="shared" si="32"/>
        <v>46.678011042940469</v>
      </c>
      <c r="Z49" s="231">
        <f t="shared" si="32"/>
        <v>48.167116743413388</v>
      </c>
      <c r="AA49" s="231">
        <f t="shared" si="32"/>
        <v>49.590017663305773</v>
      </c>
      <c r="AB49" s="231">
        <f t="shared" si="32"/>
        <v>50.95235092085143</v>
      </c>
      <c r="AC49" s="232">
        <f t="shared" si="32"/>
        <v>52.259062965444812</v>
      </c>
      <c r="AF49"/>
      <c r="AG49"/>
      <c r="AH49"/>
      <c r="AI49"/>
      <c r="AJ49"/>
      <c r="AK49"/>
      <c r="AL49"/>
      <c r="AM49" s="136"/>
      <c r="AN49"/>
      <c r="AO49"/>
      <c r="AP49"/>
      <c r="AQ49"/>
      <c r="AR49"/>
      <c r="AS49"/>
      <c r="AT49"/>
      <c r="AU49"/>
      <c r="AV49"/>
      <c r="AW49"/>
    </row>
    <row r="50" spans="2:49" x14ac:dyDescent="0.25">
      <c r="B50" s="242" t="s">
        <v>33</v>
      </c>
      <c r="C50" s="242" t="s">
        <v>35</v>
      </c>
      <c r="D50" s="132" t="s">
        <v>23</v>
      </c>
      <c r="E50" s="132"/>
      <c r="F50" s="229">
        <f>IF(-15-114.08+32.01*LN(F$16/($C$16*$B66)*(507*171))+10*LOG($C$16*$B66/(507*171))&lt;5,"&lt;5",-15-114.08+32.01*LN(F$16/($C$16*$B66)*(507*171))+10*LOG($C$16*$B66/(507*171)))</f>
        <v>20.907534748695468</v>
      </c>
      <c r="G50" s="136" t="s">
        <v>42</v>
      </c>
      <c r="I50" s="15"/>
      <c r="J50"/>
      <c r="K50" s="236" t="str">
        <f t="shared" ref="K50:AC50" si="33">IF(-15-114.08+32.01*LN(K$16/($C$16*$B66)*(507*171))+10*LOG($C$16*$B66/(507*171))&lt;5,"&lt;5",-15-114.08+32.01*LN(K$16/($C$16*$B66)*(507*171))+10*LOG($C$16*$B66/(507*171)))</f>
        <v>&lt;5</v>
      </c>
      <c r="L50" s="231" t="str">
        <f t="shared" si="33"/>
        <v>&lt;5</v>
      </c>
      <c r="M50" s="231" t="str">
        <f t="shared" si="33"/>
        <v>&lt;5</v>
      </c>
      <c r="N50" s="231">
        <f t="shared" si="33"/>
        <v>7.9285966381531257</v>
      </c>
      <c r="O50" s="231">
        <f t="shared" si="33"/>
        <v>10.979475493689565</v>
      </c>
      <c r="P50" s="231">
        <f t="shared" si="33"/>
        <v>13.764709671127607</v>
      </c>
      <c r="Q50" s="231">
        <f t="shared" si="33"/>
        <v>16.326876743757481</v>
      </c>
      <c r="R50" s="231">
        <f t="shared" si="33"/>
        <v>18.699072932398138</v>
      </c>
      <c r="S50" s="231">
        <f t="shared" si="33"/>
        <v>20.907534748695468</v>
      </c>
      <c r="T50" s="231">
        <f t="shared" si="33"/>
        <v>22.973412810309128</v>
      </c>
      <c r="U50" s="231">
        <f t="shared" si="33"/>
        <v>24.914006954653189</v>
      </c>
      <c r="V50" s="231">
        <f t="shared" si="33"/>
        <v>26.743647781669949</v>
      </c>
      <c r="W50" s="231">
        <f t="shared" si="33"/>
        <v>28.474339534531453</v>
      </c>
      <c r="X50" s="231">
        <f t="shared" si="33"/>
        <v>30.116237887876963</v>
      </c>
      <c r="Y50" s="231">
        <f t="shared" si="33"/>
        <v>31.678011042940483</v>
      </c>
      <c r="Z50" s="231">
        <f t="shared" si="33"/>
        <v>33.167116743413402</v>
      </c>
      <c r="AA50" s="231">
        <f t="shared" si="33"/>
        <v>34.590017663305787</v>
      </c>
      <c r="AB50" s="231">
        <f t="shared" si="33"/>
        <v>35.952350920851444</v>
      </c>
      <c r="AC50" s="232">
        <f t="shared" si="33"/>
        <v>37.259062965444826</v>
      </c>
      <c r="AF50"/>
      <c r="AG50"/>
      <c r="AH50"/>
      <c r="AI50"/>
      <c r="AJ50"/>
      <c r="AK50"/>
      <c r="AL50"/>
      <c r="AM50" s="136"/>
      <c r="AN50"/>
      <c r="AO50"/>
      <c r="AP50"/>
      <c r="AQ50"/>
      <c r="AR50"/>
      <c r="AS50"/>
      <c r="AT50"/>
      <c r="AU50"/>
      <c r="AV50"/>
      <c r="AW50"/>
    </row>
    <row r="51" spans="2:49" hidden="1" x14ac:dyDescent="0.25">
      <c r="B51" s="242"/>
      <c r="D51" s="43" t="s">
        <v>71</v>
      </c>
      <c r="E51" s="43"/>
      <c r="F51" s="106">
        <f>1.075*0.707*F62</f>
        <v>2.9492725940233915</v>
      </c>
      <c r="G51" s="136"/>
      <c r="I51" s="264"/>
      <c r="J51" s="271"/>
      <c r="K51" s="250">
        <f t="shared" ref="K51:AC51" si="34">1.075*0.707*K62</f>
        <v>1.9864658150654155</v>
      </c>
      <c r="L51" s="231">
        <f t="shared" si="34"/>
        <v>2.1261657672549541</v>
      </c>
      <c r="M51" s="231">
        <f t="shared" si="34"/>
        <v>2.2582095932207245</v>
      </c>
      <c r="N51" s="106">
        <f t="shared" si="34"/>
        <v>2.3839911399641114</v>
      </c>
      <c r="O51" s="231">
        <f t="shared" si="34"/>
        <v>2.5045707573005687</v>
      </c>
      <c r="P51" s="231">
        <f t="shared" si="34"/>
        <v>2.6207792529099021</v>
      </c>
      <c r="Q51" s="231">
        <f t="shared" si="34"/>
        <v>2.7332834843948115</v>
      </c>
      <c r="R51" s="231">
        <f t="shared" si="34"/>
        <v>2.8426296001692535</v>
      </c>
      <c r="S51" s="231">
        <f t="shared" si="34"/>
        <v>2.9492725940233915</v>
      </c>
      <c r="T51" s="231">
        <f t="shared" si="34"/>
        <v>3.0535971268139188</v>
      </c>
      <c r="U51" s="231">
        <f t="shared" si="34"/>
        <v>3.1559325792151696</v>
      </c>
      <c r="V51" s="231">
        <f t="shared" si="34"/>
        <v>3.2565641787970723</v>
      </c>
      <c r="W51" s="231">
        <f t="shared" si="34"/>
        <v>3.3557413863230741</v>
      </c>
      <c r="X51" s="231">
        <f t="shared" si="34"/>
        <v>3.4536843251311669</v>
      </c>
      <c r="Y51" s="231">
        <f t="shared" si="34"/>
        <v>3.5505887853745146</v>
      </c>
      <c r="Z51" s="231">
        <f t="shared" si="34"/>
        <v>3.646630171994814</v>
      </c>
      <c r="AA51" s="231">
        <f t="shared" si="34"/>
        <v>3.7419666574201149</v>
      </c>
      <c r="AB51" s="231">
        <f t="shared" si="34"/>
        <v>3.8367417269568453</v>
      </c>
      <c r="AC51" s="232">
        <f t="shared" si="34"/>
        <v>3.9310862544392671</v>
      </c>
      <c r="AF51"/>
      <c r="AG51"/>
      <c r="AH51"/>
      <c r="AI51" s="90"/>
      <c r="AJ51" s="90"/>
      <c r="AK51" s="90"/>
      <c r="AL51" s="90"/>
      <c r="AM51" s="153"/>
      <c r="AQ51"/>
      <c r="AR51" s="13"/>
      <c r="AS51" s="12"/>
      <c r="AT51" s="3"/>
      <c r="AU51" s="3"/>
      <c r="AV51" s="3"/>
      <c r="AW51" s="3"/>
    </row>
    <row r="52" spans="2:49" hidden="1" x14ac:dyDescent="0.25">
      <c r="B52" s="242"/>
      <c r="D52" s="43" t="s">
        <v>72</v>
      </c>
      <c r="E52" s="43"/>
      <c r="F52" s="106">
        <f>1.075*0.707*F63</f>
        <v>6.2926606208628506</v>
      </c>
      <c r="G52" s="136"/>
      <c r="I52" s="264"/>
      <c r="J52" s="271"/>
      <c r="K52" s="250">
        <f t="shared" ref="K52:AC52" si="35">1.075*0.707*K63</f>
        <v>3.6709320280623068</v>
      </c>
      <c r="L52" s="231">
        <f t="shared" si="35"/>
        <v>3.9808932774786241</v>
      </c>
      <c r="M52" s="231">
        <f t="shared" si="35"/>
        <v>4.290551666989491</v>
      </c>
      <c r="N52" s="106">
        <f t="shared" si="35"/>
        <v>4.6032277484648203</v>
      </c>
      <c r="O52" s="231">
        <f t="shared" si="35"/>
        <v>4.9216083117408287</v>
      </c>
      <c r="P52" s="231">
        <f t="shared" si="35"/>
        <v>5.2479366387149655</v>
      </c>
      <c r="Q52" s="231">
        <f t="shared" si="35"/>
        <v>5.5841334774625482</v>
      </c>
      <c r="R52" s="231">
        <f t="shared" si="35"/>
        <v>5.9318774687727505</v>
      </c>
      <c r="S52" s="231">
        <f t="shared" si="35"/>
        <v>6.2926606208628506</v>
      </c>
      <c r="T52" s="231">
        <f t="shared" si="35"/>
        <v>6.6678277773794168</v>
      </c>
      <c r="U52" s="231">
        <f t="shared" si="35"/>
        <v>7.058605450188848</v>
      </c>
      <c r="V52" s="231">
        <f t="shared" si="35"/>
        <v>7.4661233703142909</v>
      </c>
      <c r="W52" s="231">
        <f t="shared" si="35"/>
        <v>7.8914309214808416</v>
      </c>
      <c r="X52" s="231">
        <f t="shared" si="35"/>
        <v>8.3355098944148587</v>
      </c>
      <c r="Y52" s="231">
        <f t="shared" si="35"/>
        <v>8.7992845420528703</v>
      </c>
      <c r="Z52" s="231">
        <f t="shared" si="35"/>
        <v>9.2836296188726752</v>
      </c>
      <c r="AA52" s="231">
        <f t="shared" si="35"/>
        <v>9.7893768902234122</v>
      </c>
      <c r="AB52" s="231">
        <f t="shared" si="35"/>
        <v>10.31732046346986</v>
      </c>
      <c r="AC52" s="232">
        <f t="shared" si="35"/>
        <v>10.868221199867342</v>
      </c>
      <c r="AF52"/>
      <c r="AG52"/>
      <c r="AH52"/>
      <c r="AI52" s="90"/>
      <c r="AJ52" s="90"/>
      <c r="AK52" s="90"/>
      <c r="AL52" s="90"/>
      <c r="AM52" s="153"/>
      <c r="AQ52"/>
      <c r="AR52" s="13"/>
      <c r="AS52" s="12"/>
      <c r="AT52" s="3"/>
      <c r="AU52" s="3"/>
      <c r="AV52" s="3"/>
      <c r="AW52" s="3"/>
    </row>
    <row r="53" spans="2:49" hidden="1" x14ac:dyDescent="0.25">
      <c r="B53" s="242"/>
      <c r="D53" s="43" t="s">
        <v>79</v>
      </c>
      <c r="E53" s="43"/>
      <c r="F53" s="106">
        <f>1.075*0.707*F64</f>
        <v>6.3732164051498152</v>
      </c>
      <c r="G53" s="136"/>
      <c r="I53" s="264"/>
      <c r="J53" s="271"/>
      <c r="K53" s="250">
        <f t="shared" ref="K53:AC53" si="36">1.075*0.707*K64</f>
        <v>2.974167655736581</v>
      </c>
      <c r="L53" s="231">
        <f t="shared" si="36"/>
        <v>3.3990487494132342</v>
      </c>
      <c r="M53" s="231">
        <f t="shared" si="36"/>
        <v>3.8239298430898887</v>
      </c>
      <c r="N53" s="106">
        <f t="shared" si="36"/>
        <v>4.2488109367665432</v>
      </c>
      <c r="O53" s="231">
        <f t="shared" si="36"/>
        <v>4.6736920304431981</v>
      </c>
      <c r="P53" s="231">
        <f t="shared" si="36"/>
        <v>5.0985731241198531</v>
      </c>
      <c r="Q53" s="231">
        <f t="shared" si="36"/>
        <v>5.5234542177965062</v>
      </c>
      <c r="R53" s="231">
        <f t="shared" si="36"/>
        <v>5.9483353114731621</v>
      </c>
      <c r="S53" s="231">
        <f t="shared" si="36"/>
        <v>6.3732164051498152</v>
      </c>
      <c r="T53" s="231">
        <f t="shared" si="36"/>
        <v>6.7980974988264684</v>
      </c>
      <c r="U53" s="231">
        <f t="shared" si="36"/>
        <v>7.1894919507812851</v>
      </c>
      <c r="V53" s="231">
        <f t="shared" si="36"/>
        <v>7.1894919507812851</v>
      </c>
      <c r="W53" s="231">
        <f t="shared" si="36"/>
        <v>7.1894919507812851</v>
      </c>
      <c r="X53" s="231">
        <f t="shared" si="36"/>
        <v>7.1894919507812851</v>
      </c>
      <c r="Y53" s="231">
        <f t="shared" si="36"/>
        <v>7.1894919507812851</v>
      </c>
      <c r="Z53" s="231">
        <f t="shared" si="36"/>
        <v>7.1894919507812851</v>
      </c>
      <c r="AA53" s="231">
        <f t="shared" si="36"/>
        <v>7.1894919507812851</v>
      </c>
      <c r="AB53" s="231">
        <f t="shared" si="36"/>
        <v>7.1894919507812851</v>
      </c>
      <c r="AC53" s="232">
        <f t="shared" si="36"/>
        <v>7.1894919507812851</v>
      </c>
      <c r="AF53"/>
      <c r="AG53"/>
      <c r="AH53"/>
      <c r="AI53" s="90"/>
      <c r="AJ53" s="90"/>
      <c r="AK53" s="90"/>
      <c r="AL53" s="90"/>
      <c r="AM53" s="153"/>
      <c r="AQ53"/>
      <c r="AR53" s="13"/>
      <c r="AS53" s="12"/>
      <c r="AT53" s="3"/>
      <c r="AU53" s="3"/>
      <c r="AV53" s="3"/>
      <c r="AW53" s="3"/>
    </row>
    <row r="54" spans="2:49" hidden="1" x14ac:dyDescent="0.25">
      <c r="B54" s="242"/>
      <c r="D54" s="43" t="s">
        <v>73</v>
      </c>
      <c r="E54" s="43"/>
      <c r="F54" s="106">
        <f>1.075*1.225*F62</f>
        <v>5.1101257817236982</v>
      </c>
      <c r="G54" s="136"/>
      <c r="I54" s="264"/>
      <c r="J54" s="271"/>
      <c r="K54" s="250">
        <f t="shared" ref="K54:AC54" si="37">1.075*1.225*K62</f>
        <v>3.4418962142222549</v>
      </c>
      <c r="L54" s="231">
        <f t="shared" si="37"/>
        <v>3.683950586827891</v>
      </c>
      <c r="M54" s="231">
        <f t="shared" si="37"/>
        <v>3.9127393941943249</v>
      </c>
      <c r="N54" s="106">
        <f t="shared" si="37"/>
        <v>4.1306777177595997</v>
      </c>
      <c r="O54" s="231">
        <f t="shared" si="37"/>
        <v>4.3396027973029661</v>
      </c>
      <c r="P54" s="231">
        <f t="shared" si="37"/>
        <v>4.5409541510815146</v>
      </c>
      <c r="Q54" s="231">
        <f t="shared" si="37"/>
        <v>4.7358872254365547</v>
      </c>
      <c r="R54" s="231">
        <f t="shared" si="37"/>
        <v>4.9253483171249446</v>
      </c>
      <c r="S54" s="231">
        <f t="shared" si="37"/>
        <v>5.1101257817236982</v>
      </c>
      <c r="T54" s="231">
        <f t="shared" si="37"/>
        <v>5.2908861108161966</v>
      </c>
      <c r="U54" s="231">
        <f t="shared" si="37"/>
        <v>5.4682000134916304</v>
      </c>
      <c r="V54" s="231">
        <f t="shared" si="37"/>
        <v>5.6425616959355223</v>
      </c>
      <c r="W54" s="231">
        <f t="shared" si="37"/>
        <v>5.8144033921439409</v>
      </c>
      <c r="X54" s="231">
        <f t="shared" si="37"/>
        <v>5.9841065039401409</v>
      </c>
      <c r="Y54" s="231">
        <f t="shared" si="37"/>
        <v>6.1520102716885159</v>
      </c>
      <c r="Z54" s="231">
        <f t="shared" si="37"/>
        <v>6.3184186148424999</v>
      </c>
      <c r="AA54" s="231">
        <f t="shared" si="37"/>
        <v>6.483605594539803</v>
      </c>
      <c r="AB54" s="231">
        <f t="shared" si="37"/>
        <v>6.6478198239351283</v>
      </c>
      <c r="AC54" s="232">
        <f t="shared" si="37"/>
        <v>6.8112880646224925</v>
      </c>
      <c r="AF54"/>
      <c r="AG54"/>
      <c r="AH54"/>
      <c r="AI54" s="90"/>
      <c r="AJ54" s="90"/>
      <c r="AK54" s="90"/>
      <c r="AL54" s="90"/>
      <c r="AM54" s="153"/>
      <c r="AQ54"/>
      <c r="AR54" s="13"/>
      <c r="AS54" s="12"/>
      <c r="AT54" s="3"/>
      <c r="AU54" s="3"/>
      <c r="AV54" s="3"/>
      <c r="AW54" s="3"/>
    </row>
    <row r="55" spans="2:49" hidden="1" x14ac:dyDescent="0.25">
      <c r="B55" s="242"/>
      <c r="D55" s="43" t="s">
        <v>74</v>
      </c>
      <c r="E55" s="43"/>
      <c r="F55" s="106">
        <f>1.075*1.225*F63</f>
        <v>10.903124838128702</v>
      </c>
      <c r="G55" s="136"/>
      <c r="I55" s="264"/>
      <c r="J55" s="271"/>
      <c r="K55" s="250">
        <f t="shared" ref="K55:AC55" si="38">1.075*1.225*K63</f>
        <v>6.360525791197067</v>
      </c>
      <c r="L55" s="231">
        <f t="shared" si="38"/>
        <v>6.8975873619679131</v>
      </c>
      <c r="M55" s="231">
        <f t="shared" si="38"/>
        <v>7.4341241754768417</v>
      </c>
      <c r="N55" s="106">
        <f t="shared" si="38"/>
        <v>7.9758896631816194</v>
      </c>
      <c r="O55" s="231">
        <f t="shared" si="38"/>
        <v>8.5275391540063872</v>
      </c>
      <c r="P55" s="231">
        <f t="shared" si="38"/>
        <v>9.0929595225259305</v>
      </c>
      <c r="Q55" s="231">
        <f t="shared" si="38"/>
        <v>9.6754787975836241</v>
      </c>
      <c r="R55" s="231">
        <f t="shared" si="38"/>
        <v>10.278005515200309</v>
      </c>
      <c r="S55" s="231">
        <f t="shared" si="38"/>
        <v>10.903124838128702</v>
      </c>
      <c r="T55" s="231">
        <f t="shared" si="38"/>
        <v>11.553166941003941</v>
      </c>
      <c r="U55" s="231">
        <f t="shared" si="38"/>
        <v>12.230256968148996</v>
      </c>
      <c r="V55" s="231">
        <f t="shared" si="38"/>
        <v>12.93635237430694</v>
      </c>
      <c r="W55" s="231">
        <f t="shared" si="38"/>
        <v>13.673271398605419</v>
      </c>
      <c r="X55" s="231">
        <f t="shared" si="38"/>
        <v>14.442715163590103</v>
      </c>
      <c r="Y55" s="231">
        <f t="shared" si="38"/>
        <v>15.24628509761636</v>
      </c>
      <c r="Z55" s="231">
        <f t="shared" si="38"/>
        <v>16.085496864383348</v>
      </c>
      <c r="AA55" s="231">
        <f t="shared" si="38"/>
        <v>16.961791641476211</v>
      </c>
      <c r="AB55" s="231">
        <f t="shared" si="38"/>
        <v>17.876545357497285</v>
      </c>
      <c r="AC55" s="232">
        <f t="shared" si="38"/>
        <v>18.831076336403815</v>
      </c>
      <c r="AF55"/>
      <c r="AG55"/>
      <c r="AH55"/>
      <c r="AI55" s="90"/>
      <c r="AJ55" s="90"/>
      <c r="AK55" s="90"/>
      <c r="AL55" s="90"/>
      <c r="AM55" s="153"/>
      <c r="AQ55"/>
      <c r="AR55" s="13"/>
      <c r="AS55" s="12"/>
      <c r="AT55" s="3"/>
      <c r="AU55" s="3"/>
      <c r="AV55" s="3"/>
      <c r="AW55" s="3"/>
    </row>
    <row r="56" spans="2:49" hidden="1" x14ac:dyDescent="0.25">
      <c r="B56" s="242"/>
      <c r="D56" s="43" t="s">
        <v>80</v>
      </c>
      <c r="E56" s="43"/>
      <c r="F56" s="106">
        <f>1.075*1.225*F64</f>
        <v>11.042701692091265</v>
      </c>
      <c r="G56" s="136"/>
      <c r="I56" s="264"/>
      <c r="J56" s="271"/>
      <c r="K56" s="250">
        <f t="shared" ref="K56:AC56" si="39">1.075*1.225*K64</f>
        <v>5.1532607896425917</v>
      </c>
      <c r="L56" s="231">
        <f t="shared" si="39"/>
        <v>5.8894409024486736</v>
      </c>
      <c r="M56" s="231">
        <f t="shared" si="39"/>
        <v>6.6256210152547581</v>
      </c>
      <c r="N56" s="106">
        <f t="shared" si="39"/>
        <v>7.3618011280608435</v>
      </c>
      <c r="O56" s="231">
        <f t="shared" si="39"/>
        <v>8.0979812408669289</v>
      </c>
      <c r="P56" s="231">
        <f t="shared" si="39"/>
        <v>8.8341613536730126</v>
      </c>
      <c r="Q56" s="231">
        <f t="shared" si="39"/>
        <v>9.5703414664790962</v>
      </c>
      <c r="R56" s="231">
        <f t="shared" si="39"/>
        <v>10.306521579285183</v>
      </c>
      <c r="S56" s="231">
        <f t="shared" si="39"/>
        <v>11.042701692091265</v>
      </c>
      <c r="T56" s="231">
        <f t="shared" si="39"/>
        <v>11.778881804897347</v>
      </c>
      <c r="U56" s="231">
        <f t="shared" si="39"/>
        <v>12.457040508779455</v>
      </c>
      <c r="V56" s="231">
        <f t="shared" si="39"/>
        <v>12.457040508779455</v>
      </c>
      <c r="W56" s="231">
        <f t="shared" si="39"/>
        <v>12.457040508779455</v>
      </c>
      <c r="X56" s="231">
        <f t="shared" si="39"/>
        <v>12.457040508779455</v>
      </c>
      <c r="Y56" s="231">
        <f t="shared" si="39"/>
        <v>12.457040508779455</v>
      </c>
      <c r="Z56" s="231">
        <f t="shared" si="39"/>
        <v>12.457040508779455</v>
      </c>
      <c r="AA56" s="231">
        <f t="shared" si="39"/>
        <v>12.457040508779455</v>
      </c>
      <c r="AB56" s="231">
        <f t="shared" si="39"/>
        <v>12.457040508779455</v>
      </c>
      <c r="AC56" s="232">
        <f t="shared" si="39"/>
        <v>12.457040508779455</v>
      </c>
      <c r="AF56"/>
      <c r="AG56"/>
      <c r="AH56"/>
      <c r="AI56" s="90"/>
      <c r="AJ56" s="90"/>
      <c r="AK56" s="90"/>
      <c r="AL56" s="90"/>
      <c r="AM56" s="153"/>
      <c r="AQ56"/>
      <c r="AR56" s="13"/>
      <c r="AS56" s="12"/>
      <c r="AT56" s="3"/>
      <c r="AU56" s="3"/>
      <c r="AV56" s="3"/>
      <c r="AW56" s="3"/>
    </row>
    <row r="57" spans="2:49" ht="15.75" thickBot="1" x14ac:dyDescent="0.3">
      <c r="B57" s="151"/>
      <c r="C57" s="289"/>
      <c r="D57" s="145" t="s">
        <v>93</v>
      </c>
      <c r="E57" s="145"/>
      <c r="F57" s="283">
        <f>2+(F$16/$C$16*$F$10/$F$8^3)</f>
        <v>2.3679703235256446</v>
      </c>
      <c r="G57" s="214" t="s">
        <v>32</v>
      </c>
      <c r="I57" s="290"/>
      <c r="J57" s="291"/>
      <c r="K57" s="297">
        <f t="shared" ref="K57:AC57" si="40">2+(K$16/$C$16*$F$10/$F$8^3)</f>
        <v>2.1717194843119674</v>
      </c>
      <c r="L57" s="285">
        <f t="shared" si="40"/>
        <v>2.1962508392136773</v>
      </c>
      <c r="M57" s="285">
        <f t="shared" si="40"/>
        <v>2.2207821941153867</v>
      </c>
      <c r="N57" s="285">
        <f t="shared" si="40"/>
        <v>2.2453135490170966</v>
      </c>
      <c r="O57" s="285">
        <f t="shared" si="40"/>
        <v>2.269844903918806</v>
      </c>
      <c r="P57" s="285">
        <f t="shared" si="40"/>
        <v>2.2943762588205159</v>
      </c>
      <c r="Q57" s="285">
        <f t="shared" si="40"/>
        <v>2.3189076137222253</v>
      </c>
      <c r="R57" s="285">
        <f t="shared" si="40"/>
        <v>2.3434389686239352</v>
      </c>
      <c r="S57" s="285">
        <f t="shared" si="40"/>
        <v>2.3679703235256446</v>
      </c>
      <c r="T57" s="285">
        <f t="shared" si="40"/>
        <v>2.3925016784273541</v>
      </c>
      <c r="U57" s="285">
        <f t="shared" si="40"/>
        <v>2.4170330333290639</v>
      </c>
      <c r="V57" s="285">
        <f t="shared" si="40"/>
        <v>2.4415643882307734</v>
      </c>
      <c r="W57" s="285">
        <f t="shared" si="40"/>
        <v>2.4660957431324833</v>
      </c>
      <c r="X57" s="285">
        <f t="shared" si="40"/>
        <v>2.4906270980341927</v>
      </c>
      <c r="Y57" s="285">
        <f t="shared" si="40"/>
        <v>2.5151584529359026</v>
      </c>
      <c r="Z57" s="285">
        <f t="shared" si="40"/>
        <v>2.539689807837612</v>
      </c>
      <c r="AA57" s="285">
        <f t="shared" si="40"/>
        <v>2.5642211627393219</v>
      </c>
      <c r="AB57" s="285">
        <f t="shared" si="40"/>
        <v>2.5887525176410313</v>
      </c>
      <c r="AC57" s="286">
        <f t="shared" si="40"/>
        <v>2.6132838725427412</v>
      </c>
      <c r="AF57"/>
      <c r="AG57"/>
      <c r="AH57"/>
      <c r="AI57" s="90"/>
      <c r="AJ57" s="90"/>
      <c r="AK57" s="90"/>
      <c r="AL57" s="90"/>
      <c r="AM57" s="153"/>
      <c r="AQ57"/>
      <c r="AR57" s="13"/>
      <c r="AS57" s="12"/>
      <c r="AT57" s="3"/>
      <c r="AU57" s="3"/>
      <c r="AV57" s="3"/>
      <c r="AW57" s="3"/>
    </row>
    <row r="58" spans="2:49" x14ac:dyDescent="0.25">
      <c r="B58" s="140"/>
      <c r="C58" s="243"/>
      <c r="D58" s="132" t="s">
        <v>56</v>
      </c>
      <c r="E58" s="132"/>
      <c r="F58" s="220">
        <f>F51</f>
        <v>2.9492725940233915</v>
      </c>
      <c r="G58" s="136" t="s">
        <v>32</v>
      </c>
      <c r="I58" s="15"/>
      <c r="J58"/>
      <c r="K58" s="195">
        <f t="shared" ref="K58:AC58" si="41">K51</f>
        <v>1.9864658150654155</v>
      </c>
      <c r="L58" s="184">
        <f t="shared" si="41"/>
        <v>2.1261657672549541</v>
      </c>
      <c r="M58" s="184">
        <f t="shared" si="41"/>
        <v>2.2582095932207245</v>
      </c>
      <c r="N58" s="184">
        <f t="shared" si="41"/>
        <v>2.3839911399641114</v>
      </c>
      <c r="O58" s="184">
        <f t="shared" si="41"/>
        <v>2.5045707573005687</v>
      </c>
      <c r="P58" s="184">
        <f t="shared" si="41"/>
        <v>2.6207792529099021</v>
      </c>
      <c r="Q58" s="184">
        <f t="shared" si="41"/>
        <v>2.7332834843948115</v>
      </c>
      <c r="R58" s="184">
        <f t="shared" si="41"/>
        <v>2.8426296001692535</v>
      </c>
      <c r="S58" s="184">
        <f t="shared" si="41"/>
        <v>2.9492725940233915</v>
      </c>
      <c r="T58" s="184">
        <f t="shared" si="41"/>
        <v>3.0535971268139188</v>
      </c>
      <c r="U58" s="184">
        <f t="shared" si="41"/>
        <v>3.1559325792151696</v>
      </c>
      <c r="V58" s="184">
        <f t="shared" si="41"/>
        <v>3.2565641787970723</v>
      </c>
      <c r="W58" s="184">
        <f t="shared" si="41"/>
        <v>3.3557413863230741</v>
      </c>
      <c r="X58" s="184">
        <f t="shared" si="41"/>
        <v>3.4536843251311669</v>
      </c>
      <c r="Y58" s="184">
        <f t="shared" si="41"/>
        <v>3.5505887853745146</v>
      </c>
      <c r="Z58" s="184">
        <f t="shared" si="41"/>
        <v>3.646630171994814</v>
      </c>
      <c r="AA58" s="184">
        <f t="shared" si="41"/>
        <v>3.7419666574201149</v>
      </c>
      <c r="AB58" s="184">
        <f t="shared" si="41"/>
        <v>3.8367417269568453</v>
      </c>
      <c r="AC58" s="185">
        <f t="shared" si="41"/>
        <v>3.9310862544392671</v>
      </c>
      <c r="AF58"/>
      <c r="AG58"/>
      <c r="AH58"/>
      <c r="AI58"/>
      <c r="AJ58"/>
      <c r="AK58"/>
      <c r="AL58"/>
      <c r="AM58" s="136"/>
      <c r="AN58"/>
      <c r="AO58"/>
      <c r="AP58"/>
      <c r="AQ58"/>
      <c r="AR58"/>
      <c r="AS58"/>
      <c r="AT58"/>
      <c r="AU58"/>
      <c r="AV58"/>
      <c r="AW58"/>
    </row>
    <row r="59" spans="2:49" x14ac:dyDescent="0.25">
      <c r="B59" s="140"/>
      <c r="C59" s="247" t="s">
        <v>65</v>
      </c>
      <c r="D59" s="253" t="s">
        <v>57</v>
      </c>
      <c r="E59" s="252"/>
      <c r="F59" s="224">
        <f>IF(F52&lt;F53,F52,F53)</f>
        <v>6.2926606208628506</v>
      </c>
      <c r="G59" s="216" t="s">
        <v>32</v>
      </c>
      <c r="I59" s="15"/>
      <c r="J59"/>
      <c r="K59" s="189">
        <f t="shared" ref="K59:AC59" si="42">IF(K52&lt;K53,K52,K53)</f>
        <v>2.974167655736581</v>
      </c>
      <c r="L59" s="176">
        <f t="shared" si="42"/>
        <v>3.3990487494132342</v>
      </c>
      <c r="M59" s="176">
        <f t="shared" si="42"/>
        <v>3.8239298430898887</v>
      </c>
      <c r="N59" s="176">
        <f t="shared" si="42"/>
        <v>4.2488109367665432</v>
      </c>
      <c r="O59" s="176">
        <f t="shared" si="42"/>
        <v>4.6736920304431981</v>
      </c>
      <c r="P59" s="176">
        <f t="shared" si="42"/>
        <v>5.0985731241198531</v>
      </c>
      <c r="Q59" s="176">
        <f t="shared" si="42"/>
        <v>5.5234542177965062</v>
      </c>
      <c r="R59" s="176">
        <f t="shared" si="42"/>
        <v>5.9318774687727505</v>
      </c>
      <c r="S59" s="176">
        <f t="shared" si="42"/>
        <v>6.2926606208628506</v>
      </c>
      <c r="T59" s="176">
        <f t="shared" si="42"/>
        <v>6.6678277773794168</v>
      </c>
      <c r="U59" s="176">
        <f t="shared" si="42"/>
        <v>7.058605450188848</v>
      </c>
      <c r="V59" s="176">
        <f t="shared" si="42"/>
        <v>7.1894919507812851</v>
      </c>
      <c r="W59" s="176">
        <f t="shared" si="42"/>
        <v>7.1894919507812851</v>
      </c>
      <c r="X59" s="176">
        <f t="shared" si="42"/>
        <v>7.1894919507812851</v>
      </c>
      <c r="Y59" s="176">
        <f t="shared" si="42"/>
        <v>7.1894919507812851</v>
      </c>
      <c r="Z59" s="176">
        <f t="shared" si="42"/>
        <v>7.1894919507812851</v>
      </c>
      <c r="AA59" s="176">
        <f t="shared" si="42"/>
        <v>7.1894919507812851</v>
      </c>
      <c r="AB59" s="176">
        <f t="shared" si="42"/>
        <v>7.1894919507812851</v>
      </c>
      <c r="AC59" s="177">
        <f t="shared" si="42"/>
        <v>7.1894919507812851</v>
      </c>
      <c r="AF59"/>
      <c r="AG59"/>
      <c r="AH59"/>
      <c r="AM59" s="129"/>
      <c r="AN59"/>
      <c r="AO59"/>
      <c r="AP59"/>
      <c r="AQ59"/>
      <c r="AR59"/>
      <c r="AS59"/>
      <c r="AT59"/>
      <c r="AU59"/>
      <c r="AV59"/>
      <c r="AW59"/>
    </row>
    <row r="60" spans="2:49" x14ac:dyDescent="0.25">
      <c r="B60" s="140"/>
      <c r="C60" s="243" t="s">
        <v>66</v>
      </c>
      <c r="D60" s="252" t="s">
        <v>60</v>
      </c>
      <c r="E60" s="252"/>
      <c r="F60" s="222">
        <f>F54</f>
        <v>5.1101257817236982</v>
      </c>
      <c r="G60" s="217" t="s">
        <v>32</v>
      </c>
      <c r="I60" s="15"/>
      <c r="J60"/>
      <c r="K60" s="191">
        <f t="shared" ref="K60:AC60" si="43">K54</f>
        <v>3.4418962142222549</v>
      </c>
      <c r="L60" s="182">
        <f t="shared" si="43"/>
        <v>3.683950586827891</v>
      </c>
      <c r="M60" s="182">
        <f t="shared" si="43"/>
        <v>3.9127393941943249</v>
      </c>
      <c r="N60" s="182">
        <f t="shared" si="43"/>
        <v>4.1306777177595997</v>
      </c>
      <c r="O60" s="182">
        <f t="shared" si="43"/>
        <v>4.3396027973029661</v>
      </c>
      <c r="P60" s="182">
        <f t="shared" si="43"/>
        <v>4.5409541510815146</v>
      </c>
      <c r="Q60" s="182">
        <f t="shared" si="43"/>
        <v>4.7358872254365547</v>
      </c>
      <c r="R60" s="182">
        <f t="shared" si="43"/>
        <v>4.9253483171249446</v>
      </c>
      <c r="S60" s="182">
        <f t="shared" si="43"/>
        <v>5.1101257817236982</v>
      </c>
      <c r="T60" s="182">
        <f t="shared" si="43"/>
        <v>5.2908861108161966</v>
      </c>
      <c r="U60" s="182">
        <f t="shared" si="43"/>
        <v>5.4682000134916304</v>
      </c>
      <c r="V60" s="182">
        <f t="shared" si="43"/>
        <v>5.6425616959355223</v>
      </c>
      <c r="W60" s="182">
        <f t="shared" si="43"/>
        <v>5.8144033921439409</v>
      </c>
      <c r="X60" s="182">
        <f t="shared" si="43"/>
        <v>5.9841065039401409</v>
      </c>
      <c r="Y60" s="182">
        <f t="shared" si="43"/>
        <v>6.1520102716885159</v>
      </c>
      <c r="Z60" s="182">
        <f t="shared" si="43"/>
        <v>6.3184186148424999</v>
      </c>
      <c r="AA60" s="182">
        <f t="shared" si="43"/>
        <v>6.483605594539803</v>
      </c>
      <c r="AB60" s="182">
        <f t="shared" si="43"/>
        <v>6.6478198239351283</v>
      </c>
      <c r="AC60" s="183">
        <f t="shared" si="43"/>
        <v>6.8112880646224925</v>
      </c>
      <c r="AF60"/>
      <c r="AG60"/>
      <c r="AH60"/>
      <c r="AM60" s="129"/>
      <c r="AR60" s="12"/>
      <c r="AS60" s="12"/>
      <c r="AT60" s="3"/>
      <c r="AU60" s="3"/>
      <c r="AV60" s="3"/>
      <c r="AW60" s="3"/>
    </row>
    <row r="61" spans="2:49" ht="15.75" thickBot="1" x14ac:dyDescent="0.3">
      <c r="B61" s="140"/>
      <c r="C61" s="246"/>
      <c r="D61" s="238" t="s">
        <v>61</v>
      </c>
      <c r="E61" s="238"/>
      <c r="F61" s="223">
        <f t="shared" ref="F61" si="44">IF(F55&lt;F56,F55,F56)</f>
        <v>10.903124838128702</v>
      </c>
      <c r="G61" s="214" t="s">
        <v>32</v>
      </c>
      <c r="I61" s="204"/>
      <c r="J61" s="135"/>
      <c r="K61" s="192">
        <f t="shared" ref="K61:AC61" si="45">IF(K55&lt;K56,K55,K56)</f>
        <v>5.1532607896425917</v>
      </c>
      <c r="L61" s="193">
        <f t="shared" si="45"/>
        <v>5.8894409024486736</v>
      </c>
      <c r="M61" s="193">
        <f t="shared" si="45"/>
        <v>6.6256210152547581</v>
      </c>
      <c r="N61" s="193">
        <f t="shared" si="45"/>
        <v>7.3618011280608435</v>
      </c>
      <c r="O61" s="193">
        <f t="shared" si="45"/>
        <v>8.0979812408669289</v>
      </c>
      <c r="P61" s="193">
        <f t="shared" si="45"/>
        <v>8.8341613536730126</v>
      </c>
      <c r="Q61" s="193">
        <f t="shared" si="45"/>
        <v>9.5703414664790962</v>
      </c>
      <c r="R61" s="193">
        <f t="shared" si="45"/>
        <v>10.278005515200309</v>
      </c>
      <c r="S61" s="193">
        <f t="shared" si="45"/>
        <v>10.903124838128702</v>
      </c>
      <c r="T61" s="193">
        <f t="shared" si="45"/>
        <v>11.553166941003941</v>
      </c>
      <c r="U61" s="193">
        <f t="shared" si="45"/>
        <v>12.230256968148996</v>
      </c>
      <c r="V61" s="193">
        <f t="shared" si="45"/>
        <v>12.457040508779455</v>
      </c>
      <c r="W61" s="193">
        <f t="shared" si="45"/>
        <v>12.457040508779455</v>
      </c>
      <c r="X61" s="193">
        <f t="shared" si="45"/>
        <v>12.457040508779455</v>
      </c>
      <c r="Y61" s="193">
        <f t="shared" si="45"/>
        <v>12.457040508779455</v>
      </c>
      <c r="Z61" s="193">
        <f t="shared" si="45"/>
        <v>12.457040508779455</v>
      </c>
      <c r="AA61" s="193">
        <f t="shared" si="45"/>
        <v>12.457040508779455</v>
      </c>
      <c r="AB61" s="193">
        <f t="shared" si="45"/>
        <v>12.457040508779455</v>
      </c>
      <c r="AC61" s="194">
        <f t="shared" si="45"/>
        <v>12.457040508779455</v>
      </c>
      <c r="AF61"/>
      <c r="AG61"/>
      <c r="AH61"/>
      <c r="AM61" s="129"/>
    </row>
    <row r="62" spans="2:49" hidden="1" x14ac:dyDescent="0.25">
      <c r="B62" s="242"/>
      <c r="D62" s="371" t="s">
        <v>75</v>
      </c>
      <c r="E62" s="371"/>
      <c r="F62" s="402">
        <f>(0.2529+2.7683*10^-4*F48)*SQRT(F$16)/$F$4*$F$5*$F$7/$F$8</f>
        <v>3.8804941864062257</v>
      </c>
      <c r="G62" s="215"/>
      <c r="I62" s="275"/>
      <c r="J62" s="257"/>
      <c r="K62" s="403">
        <f t="shared" ref="K62:AC62" si="46">(0.2529+2.7683*10^-4*K48)*SQRT(K$16)/$F$4*$F$5*$F$7/$F$8</f>
        <v>2.6136848328218356</v>
      </c>
      <c r="L62" s="404">
        <f t="shared" si="46"/>
        <v>2.797494513015959</v>
      </c>
      <c r="M62" s="404">
        <f t="shared" si="46"/>
        <v>2.9712306742814047</v>
      </c>
      <c r="N62" s="404">
        <f t="shared" si="46"/>
        <v>3.1367272655032554</v>
      </c>
      <c r="O62" s="404">
        <f t="shared" si="46"/>
        <v>3.2953794379139749</v>
      </c>
      <c r="P62" s="404">
        <f t="shared" si="46"/>
        <v>3.4482803235550179</v>
      </c>
      <c r="Q62" s="404">
        <f t="shared" si="46"/>
        <v>3.5963073377781147</v>
      </c>
      <c r="R62" s="404">
        <f t="shared" si="46"/>
        <v>3.7401790732795019</v>
      </c>
      <c r="S62" s="404">
        <f t="shared" si="46"/>
        <v>3.8804941864062257</v>
      </c>
      <c r="T62" s="404">
        <f t="shared" si="46"/>
        <v>4.017758793215906</v>
      </c>
      <c r="U62" s="404">
        <f t="shared" si="46"/>
        <v>4.152406275076701</v>
      </c>
      <c r="V62" s="404">
        <f t="shared" si="46"/>
        <v>4.2848119190777574</v>
      </c>
      <c r="W62" s="404">
        <f t="shared" si="46"/>
        <v>4.4153039522687729</v>
      </c>
      <c r="X62" s="404">
        <f t="shared" si="46"/>
        <v>4.5441720010936049</v>
      </c>
      <c r="Y62" s="404">
        <f t="shared" si="46"/>
        <v>4.671673675700819</v>
      </c>
      <c r="Z62" s="404">
        <f t="shared" si="46"/>
        <v>4.7980397644746082</v>
      </c>
      <c r="AA62" s="404">
        <f t="shared" si="46"/>
        <v>4.9234783821849479</v>
      </c>
      <c r="AB62" s="404">
        <f t="shared" si="46"/>
        <v>5.0481783190774587</v>
      </c>
      <c r="AC62" s="405">
        <f t="shared" si="46"/>
        <v>5.1723117719012759</v>
      </c>
      <c r="AF62"/>
      <c r="AG62"/>
      <c r="AH62"/>
      <c r="AI62" s="90"/>
      <c r="AJ62" s="90"/>
      <c r="AK62" s="90"/>
      <c r="AL62" s="90"/>
      <c r="AM62" s="153"/>
      <c r="AQ62"/>
      <c r="AR62" s="13"/>
      <c r="AS62" s="12"/>
      <c r="AT62" s="3"/>
      <c r="AU62" s="3"/>
      <c r="AV62" s="3"/>
      <c r="AW62" s="3"/>
    </row>
    <row r="63" spans="2:49" hidden="1" x14ac:dyDescent="0.25">
      <c r="B63" s="242"/>
      <c r="D63" s="43" t="s">
        <v>76</v>
      </c>
      <c r="E63" s="43"/>
      <c r="F63" s="406">
        <f>(0.675+9.273*10^-3*F48)*SQRT(F$16)*$F$4*$F$6/$F$7*$F$8</f>
        <v>8.2795442529691137</v>
      </c>
      <c r="G63" s="136"/>
      <c r="I63" s="267"/>
      <c r="J63" s="259"/>
      <c r="K63" s="407">
        <f t="shared" ref="K63:AC63" si="47">(0.675+9.273*10^-3*K48)*SQRT(K$16)*$F$4*$F$6/$F$7*$F$8</f>
        <v>4.8300148390675401</v>
      </c>
      <c r="L63" s="408">
        <f t="shared" si="47"/>
        <v>5.2378451728280311</v>
      </c>
      <c r="M63" s="408">
        <f t="shared" si="47"/>
        <v>5.6452770198210471</v>
      </c>
      <c r="N63" s="408">
        <f t="shared" si="47"/>
        <v>6.0566793835266211</v>
      </c>
      <c r="O63" s="408">
        <f t="shared" si="47"/>
        <v>6.4755873974419647</v>
      </c>
      <c r="P63" s="408">
        <f t="shared" si="47"/>
        <v>6.9049526511824819</v>
      </c>
      <c r="Q63" s="408">
        <f t="shared" si="47"/>
        <v>7.3473023617151387</v>
      </c>
      <c r="R63" s="408">
        <f t="shared" si="47"/>
        <v>7.8048451942669654</v>
      </c>
      <c r="S63" s="408">
        <f t="shared" si="47"/>
        <v>8.2795442529691137</v>
      </c>
      <c r="T63" s="408">
        <f t="shared" si="47"/>
        <v>8.7731690107291431</v>
      </c>
      <c r="U63" s="408">
        <f t="shared" si="47"/>
        <v>9.2873332458653977</v>
      </c>
      <c r="V63" s="408">
        <f t="shared" si="47"/>
        <v>9.823523397670197</v>
      </c>
      <c r="W63" s="408">
        <f t="shared" si="47"/>
        <v>10.383120188784371</v>
      </c>
      <c r="X63" s="408">
        <f t="shared" si="47"/>
        <v>10.967415406618018</v>
      </c>
      <c r="Y63" s="408">
        <f t="shared" si="47"/>
        <v>11.577625133453335</v>
      </c>
      <c r="Z63" s="408">
        <f t="shared" si="47"/>
        <v>12.21490032416391</v>
      </c>
      <c r="AA63" s="408">
        <f t="shared" si="47"/>
        <v>12.880335370840976</v>
      </c>
      <c r="AB63" s="408">
        <f t="shared" si="47"/>
        <v>13.574975117226224</v>
      </c>
      <c r="AC63" s="409">
        <f t="shared" si="47"/>
        <v>14.299820663619412</v>
      </c>
      <c r="AF63"/>
      <c r="AG63"/>
      <c r="AH63"/>
      <c r="AI63" s="90"/>
      <c r="AJ63" s="90"/>
      <c r="AK63" s="90"/>
      <c r="AL63" s="90"/>
      <c r="AM63" s="153"/>
      <c r="AQ63"/>
      <c r="AR63" s="13"/>
      <c r="AS63" s="12"/>
      <c r="AT63" s="3"/>
      <c r="AU63" s="3"/>
      <c r="AV63" s="3"/>
      <c r="AW63" s="3"/>
    </row>
    <row r="64" spans="2:49" ht="15.75" hidden="1" thickBot="1" x14ac:dyDescent="0.3">
      <c r="B64" s="242"/>
      <c r="D64" s="43" t="s">
        <v>77</v>
      </c>
      <c r="E64" s="43"/>
      <c r="F64" s="410">
        <f>IF(($F$3*(F$16*10^-3)/SQRT($C$16*10^-3*$B$66*10^-3)*$F$4/$F$6^2*$F$8)&lt;(4*$F$13*$F$8),($F$3*(F$16*10^-3)/SQRT($C$16*10^-3*$B$66*10^-3)*$F$4/$F$6^2*$F$8),(4*$F$13*$F$8))</f>
        <v>8.3855352194333292</v>
      </c>
      <c r="G64" s="136"/>
      <c r="I64" s="267"/>
      <c r="J64" s="259"/>
      <c r="K64" s="411">
        <f t="shared" ref="K64:AC64" si="48">IF(($F$3*(K$16*10^-3)/SQRT($C$16*10^-3*$B$66*10^-3)*$F$4/$F$6^2*$F$8)&lt;(4*$F$13*$F$8),($F$3*(K$16*10^-3)/SQRT($C$16*10^-3*$B$66*10^-3)*$F$4/$F$6^2*$F$8),(4*$F$13*$F$8))</f>
        <v>3.9132497690688877</v>
      </c>
      <c r="L64" s="412">
        <f t="shared" si="48"/>
        <v>4.4722854503644411</v>
      </c>
      <c r="M64" s="412">
        <f t="shared" si="48"/>
        <v>5.0313211316599968</v>
      </c>
      <c r="N64" s="412">
        <f t="shared" si="48"/>
        <v>5.5903568129555525</v>
      </c>
      <c r="O64" s="412">
        <f t="shared" si="48"/>
        <v>6.1493924942511082</v>
      </c>
      <c r="P64" s="412">
        <f t="shared" si="48"/>
        <v>6.7084281755466639</v>
      </c>
      <c r="Q64" s="412">
        <f t="shared" si="48"/>
        <v>7.2674638568422179</v>
      </c>
      <c r="R64" s="412">
        <f t="shared" si="48"/>
        <v>7.8264995381377753</v>
      </c>
      <c r="S64" s="412">
        <f t="shared" si="48"/>
        <v>8.3855352194333292</v>
      </c>
      <c r="T64" s="412">
        <f t="shared" si="48"/>
        <v>8.9445709007288823</v>
      </c>
      <c r="U64" s="412">
        <f t="shared" si="48"/>
        <v>9.4595466606773275</v>
      </c>
      <c r="V64" s="412">
        <f t="shared" si="48"/>
        <v>9.4595466606773275</v>
      </c>
      <c r="W64" s="412">
        <f t="shared" si="48"/>
        <v>9.4595466606773275</v>
      </c>
      <c r="X64" s="412">
        <f t="shared" si="48"/>
        <v>9.4595466606773275</v>
      </c>
      <c r="Y64" s="412">
        <f t="shared" si="48"/>
        <v>9.4595466606773275</v>
      </c>
      <c r="Z64" s="412">
        <f t="shared" si="48"/>
        <v>9.4595466606773275</v>
      </c>
      <c r="AA64" s="412">
        <f t="shared" si="48"/>
        <v>9.4595466606773275</v>
      </c>
      <c r="AB64" s="412">
        <f t="shared" si="48"/>
        <v>9.4595466606773275</v>
      </c>
      <c r="AC64" s="413">
        <f t="shared" si="48"/>
        <v>9.4595466606773275</v>
      </c>
      <c r="AF64"/>
      <c r="AG64"/>
      <c r="AH64"/>
      <c r="AI64" s="90"/>
      <c r="AJ64" s="90"/>
      <c r="AK64" s="90"/>
      <c r="AL64" s="90"/>
      <c r="AM64" s="153"/>
      <c r="AQ64"/>
      <c r="AR64" s="13"/>
      <c r="AS64" s="12"/>
      <c r="AT64" s="3"/>
      <c r="AU64" s="3"/>
      <c r="AV64" s="3"/>
      <c r="AW64" s="3"/>
    </row>
    <row r="65" spans="2:49" x14ac:dyDescent="0.25">
      <c r="B65" s="140"/>
      <c r="C65" s="243"/>
      <c r="D65" s="239" t="s">
        <v>56</v>
      </c>
      <c r="E65" s="239"/>
      <c r="F65" s="220">
        <f>F62</f>
        <v>3.8804941864062257</v>
      </c>
      <c r="G65" s="215" t="s">
        <v>32</v>
      </c>
      <c r="I65" s="15"/>
      <c r="J65"/>
      <c r="K65" s="195">
        <f t="shared" ref="K65:AC65" si="49">K62</f>
        <v>2.6136848328218356</v>
      </c>
      <c r="L65" s="184">
        <f t="shared" si="49"/>
        <v>2.797494513015959</v>
      </c>
      <c r="M65" s="184">
        <f t="shared" si="49"/>
        <v>2.9712306742814047</v>
      </c>
      <c r="N65" s="184">
        <f t="shared" si="49"/>
        <v>3.1367272655032554</v>
      </c>
      <c r="O65" s="184">
        <f t="shared" si="49"/>
        <v>3.2953794379139749</v>
      </c>
      <c r="P65" s="184">
        <f t="shared" si="49"/>
        <v>3.4482803235550179</v>
      </c>
      <c r="Q65" s="184">
        <f t="shared" si="49"/>
        <v>3.5963073377781147</v>
      </c>
      <c r="R65" s="184">
        <f t="shared" si="49"/>
        <v>3.7401790732795019</v>
      </c>
      <c r="S65" s="184">
        <f t="shared" si="49"/>
        <v>3.8804941864062257</v>
      </c>
      <c r="T65" s="184">
        <f t="shared" si="49"/>
        <v>4.017758793215906</v>
      </c>
      <c r="U65" s="184">
        <f t="shared" si="49"/>
        <v>4.152406275076701</v>
      </c>
      <c r="V65" s="184">
        <f t="shared" si="49"/>
        <v>4.2848119190777574</v>
      </c>
      <c r="W65" s="184">
        <f t="shared" si="49"/>
        <v>4.4153039522687729</v>
      </c>
      <c r="X65" s="184">
        <f t="shared" si="49"/>
        <v>4.5441720010936049</v>
      </c>
      <c r="Y65" s="184">
        <f t="shared" si="49"/>
        <v>4.671673675700819</v>
      </c>
      <c r="Z65" s="184">
        <f t="shared" si="49"/>
        <v>4.7980397644746082</v>
      </c>
      <c r="AA65" s="184">
        <f t="shared" si="49"/>
        <v>4.9234783821849479</v>
      </c>
      <c r="AB65" s="184">
        <f t="shared" si="49"/>
        <v>5.0481783190774587</v>
      </c>
      <c r="AC65" s="185">
        <f t="shared" si="49"/>
        <v>5.1723117719012759</v>
      </c>
      <c r="AF65"/>
      <c r="AG65"/>
      <c r="AH65"/>
      <c r="AM65" s="129"/>
      <c r="AR65"/>
      <c r="AS65" s="12"/>
      <c r="AT65" s="3"/>
      <c r="AU65" s="3"/>
      <c r="AV65" s="3"/>
      <c r="AW65" s="3"/>
    </row>
    <row r="66" spans="2:49" x14ac:dyDescent="0.25">
      <c r="B66" s="254">
        <v>138</v>
      </c>
      <c r="C66" s="244" t="s">
        <v>58</v>
      </c>
      <c r="D66" s="253" t="s">
        <v>57</v>
      </c>
      <c r="E66" s="252"/>
      <c r="F66" s="224">
        <f t="shared" ref="F66" si="50">IF(F63&lt;F64,F63,F64)</f>
        <v>8.2795442529691137</v>
      </c>
      <c r="G66" s="216" t="s">
        <v>32</v>
      </c>
      <c r="I66" s="15"/>
      <c r="J66"/>
      <c r="K66" s="189">
        <f t="shared" ref="K66:AC66" si="51">IF(K63&lt;K64,K63,K64)</f>
        <v>3.9132497690688877</v>
      </c>
      <c r="L66" s="176">
        <f t="shared" si="51"/>
        <v>4.4722854503644411</v>
      </c>
      <c r="M66" s="176">
        <f t="shared" si="51"/>
        <v>5.0313211316599968</v>
      </c>
      <c r="N66" s="176">
        <f t="shared" si="51"/>
        <v>5.5903568129555525</v>
      </c>
      <c r="O66" s="176">
        <f t="shared" si="51"/>
        <v>6.1493924942511082</v>
      </c>
      <c r="P66" s="176">
        <f t="shared" si="51"/>
        <v>6.7084281755466639</v>
      </c>
      <c r="Q66" s="176">
        <f t="shared" si="51"/>
        <v>7.2674638568422179</v>
      </c>
      <c r="R66" s="176">
        <f t="shared" si="51"/>
        <v>7.8048451942669654</v>
      </c>
      <c r="S66" s="176">
        <f t="shared" si="51"/>
        <v>8.2795442529691137</v>
      </c>
      <c r="T66" s="176">
        <f t="shared" si="51"/>
        <v>8.7731690107291431</v>
      </c>
      <c r="U66" s="176">
        <f t="shared" si="51"/>
        <v>9.2873332458653977</v>
      </c>
      <c r="V66" s="176">
        <f t="shared" si="51"/>
        <v>9.4595466606773275</v>
      </c>
      <c r="W66" s="176">
        <f t="shared" si="51"/>
        <v>9.4595466606773275</v>
      </c>
      <c r="X66" s="176">
        <f t="shared" si="51"/>
        <v>9.4595466606773275</v>
      </c>
      <c r="Y66" s="176">
        <f t="shared" si="51"/>
        <v>9.4595466606773275</v>
      </c>
      <c r="Z66" s="176">
        <f t="shared" si="51"/>
        <v>9.4595466606773275</v>
      </c>
      <c r="AA66" s="176">
        <f t="shared" si="51"/>
        <v>9.4595466606773275</v>
      </c>
      <c r="AB66" s="176">
        <f t="shared" si="51"/>
        <v>9.4595466606773275</v>
      </c>
      <c r="AC66" s="177">
        <f t="shared" si="51"/>
        <v>9.4595466606773275</v>
      </c>
      <c r="AF66"/>
      <c r="AG66"/>
      <c r="AH66"/>
      <c r="AM66" s="129"/>
    </row>
    <row r="67" spans="2:49" x14ac:dyDescent="0.25">
      <c r="B67" s="254" t="s">
        <v>40</v>
      </c>
      <c r="C67" s="243" t="s">
        <v>59</v>
      </c>
      <c r="D67" s="252" t="s">
        <v>60</v>
      </c>
      <c r="E67" s="252"/>
      <c r="F67" s="222">
        <f>F62</f>
        <v>3.8804941864062257</v>
      </c>
      <c r="G67" s="217" t="s">
        <v>32</v>
      </c>
      <c r="I67" s="15"/>
      <c r="J67"/>
      <c r="K67" s="191">
        <f t="shared" ref="K67:AC67" si="52">K62</f>
        <v>2.6136848328218356</v>
      </c>
      <c r="L67" s="182">
        <f t="shared" si="52"/>
        <v>2.797494513015959</v>
      </c>
      <c r="M67" s="182">
        <f t="shared" si="52"/>
        <v>2.9712306742814047</v>
      </c>
      <c r="N67" s="182">
        <f t="shared" si="52"/>
        <v>3.1367272655032554</v>
      </c>
      <c r="O67" s="182">
        <f t="shared" si="52"/>
        <v>3.2953794379139749</v>
      </c>
      <c r="P67" s="182">
        <f t="shared" si="52"/>
        <v>3.4482803235550179</v>
      </c>
      <c r="Q67" s="182">
        <f t="shared" si="52"/>
        <v>3.5963073377781147</v>
      </c>
      <c r="R67" s="182">
        <f t="shared" si="52"/>
        <v>3.7401790732795019</v>
      </c>
      <c r="S67" s="182">
        <f t="shared" si="52"/>
        <v>3.8804941864062257</v>
      </c>
      <c r="T67" s="182">
        <f t="shared" si="52"/>
        <v>4.017758793215906</v>
      </c>
      <c r="U67" s="182">
        <f t="shared" si="52"/>
        <v>4.152406275076701</v>
      </c>
      <c r="V67" s="182">
        <f t="shared" si="52"/>
        <v>4.2848119190777574</v>
      </c>
      <c r="W67" s="182">
        <f t="shared" si="52"/>
        <v>4.4153039522687729</v>
      </c>
      <c r="X67" s="182">
        <f t="shared" si="52"/>
        <v>4.5441720010936049</v>
      </c>
      <c r="Y67" s="182">
        <f t="shared" si="52"/>
        <v>4.671673675700819</v>
      </c>
      <c r="Z67" s="182">
        <f t="shared" si="52"/>
        <v>4.7980397644746082</v>
      </c>
      <c r="AA67" s="182">
        <f t="shared" si="52"/>
        <v>4.9234783821849479</v>
      </c>
      <c r="AB67" s="182">
        <f t="shared" si="52"/>
        <v>5.0481783190774587</v>
      </c>
      <c r="AC67" s="183">
        <f t="shared" si="52"/>
        <v>5.1723117719012759</v>
      </c>
      <c r="AF67"/>
      <c r="AG67"/>
      <c r="AH67"/>
      <c r="AM67" s="129"/>
      <c r="AR67" s="12"/>
      <c r="AS67" s="12"/>
      <c r="AT67" s="3"/>
      <c r="AU67" s="3"/>
      <c r="AV67" s="3"/>
      <c r="AW67" s="3"/>
    </row>
    <row r="68" spans="2:49" ht="15.75" thickBot="1" x14ac:dyDescent="0.3">
      <c r="B68" s="141"/>
      <c r="C68" s="246"/>
      <c r="D68" s="238" t="s">
        <v>61</v>
      </c>
      <c r="E68" s="238"/>
      <c r="F68" s="223">
        <f t="shared" ref="F68" si="53">IF(F63&lt;F64,F63,F64)</f>
        <v>8.2795442529691137</v>
      </c>
      <c r="G68" s="214" t="s">
        <v>32</v>
      </c>
      <c r="I68" s="204"/>
      <c r="J68" s="135"/>
      <c r="K68" s="192">
        <f t="shared" ref="K68:AC68" si="54">IF(K63&lt;K64,K63,K64)</f>
        <v>3.9132497690688877</v>
      </c>
      <c r="L68" s="193">
        <f t="shared" si="54"/>
        <v>4.4722854503644411</v>
      </c>
      <c r="M68" s="193">
        <f t="shared" si="54"/>
        <v>5.0313211316599968</v>
      </c>
      <c r="N68" s="193">
        <f t="shared" si="54"/>
        <v>5.5903568129555525</v>
      </c>
      <c r="O68" s="193">
        <f t="shared" si="54"/>
        <v>6.1493924942511082</v>
      </c>
      <c r="P68" s="193">
        <f t="shared" si="54"/>
        <v>6.7084281755466639</v>
      </c>
      <c r="Q68" s="193">
        <f t="shared" si="54"/>
        <v>7.2674638568422179</v>
      </c>
      <c r="R68" s="193">
        <f t="shared" si="54"/>
        <v>7.8048451942669654</v>
      </c>
      <c r="S68" s="193">
        <f t="shared" si="54"/>
        <v>8.2795442529691137</v>
      </c>
      <c r="T68" s="193">
        <f t="shared" si="54"/>
        <v>8.7731690107291431</v>
      </c>
      <c r="U68" s="193">
        <f t="shared" si="54"/>
        <v>9.2873332458653977</v>
      </c>
      <c r="V68" s="193">
        <f t="shared" si="54"/>
        <v>9.4595466606773275</v>
      </c>
      <c r="W68" s="193">
        <f t="shared" si="54"/>
        <v>9.4595466606773275</v>
      </c>
      <c r="X68" s="193">
        <f t="shared" si="54"/>
        <v>9.4595466606773275</v>
      </c>
      <c r="Y68" s="193">
        <f t="shared" si="54"/>
        <v>9.4595466606773275</v>
      </c>
      <c r="Z68" s="193">
        <f t="shared" si="54"/>
        <v>9.4595466606773275</v>
      </c>
      <c r="AA68" s="193">
        <f t="shared" si="54"/>
        <v>9.4595466606773275</v>
      </c>
      <c r="AB68" s="193">
        <f t="shared" si="54"/>
        <v>9.4595466606773275</v>
      </c>
      <c r="AC68" s="194">
        <f t="shared" si="54"/>
        <v>9.4595466606773275</v>
      </c>
      <c r="AF68"/>
      <c r="AG68"/>
      <c r="AH68"/>
      <c r="AM68" s="129"/>
    </row>
    <row r="69" spans="2:49" ht="15.75" hidden="1" thickBot="1" x14ac:dyDescent="0.3">
      <c r="B69" s="242"/>
      <c r="D69" s="371" t="s">
        <v>71</v>
      </c>
      <c r="E69" s="371"/>
      <c r="F69" s="220">
        <f>1.07*1.22*F62</f>
        <v>5.0655971109346876</v>
      </c>
      <c r="G69" s="215"/>
      <c r="I69" s="275"/>
      <c r="J69" s="257"/>
      <c r="K69" s="195">
        <f t="shared" ref="K69:AC69" si="55">1.07*1.22*K62</f>
        <v>3.4119041807656245</v>
      </c>
      <c r="L69" s="184">
        <f t="shared" si="55"/>
        <v>3.6518493372910332</v>
      </c>
      <c r="M69" s="184">
        <f t="shared" si="55"/>
        <v>3.8786445222069461</v>
      </c>
      <c r="N69" s="184">
        <f t="shared" si="55"/>
        <v>4.0946837723879499</v>
      </c>
      <c r="O69" s="184">
        <f t="shared" si="55"/>
        <v>4.3017883182529033</v>
      </c>
      <c r="P69" s="184">
        <f t="shared" si="55"/>
        <v>4.5013851343687206</v>
      </c>
      <c r="Q69" s="184">
        <f t="shared" si="55"/>
        <v>4.6946195987355512</v>
      </c>
      <c r="R69" s="184">
        <f t="shared" si="55"/>
        <v>4.8824297622590622</v>
      </c>
      <c r="S69" s="184">
        <f t="shared" si="55"/>
        <v>5.0655971109346876</v>
      </c>
      <c r="T69" s="184">
        <f t="shared" si="55"/>
        <v>5.2447823286640443</v>
      </c>
      <c r="U69" s="184">
        <f t="shared" si="55"/>
        <v>5.4205511514851263</v>
      </c>
      <c r="V69" s="184">
        <f t="shared" si="55"/>
        <v>5.5933934791641047</v>
      </c>
      <c r="W69" s="184">
        <f t="shared" si="55"/>
        <v>5.7637377792916569</v>
      </c>
      <c r="X69" s="184">
        <f t="shared" si="55"/>
        <v>5.9319621302275927</v>
      </c>
      <c r="Y69" s="184">
        <f t="shared" si="55"/>
        <v>6.09840281625985</v>
      </c>
      <c r="Z69" s="184">
        <f t="shared" si="55"/>
        <v>6.2633611085451539</v>
      </c>
      <c r="AA69" s="184">
        <f t="shared" si="55"/>
        <v>6.4271086801042312</v>
      </c>
      <c r="AB69" s="184">
        <f t="shared" si="55"/>
        <v>6.589891977723715</v>
      </c>
      <c r="AC69" s="185">
        <f t="shared" si="55"/>
        <v>6.7519357870399261</v>
      </c>
      <c r="AF69"/>
      <c r="AG69"/>
      <c r="AH69"/>
      <c r="AI69" s="90"/>
      <c r="AJ69" s="90"/>
      <c r="AK69" s="90"/>
      <c r="AL69" s="90"/>
      <c r="AM69" s="153"/>
      <c r="AQ69"/>
      <c r="AR69" s="13"/>
      <c r="AS69" s="12"/>
      <c r="AT69" s="3"/>
      <c r="AU69" s="3"/>
      <c r="AV69" s="3"/>
      <c r="AW69" s="3"/>
    </row>
    <row r="70" spans="2:49" ht="15.75" hidden="1" thickBot="1" x14ac:dyDescent="0.3">
      <c r="B70" s="242"/>
      <c r="D70" s="43" t="s">
        <v>72</v>
      </c>
      <c r="E70" s="43"/>
      <c r="F70" s="224">
        <f>1.07*1.22*F63</f>
        <v>10.808117067825881</v>
      </c>
      <c r="G70" s="136"/>
      <c r="I70" s="267"/>
      <c r="J70" s="259"/>
      <c r="K70" s="189">
        <f t="shared" ref="K70:AC70" si="56">1.07*1.22*K63</f>
        <v>6.3051013709187673</v>
      </c>
      <c r="L70" s="176">
        <f t="shared" si="56"/>
        <v>6.8374830886097122</v>
      </c>
      <c r="M70" s="176">
        <f t="shared" si="56"/>
        <v>7.3693446216743954</v>
      </c>
      <c r="N70" s="176">
        <f t="shared" si="56"/>
        <v>7.9063892672556522</v>
      </c>
      <c r="O70" s="176">
        <f t="shared" si="56"/>
        <v>8.4532317886207409</v>
      </c>
      <c r="P70" s="176">
        <f t="shared" si="56"/>
        <v>9.0137251908536129</v>
      </c>
      <c r="Q70" s="176">
        <f t="shared" si="56"/>
        <v>9.5911685029829421</v>
      </c>
      <c r="R70" s="176">
        <f t="shared" si="56"/>
        <v>10.188444916596097</v>
      </c>
      <c r="S70" s="176">
        <f t="shared" si="56"/>
        <v>10.808117067825881</v>
      </c>
      <c r="T70" s="176">
        <f t="shared" si="56"/>
        <v>11.452494826605825</v>
      </c>
      <c r="U70" s="176">
        <f t="shared" si="56"/>
        <v>12.123684819152691</v>
      </c>
      <c r="V70" s="176">
        <f t="shared" si="56"/>
        <v>12.823627443318676</v>
      </c>
      <c r="W70" s="176">
        <f t="shared" si="56"/>
        <v>13.554125094439119</v>
      </c>
      <c r="X70" s="176">
        <f t="shared" si="56"/>
        <v>14.316864071799163</v>
      </c>
      <c r="Y70" s="176">
        <f t="shared" si="56"/>
        <v>15.113431849209984</v>
      </c>
      <c r="Z70" s="176">
        <f t="shared" si="56"/>
        <v>15.945330883163569</v>
      </c>
      <c r="AA70" s="176">
        <f t="shared" si="56"/>
        <v>16.813989793095811</v>
      </c>
      <c r="AB70" s="176">
        <f t="shared" si="56"/>
        <v>17.720772518027115</v>
      </c>
      <c r="AC70" s="177">
        <f t="shared" si="56"/>
        <v>18.666985894288782</v>
      </c>
      <c r="AF70"/>
      <c r="AG70"/>
      <c r="AH70"/>
      <c r="AI70" s="90"/>
      <c r="AJ70" s="90"/>
      <c r="AK70" s="90"/>
      <c r="AL70" s="90"/>
      <c r="AM70" s="153"/>
      <c r="AQ70"/>
      <c r="AR70" s="13"/>
      <c r="AS70" s="12"/>
      <c r="AT70" s="3"/>
      <c r="AU70" s="3"/>
      <c r="AV70" s="3"/>
      <c r="AW70" s="3"/>
    </row>
    <row r="71" spans="2:49" ht="15.75" hidden="1" thickBot="1" x14ac:dyDescent="0.3">
      <c r="B71" s="242"/>
      <c r="D71" s="43" t="s">
        <v>79</v>
      </c>
      <c r="E71" s="43"/>
      <c r="F71" s="224">
        <f>1.07*1.22*F64</f>
        <v>10.94647767544827</v>
      </c>
      <c r="G71" s="136"/>
      <c r="I71" s="267"/>
      <c r="J71" s="259"/>
      <c r="K71" s="189">
        <f t="shared" ref="K71:AC71" si="57">1.07*1.22*K64</f>
        <v>5.1083562485425267</v>
      </c>
      <c r="L71" s="176">
        <f t="shared" si="57"/>
        <v>5.838121426905742</v>
      </c>
      <c r="M71" s="176">
        <f t="shared" si="57"/>
        <v>6.5678866052689608</v>
      </c>
      <c r="N71" s="176">
        <f t="shared" si="57"/>
        <v>7.2976517836321788</v>
      </c>
      <c r="O71" s="176">
        <f t="shared" si="57"/>
        <v>8.0274169619953977</v>
      </c>
      <c r="P71" s="176">
        <f t="shared" si="57"/>
        <v>8.7571821403586156</v>
      </c>
      <c r="Q71" s="176">
        <f t="shared" si="57"/>
        <v>9.4869473187218318</v>
      </c>
      <c r="R71" s="176">
        <f t="shared" si="57"/>
        <v>10.216712497085053</v>
      </c>
      <c r="S71" s="176">
        <f t="shared" si="57"/>
        <v>10.94647767544827</v>
      </c>
      <c r="T71" s="176">
        <f t="shared" si="57"/>
        <v>11.676242853811484</v>
      </c>
      <c r="U71" s="176">
        <f t="shared" si="57"/>
        <v>12.348492210848184</v>
      </c>
      <c r="V71" s="176">
        <f t="shared" si="57"/>
        <v>12.348492210848184</v>
      </c>
      <c r="W71" s="176">
        <f t="shared" si="57"/>
        <v>12.348492210848184</v>
      </c>
      <c r="X71" s="176">
        <f t="shared" si="57"/>
        <v>12.348492210848184</v>
      </c>
      <c r="Y71" s="176">
        <f t="shared" si="57"/>
        <v>12.348492210848184</v>
      </c>
      <c r="Z71" s="176">
        <f t="shared" si="57"/>
        <v>12.348492210848184</v>
      </c>
      <c r="AA71" s="176">
        <f t="shared" si="57"/>
        <v>12.348492210848184</v>
      </c>
      <c r="AB71" s="176">
        <f t="shared" si="57"/>
        <v>12.348492210848184</v>
      </c>
      <c r="AC71" s="177">
        <f t="shared" si="57"/>
        <v>12.348492210848184</v>
      </c>
      <c r="AF71"/>
      <c r="AG71"/>
      <c r="AH71"/>
      <c r="AI71" s="90"/>
      <c r="AJ71" s="90"/>
      <c r="AK71" s="90"/>
      <c r="AL71" s="90"/>
      <c r="AM71" s="153"/>
      <c r="AQ71"/>
      <c r="AR71" s="13"/>
      <c r="AS71" s="12"/>
      <c r="AT71" s="3"/>
      <c r="AU71" s="3"/>
      <c r="AV71" s="3"/>
      <c r="AW71" s="3"/>
    </row>
    <row r="72" spans="2:49" ht="15.75" hidden="1" thickBot="1" x14ac:dyDescent="0.3">
      <c r="B72" s="242"/>
      <c r="D72" s="43" t="s">
        <v>73</v>
      </c>
      <c r="E72" s="43"/>
      <c r="F72" s="224">
        <f>1.07*0.707*F62</f>
        <v>2.9355550470744456</v>
      </c>
      <c r="G72" s="136"/>
      <c r="I72" s="267"/>
      <c r="J72" s="259"/>
      <c r="K72" s="189">
        <f t="shared" ref="K72:AC72" si="58">1.07*0.707*K62</f>
        <v>1.9772264391813905</v>
      </c>
      <c r="L72" s="176">
        <f t="shared" si="58"/>
        <v>2.1162766241514426</v>
      </c>
      <c r="M72" s="176">
        <f t="shared" si="58"/>
        <v>2.2477062927871398</v>
      </c>
      <c r="N72" s="176">
        <f t="shared" si="58"/>
        <v>2.3729028090805575</v>
      </c>
      <c r="O72" s="176">
        <f t="shared" si="58"/>
        <v>2.4929215909875428</v>
      </c>
      <c r="P72" s="176">
        <f t="shared" si="58"/>
        <v>2.6085895819661356</v>
      </c>
      <c r="Q72" s="176">
        <f t="shared" si="58"/>
        <v>2.7205705379557661</v>
      </c>
      <c r="R72" s="176">
        <f t="shared" si="58"/>
        <v>2.8294080671452102</v>
      </c>
      <c r="S72" s="176">
        <f t="shared" si="58"/>
        <v>2.9355550470744456</v>
      </c>
      <c r="T72" s="176">
        <f t="shared" si="58"/>
        <v>3.0393943494799007</v>
      </c>
      <c r="U72" s="176">
        <f t="shared" si="58"/>
        <v>3.1412538230327733</v>
      </c>
      <c r="V72" s="176">
        <f t="shared" si="58"/>
        <v>3.2414173686631327</v>
      </c>
      <c r="W72" s="176">
        <f t="shared" si="58"/>
        <v>3.3401332868518039</v>
      </c>
      <c r="X72" s="176">
        <f t="shared" si="58"/>
        <v>3.4376206771073012</v>
      </c>
      <c r="Y72" s="176">
        <f t="shared" si="58"/>
        <v>3.5340744189309126</v>
      </c>
      <c r="Z72" s="176">
        <f t="shared" si="58"/>
        <v>3.6296691014273965</v>
      </c>
      <c r="AA72" s="176">
        <f t="shared" si="58"/>
        <v>3.7245621613390911</v>
      </c>
      <c r="AB72" s="176">
        <f t="shared" si="58"/>
        <v>3.8188964165989066</v>
      </c>
      <c r="AC72" s="177">
        <f t="shared" si="58"/>
        <v>3.9128021323255964</v>
      </c>
      <c r="AF72"/>
      <c r="AG72"/>
      <c r="AH72"/>
      <c r="AI72" s="90"/>
      <c r="AJ72" s="90"/>
      <c r="AK72" s="90"/>
      <c r="AL72" s="90"/>
      <c r="AM72" s="153"/>
      <c r="AQ72"/>
      <c r="AR72" s="13"/>
      <c r="AS72" s="12"/>
      <c r="AT72" s="3"/>
      <c r="AU72" s="3"/>
      <c r="AV72" s="3"/>
      <c r="AW72" s="3"/>
    </row>
    <row r="73" spans="2:49" ht="15.75" hidden="1" thickBot="1" x14ac:dyDescent="0.3">
      <c r="B73" s="242"/>
      <c r="D73" s="43" t="s">
        <v>74</v>
      </c>
      <c r="E73" s="43"/>
      <c r="F73" s="224">
        <f>1.07*0.707*F63</f>
        <v>6.2633924319286045</v>
      </c>
      <c r="G73" s="136"/>
      <c r="I73" s="267"/>
      <c r="J73" s="259"/>
      <c r="K73" s="189">
        <f t="shared" ref="K73:AC73" si="59">1.07*0.707*K63</f>
        <v>3.6538579256062036</v>
      </c>
      <c r="L73" s="176">
        <f t="shared" si="59"/>
        <v>3.9623774947926771</v>
      </c>
      <c r="M73" s="176">
        <f t="shared" si="59"/>
        <v>4.2705956127244242</v>
      </c>
      <c r="N73" s="176">
        <f t="shared" si="59"/>
        <v>4.5818173868440537</v>
      </c>
      <c r="O73" s="176">
        <f t="shared" si="59"/>
        <v>4.898717110290872</v>
      </c>
      <c r="P73" s="176">
        <f t="shared" si="59"/>
        <v>5.2235276310930354</v>
      </c>
      <c r="Q73" s="176">
        <f t="shared" si="59"/>
        <v>5.558160763613885</v>
      </c>
      <c r="R73" s="176">
        <f t="shared" si="59"/>
        <v>5.9042873410110168</v>
      </c>
      <c r="S73" s="176">
        <f t="shared" si="59"/>
        <v>6.2633924319286045</v>
      </c>
      <c r="T73" s="176">
        <f t="shared" si="59"/>
        <v>6.6368146249264894</v>
      </c>
      <c r="U73" s="176">
        <f t="shared" si="59"/>
        <v>7.0257747271647144</v>
      </c>
      <c r="V73" s="176">
        <f t="shared" si="59"/>
        <v>7.4313972151035275</v>
      </c>
      <c r="W73" s="176">
        <f t="shared" si="59"/>
        <v>7.8547265916134892</v>
      </c>
      <c r="X73" s="176">
        <f t="shared" si="59"/>
        <v>8.2967400809524641</v>
      </c>
      <c r="Y73" s="176">
        <f t="shared" si="59"/>
        <v>8.7583576372061138</v>
      </c>
      <c r="Z73" s="176">
        <f t="shared" si="59"/>
        <v>9.2404499462267555</v>
      </c>
      <c r="AA73" s="176">
        <f t="shared" si="59"/>
        <v>9.7438449046874904</v>
      </c>
      <c r="AB73" s="176">
        <f t="shared" si="59"/>
        <v>10.269332926430465</v>
      </c>
      <c r="AC73" s="177">
        <f t="shared" si="59"/>
        <v>10.817671333821449</v>
      </c>
      <c r="AF73"/>
      <c r="AG73"/>
      <c r="AH73"/>
      <c r="AI73" s="90"/>
      <c r="AJ73" s="90"/>
      <c r="AK73" s="90"/>
      <c r="AL73" s="90"/>
      <c r="AM73" s="153"/>
      <c r="AQ73"/>
      <c r="AR73" s="13"/>
      <c r="AS73" s="12"/>
      <c r="AT73" s="3"/>
      <c r="AU73" s="3"/>
      <c r="AV73" s="3"/>
      <c r="AW73" s="3"/>
    </row>
    <row r="74" spans="2:49" ht="15.75" hidden="1" thickBot="1" x14ac:dyDescent="0.3">
      <c r="B74" s="242"/>
      <c r="D74" s="43" t="s">
        <v>80</v>
      </c>
      <c r="E74" s="43"/>
      <c r="F74" s="223">
        <f>1.07*0.707*F64</f>
        <v>6.3435735381491192</v>
      </c>
      <c r="G74" s="136"/>
      <c r="I74" s="267"/>
      <c r="J74" s="259"/>
      <c r="K74" s="192">
        <f t="shared" ref="K74:AC74" si="60">1.07*0.707*K64</f>
        <v>2.9603343178029227</v>
      </c>
      <c r="L74" s="193">
        <f t="shared" si="60"/>
        <v>3.3832392203461961</v>
      </c>
      <c r="M74" s="193">
        <f t="shared" si="60"/>
        <v>3.8061441228894708</v>
      </c>
      <c r="N74" s="193">
        <f t="shared" si="60"/>
        <v>4.2290490254327455</v>
      </c>
      <c r="O74" s="193">
        <f t="shared" si="60"/>
        <v>4.6519539279760211</v>
      </c>
      <c r="P74" s="193">
        <f t="shared" si="60"/>
        <v>5.0748588305192959</v>
      </c>
      <c r="Q74" s="193">
        <f t="shared" si="60"/>
        <v>5.4977637330625697</v>
      </c>
      <c r="R74" s="193">
        <f t="shared" si="60"/>
        <v>5.9206686356058453</v>
      </c>
      <c r="S74" s="193">
        <f t="shared" si="60"/>
        <v>6.3435735381491192</v>
      </c>
      <c r="T74" s="193">
        <f t="shared" si="60"/>
        <v>6.7664784406923921</v>
      </c>
      <c r="U74" s="193">
        <f t="shared" si="60"/>
        <v>7.1560524533357919</v>
      </c>
      <c r="V74" s="193">
        <f t="shared" si="60"/>
        <v>7.1560524533357919</v>
      </c>
      <c r="W74" s="193">
        <f t="shared" si="60"/>
        <v>7.1560524533357919</v>
      </c>
      <c r="X74" s="193">
        <f t="shared" si="60"/>
        <v>7.1560524533357919</v>
      </c>
      <c r="Y74" s="193">
        <f t="shared" si="60"/>
        <v>7.1560524533357919</v>
      </c>
      <c r="Z74" s="193">
        <f t="shared" si="60"/>
        <v>7.1560524533357919</v>
      </c>
      <c r="AA74" s="193">
        <f t="shared" si="60"/>
        <v>7.1560524533357919</v>
      </c>
      <c r="AB74" s="193">
        <f t="shared" si="60"/>
        <v>7.1560524533357919</v>
      </c>
      <c r="AC74" s="194">
        <f t="shared" si="60"/>
        <v>7.1560524533357919</v>
      </c>
      <c r="AF74"/>
      <c r="AG74"/>
      <c r="AH74"/>
      <c r="AI74" s="90"/>
      <c r="AJ74" s="90"/>
      <c r="AK74" s="90"/>
      <c r="AL74" s="90"/>
      <c r="AM74" s="153"/>
      <c r="AQ74"/>
      <c r="AR74" s="13"/>
      <c r="AS74" s="12"/>
      <c r="AT74" s="3"/>
      <c r="AU74" s="3"/>
      <c r="AV74" s="3"/>
      <c r="AW74" s="3"/>
    </row>
    <row r="75" spans="2:49" x14ac:dyDescent="0.25">
      <c r="B75" s="142"/>
      <c r="C75" s="243"/>
      <c r="D75" s="239" t="s">
        <v>56</v>
      </c>
      <c r="E75" s="239"/>
      <c r="F75" s="220">
        <f>F69</f>
        <v>5.0655971109346876</v>
      </c>
      <c r="G75" s="215" t="s">
        <v>32</v>
      </c>
      <c r="I75" s="15"/>
      <c r="J75"/>
      <c r="K75" s="195">
        <f t="shared" ref="K75:AC75" si="61">K69</f>
        <v>3.4119041807656245</v>
      </c>
      <c r="L75" s="184">
        <f t="shared" si="61"/>
        <v>3.6518493372910332</v>
      </c>
      <c r="M75" s="184">
        <f t="shared" si="61"/>
        <v>3.8786445222069461</v>
      </c>
      <c r="N75" s="184">
        <f t="shared" si="61"/>
        <v>4.0946837723879499</v>
      </c>
      <c r="O75" s="184">
        <f t="shared" si="61"/>
        <v>4.3017883182529033</v>
      </c>
      <c r="P75" s="184">
        <f t="shared" si="61"/>
        <v>4.5013851343687206</v>
      </c>
      <c r="Q75" s="184">
        <f t="shared" si="61"/>
        <v>4.6946195987355512</v>
      </c>
      <c r="R75" s="184">
        <f t="shared" si="61"/>
        <v>4.8824297622590622</v>
      </c>
      <c r="S75" s="184">
        <f t="shared" si="61"/>
        <v>5.0655971109346876</v>
      </c>
      <c r="T75" s="184">
        <f t="shared" si="61"/>
        <v>5.2447823286640443</v>
      </c>
      <c r="U75" s="184">
        <f t="shared" si="61"/>
        <v>5.4205511514851263</v>
      </c>
      <c r="V75" s="184">
        <f t="shared" si="61"/>
        <v>5.5933934791641047</v>
      </c>
      <c r="W75" s="184">
        <f t="shared" si="61"/>
        <v>5.7637377792916569</v>
      </c>
      <c r="X75" s="184">
        <f t="shared" si="61"/>
        <v>5.9319621302275927</v>
      </c>
      <c r="Y75" s="184">
        <f t="shared" si="61"/>
        <v>6.09840281625985</v>
      </c>
      <c r="Z75" s="184">
        <f t="shared" si="61"/>
        <v>6.2633611085451539</v>
      </c>
      <c r="AA75" s="184">
        <f t="shared" si="61"/>
        <v>6.4271086801042312</v>
      </c>
      <c r="AB75" s="184">
        <f t="shared" si="61"/>
        <v>6.589891977723715</v>
      </c>
      <c r="AC75" s="185">
        <f t="shared" si="61"/>
        <v>6.7519357870399261</v>
      </c>
      <c r="AF75"/>
      <c r="AG75"/>
      <c r="AH75"/>
      <c r="AM75" s="129"/>
      <c r="AR75" s="12"/>
      <c r="AS75" s="12"/>
      <c r="AT75" s="3"/>
      <c r="AU75" s="3"/>
      <c r="AV75" s="3"/>
      <c r="AW75" s="3"/>
    </row>
    <row r="76" spans="2:49" x14ac:dyDescent="0.25">
      <c r="B76" s="141"/>
      <c r="C76" s="244" t="s">
        <v>67</v>
      </c>
      <c r="D76" s="253" t="s">
        <v>57</v>
      </c>
      <c r="E76" s="252"/>
      <c r="F76" s="224">
        <f>IF(F70&lt;F71,F70,F71)</f>
        <v>10.808117067825881</v>
      </c>
      <c r="G76" s="216" t="s">
        <v>32</v>
      </c>
      <c r="I76" s="15"/>
      <c r="J76"/>
      <c r="K76" s="189">
        <f t="shared" ref="K76:AC76" si="62">IF(K70&lt;K71,K70,K71)</f>
        <v>5.1083562485425267</v>
      </c>
      <c r="L76" s="176">
        <f t="shared" si="62"/>
        <v>5.838121426905742</v>
      </c>
      <c r="M76" s="176">
        <f t="shared" si="62"/>
        <v>6.5678866052689608</v>
      </c>
      <c r="N76" s="176">
        <f t="shared" si="62"/>
        <v>7.2976517836321788</v>
      </c>
      <c r="O76" s="176">
        <f t="shared" si="62"/>
        <v>8.0274169619953977</v>
      </c>
      <c r="P76" s="176">
        <f t="shared" si="62"/>
        <v>8.7571821403586156</v>
      </c>
      <c r="Q76" s="176">
        <f t="shared" si="62"/>
        <v>9.4869473187218318</v>
      </c>
      <c r="R76" s="176">
        <f t="shared" si="62"/>
        <v>10.188444916596097</v>
      </c>
      <c r="S76" s="176">
        <f t="shared" si="62"/>
        <v>10.808117067825881</v>
      </c>
      <c r="T76" s="176">
        <f t="shared" si="62"/>
        <v>11.452494826605825</v>
      </c>
      <c r="U76" s="176">
        <f t="shared" si="62"/>
        <v>12.123684819152691</v>
      </c>
      <c r="V76" s="176">
        <f t="shared" si="62"/>
        <v>12.348492210848184</v>
      </c>
      <c r="W76" s="176">
        <f t="shared" si="62"/>
        <v>12.348492210848184</v>
      </c>
      <c r="X76" s="176">
        <f t="shared" si="62"/>
        <v>12.348492210848184</v>
      </c>
      <c r="Y76" s="176">
        <f t="shared" si="62"/>
        <v>12.348492210848184</v>
      </c>
      <c r="Z76" s="176">
        <f t="shared" si="62"/>
        <v>12.348492210848184</v>
      </c>
      <c r="AA76" s="176">
        <f t="shared" si="62"/>
        <v>12.348492210848184</v>
      </c>
      <c r="AB76" s="176">
        <f t="shared" si="62"/>
        <v>12.348492210848184</v>
      </c>
      <c r="AC76" s="177">
        <f t="shared" si="62"/>
        <v>12.348492210848184</v>
      </c>
      <c r="AF76"/>
      <c r="AG76"/>
      <c r="AH76"/>
      <c r="AM76" s="129"/>
    </row>
    <row r="77" spans="2:49" x14ac:dyDescent="0.25">
      <c r="B77" s="142"/>
      <c r="C77" s="243" t="s">
        <v>68</v>
      </c>
      <c r="D77" s="252" t="s">
        <v>60</v>
      </c>
      <c r="E77" s="252"/>
      <c r="F77" s="222">
        <f>F72</f>
        <v>2.9355550470744456</v>
      </c>
      <c r="G77" s="217" t="s">
        <v>32</v>
      </c>
      <c r="I77" s="15"/>
      <c r="J77"/>
      <c r="K77" s="191">
        <f t="shared" ref="K77:AC77" si="63">K72</f>
        <v>1.9772264391813905</v>
      </c>
      <c r="L77" s="182">
        <f t="shared" si="63"/>
        <v>2.1162766241514426</v>
      </c>
      <c r="M77" s="182">
        <f t="shared" si="63"/>
        <v>2.2477062927871398</v>
      </c>
      <c r="N77" s="182">
        <f t="shared" si="63"/>
        <v>2.3729028090805575</v>
      </c>
      <c r="O77" s="182">
        <f t="shared" si="63"/>
        <v>2.4929215909875428</v>
      </c>
      <c r="P77" s="182">
        <f t="shared" si="63"/>
        <v>2.6085895819661356</v>
      </c>
      <c r="Q77" s="182">
        <f t="shared" si="63"/>
        <v>2.7205705379557661</v>
      </c>
      <c r="R77" s="182">
        <f t="shared" si="63"/>
        <v>2.8294080671452102</v>
      </c>
      <c r="S77" s="182">
        <f t="shared" si="63"/>
        <v>2.9355550470744456</v>
      </c>
      <c r="T77" s="182">
        <f t="shared" si="63"/>
        <v>3.0393943494799007</v>
      </c>
      <c r="U77" s="182">
        <f t="shared" si="63"/>
        <v>3.1412538230327733</v>
      </c>
      <c r="V77" s="182">
        <f t="shared" si="63"/>
        <v>3.2414173686631327</v>
      </c>
      <c r="W77" s="182">
        <f t="shared" si="63"/>
        <v>3.3401332868518039</v>
      </c>
      <c r="X77" s="182">
        <f t="shared" si="63"/>
        <v>3.4376206771073012</v>
      </c>
      <c r="Y77" s="182">
        <f t="shared" si="63"/>
        <v>3.5340744189309126</v>
      </c>
      <c r="Z77" s="182">
        <f t="shared" si="63"/>
        <v>3.6296691014273965</v>
      </c>
      <c r="AA77" s="182">
        <f t="shared" si="63"/>
        <v>3.7245621613390911</v>
      </c>
      <c r="AB77" s="182">
        <f t="shared" si="63"/>
        <v>3.8188964165989066</v>
      </c>
      <c r="AC77" s="183">
        <f t="shared" si="63"/>
        <v>3.9128021323255964</v>
      </c>
      <c r="AF77"/>
      <c r="AG77"/>
      <c r="AH77"/>
      <c r="AM77" s="129"/>
      <c r="AQ77"/>
      <c r="AR77"/>
      <c r="AS77"/>
      <c r="AT77"/>
      <c r="AU77"/>
      <c r="AV77"/>
      <c r="AW77"/>
    </row>
    <row r="78" spans="2:49" ht="15.75" thickBot="1" x14ac:dyDescent="0.3">
      <c r="B78" s="143"/>
      <c r="C78" s="248"/>
      <c r="D78" s="237" t="s">
        <v>61</v>
      </c>
      <c r="E78" s="252"/>
      <c r="F78" s="223">
        <f t="shared" ref="F78" si="64">IF(F73&lt;F74,F73,F74)</f>
        <v>6.2633924319286045</v>
      </c>
      <c r="G78" s="136" t="s">
        <v>32</v>
      </c>
      <c r="I78" s="273"/>
      <c r="J78" s="121"/>
      <c r="K78" s="196">
        <f t="shared" ref="K78:AC78" si="65">IF(K73&lt;K74,K73,K74)</f>
        <v>2.9603343178029227</v>
      </c>
      <c r="L78" s="187">
        <f t="shared" si="65"/>
        <v>3.3832392203461961</v>
      </c>
      <c r="M78" s="187">
        <f t="shared" si="65"/>
        <v>3.8061441228894708</v>
      </c>
      <c r="N78" s="187">
        <f t="shared" si="65"/>
        <v>4.2290490254327455</v>
      </c>
      <c r="O78" s="187">
        <f t="shared" si="65"/>
        <v>4.6519539279760211</v>
      </c>
      <c r="P78" s="187">
        <f t="shared" si="65"/>
        <v>5.0748588305192959</v>
      </c>
      <c r="Q78" s="187">
        <f t="shared" si="65"/>
        <v>5.4977637330625697</v>
      </c>
      <c r="R78" s="187">
        <f t="shared" si="65"/>
        <v>5.9042873410110168</v>
      </c>
      <c r="S78" s="187">
        <f t="shared" si="65"/>
        <v>6.2633924319286045</v>
      </c>
      <c r="T78" s="187">
        <f t="shared" si="65"/>
        <v>6.6368146249264894</v>
      </c>
      <c r="U78" s="187">
        <f t="shared" si="65"/>
        <v>7.0257747271647144</v>
      </c>
      <c r="V78" s="187">
        <f t="shared" si="65"/>
        <v>7.1560524533357919</v>
      </c>
      <c r="W78" s="187">
        <f t="shared" si="65"/>
        <v>7.1560524533357919</v>
      </c>
      <c r="X78" s="187">
        <f t="shared" si="65"/>
        <v>7.1560524533357919</v>
      </c>
      <c r="Y78" s="187">
        <f t="shared" si="65"/>
        <v>7.1560524533357919</v>
      </c>
      <c r="Z78" s="187">
        <f t="shared" si="65"/>
        <v>7.1560524533357919</v>
      </c>
      <c r="AA78" s="187">
        <f t="shared" si="65"/>
        <v>7.1560524533357919</v>
      </c>
      <c r="AB78" s="187">
        <f t="shared" si="65"/>
        <v>7.1560524533357919</v>
      </c>
      <c r="AC78" s="188">
        <f t="shared" si="65"/>
        <v>7.1560524533357919</v>
      </c>
      <c r="AF78"/>
      <c r="AG78"/>
      <c r="AH78"/>
      <c r="AM78" s="129"/>
      <c r="AQ78"/>
      <c r="AR78"/>
      <c r="AS78"/>
      <c r="AT78"/>
      <c r="AU78"/>
      <c r="AV78"/>
      <c r="AW78"/>
    </row>
    <row r="79" spans="2:49" ht="15.75" thickTop="1" x14ac:dyDescent="0.25">
      <c r="B79" s="139"/>
      <c r="C79" s="139"/>
      <c r="D79" s="125" t="s">
        <v>22</v>
      </c>
      <c r="E79" s="125"/>
      <c r="F79" s="218">
        <f>1.359*10^-3*(F$16/($C$16*10^-3*$B97*10^-3)*(0.507*0.171))^2.0302</f>
        <v>10.003301592663874</v>
      </c>
      <c r="G79" s="149" t="s">
        <v>6</v>
      </c>
      <c r="I79" s="263"/>
      <c r="J79" s="75"/>
      <c r="K79" s="75"/>
      <c r="L79" s="75"/>
      <c r="M79" s="205">
        <f t="shared" ref="M79:AI79" si="66">1.359*10^-3*(M$16/($C$16*10^-3*$B97*10^-3)*(0.507*0.171))^2.0302</f>
        <v>3.5460596043217891</v>
      </c>
      <c r="N79" s="206">
        <f t="shared" si="66"/>
        <v>4.391803379310927</v>
      </c>
      <c r="O79" s="206">
        <f t="shared" si="66"/>
        <v>5.3294000044907595</v>
      </c>
      <c r="P79" s="206">
        <f t="shared" si="66"/>
        <v>6.3591146385829189</v>
      </c>
      <c r="Q79" s="206">
        <f t="shared" si="66"/>
        <v>7.4811899608636621</v>
      </c>
      <c r="R79" s="206">
        <f t="shared" si="66"/>
        <v>8.6958497366630372</v>
      </c>
      <c r="S79" s="206">
        <f t="shared" si="66"/>
        <v>10.003301592663874</v>
      </c>
      <c r="T79" s="206">
        <f t="shared" si="66"/>
        <v>11.403739220106429</v>
      </c>
      <c r="U79" s="206">
        <f t="shared" si="66"/>
        <v>12.897344153463941</v>
      </c>
      <c r="V79" s="206">
        <f t="shared" si="66"/>
        <v>14.484287227368837</v>
      </c>
      <c r="W79" s="206">
        <f t="shared" si="66"/>
        <v>16.164729785183887</v>
      </c>
      <c r="X79" s="206">
        <f t="shared" si="66"/>
        <v>17.938824692777526</v>
      </c>
      <c r="Y79" s="206">
        <f t="shared" si="66"/>
        <v>19.806717197338504</v>
      </c>
      <c r="Z79" s="206">
        <f t="shared" si="66"/>
        <v>21.768545661360552</v>
      </c>
      <c r="AA79" s="206">
        <f t="shared" si="66"/>
        <v>23.824442194931787</v>
      </c>
      <c r="AB79" s="206">
        <f t="shared" si="66"/>
        <v>25.974533204333174</v>
      </c>
      <c r="AC79" s="206">
        <f t="shared" si="66"/>
        <v>28.21893987112777</v>
      </c>
      <c r="AD79" s="206">
        <f t="shared" si="66"/>
        <v>30.557778573037332</v>
      </c>
      <c r="AE79" s="206">
        <f t="shared" si="66"/>
        <v>32.991161255691964</v>
      </c>
      <c r="AF79" s="206">
        <f t="shared" si="66"/>
        <v>35.519195762632059</v>
      </c>
      <c r="AG79" s="206">
        <f t="shared" si="66"/>
        <v>38.141986129601769</v>
      </c>
      <c r="AH79" s="206">
        <f t="shared" si="66"/>
        <v>40.859632848120519</v>
      </c>
      <c r="AI79" s="207">
        <f t="shared" si="66"/>
        <v>46.579880983592126</v>
      </c>
      <c r="AJ79" s="75"/>
      <c r="AK79" s="75"/>
      <c r="AL79" s="75"/>
      <c r="AM79" s="149"/>
      <c r="AQ79" s="3"/>
      <c r="AR79"/>
      <c r="AS79"/>
      <c r="AT79"/>
      <c r="AU79"/>
      <c r="AV79"/>
      <c r="AW79" s="3"/>
    </row>
    <row r="80" spans="2:49" x14ac:dyDescent="0.25">
      <c r="B80" s="147" t="s">
        <v>38</v>
      </c>
      <c r="C80" s="147" t="s">
        <v>117</v>
      </c>
      <c r="D80" s="132" t="s">
        <v>46</v>
      </c>
      <c r="E80" s="132"/>
      <c r="F80" s="229">
        <f>IF(-114.08+32.01*LN(F$16/($C$16*$B97)*(507*171))+10*LOG($C$16*$B97/(507*171))&lt;15,"&lt;15",-114.08+32.01*LN(F$16/($C$16*$B97)*(507*171))+10*LOG($C$16*$B97/(507*171)))</f>
        <v>29.021314070495016</v>
      </c>
      <c r="G80" s="136" t="s">
        <v>49</v>
      </c>
      <c r="I80" s="15"/>
      <c r="J80"/>
      <c r="K80"/>
      <c r="L80"/>
      <c r="M80" s="236" t="str">
        <f t="shared" ref="M80:AI80" si="67">IF(-114.08+32.01*LN(M$16/($C$16*$B97)*(507*171))+10*LOG($C$16*$B97/(507*171))&lt;15,"&lt;15",-114.08+32.01*LN(M$16/($C$16*$B97)*(507*171))+10*LOG($C$16*$B97/(507*171)))</f>
        <v>&lt;15</v>
      </c>
      <c r="N80" s="231">
        <f t="shared" si="67"/>
        <v>16.042375959952658</v>
      </c>
      <c r="O80" s="231">
        <f t="shared" si="67"/>
        <v>19.093254815489082</v>
      </c>
      <c r="P80" s="231">
        <f t="shared" si="67"/>
        <v>21.878488992927153</v>
      </c>
      <c r="Q80" s="231">
        <f t="shared" si="67"/>
        <v>24.440656065557057</v>
      </c>
      <c r="R80" s="231">
        <f t="shared" si="67"/>
        <v>26.812852254197686</v>
      </c>
      <c r="S80" s="231">
        <f t="shared" si="67"/>
        <v>29.021314070495016</v>
      </c>
      <c r="T80" s="231">
        <f t="shared" si="67"/>
        <v>31.087192132108648</v>
      </c>
      <c r="U80" s="231">
        <f t="shared" si="67"/>
        <v>33.027786276452737</v>
      </c>
      <c r="V80" s="231">
        <f t="shared" si="67"/>
        <v>34.857427103469469</v>
      </c>
      <c r="W80" s="231">
        <f t="shared" si="67"/>
        <v>36.588118856331</v>
      </c>
      <c r="X80" s="231">
        <f t="shared" si="67"/>
        <v>38.230017209676511</v>
      </c>
      <c r="Y80" s="231">
        <f t="shared" si="67"/>
        <v>39.791790364740031</v>
      </c>
      <c r="Z80" s="231">
        <f t="shared" si="67"/>
        <v>41.28089606521295</v>
      </c>
      <c r="AA80" s="231">
        <f t="shared" si="67"/>
        <v>42.703796985105335</v>
      </c>
      <c r="AB80" s="231">
        <f t="shared" si="67"/>
        <v>44.066130242650992</v>
      </c>
      <c r="AC80" s="231">
        <f t="shared" si="67"/>
        <v>45.372842287244374</v>
      </c>
      <c r="AD80" s="231">
        <f t="shared" si="67"/>
        <v>46.628297315280896</v>
      </c>
      <c r="AE80" s="231">
        <f t="shared" si="67"/>
        <v>47.836365214011813</v>
      </c>
      <c r="AF80" s="231">
        <f t="shared" si="67"/>
        <v>49.000493503921525</v>
      </c>
      <c r="AG80" s="231">
        <f t="shared" si="67"/>
        <v>50.123766651080309</v>
      </c>
      <c r="AH80" s="231">
        <f t="shared" si="67"/>
        <v>51.208955320218855</v>
      </c>
      <c r="AI80" s="232">
        <f t="shared" si="67"/>
        <v>53.274833381832515</v>
      </c>
      <c r="AJ80"/>
      <c r="AK80"/>
      <c r="AL80"/>
      <c r="AM80" s="136"/>
      <c r="AQ80" s="3"/>
      <c r="AR80"/>
      <c r="AS80"/>
      <c r="AT80"/>
      <c r="AU80"/>
      <c r="AV80"/>
      <c r="AW80" s="3"/>
    </row>
    <row r="81" spans="2:49" x14ac:dyDescent="0.25">
      <c r="B81" s="242" t="s">
        <v>33</v>
      </c>
      <c r="C81" s="242" t="s">
        <v>35</v>
      </c>
      <c r="D81" s="132" t="s">
        <v>23</v>
      </c>
      <c r="E81" s="132"/>
      <c r="F81" s="229">
        <f>IF(-15-114.08+32.01*LN(F$16/($C$16*$B97)*(507*171))+10*LOG($C$16*$B97/(507*171))&lt;5,"&lt;5",-15-114.08+32.01*LN(F$16/($C$16*$B97)*(507*171))+10*LOG($C$16*$B97/(507*171)))</f>
        <v>14.021314070495031</v>
      </c>
      <c r="G81" s="136" t="s">
        <v>42</v>
      </c>
      <c r="I81" s="15"/>
      <c r="J81"/>
      <c r="K81"/>
      <c r="L81"/>
      <c r="M81" s="236" t="str">
        <f t="shared" ref="M81:AI81" si="68">IF(-15-114.08+32.01*LN(M$16/($C$16*$B97)*(507*171))+10*LOG($C$16*$B97/(507*171))&lt;5,"&lt;5",-15-114.08+32.01*LN(M$16/($C$16*$B97)*(507*171))+10*LOG($C$16*$B97/(507*171)))</f>
        <v>&lt;5</v>
      </c>
      <c r="N81" s="231" t="str">
        <f t="shared" si="68"/>
        <v>&lt;5</v>
      </c>
      <c r="O81" s="231" t="str">
        <f t="shared" si="68"/>
        <v>&lt;5</v>
      </c>
      <c r="P81" s="231">
        <f t="shared" si="68"/>
        <v>6.8784889929271662</v>
      </c>
      <c r="Q81" s="231">
        <f t="shared" si="68"/>
        <v>9.4406560655570715</v>
      </c>
      <c r="R81" s="231">
        <f t="shared" si="68"/>
        <v>11.812852254197701</v>
      </c>
      <c r="S81" s="231">
        <f t="shared" si="68"/>
        <v>14.021314070495031</v>
      </c>
      <c r="T81" s="231">
        <f t="shared" si="68"/>
        <v>16.087192132108662</v>
      </c>
      <c r="U81" s="231">
        <f t="shared" si="68"/>
        <v>18.027786276452751</v>
      </c>
      <c r="V81" s="231">
        <f t="shared" si="68"/>
        <v>19.857427103469483</v>
      </c>
      <c r="W81" s="231">
        <f t="shared" si="68"/>
        <v>21.588118856331015</v>
      </c>
      <c r="X81" s="231">
        <f t="shared" si="68"/>
        <v>23.230017209676525</v>
      </c>
      <c r="Y81" s="231">
        <f t="shared" si="68"/>
        <v>24.791790364740045</v>
      </c>
      <c r="Z81" s="231">
        <f t="shared" si="68"/>
        <v>26.280896065212964</v>
      </c>
      <c r="AA81" s="231">
        <f t="shared" si="68"/>
        <v>27.703796985105349</v>
      </c>
      <c r="AB81" s="231">
        <f t="shared" si="68"/>
        <v>29.066130242651006</v>
      </c>
      <c r="AC81" s="231">
        <f t="shared" si="68"/>
        <v>30.372842287244389</v>
      </c>
      <c r="AD81" s="231">
        <f t="shared" si="68"/>
        <v>31.628297315280911</v>
      </c>
      <c r="AE81" s="231">
        <f t="shared" si="68"/>
        <v>32.836365214011828</v>
      </c>
      <c r="AF81" s="231">
        <f t="shared" si="68"/>
        <v>34.00049350392154</v>
      </c>
      <c r="AG81" s="231">
        <f t="shared" si="68"/>
        <v>35.123766651080324</v>
      </c>
      <c r="AH81" s="231">
        <f t="shared" si="68"/>
        <v>36.20895532021887</v>
      </c>
      <c r="AI81" s="232">
        <f t="shared" si="68"/>
        <v>38.274833381832529</v>
      </c>
      <c r="AJ81"/>
      <c r="AK81"/>
      <c r="AL81"/>
      <c r="AM81" s="136"/>
      <c r="AQ81" s="3"/>
      <c r="AR81"/>
      <c r="AS81"/>
      <c r="AT81"/>
      <c r="AU81"/>
      <c r="AV81"/>
      <c r="AW81" s="3"/>
    </row>
    <row r="82" spans="2:49" hidden="1" x14ac:dyDescent="0.25">
      <c r="B82" s="242"/>
      <c r="D82" s="43" t="s">
        <v>71</v>
      </c>
      <c r="E82" s="43"/>
      <c r="F82" s="106">
        <f>1.075*0.707*F93</f>
        <v>2.9284178418701576</v>
      </c>
      <c r="G82" s="136"/>
      <c r="I82" s="264"/>
      <c r="J82" s="259"/>
      <c r="K82" s="259"/>
      <c r="L82" s="250"/>
      <c r="M82" s="106">
        <f t="shared" ref="M82:AI82" si="69">1.075*0.707*M93</f>
        <v>2.2524831715232918</v>
      </c>
      <c r="N82" s="106">
        <f t="shared" si="69"/>
        <v>2.376515318360541</v>
      </c>
      <c r="O82" s="106">
        <f t="shared" si="69"/>
        <v>2.4950561536591374</v>
      </c>
      <c r="P82" s="106">
        <f t="shared" si="69"/>
        <v>2.6089214748365483</v>
      </c>
      <c r="Q82" s="106">
        <f t="shared" si="69"/>
        <v>2.7187637591205314</v>
      </c>
      <c r="R82" s="106">
        <f t="shared" si="69"/>
        <v>2.8251153283716373</v>
      </c>
      <c r="S82" s="106">
        <f t="shared" si="69"/>
        <v>2.9284178418701576</v>
      </c>
      <c r="T82" s="106">
        <f t="shared" si="69"/>
        <v>3.0290430670072563</v>
      </c>
      <c r="U82" s="106">
        <f t="shared" si="69"/>
        <v>3.1273078893447264</v>
      </c>
      <c r="V82" s="106">
        <f t="shared" si="69"/>
        <v>3.2234854035237639</v>
      </c>
      <c r="W82" s="106">
        <f t="shared" si="69"/>
        <v>3.3178132685962201</v>
      </c>
      <c r="X82" s="106">
        <f t="shared" si="69"/>
        <v>3.4105001106471495</v>
      </c>
      <c r="Y82" s="106">
        <f t="shared" si="69"/>
        <v>3.501730503723012</v>
      </c>
      <c r="Z82" s="106">
        <f t="shared" si="69"/>
        <v>3.5916688973456545</v>
      </c>
      <c r="AA82" s="106">
        <f t="shared" si="69"/>
        <v>3.6804627511361208</v>
      </c>
      <c r="AB82" s="106">
        <f t="shared" si="69"/>
        <v>3.768245064144689</v>
      </c>
      <c r="AC82" s="106">
        <f t="shared" si="69"/>
        <v>3.8551364361491132</v>
      </c>
      <c r="AD82" s="106">
        <f t="shared" si="69"/>
        <v>3.9412467628214638</v>
      </c>
      <c r="AE82" s="106">
        <f t="shared" si="69"/>
        <v>4.0266766414181268</v>
      </c>
      <c r="AF82" s="106">
        <f t="shared" si="69"/>
        <v>4.1115185453574616</v>
      </c>
      <c r="AG82" s="106">
        <f t="shared" si="69"/>
        <v>4.1958578126193711</v>
      </c>
      <c r="AH82" s="106">
        <f t="shared" si="69"/>
        <v>4.2797734829168652</v>
      </c>
      <c r="AI82" s="272">
        <f t="shared" si="69"/>
        <v>4.4466228784045914</v>
      </c>
      <c r="AJ82" s="90"/>
      <c r="AK82" s="90"/>
      <c r="AL82" s="90"/>
      <c r="AM82" s="153"/>
      <c r="AQ82"/>
      <c r="AR82" s="13"/>
      <c r="AS82" s="12"/>
      <c r="AT82" s="3"/>
      <c r="AU82" s="3"/>
      <c r="AV82" s="3"/>
      <c r="AW82" s="3"/>
    </row>
    <row r="83" spans="2:49" hidden="1" x14ac:dyDescent="0.25">
      <c r="B83" s="242"/>
      <c r="D83" s="43" t="s">
        <v>72</v>
      </c>
      <c r="E83" s="43"/>
      <c r="F83" s="106">
        <f>1.075*0.707*F94</f>
        <v>5.8295677888871005</v>
      </c>
      <c r="G83" s="136"/>
      <c r="I83" s="264"/>
      <c r="J83" s="259"/>
      <c r="K83" s="259"/>
      <c r="L83" s="250"/>
      <c r="M83" s="106">
        <f t="shared" ref="M83:AI83" si="70">1.075*0.707*M94</f>
        <v>4.1633928869921801</v>
      </c>
      <c r="N83" s="106">
        <f t="shared" si="70"/>
        <v>4.437222447979563</v>
      </c>
      <c r="O83" s="106">
        <f t="shared" si="70"/>
        <v>4.7103305793054417</v>
      </c>
      <c r="P83" s="106">
        <f t="shared" si="70"/>
        <v>4.9846272505917222</v>
      </c>
      <c r="Q83" s="106">
        <f t="shared" si="70"/>
        <v>5.261713884682413</v>
      </c>
      <c r="R83" s="106">
        <f t="shared" si="70"/>
        <v>5.5429620950892717</v>
      </c>
      <c r="S83" s="106">
        <f t="shared" si="70"/>
        <v>5.8295677888871005</v>
      </c>
      <c r="T83" s="106">
        <f t="shared" si="70"/>
        <v>6.1225895022457371</v>
      </c>
      <c r="U83" s="106">
        <f t="shared" si="70"/>
        <v>6.4229762852325214</v>
      </c>
      <c r="V83" s="106">
        <f t="shared" si="70"/>
        <v>6.7315884495897302</v>
      </c>
      <c r="W83" s="106">
        <f t="shared" si="70"/>
        <v>7.0492133146456109</v>
      </c>
      <c r="X83" s="106">
        <f t="shared" si="70"/>
        <v>7.3765773674247974</v>
      </c>
      <c r="Y83" s="106">
        <f t="shared" si="70"/>
        <v>7.714355800190301</v>
      </c>
      <c r="Z83" s="106">
        <f t="shared" si="70"/>
        <v>8.0631800954612931</v>
      </c>
      <c r="AA83" s="106">
        <f t="shared" si="70"/>
        <v>8.4236441339983585</v>
      </c>
      <c r="AB83" s="106">
        <f t="shared" si="70"/>
        <v>8.7963091692813773</v>
      </c>
      <c r="AC83" s="106">
        <f t="shared" si="70"/>
        <v>9.1817079207067955</v>
      </c>
      <c r="AD83" s="106">
        <f t="shared" si="70"/>
        <v>9.5803479734322377</v>
      </c>
      <c r="AE83" s="106">
        <f t="shared" si="70"/>
        <v>9.9927146267722797</v>
      </c>
      <c r="AF83" s="106">
        <f t="shared" si="70"/>
        <v>10.419273299616034</v>
      </c>
      <c r="AG83" s="106">
        <f t="shared" si="70"/>
        <v>10.860471576718234</v>
      </c>
      <c r="AH83" s="106">
        <f t="shared" si="70"/>
        <v>11.316740961360539</v>
      </c>
      <c r="AI83" s="272">
        <f t="shared" si="70"/>
        <v>12.276147522254208</v>
      </c>
      <c r="AJ83" s="90"/>
      <c r="AK83" s="90"/>
      <c r="AL83" s="90"/>
      <c r="AM83" s="153"/>
      <c r="AQ83"/>
      <c r="AR83" s="13"/>
      <c r="AS83" s="12"/>
      <c r="AT83" s="3"/>
      <c r="AU83" s="3"/>
      <c r="AV83" s="3"/>
      <c r="AW83" s="3"/>
    </row>
    <row r="84" spans="2:49" hidden="1" x14ac:dyDescent="0.25">
      <c r="B84" s="242"/>
      <c r="D84" s="43" t="s">
        <v>79</v>
      </c>
      <c r="E84" s="43"/>
      <c r="F84" s="106">
        <f>1.075*0.707*F95</f>
        <v>5.6274490984092758</v>
      </c>
      <c r="G84" s="136"/>
      <c r="I84" s="264"/>
      <c r="J84" s="259"/>
      <c r="K84" s="259"/>
      <c r="L84" s="250"/>
      <c r="M84" s="106">
        <f t="shared" ref="M84:AI84" si="71">1.075*0.707*M95</f>
        <v>3.3764694590455648</v>
      </c>
      <c r="N84" s="106">
        <f t="shared" si="71"/>
        <v>3.7516327322728507</v>
      </c>
      <c r="O84" s="106">
        <f t="shared" si="71"/>
        <v>4.126796005500136</v>
      </c>
      <c r="P84" s="106">
        <f t="shared" si="71"/>
        <v>4.5019592787274201</v>
      </c>
      <c r="Q84" s="106">
        <f t="shared" si="71"/>
        <v>4.877122551954705</v>
      </c>
      <c r="R84" s="106">
        <f t="shared" si="71"/>
        <v>5.2522858251819908</v>
      </c>
      <c r="S84" s="106">
        <f t="shared" si="71"/>
        <v>5.6274490984092758</v>
      </c>
      <c r="T84" s="106">
        <f t="shared" si="71"/>
        <v>6.0026123716365607</v>
      </c>
      <c r="U84" s="106">
        <f t="shared" si="71"/>
        <v>6.3777756448638465</v>
      </c>
      <c r="V84" s="106">
        <f t="shared" si="71"/>
        <v>6.7529389180911297</v>
      </c>
      <c r="W84" s="106">
        <f t="shared" si="71"/>
        <v>7.1281021913184155</v>
      </c>
      <c r="X84" s="106">
        <f t="shared" si="71"/>
        <v>7.1894919507812851</v>
      </c>
      <c r="Y84" s="106">
        <f t="shared" si="71"/>
        <v>7.1894919507812851</v>
      </c>
      <c r="Z84" s="106">
        <f t="shared" si="71"/>
        <v>7.1894919507812851</v>
      </c>
      <c r="AA84" s="106">
        <f t="shared" si="71"/>
        <v>7.1894919507812851</v>
      </c>
      <c r="AB84" s="106">
        <f t="shared" si="71"/>
        <v>7.1894919507812851</v>
      </c>
      <c r="AC84" s="106">
        <f t="shared" si="71"/>
        <v>7.1894919507812851</v>
      </c>
      <c r="AD84" s="106">
        <f t="shared" si="71"/>
        <v>7.1894919507812851</v>
      </c>
      <c r="AE84" s="106">
        <f t="shared" si="71"/>
        <v>7.1894919507812851</v>
      </c>
      <c r="AF84" s="106">
        <f t="shared" si="71"/>
        <v>7.1894919507812851</v>
      </c>
      <c r="AG84" s="106">
        <f t="shared" si="71"/>
        <v>7.1894919507812851</v>
      </c>
      <c r="AH84" s="106">
        <f t="shared" si="71"/>
        <v>7.1894919507812851</v>
      </c>
      <c r="AI84" s="272">
        <f t="shared" si="71"/>
        <v>7.1894919507812851</v>
      </c>
      <c r="AJ84" s="90"/>
      <c r="AK84" s="90"/>
      <c r="AL84" s="90"/>
      <c r="AM84" s="153"/>
      <c r="AQ84"/>
      <c r="AR84" s="13"/>
      <c r="AS84" s="12"/>
      <c r="AT84" s="3"/>
      <c r="AU84" s="3"/>
      <c r="AV84" s="3"/>
      <c r="AW84" s="3"/>
    </row>
    <row r="85" spans="2:49" hidden="1" x14ac:dyDescent="0.25">
      <c r="B85" s="242"/>
      <c r="D85" s="43" t="s">
        <v>73</v>
      </c>
      <c r="E85" s="43"/>
      <c r="F85" s="106">
        <f>1.075*1.225*F93</f>
        <v>5.0739913101710661</v>
      </c>
      <c r="G85" s="136"/>
      <c r="I85" s="264"/>
      <c r="J85" s="259"/>
      <c r="K85" s="259"/>
      <c r="L85" s="250"/>
      <c r="M85" s="106">
        <f t="shared" ref="M85:AI85" si="72">1.075*1.225*M93</f>
        <v>3.9028173764017438</v>
      </c>
      <c r="N85" s="106">
        <f t="shared" si="72"/>
        <v>4.1177245615157894</v>
      </c>
      <c r="O85" s="106">
        <f t="shared" si="72"/>
        <v>4.3231170979242481</v>
      </c>
      <c r="P85" s="106">
        <f t="shared" si="72"/>
        <v>4.5204084960039213</v>
      </c>
      <c r="Q85" s="106">
        <f t="shared" si="72"/>
        <v>4.7107292856048817</v>
      </c>
      <c r="R85" s="106">
        <f t="shared" si="72"/>
        <v>4.8950018065845198</v>
      </c>
      <c r="S85" s="106">
        <f t="shared" si="72"/>
        <v>5.0739913101710661</v>
      </c>
      <c r="T85" s="106">
        <f t="shared" si="72"/>
        <v>5.2483419477848505</v>
      </c>
      <c r="U85" s="106">
        <f t="shared" si="72"/>
        <v>5.4186027785675952</v>
      </c>
      <c r="V85" s="106">
        <f t="shared" si="72"/>
        <v>5.5852469863035514</v>
      </c>
      <c r="W85" s="106">
        <f t="shared" si="72"/>
        <v>5.7486863564785997</v>
      </c>
      <c r="X85" s="106">
        <f t="shared" si="72"/>
        <v>5.9092823699331802</v>
      </c>
      <c r="Y85" s="106">
        <f t="shared" si="72"/>
        <v>6.0673548331834368</v>
      </c>
      <c r="Z85" s="106">
        <f t="shared" si="72"/>
        <v>6.223188683519699</v>
      </c>
      <c r="AA85" s="106">
        <f t="shared" si="72"/>
        <v>6.3770394202853584</v>
      </c>
      <c r="AB85" s="106">
        <f t="shared" si="72"/>
        <v>6.5291374873794119</v>
      </c>
      <c r="AC85" s="106">
        <f t="shared" si="72"/>
        <v>6.6796918448128206</v>
      </c>
      <c r="AD85" s="106">
        <f t="shared" si="72"/>
        <v>6.8288929058787744</v>
      </c>
      <c r="AE85" s="106">
        <f t="shared" si="72"/>
        <v>6.9769149727541802</v>
      </c>
      <c r="AF85" s="106">
        <f t="shared" si="72"/>
        <v>7.123918271658968</v>
      </c>
      <c r="AG85" s="106">
        <f t="shared" si="72"/>
        <v>7.2700506654296042</v>
      </c>
      <c r="AH85" s="106">
        <f t="shared" si="72"/>
        <v>7.4154491040638764</v>
      </c>
      <c r="AI85" s="272">
        <f t="shared" si="72"/>
        <v>7.7045445912950843</v>
      </c>
      <c r="AJ85" s="90"/>
      <c r="AK85" s="90"/>
      <c r="AL85" s="90"/>
      <c r="AM85" s="153"/>
      <c r="AQ85"/>
      <c r="AR85" s="13"/>
      <c r="AS85" s="12"/>
      <c r="AT85" s="3"/>
      <c r="AU85" s="3"/>
      <c r="AV85" s="3"/>
      <c r="AW85" s="3"/>
    </row>
    <row r="86" spans="2:49" hidden="1" x14ac:dyDescent="0.25">
      <c r="B86" s="242"/>
      <c r="D86" s="43" t="s">
        <v>74</v>
      </c>
      <c r="E86" s="43"/>
      <c r="F86" s="106">
        <f>1.075*1.225*F94</f>
        <v>10.100736267873691</v>
      </c>
      <c r="G86" s="136"/>
      <c r="I86" s="264"/>
      <c r="J86" s="259"/>
      <c r="K86" s="259"/>
      <c r="L86" s="250"/>
      <c r="M86" s="106">
        <f t="shared" ref="M86:AI86" si="73">1.075*1.225*M94</f>
        <v>7.2137995566696196</v>
      </c>
      <c r="N86" s="106">
        <f t="shared" si="73"/>
        <v>7.688256716796273</v>
      </c>
      <c r="O86" s="106">
        <f t="shared" si="73"/>
        <v>8.1614638750341815</v>
      </c>
      <c r="P86" s="106">
        <f t="shared" si="73"/>
        <v>8.6367303846886276</v>
      </c>
      <c r="Q86" s="106">
        <f t="shared" si="73"/>
        <v>9.1168309883111114</v>
      </c>
      <c r="R86" s="106">
        <f t="shared" si="73"/>
        <v>9.6041422439665602</v>
      </c>
      <c r="S86" s="106">
        <f t="shared" si="73"/>
        <v>10.100736267873691</v>
      </c>
      <c r="T86" s="106">
        <f t="shared" si="73"/>
        <v>10.608447157356476</v>
      </c>
      <c r="U86" s="106">
        <f t="shared" si="73"/>
        <v>11.128919306095954</v>
      </c>
      <c r="V86" s="106">
        <f t="shared" si="73"/>
        <v>11.663643353249533</v>
      </c>
      <c r="W86" s="106">
        <f t="shared" si="73"/>
        <v>12.213983465970118</v>
      </c>
      <c r="X86" s="106">
        <f t="shared" si="73"/>
        <v>12.781198408904352</v>
      </c>
      <c r="Y86" s="106">
        <f t="shared" si="73"/>
        <v>13.366458069636661</v>
      </c>
      <c r="Z86" s="106">
        <f t="shared" si="73"/>
        <v>13.970856601046794</v>
      </c>
      <c r="AA86" s="106">
        <f t="shared" si="73"/>
        <v>14.595423004452604</v>
      </c>
      <c r="AB86" s="106">
        <f t="shared" si="73"/>
        <v>15.241129748754862</v>
      </c>
      <c r="AC86" s="106">
        <f t="shared" si="73"/>
        <v>15.908899862610786</v>
      </c>
      <c r="AD86" s="106">
        <f t="shared" si="73"/>
        <v>16.599612825253878</v>
      </c>
      <c r="AE86" s="106">
        <f t="shared" si="73"/>
        <v>17.314109501833158</v>
      </c>
      <c r="AF86" s="106">
        <f t="shared" si="73"/>
        <v>18.053196311215903</v>
      </c>
      <c r="AG86" s="106">
        <f t="shared" si="73"/>
        <v>18.817648771541496</v>
      </c>
      <c r="AH86" s="106">
        <f t="shared" si="73"/>
        <v>19.608214537010834</v>
      </c>
      <c r="AI86" s="272">
        <f t="shared" si="73"/>
        <v>21.270552637569171</v>
      </c>
      <c r="AJ86" s="90"/>
      <c r="AK86" s="90"/>
      <c r="AL86" s="90"/>
      <c r="AM86" s="153"/>
      <c r="AQ86"/>
      <c r="AR86" s="13"/>
      <c r="AS86" s="12"/>
      <c r="AT86" s="3"/>
      <c r="AU86" s="3"/>
      <c r="AV86" s="3"/>
      <c r="AW86" s="3"/>
    </row>
    <row r="87" spans="2:49" hidden="1" x14ac:dyDescent="0.25">
      <c r="B87" s="242"/>
      <c r="D87" s="43" t="s">
        <v>80</v>
      </c>
      <c r="E87" s="43"/>
      <c r="F87" s="106">
        <f>1.075*1.225*F95</f>
        <v>9.7505306160556753</v>
      </c>
      <c r="G87" s="136"/>
      <c r="I87" s="264"/>
      <c r="J87" s="259"/>
      <c r="K87" s="259"/>
      <c r="L87" s="250"/>
      <c r="M87" s="106">
        <f t="shared" ref="M87:AI87" si="74">1.075*1.225*M95</f>
        <v>5.8503183696334045</v>
      </c>
      <c r="N87" s="106">
        <f t="shared" si="74"/>
        <v>6.5003537440371177</v>
      </c>
      <c r="O87" s="106">
        <f t="shared" si="74"/>
        <v>7.1503891184408293</v>
      </c>
      <c r="P87" s="106">
        <f t="shared" si="74"/>
        <v>7.8004244928445408</v>
      </c>
      <c r="Q87" s="106">
        <f t="shared" si="74"/>
        <v>8.4504598672482523</v>
      </c>
      <c r="R87" s="106">
        <f t="shared" si="74"/>
        <v>9.1004952416519647</v>
      </c>
      <c r="S87" s="106">
        <f t="shared" si="74"/>
        <v>9.7505306160556753</v>
      </c>
      <c r="T87" s="106">
        <f t="shared" si="74"/>
        <v>10.400565990459388</v>
      </c>
      <c r="U87" s="106">
        <f t="shared" si="74"/>
        <v>11.0506013648631</v>
      </c>
      <c r="V87" s="106">
        <f t="shared" si="74"/>
        <v>11.700636739266809</v>
      </c>
      <c r="W87" s="106">
        <f t="shared" si="74"/>
        <v>12.350672113670523</v>
      </c>
      <c r="X87" s="106">
        <f t="shared" si="74"/>
        <v>12.457040508779455</v>
      </c>
      <c r="Y87" s="106">
        <f t="shared" si="74"/>
        <v>12.457040508779455</v>
      </c>
      <c r="Z87" s="106">
        <f t="shared" si="74"/>
        <v>12.457040508779455</v>
      </c>
      <c r="AA87" s="106">
        <f t="shared" si="74"/>
        <v>12.457040508779455</v>
      </c>
      <c r="AB87" s="106">
        <f t="shared" si="74"/>
        <v>12.457040508779455</v>
      </c>
      <c r="AC87" s="106">
        <f t="shared" si="74"/>
        <v>12.457040508779455</v>
      </c>
      <c r="AD87" s="106">
        <f t="shared" si="74"/>
        <v>12.457040508779455</v>
      </c>
      <c r="AE87" s="106">
        <f t="shared" si="74"/>
        <v>12.457040508779455</v>
      </c>
      <c r="AF87" s="106">
        <f t="shared" si="74"/>
        <v>12.457040508779455</v>
      </c>
      <c r="AG87" s="106">
        <f t="shared" si="74"/>
        <v>12.457040508779455</v>
      </c>
      <c r="AH87" s="106">
        <f t="shared" si="74"/>
        <v>12.457040508779455</v>
      </c>
      <c r="AI87" s="272">
        <f t="shared" si="74"/>
        <v>12.457040508779455</v>
      </c>
      <c r="AJ87" s="90"/>
      <c r="AK87" s="90"/>
      <c r="AL87" s="90"/>
      <c r="AM87" s="153"/>
      <c r="AQ87"/>
      <c r="AR87" s="13"/>
      <c r="AS87" s="12"/>
      <c r="AT87" s="3"/>
      <c r="AU87" s="3"/>
      <c r="AV87" s="3"/>
      <c r="AW87" s="3"/>
    </row>
    <row r="88" spans="2:49" ht="15.75" thickBot="1" x14ac:dyDescent="0.3">
      <c r="B88" s="151"/>
      <c r="C88" s="289"/>
      <c r="D88" s="145" t="s">
        <v>93</v>
      </c>
      <c r="E88" s="145"/>
      <c r="F88" s="283">
        <f>2+(F$16/$C$16*$F$10/$F$8^3)</f>
        <v>2.3679703235256446</v>
      </c>
      <c r="G88" s="214" t="s">
        <v>32</v>
      </c>
      <c r="I88" s="290"/>
      <c r="J88" s="291"/>
      <c r="K88" s="291"/>
      <c r="L88" s="291"/>
      <c r="M88" s="297">
        <f t="shared" ref="M88:AI88" si="75">2+(M$16/$C$16*$F$10/$F$8^3)</f>
        <v>2.2207821941153867</v>
      </c>
      <c r="N88" s="285">
        <f t="shared" si="75"/>
        <v>2.2453135490170966</v>
      </c>
      <c r="O88" s="285">
        <f t="shared" si="75"/>
        <v>2.269844903918806</v>
      </c>
      <c r="P88" s="285">
        <f t="shared" si="75"/>
        <v>2.2943762588205159</v>
      </c>
      <c r="Q88" s="285">
        <f t="shared" si="75"/>
        <v>2.3189076137222253</v>
      </c>
      <c r="R88" s="285">
        <f t="shared" si="75"/>
        <v>2.3434389686239352</v>
      </c>
      <c r="S88" s="285">
        <f t="shared" si="75"/>
        <v>2.3679703235256446</v>
      </c>
      <c r="T88" s="285">
        <f t="shared" si="75"/>
        <v>2.3925016784273541</v>
      </c>
      <c r="U88" s="285">
        <f t="shared" si="75"/>
        <v>2.4170330333290639</v>
      </c>
      <c r="V88" s="285">
        <f t="shared" si="75"/>
        <v>2.4415643882307734</v>
      </c>
      <c r="W88" s="285">
        <f t="shared" si="75"/>
        <v>2.4660957431324833</v>
      </c>
      <c r="X88" s="285">
        <f t="shared" si="75"/>
        <v>2.4906270980341927</v>
      </c>
      <c r="Y88" s="285">
        <f t="shared" si="75"/>
        <v>2.5151584529359026</v>
      </c>
      <c r="Z88" s="285">
        <f t="shared" si="75"/>
        <v>2.539689807837612</v>
      </c>
      <c r="AA88" s="285">
        <f t="shared" si="75"/>
        <v>2.5642211627393219</v>
      </c>
      <c r="AB88" s="285">
        <f t="shared" si="75"/>
        <v>2.5887525176410313</v>
      </c>
      <c r="AC88" s="285">
        <f t="shared" si="75"/>
        <v>2.6132838725427412</v>
      </c>
      <c r="AD88" s="285">
        <f t="shared" si="75"/>
        <v>2.6378152274444506</v>
      </c>
      <c r="AE88" s="285">
        <f t="shared" si="75"/>
        <v>2.6623465823461601</v>
      </c>
      <c r="AF88" s="285">
        <f t="shared" si="75"/>
        <v>2.6868779372478699</v>
      </c>
      <c r="AG88" s="285">
        <f t="shared" si="75"/>
        <v>2.7114092921495798</v>
      </c>
      <c r="AH88" s="285">
        <f t="shared" si="75"/>
        <v>2.7359406470512893</v>
      </c>
      <c r="AI88" s="286">
        <f t="shared" si="75"/>
        <v>2.7850033568547086</v>
      </c>
      <c r="AJ88" s="90"/>
      <c r="AK88" s="90"/>
      <c r="AL88" s="90"/>
      <c r="AM88" s="153"/>
      <c r="AQ88"/>
      <c r="AR88" s="13"/>
      <c r="AS88" s="12"/>
      <c r="AT88" s="3"/>
      <c r="AU88" s="3"/>
      <c r="AV88" s="3"/>
      <c r="AW88" s="3"/>
    </row>
    <row r="89" spans="2:49" x14ac:dyDescent="0.25">
      <c r="B89" s="140"/>
      <c r="C89" s="243"/>
      <c r="D89" s="132" t="s">
        <v>56</v>
      </c>
      <c r="E89" s="132"/>
      <c r="F89" s="220">
        <f>F82</f>
        <v>2.9284178418701576</v>
      </c>
      <c r="G89" s="136" t="s">
        <v>32</v>
      </c>
      <c r="I89" s="15"/>
      <c r="J89"/>
      <c r="K89"/>
      <c r="L89"/>
      <c r="M89" s="195">
        <f t="shared" ref="M89:AI89" si="76">M82</f>
        <v>2.2524831715232918</v>
      </c>
      <c r="N89" s="184">
        <f t="shared" si="76"/>
        <v>2.376515318360541</v>
      </c>
      <c r="O89" s="184">
        <f t="shared" si="76"/>
        <v>2.4950561536591374</v>
      </c>
      <c r="P89" s="184">
        <f t="shared" si="76"/>
        <v>2.6089214748365483</v>
      </c>
      <c r="Q89" s="184">
        <f t="shared" si="76"/>
        <v>2.7187637591205314</v>
      </c>
      <c r="R89" s="184">
        <f t="shared" si="76"/>
        <v>2.8251153283716373</v>
      </c>
      <c r="S89" s="184">
        <f t="shared" si="76"/>
        <v>2.9284178418701576</v>
      </c>
      <c r="T89" s="184">
        <f t="shared" si="76"/>
        <v>3.0290430670072563</v>
      </c>
      <c r="U89" s="184">
        <f t="shared" si="76"/>
        <v>3.1273078893447264</v>
      </c>
      <c r="V89" s="184">
        <f t="shared" si="76"/>
        <v>3.2234854035237639</v>
      </c>
      <c r="W89" s="184">
        <f t="shared" si="76"/>
        <v>3.3178132685962201</v>
      </c>
      <c r="X89" s="184">
        <f t="shared" si="76"/>
        <v>3.4105001106471495</v>
      </c>
      <c r="Y89" s="184">
        <f t="shared" si="76"/>
        <v>3.501730503723012</v>
      </c>
      <c r="Z89" s="184">
        <f t="shared" si="76"/>
        <v>3.5916688973456545</v>
      </c>
      <c r="AA89" s="184">
        <f t="shared" si="76"/>
        <v>3.6804627511361208</v>
      </c>
      <c r="AB89" s="184">
        <f t="shared" si="76"/>
        <v>3.768245064144689</v>
      </c>
      <c r="AC89" s="184">
        <f t="shared" si="76"/>
        <v>3.8551364361491132</v>
      </c>
      <c r="AD89" s="184">
        <f t="shared" si="76"/>
        <v>3.9412467628214638</v>
      </c>
      <c r="AE89" s="184">
        <f t="shared" si="76"/>
        <v>4.0266766414181268</v>
      </c>
      <c r="AF89" s="184">
        <f t="shared" si="76"/>
        <v>4.1115185453574616</v>
      </c>
      <c r="AG89" s="184">
        <f t="shared" si="76"/>
        <v>4.1958578126193711</v>
      </c>
      <c r="AH89" s="184">
        <f t="shared" si="76"/>
        <v>4.2797734829168652</v>
      </c>
      <c r="AI89" s="185">
        <f t="shared" si="76"/>
        <v>4.4466228784045914</v>
      </c>
      <c r="AJ89"/>
      <c r="AK89"/>
      <c r="AL89"/>
      <c r="AM89" s="136"/>
      <c r="AQ89"/>
      <c r="AR89"/>
      <c r="AS89"/>
      <c r="AT89"/>
      <c r="AU89"/>
      <c r="AV89"/>
      <c r="AW89" s="3"/>
    </row>
    <row r="90" spans="2:49" x14ac:dyDescent="0.25">
      <c r="B90" s="140"/>
      <c r="C90" s="247" t="s">
        <v>65</v>
      </c>
      <c r="D90" s="253" t="s">
        <v>57</v>
      </c>
      <c r="E90" s="253"/>
      <c r="F90" s="221">
        <f>IF(F83&lt;F84,F83,F84)</f>
        <v>5.6274490984092758</v>
      </c>
      <c r="G90" s="216" t="s">
        <v>32</v>
      </c>
      <c r="I90" s="15"/>
      <c r="J90"/>
      <c r="K90"/>
      <c r="L90"/>
      <c r="M90" s="190">
        <f t="shared" ref="M90:AI90" si="77">IF(M83&lt;M84,M83,M84)</f>
        <v>3.3764694590455648</v>
      </c>
      <c r="N90" s="179">
        <f t="shared" si="77"/>
        <v>3.7516327322728507</v>
      </c>
      <c r="O90" s="179">
        <f t="shared" si="77"/>
        <v>4.126796005500136</v>
      </c>
      <c r="P90" s="179">
        <f t="shared" si="77"/>
        <v>4.5019592787274201</v>
      </c>
      <c r="Q90" s="179">
        <f t="shared" si="77"/>
        <v>4.877122551954705</v>
      </c>
      <c r="R90" s="179">
        <f t="shared" si="77"/>
        <v>5.2522858251819908</v>
      </c>
      <c r="S90" s="179">
        <f t="shared" si="77"/>
        <v>5.6274490984092758</v>
      </c>
      <c r="T90" s="179">
        <f t="shared" si="77"/>
        <v>6.0026123716365607</v>
      </c>
      <c r="U90" s="179">
        <f t="shared" si="77"/>
        <v>6.3777756448638465</v>
      </c>
      <c r="V90" s="179">
        <f t="shared" si="77"/>
        <v>6.7315884495897302</v>
      </c>
      <c r="W90" s="179">
        <f t="shared" si="77"/>
        <v>7.0492133146456109</v>
      </c>
      <c r="X90" s="179">
        <f t="shared" si="77"/>
        <v>7.1894919507812851</v>
      </c>
      <c r="Y90" s="179">
        <f t="shared" si="77"/>
        <v>7.1894919507812851</v>
      </c>
      <c r="Z90" s="179">
        <f t="shared" si="77"/>
        <v>7.1894919507812851</v>
      </c>
      <c r="AA90" s="179">
        <f t="shared" si="77"/>
        <v>7.1894919507812851</v>
      </c>
      <c r="AB90" s="179">
        <f t="shared" si="77"/>
        <v>7.1894919507812851</v>
      </c>
      <c r="AC90" s="179">
        <f t="shared" si="77"/>
        <v>7.1894919507812851</v>
      </c>
      <c r="AD90" s="179">
        <f t="shared" si="77"/>
        <v>7.1894919507812851</v>
      </c>
      <c r="AE90" s="179">
        <f t="shared" si="77"/>
        <v>7.1894919507812851</v>
      </c>
      <c r="AF90" s="179">
        <f t="shared" si="77"/>
        <v>7.1894919507812851</v>
      </c>
      <c r="AG90" s="179">
        <f t="shared" si="77"/>
        <v>7.1894919507812851</v>
      </c>
      <c r="AH90" s="179">
        <f t="shared" si="77"/>
        <v>7.1894919507812851</v>
      </c>
      <c r="AI90" s="180">
        <f t="shared" si="77"/>
        <v>7.1894919507812851</v>
      </c>
      <c r="AM90" s="129"/>
      <c r="AQ90"/>
      <c r="AR90"/>
      <c r="AS90"/>
      <c r="AT90"/>
      <c r="AU90"/>
      <c r="AV90"/>
      <c r="AW90" s="3"/>
    </row>
    <row r="91" spans="2:49" x14ac:dyDescent="0.25">
      <c r="B91" s="140"/>
      <c r="C91" s="243" t="s">
        <v>66</v>
      </c>
      <c r="D91" s="252" t="s">
        <v>60</v>
      </c>
      <c r="E91" s="252"/>
      <c r="F91" s="222">
        <f>F85</f>
        <v>5.0739913101710661</v>
      </c>
      <c r="G91" s="217" t="s">
        <v>32</v>
      </c>
      <c r="I91" s="15"/>
      <c r="J91"/>
      <c r="K91"/>
      <c r="L91"/>
      <c r="M91" s="191">
        <f t="shared" ref="M91:AI91" si="78">M85</f>
        <v>3.9028173764017438</v>
      </c>
      <c r="N91" s="182">
        <f t="shared" si="78"/>
        <v>4.1177245615157894</v>
      </c>
      <c r="O91" s="182">
        <f t="shared" si="78"/>
        <v>4.3231170979242481</v>
      </c>
      <c r="P91" s="182">
        <f t="shared" si="78"/>
        <v>4.5204084960039213</v>
      </c>
      <c r="Q91" s="182">
        <f t="shared" si="78"/>
        <v>4.7107292856048817</v>
      </c>
      <c r="R91" s="182">
        <f t="shared" si="78"/>
        <v>4.8950018065845198</v>
      </c>
      <c r="S91" s="182">
        <f t="shared" si="78"/>
        <v>5.0739913101710661</v>
      </c>
      <c r="T91" s="182">
        <f t="shared" si="78"/>
        <v>5.2483419477848505</v>
      </c>
      <c r="U91" s="182">
        <f t="shared" si="78"/>
        <v>5.4186027785675952</v>
      </c>
      <c r="V91" s="182">
        <f t="shared" si="78"/>
        <v>5.5852469863035514</v>
      </c>
      <c r="W91" s="182">
        <f t="shared" si="78"/>
        <v>5.7486863564785997</v>
      </c>
      <c r="X91" s="182">
        <f t="shared" si="78"/>
        <v>5.9092823699331802</v>
      </c>
      <c r="Y91" s="182">
        <f t="shared" si="78"/>
        <v>6.0673548331834368</v>
      </c>
      <c r="Z91" s="182">
        <f t="shared" si="78"/>
        <v>6.223188683519699</v>
      </c>
      <c r="AA91" s="182">
        <f t="shared" si="78"/>
        <v>6.3770394202853584</v>
      </c>
      <c r="AB91" s="182">
        <f t="shared" si="78"/>
        <v>6.5291374873794119</v>
      </c>
      <c r="AC91" s="182">
        <f t="shared" si="78"/>
        <v>6.6796918448128206</v>
      </c>
      <c r="AD91" s="182">
        <f t="shared" si="78"/>
        <v>6.8288929058787744</v>
      </c>
      <c r="AE91" s="182">
        <f t="shared" si="78"/>
        <v>6.9769149727541802</v>
      </c>
      <c r="AF91" s="182">
        <f t="shared" si="78"/>
        <v>7.123918271658968</v>
      </c>
      <c r="AG91" s="182">
        <f t="shared" si="78"/>
        <v>7.2700506654296042</v>
      </c>
      <c r="AH91" s="182">
        <f t="shared" si="78"/>
        <v>7.4154491040638764</v>
      </c>
      <c r="AI91" s="183">
        <f t="shared" si="78"/>
        <v>7.7045445912950843</v>
      </c>
      <c r="AM91" s="129"/>
      <c r="AR91" s="12"/>
      <c r="AS91" s="12"/>
      <c r="AT91" s="3"/>
      <c r="AU91" s="3"/>
      <c r="AV91" s="3"/>
      <c r="AW91" s="3"/>
    </row>
    <row r="92" spans="2:49" ht="15.75" thickBot="1" x14ac:dyDescent="0.3">
      <c r="B92" s="140"/>
      <c r="C92" s="246"/>
      <c r="D92" s="238" t="s">
        <v>61</v>
      </c>
      <c r="E92" s="238"/>
      <c r="F92" s="223">
        <f t="shared" ref="F92" si="79">IF(F86&lt;F87,F86,F87)</f>
        <v>9.7505306160556753</v>
      </c>
      <c r="G92" s="214" t="s">
        <v>32</v>
      </c>
      <c r="I92" s="15"/>
      <c r="J92"/>
      <c r="K92"/>
      <c r="L92"/>
      <c r="M92" s="192">
        <f t="shared" ref="M92:AI92" si="80">IF(M86&lt;M87,M86,M87)</f>
        <v>5.8503183696334045</v>
      </c>
      <c r="N92" s="193">
        <f t="shared" si="80"/>
        <v>6.5003537440371177</v>
      </c>
      <c r="O92" s="193">
        <f t="shared" si="80"/>
        <v>7.1503891184408293</v>
      </c>
      <c r="P92" s="193">
        <f t="shared" si="80"/>
        <v>7.8004244928445408</v>
      </c>
      <c r="Q92" s="193">
        <f t="shared" si="80"/>
        <v>8.4504598672482523</v>
      </c>
      <c r="R92" s="193">
        <f t="shared" si="80"/>
        <v>9.1004952416519647</v>
      </c>
      <c r="S92" s="193">
        <f t="shared" si="80"/>
        <v>9.7505306160556753</v>
      </c>
      <c r="T92" s="193">
        <f t="shared" si="80"/>
        <v>10.400565990459388</v>
      </c>
      <c r="U92" s="193">
        <f t="shared" si="80"/>
        <v>11.0506013648631</v>
      </c>
      <c r="V92" s="193">
        <f t="shared" si="80"/>
        <v>11.663643353249533</v>
      </c>
      <c r="W92" s="193">
        <f t="shared" si="80"/>
        <v>12.213983465970118</v>
      </c>
      <c r="X92" s="193">
        <f t="shared" si="80"/>
        <v>12.457040508779455</v>
      </c>
      <c r="Y92" s="193">
        <f t="shared" si="80"/>
        <v>12.457040508779455</v>
      </c>
      <c r="Z92" s="193">
        <f t="shared" si="80"/>
        <v>12.457040508779455</v>
      </c>
      <c r="AA92" s="193">
        <f t="shared" si="80"/>
        <v>12.457040508779455</v>
      </c>
      <c r="AB92" s="193">
        <f t="shared" si="80"/>
        <v>12.457040508779455</v>
      </c>
      <c r="AC92" s="193">
        <f t="shared" si="80"/>
        <v>12.457040508779455</v>
      </c>
      <c r="AD92" s="193">
        <f t="shared" si="80"/>
        <v>12.457040508779455</v>
      </c>
      <c r="AE92" s="193">
        <f t="shared" si="80"/>
        <v>12.457040508779455</v>
      </c>
      <c r="AF92" s="193">
        <f t="shared" si="80"/>
        <v>12.457040508779455</v>
      </c>
      <c r="AG92" s="193">
        <f t="shared" si="80"/>
        <v>12.457040508779455</v>
      </c>
      <c r="AH92" s="193">
        <f t="shared" si="80"/>
        <v>12.457040508779455</v>
      </c>
      <c r="AI92" s="194">
        <f t="shared" si="80"/>
        <v>12.457040508779455</v>
      </c>
      <c r="AM92" s="129"/>
    </row>
    <row r="93" spans="2:49" hidden="1" x14ac:dyDescent="0.25">
      <c r="B93" s="242"/>
      <c r="C93" s="256"/>
      <c r="D93" s="43" t="s">
        <v>75</v>
      </c>
      <c r="E93" s="43"/>
      <c r="F93" s="370">
        <f>(0.2529+2.7683*10^-4*F79)*SQRT(F$16)/$F$4*$F$5*$F$7/$F$8</f>
        <v>3.8530546256638374</v>
      </c>
      <c r="G93" s="136"/>
      <c r="I93" s="267"/>
      <c r="J93" s="259"/>
      <c r="K93" s="259"/>
      <c r="L93" s="259"/>
      <c r="M93" s="269">
        <f t="shared" ref="M93:AI93" si="81">(0.2529+2.7683*10^-4*M79)*SQRT(M$16)/$F$4*$F$5*$F$7/$F$8</f>
        <v>2.9636961567360181</v>
      </c>
      <c r="N93" s="265">
        <f t="shared" si="81"/>
        <v>3.1268909816921036</v>
      </c>
      <c r="O93" s="265">
        <f t="shared" si="81"/>
        <v>3.2828606343990496</v>
      </c>
      <c r="P93" s="265">
        <f t="shared" si="81"/>
        <v>3.4326784972027875</v>
      </c>
      <c r="Q93" s="265">
        <f t="shared" si="81"/>
        <v>3.5772030645314716</v>
      </c>
      <c r="R93" s="265">
        <f t="shared" si="81"/>
        <v>3.717134736846337</v>
      </c>
      <c r="S93" s="265">
        <f t="shared" si="81"/>
        <v>3.8530546256638374</v>
      </c>
      <c r="T93" s="265">
        <f t="shared" si="81"/>
        <v>3.9854518825134129</v>
      </c>
      <c r="U93" s="265">
        <f t="shared" si="81"/>
        <v>4.11474344836647</v>
      </c>
      <c r="V93" s="265">
        <f t="shared" si="81"/>
        <v>4.241288646457372</v>
      </c>
      <c r="W93" s="265">
        <f t="shared" si="81"/>
        <v>4.365400175778718</v>
      </c>
      <c r="X93" s="265">
        <f t="shared" si="81"/>
        <v>4.487352535307588</v>
      </c>
      <c r="Y93" s="265">
        <f t="shared" si="81"/>
        <v>4.6073885776428565</v>
      </c>
      <c r="Z93" s="265">
        <f t="shared" si="81"/>
        <v>4.7257246766167622</v>
      </c>
      <c r="AA93" s="265">
        <f t="shared" si="81"/>
        <v>4.8425548516642491</v>
      </c>
      <c r="AB93" s="265">
        <f t="shared" si="81"/>
        <v>4.9580540957793353</v>
      </c>
      <c r="AC93" s="265">
        <f t="shared" si="81"/>
        <v>5.0723810876604238</v>
      </c>
      <c r="AD93" s="265">
        <f t="shared" si="81"/>
        <v>5.1856804221196198</v>
      </c>
      <c r="AE93" s="265">
        <f t="shared" si="81"/>
        <v>5.2980844596139951</v>
      </c>
      <c r="AF93" s="265">
        <f t="shared" si="81"/>
        <v>5.4097148716916701</v>
      </c>
      <c r="AG93" s="265">
        <f t="shared" si="81"/>
        <v>5.5206839414747826</v>
      </c>
      <c r="AH93" s="265">
        <f t="shared" si="81"/>
        <v>5.6310956651647848</v>
      </c>
      <c r="AI93" s="266">
        <f t="shared" si="81"/>
        <v>5.850627122008607</v>
      </c>
      <c r="AJ93" s="90"/>
      <c r="AK93" s="90"/>
      <c r="AL93" s="90"/>
      <c r="AM93" s="153"/>
      <c r="AQ93"/>
      <c r="AR93" s="13"/>
      <c r="AS93" s="12"/>
      <c r="AT93" s="3"/>
      <c r="AU93" s="3"/>
      <c r="AV93" s="3"/>
      <c r="AW93" s="3"/>
    </row>
    <row r="94" spans="2:49" hidden="1" x14ac:dyDescent="0.25">
      <c r="B94" s="242"/>
      <c r="C94" s="88"/>
      <c r="D94" s="43" t="s">
        <v>76</v>
      </c>
      <c r="E94" s="43"/>
      <c r="F94" s="229">
        <f>(0.675+9.273*10^-3*F79)*SQRT(F$16)*$F$4*$F$6/$F$7*$F$8</f>
        <v>7.6702316224954457</v>
      </c>
      <c r="G94" s="136"/>
      <c r="I94" s="267"/>
      <c r="J94" s="259"/>
      <c r="K94" s="259"/>
      <c r="L94" s="259"/>
      <c r="M94" s="236">
        <f t="shared" ref="M94:AI94" si="82">(0.675+9.273*10^-3*M79)*SQRT(M$16)*$F$4*$F$6/$F$7*$F$8</f>
        <v>5.4779683391890801</v>
      </c>
      <c r="N94" s="231">
        <f t="shared" si="82"/>
        <v>5.8382585414684556</v>
      </c>
      <c r="O94" s="231">
        <f t="shared" si="82"/>
        <v>6.1975995254175089</v>
      </c>
      <c r="P94" s="231">
        <f t="shared" si="82"/>
        <v>6.5585043262941642</v>
      </c>
      <c r="Q94" s="231">
        <f t="shared" si="82"/>
        <v>6.923080010108106</v>
      </c>
      <c r="R94" s="231">
        <f t="shared" si="82"/>
        <v>7.2931312721150912</v>
      </c>
      <c r="S94" s="231">
        <f t="shared" si="82"/>
        <v>7.6702316224954457</v>
      </c>
      <c r="T94" s="231">
        <f t="shared" si="82"/>
        <v>8.0557738261843195</v>
      </c>
      <c r="U94" s="231">
        <f t="shared" si="82"/>
        <v>8.4510065921943642</v>
      </c>
      <c r="V94" s="231">
        <f t="shared" si="82"/>
        <v>8.8570618724248948</v>
      </c>
      <c r="W94" s="231">
        <f t="shared" si="82"/>
        <v>9.27497557928438</v>
      </c>
      <c r="X94" s="231">
        <f t="shared" si="82"/>
        <v>9.7057035853094273</v>
      </c>
      <c r="Y94" s="231">
        <f t="shared" si="82"/>
        <v>10.150134272149339</v>
      </c>
      <c r="Z94" s="231">
        <f t="shared" si="82"/>
        <v>10.609098510524381</v>
      </c>
      <c r="AA94" s="231">
        <f t="shared" si="82"/>
        <v>11.083377696784131</v>
      </c>
      <c r="AB94" s="231">
        <f t="shared" si="82"/>
        <v>11.573710298057797</v>
      </c>
      <c r="AC94" s="231">
        <f t="shared" si="82"/>
        <v>12.08079723786296</v>
      </c>
      <c r="AD94" s="231">
        <f t="shared" si="82"/>
        <v>12.605306369438161</v>
      </c>
      <c r="AE94" s="231">
        <f t="shared" si="82"/>
        <v>13.147876223508806</v>
      </c>
      <c r="AF94" s="231">
        <f t="shared" si="82"/>
        <v>13.70911917320619</v>
      </c>
      <c r="AG94" s="231">
        <f t="shared" si="82"/>
        <v>14.289624126467201</v>
      </c>
      <c r="AH94" s="231">
        <f t="shared" si="82"/>
        <v>14.889958832091759</v>
      </c>
      <c r="AI94" s="232">
        <f t="shared" si="82"/>
        <v>16.152294361704165</v>
      </c>
      <c r="AJ94" s="90"/>
      <c r="AK94" s="90"/>
      <c r="AL94" s="90"/>
      <c r="AM94" s="153"/>
      <c r="AQ94"/>
      <c r="AR94" s="13"/>
      <c r="AS94" s="12"/>
      <c r="AT94" s="3"/>
      <c r="AU94" s="3"/>
      <c r="AV94" s="3"/>
      <c r="AW94" s="3"/>
    </row>
    <row r="95" spans="2:49" ht="15.75" hidden="1" thickBot="1" x14ac:dyDescent="0.3">
      <c r="B95" s="242"/>
      <c r="C95" s="282"/>
      <c r="D95" s="43" t="s">
        <v>77</v>
      </c>
      <c r="E95" s="43"/>
      <c r="F95" s="219">
        <f>IF(($F$3*(F$16*10^-3)/SQRT($C$16*10^-3*$B$97*10^-3)*$F$4/$F$6^2*$F$8)&lt;(4*$F$13*$F$8),($F$3*(F$16*10^-3)/SQRT($C$16*10^-3*$B$97*10^-3)*$F$4/$F$6^2*$F$8),(4*$F$13*$F$8))</f>
        <v>7.404294725054144</v>
      </c>
      <c r="G95" s="136"/>
      <c r="I95" s="267"/>
      <c r="J95" s="259"/>
      <c r="K95" s="259"/>
      <c r="L95" s="259"/>
      <c r="M95" s="208">
        <f t="shared" ref="M95:AI95" si="83">IF(($F$3*(M$16*10^-3)/SQRT($C$16*10^-3*$B$97*10^-3)*$F$4/$F$6^2*$F$8)&lt;(4*$F$13*$F$8),($F$3*(M$16*10^-3)/SQRT($C$16*10^-3*$B$97*10^-3)*$F$4/$F$6^2*$F$8),(4*$F$13*$F$8))</f>
        <v>4.4425768350324857</v>
      </c>
      <c r="N95" s="209">
        <f t="shared" si="83"/>
        <v>4.9361964833694296</v>
      </c>
      <c r="O95" s="209">
        <f t="shared" si="83"/>
        <v>5.4298161317063727</v>
      </c>
      <c r="P95" s="209">
        <f t="shared" si="83"/>
        <v>5.9234357800433148</v>
      </c>
      <c r="Q95" s="209">
        <f t="shared" si="83"/>
        <v>6.4170554283802579</v>
      </c>
      <c r="R95" s="209">
        <f t="shared" si="83"/>
        <v>6.9106750767172018</v>
      </c>
      <c r="S95" s="209">
        <f t="shared" si="83"/>
        <v>7.404294725054144</v>
      </c>
      <c r="T95" s="209">
        <f t="shared" si="83"/>
        <v>7.897914373391087</v>
      </c>
      <c r="U95" s="209">
        <f t="shared" si="83"/>
        <v>8.391534021728031</v>
      </c>
      <c r="V95" s="209">
        <f t="shared" si="83"/>
        <v>8.8851536700649714</v>
      </c>
      <c r="W95" s="209">
        <f t="shared" si="83"/>
        <v>9.3787733184019153</v>
      </c>
      <c r="X95" s="209">
        <f t="shared" si="83"/>
        <v>9.4595466606773275</v>
      </c>
      <c r="Y95" s="209">
        <f t="shared" si="83"/>
        <v>9.4595466606773275</v>
      </c>
      <c r="Z95" s="209">
        <f t="shared" si="83"/>
        <v>9.4595466606773275</v>
      </c>
      <c r="AA95" s="209">
        <f t="shared" si="83"/>
        <v>9.4595466606773275</v>
      </c>
      <c r="AB95" s="209">
        <f t="shared" si="83"/>
        <v>9.4595466606773275</v>
      </c>
      <c r="AC95" s="209">
        <f t="shared" si="83"/>
        <v>9.4595466606773275</v>
      </c>
      <c r="AD95" s="209">
        <f t="shared" si="83"/>
        <v>9.4595466606773275</v>
      </c>
      <c r="AE95" s="209">
        <f t="shared" si="83"/>
        <v>9.4595466606773275</v>
      </c>
      <c r="AF95" s="209">
        <f t="shared" si="83"/>
        <v>9.4595466606773275</v>
      </c>
      <c r="AG95" s="209">
        <f t="shared" si="83"/>
        <v>9.4595466606773275</v>
      </c>
      <c r="AH95" s="209">
        <f t="shared" si="83"/>
        <v>9.4595466606773275</v>
      </c>
      <c r="AI95" s="210">
        <f t="shared" si="83"/>
        <v>9.4595466606773275</v>
      </c>
      <c r="AJ95" s="90"/>
      <c r="AK95" s="90"/>
      <c r="AL95" s="90"/>
      <c r="AM95" s="153"/>
      <c r="AQ95"/>
      <c r="AR95" s="13"/>
      <c r="AS95" s="12"/>
      <c r="AT95" s="3"/>
      <c r="AU95" s="3"/>
      <c r="AV95" s="3"/>
      <c r="AW95" s="3"/>
    </row>
    <row r="96" spans="2:49" x14ac:dyDescent="0.25">
      <c r="B96" s="140"/>
      <c r="C96" s="245"/>
      <c r="D96" s="239" t="s">
        <v>56</v>
      </c>
      <c r="E96" s="239"/>
      <c r="F96" s="220">
        <f>F93</f>
        <v>3.8530546256638374</v>
      </c>
      <c r="G96" s="215" t="s">
        <v>32</v>
      </c>
      <c r="I96" s="226"/>
      <c r="J96" s="137"/>
      <c r="K96" s="137"/>
      <c r="L96" s="137"/>
      <c r="M96" s="195">
        <f t="shared" ref="M96:AI96" si="84">M93</f>
        <v>2.9636961567360181</v>
      </c>
      <c r="N96" s="184">
        <f t="shared" si="84"/>
        <v>3.1268909816921036</v>
      </c>
      <c r="O96" s="184">
        <f t="shared" si="84"/>
        <v>3.2828606343990496</v>
      </c>
      <c r="P96" s="184">
        <f t="shared" si="84"/>
        <v>3.4326784972027875</v>
      </c>
      <c r="Q96" s="184">
        <f t="shared" si="84"/>
        <v>3.5772030645314716</v>
      </c>
      <c r="R96" s="184">
        <f t="shared" si="84"/>
        <v>3.717134736846337</v>
      </c>
      <c r="S96" s="184">
        <f t="shared" si="84"/>
        <v>3.8530546256638374</v>
      </c>
      <c r="T96" s="184">
        <f t="shared" si="84"/>
        <v>3.9854518825134129</v>
      </c>
      <c r="U96" s="184">
        <f t="shared" si="84"/>
        <v>4.11474344836647</v>
      </c>
      <c r="V96" s="184">
        <f t="shared" si="84"/>
        <v>4.241288646457372</v>
      </c>
      <c r="W96" s="184">
        <f t="shared" si="84"/>
        <v>4.365400175778718</v>
      </c>
      <c r="X96" s="184">
        <f t="shared" si="84"/>
        <v>4.487352535307588</v>
      </c>
      <c r="Y96" s="184">
        <f t="shared" si="84"/>
        <v>4.6073885776428565</v>
      </c>
      <c r="Z96" s="184">
        <f t="shared" si="84"/>
        <v>4.7257246766167622</v>
      </c>
      <c r="AA96" s="184">
        <f t="shared" si="84"/>
        <v>4.8425548516642491</v>
      </c>
      <c r="AB96" s="184">
        <f t="shared" si="84"/>
        <v>4.9580540957793353</v>
      </c>
      <c r="AC96" s="184">
        <f t="shared" si="84"/>
        <v>5.0723810876604238</v>
      </c>
      <c r="AD96" s="184">
        <f t="shared" si="84"/>
        <v>5.1856804221196198</v>
      </c>
      <c r="AE96" s="184">
        <f t="shared" si="84"/>
        <v>5.2980844596139951</v>
      </c>
      <c r="AF96" s="184">
        <f t="shared" si="84"/>
        <v>5.4097148716916701</v>
      </c>
      <c r="AG96" s="184">
        <f t="shared" si="84"/>
        <v>5.5206839414747826</v>
      </c>
      <c r="AH96" s="184">
        <f t="shared" si="84"/>
        <v>5.6310956651647848</v>
      </c>
      <c r="AI96" s="185">
        <f t="shared" si="84"/>
        <v>5.850627122008607</v>
      </c>
      <c r="AM96" s="129"/>
      <c r="AR96"/>
      <c r="AS96" s="12"/>
      <c r="AT96" s="3"/>
      <c r="AU96" s="3"/>
      <c r="AV96" s="3"/>
      <c r="AW96" s="3"/>
    </row>
    <row r="97" spans="2:49" x14ac:dyDescent="0.25">
      <c r="B97" s="254">
        <v>177</v>
      </c>
      <c r="C97" s="244" t="s">
        <v>58</v>
      </c>
      <c r="D97" s="253" t="s">
        <v>57</v>
      </c>
      <c r="E97" s="253"/>
      <c r="F97" s="221">
        <f t="shared" ref="F97" si="85">IF(F94&lt;F95,F94,F95)</f>
        <v>7.404294725054144</v>
      </c>
      <c r="G97" s="216" t="s">
        <v>32</v>
      </c>
      <c r="I97" s="15"/>
      <c r="J97"/>
      <c r="K97"/>
      <c r="L97"/>
      <c r="M97" s="190">
        <f t="shared" ref="M97:AI97" si="86">IF(M94&lt;M95,M94,M95)</f>
        <v>4.4425768350324857</v>
      </c>
      <c r="N97" s="179">
        <f t="shared" si="86"/>
        <v>4.9361964833694296</v>
      </c>
      <c r="O97" s="179">
        <f t="shared" si="86"/>
        <v>5.4298161317063727</v>
      </c>
      <c r="P97" s="179">
        <f t="shared" si="86"/>
        <v>5.9234357800433148</v>
      </c>
      <c r="Q97" s="179">
        <f t="shared" si="86"/>
        <v>6.4170554283802579</v>
      </c>
      <c r="R97" s="179">
        <f t="shared" si="86"/>
        <v>6.9106750767172018</v>
      </c>
      <c r="S97" s="179">
        <f t="shared" si="86"/>
        <v>7.404294725054144</v>
      </c>
      <c r="T97" s="179">
        <f t="shared" si="86"/>
        <v>7.897914373391087</v>
      </c>
      <c r="U97" s="179">
        <f t="shared" si="86"/>
        <v>8.391534021728031</v>
      </c>
      <c r="V97" s="179">
        <f t="shared" si="86"/>
        <v>8.8570618724248948</v>
      </c>
      <c r="W97" s="179">
        <f t="shared" si="86"/>
        <v>9.27497557928438</v>
      </c>
      <c r="X97" s="179">
        <f t="shared" si="86"/>
        <v>9.4595466606773275</v>
      </c>
      <c r="Y97" s="179">
        <f t="shared" si="86"/>
        <v>9.4595466606773275</v>
      </c>
      <c r="Z97" s="179">
        <f t="shared" si="86"/>
        <v>9.4595466606773275</v>
      </c>
      <c r="AA97" s="179">
        <f t="shared" si="86"/>
        <v>9.4595466606773275</v>
      </c>
      <c r="AB97" s="179">
        <f t="shared" si="86"/>
        <v>9.4595466606773275</v>
      </c>
      <c r="AC97" s="179">
        <f t="shared" si="86"/>
        <v>9.4595466606773275</v>
      </c>
      <c r="AD97" s="179">
        <f t="shared" si="86"/>
        <v>9.4595466606773275</v>
      </c>
      <c r="AE97" s="179">
        <f t="shared" si="86"/>
        <v>9.4595466606773275</v>
      </c>
      <c r="AF97" s="179">
        <f t="shared" si="86"/>
        <v>9.4595466606773275</v>
      </c>
      <c r="AG97" s="179">
        <f t="shared" si="86"/>
        <v>9.4595466606773275</v>
      </c>
      <c r="AH97" s="179">
        <f t="shared" si="86"/>
        <v>9.4595466606773275</v>
      </c>
      <c r="AI97" s="180">
        <f t="shared" si="86"/>
        <v>9.4595466606773275</v>
      </c>
      <c r="AM97" s="129"/>
    </row>
    <row r="98" spans="2:49" x14ac:dyDescent="0.25">
      <c r="B98" s="254" t="s">
        <v>44</v>
      </c>
      <c r="C98" s="243" t="s">
        <v>59</v>
      </c>
      <c r="D98" s="252" t="s">
        <v>60</v>
      </c>
      <c r="E98" s="252"/>
      <c r="F98" s="222">
        <f>F93</f>
        <v>3.8530546256638374</v>
      </c>
      <c r="G98" s="217" t="s">
        <v>32</v>
      </c>
      <c r="I98" s="15"/>
      <c r="J98"/>
      <c r="K98"/>
      <c r="L98"/>
      <c r="M98" s="191">
        <f t="shared" ref="M98:AI98" si="87">M93</f>
        <v>2.9636961567360181</v>
      </c>
      <c r="N98" s="182">
        <f t="shared" si="87"/>
        <v>3.1268909816921036</v>
      </c>
      <c r="O98" s="182">
        <f t="shared" si="87"/>
        <v>3.2828606343990496</v>
      </c>
      <c r="P98" s="182">
        <f t="shared" si="87"/>
        <v>3.4326784972027875</v>
      </c>
      <c r="Q98" s="182">
        <f t="shared" si="87"/>
        <v>3.5772030645314716</v>
      </c>
      <c r="R98" s="182">
        <f t="shared" si="87"/>
        <v>3.717134736846337</v>
      </c>
      <c r="S98" s="182">
        <f t="shared" si="87"/>
        <v>3.8530546256638374</v>
      </c>
      <c r="T98" s="182">
        <f t="shared" si="87"/>
        <v>3.9854518825134129</v>
      </c>
      <c r="U98" s="182">
        <f t="shared" si="87"/>
        <v>4.11474344836647</v>
      </c>
      <c r="V98" s="182">
        <f t="shared" si="87"/>
        <v>4.241288646457372</v>
      </c>
      <c r="W98" s="182">
        <f t="shared" si="87"/>
        <v>4.365400175778718</v>
      </c>
      <c r="X98" s="182">
        <f t="shared" si="87"/>
        <v>4.487352535307588</v>
      </c>
      <c r="Y98" s="182">
        <f t="shared" si="87"/>
        <v>4.6073885776428565</v>
      </c>
      <c r="Z98" s="182">
        <f t="shared" si="87"/>
        <v>4.7257246766167622</v>
      </c>
      <c r="AA98" s="182">
        <f t="shared" si="87"/>
        <v>4.8425548516642491</v>
      </c>
      <c r="AB98" s="182">
        <f t="shared" si="87"/>
        <v>4.9580540957793353</v>
      </c>
      <c r="AC98" s="182">
        <f t="shared" si="87"/>
        <v>5.0723810876604238</v>
      </c>
      <c r="AD98" s="182">
        <f t="shared" si="87"/>
        <v>5.1856804221196198</v>
      </c>
      <c r="AE98" s="182">
        <f t="shared" si="87"/>
        <v>5.2980844596139951</v>
      </c>
      <c r="AF98" s="182">
        <f t="shared" si="87"/>
        <v>5.4097148716916701</v>
      </c>
      <c r="AG98" s="182">
        <f t="shared" si="87"/>
        <v>5.5206839414747826</v>
      </c>
      <c r="AH98" s="182">
        <f t="shared" si="87"/>
        <v>5.6310956651647848</v>
      </c>
      <c r="AI98" s="183">
        <f t="shared" si="87"/>
        <v>5.850627122008607</v>
      </c>
      <c r="AM98" s="129"/>
      <c r="AR98" s="12"/>
      <c r="AS98" s="12"/>
      <c r="AT98" s="3"/>
      <c r="AU98" s="3"/>
      <c r="AV98" s="3"/>
      <c r="AW98" s="3"/>
    </row>
    <row r="99" spans="2:49" ht="15.75" thickBot="1" x14ac:dyDescent="0.3">
      <c r="B99" s="141"/>
      <c r="C99" s="246"/>
      <c r="D99" s="238" t="s">
        <v>61</v>
      </c>
      <c r="E99" s="238"/>
      <c r="F99" s="223">
        <f t="shared" ref="F99" si="88">IF(F94&lt;F95,F94,F95)</f>
        <v>7.404294725054144</v>
      </c>
      <c r="G99" s="214" t="s">
        <v>32</v>
      </c>
      <c r="I99" s="204"/>
      <c r="J99" s="135"/>
      <c r="K99" s="135"/>
      <c r="L99" s="135"/>
      <c r="M99" s="192">
        <f t="shared" ref="M99:AI99" si="89">IF(M94&lt;M95,M94,M95)</f>
        <v>4.4425768350324857</v>
      </c>
      <c r="N99" s="193">
        <f t="shared" si="89"/>
        <v>4.9361964833694296</v>
      </c>
      <c r="O99" s="193">
        <f t="shared" si="89"/>
        <v>5.4298161317063727</v>
      </c>
      <c r="P99" s="193">
        <f t="shared" si="89"/>
        <v>5.9234357800433148</v>
      </c>
      <c r="Q99" s="193">
        <f t="shared" si="89"/>
        <v>6.4170554283802579</v>
      </c>
      <c r="R99" s="193">
        <f t="shared" si="89"/>
        <v>6.9106750767172018</v>
      </c>
      <c r="S99" s="193">
        <f t="shared" si="89"/>
        <v>7.404294725054144</v>
      </c>
      <c r="T99" s="193">
        <f t="shared" si="89"/>
        <v>7.897914373391087</v>
      </c>
      <c r="U99" s="193">
        <f t="shared" si="89"/>
        <v>8.391534021728031</v>
      </c>
      <c r="V99" s="193">
        <f t="shared" si="89"/>
        <v>8.8570618724248948</v>
      </c>
      <c r="W99" s="193">
        <f t="shared" si="89"/>
        <v>9.27497557928438</v>
      </c>
      <c r="X99" s="193">
        <f t="shared" si="89"/>
        <v>9.4595466606773275</v>
      </c>
      <c r="Y99" s="193">
        <f t="shared" si="89"/>
        <v>9.4595466606773275</v>
      </c>
      <c r="Z99" s="193">
        <f t="shared" si="89"/>
        <v>9.4595466606773275</v>
      </c>
      <c r="AA99" s="193">
        <f t="shared" si="89"/>
        <v>9.4595466606773275</v>
      </c>
      <c r="AB99" s="193">
        <f t="shared" si="89"/>
        <v>9.4595466606773275</v>
      </c>
      <c r="AC99" s="193">
        <f t="shared" si="89"/>
        <v>9.4595466606773275</v>
      </c>
      <c r="AD99" s="193">
        <f t="shared" si="89"/>
        <v>9.4595466606773275</v>
      </c>
      <c r="AE99" s="193">
        <f t="shared" si="89"/>
        <v>9.4595466606773275</v>
      </c>
      <c r="AF99" s="193">
        <f t="shared" si="89"/>
        <v>9.4595466606773275</v>
      </c>
      <c r="AG99" s="193">
        <f t="shared" si="89"/>
        <v>9.4595466606773275</v>
      </c>
      <c r="AH99" s="193">
        <f t="shared" si="89"/>
        <v>9.4595466606773275</v>
      </c>
      <c r="AI99" s="194">
        <f t="shared" si="89"/>
        <v>9.4595466606773275</v>
      </c>
      <c r="AM99" s="129"/>
    </row>
    <row r="100" spans="2:49" hidden="1" x14ac:dyDescent="0.25">
      <c r="B100" s="242"/>
      <c r="D100" s="43" t="s">
        <v>71</v>
      </c>
      <c r="E100" s="43"/>
      <c r="F100" s="229">
        <f>1.07*1.22*F93</f>
        <v>5.0297775083415734</v>
      </c>
      <c r="G100" s="136"/>
      <c r="I100" s="267"/>
      <c r="J100" s="259"/>
      <c r="K100" s="259"/>
      <c r="L100" s="259"/>
      <c r="M100" s="236">
        <f t="shared" ref="M100:AI100" si="90">1.07*1.22*M93</f>
        <v>3.8688089630031981</v>
      </c>
      <c r="N100" s="231">
        <f t="shared" si="90"/>
        <v>4.0818434875008727</v>
      </c>
      <c r="O100" s="231">
        <f t="shared" si="90"/>
        <v>4.2854462721445197</v>
      </c>
      <c r="P100" s="231">
        <f t="shared" si="90"/>
        <v>4.4810185102485196</v>
      </c>
      <c r="Q100" s="231">
        <f t="shared" si="90"/>
        <v>4.6696808804393832</v>
      </c>
      <c r="R100" s="231">
        <f t="shared" si="90"/>
        <v>4.8523476854792085</v>
      </c>
      <c r="S100" s="231">
        <f t="shared" si="90"/>
        <v>5.0297775083415734</v>
      </c>
      <c r="T100" s="231">
        <f t="shared" si="90"/>
        <v>5.2026088874330094</v>
      </c>
      <c r="U100" s="231">
        <f t="shared" si="90"/>
        <v>5.3713860974975907</v>
      </c>
      <c r="V100" s="231">
        <f t="shared" si="90"/>
        <v>5.5365781990854543</v>
      </c>
      <c r="W100" s="231">
        <f t="shared" si="90"/>
        <v>5.6985933894615393</v>
      </c>
      <c r="X100" s="231">
        <f t="shared" si="90"/>
        <v>5.8577899995905263</v>
      </c>
      <c r="Y100" s="231">
        <f t="shared" si="90"/>
        <v>6.0144850492549855</v>
      </c>
      <c r="Z100" s="231">
        <f t="shared" si="90"/>
        <v>6.1689609928555216</v>
      </c>
      <c r="AA100" s="231">
        <f t="shared" si="90"/>
        <v>6.3214711033625113</v>
      </c>
      <c r="AB100" s="231">
        <f t="shared" si="90"/>
        <v>6.4722438166303453</v>
      </c>
      <c r="AC100" s="231">
        <f t="shared" si="90"/>
        <v>6.6214862718319178</v>
      </c>
      <c r="AD100" s="231">
        <f t="shared" si="90"/>
        <v>6.7693872230349523</v>
      </c>
      <c r="AE100" s="231">
        <f t="shared" si="90"/>
        <v>6.9161194535801096</v>
      </c>
      <c r="AF100" s="231">
        <f t="shared" si="90"/>
        <v>7.0618417935063071</v>
      </c>
      <c r="AG100" s="231">
        <f t="shared" si="90"/>
        <v>7.2067008172011819</v>
      </c>
      <c r="AH100" s="231">
        <f t="shared" si="90"/>
        <v>7.3508322813061104</v>
      </c>
      <c r="AI100" s="232">
        <f t="shared" si="90"/>
        <v>7.6374086450700363</v>
      </c>
      <c r="AJ100" s="90"/>
      <c r="AK100" s="90"/>
      <c r="AL100" s="90"/>
      <c r="AM100" s="153"/>
      <c r="AQ100"/>
      <c r="AR100" s="13"/>
      <c r="AS100" s="12"/>
      <c r="AT100" s="3"/>
      <c r="AU100" s="3"/>
      <c r="AV100" s="3"/>
      <c r="AW100" s="3"/>
    </row>
    <row r="101" spans="2:49" hidden="1" x14ac:dyDescent="0.25">
      <c r="B101" s="242"/>
      <c r="D101" s="43" t="s">
        <v>72</v>
      </c>
      <c r="E101" s="43"/>
      <c r="F101" s="229">
        <f>1.07*1.22*F94</f>
        <v>10.012720360005556</v>
      </c>
      <c r="G101" s="136"/>
      <c r="I101" s="267"/>
      <c r="J101" s="259"/>
      <c r="K101" s="259"/>
      <c r="L101" s="259"/>
      <c r="M101" s="236">
        <f t="shared" ref="M101:AI101" si="91">1.07*1.22*M94</f>
        <v>7.1509398699774254</v>
      </c>
      <c r="N101" s="231">
        <f t="shared" si="91"/>
        <v>7.6212627000329229</v>
      </c>
      <c r="O101" s="231">
        <f t="shared" si="91"/>
        <v>8.0903464204800173</v>
      </c>
      <c r="P101" s="231">
        <f t="shared" si="91"/>
        <v>8.5614715475444036</v>
      </c>
      <c r="Q101" s="231">
        <f t="shared" si="91"/>
        <v>9.0373886451951222</v>
      </c>
      <c r="R101" s="231">
        <f t="shared" si="91"/>
        <v>9.520453562619041</v>
      </c>
      <c r="S101" s="231">
        <f t="shared" si="91"/>
        <v>10.012720360005556</v>
      </c>
      <c r="T101" s="231">
        <f t="shared" si="91"/>
        <v>10.516007152701011</v>
      </c>
      <c r="U101" s="231">
        <f t="shared" si="91"/>
        <v>11.031944005450525</v>
      </c>
      <c r="V101" s="231">
        <f t="shared" si="91"/>
        <v>11.562008568263458</v>
      </c>
      <c r="W101" s="231">
        <f t="shared" si="91"/>
        <v>12.107553121197832</v>
      </c>
      <c r="X101" s="231">
        <f t="shared" si="91"/>
        <v>12.669825460262928</v>
      </c>
      <c r="Y101" s="231">
        <f t="shared" si="91"/>
        <v>13.249985278863749</v>
      </c>
      <c r="Z101" s="231">
        <f t="shared" si="91"/>
        <v>13.849117195638529</v>
      </c>
      <c r="AA101" s="231">
        <f t="shared" si="91"/>
        <v>14.468241245382007</v>
      </c>
      <c r="AB101" s="231">
        <f t="shared" si="91"/>
        <v>15.10832142308465</v>
      </c>
      <c r="AC101" s="231">
        <f t="shared" si="91"/>
        <v>15.770272714306309</v>
      </c>
      <c r="AD101" s="231">
        <f t="shared" si="91"/>
        <v>16.454966934664576</v>
      </c>
      <c r="AE101" s="231">
        <f t="shared" si="91"/>
        <v>17.163237622168396</v>
      </c>
      <c r="AF101" s="231">
        <f t="shared" si="91"/>
        <v>17.895884168703361</v>
      </c>
      <c r="AG101" s="231">
        <f t="shared" si="91"/>
        <v>18.653675334690284</v>
      </c>
      <c r="AH101" s="231">
        <f t="shared" si="91"/>
        <v>19.437352259412584</v>
      </c>
      <c r="AI101" s="232">
        <f t="shared" si="91"/>
        <v>21.085205059768619</v>
      </c>
      <c r="AJ101" s="90"/>
      <c r="AK101" s="90"/>
      <c r="AL101" s="90"/>
      <c r="AM101" s="153"/>
      <c r="AQ101"/>
      <c r="AR101" s="13"/>
      <c r="AS101" s="12"/>
      <c r="AT101" s="3"/>
      <c r="AU101" s="3"/>
      <c r="AV101" s="3"/>
      <c r="AW101" s="3"/>
    </row>
    <row r="102" spans="2:49" hidden="1" x14ac:dyDescent="0.25">
      <c r="B102" s="242"/>
      <c r="D102" s="43" t="s">
        <v>79</v>
      </c>
      <c r="E102" s="43"/>
      <c r="F102" s="229">
        <f>1.07*1.22*F95</f>
        <v>9.6655663340856801</v>
      </c>
      <c r="G102" s="136"/>
      <c r="I102" s="267"/>
      <c r="J102" s="259"/>
      <c r="K102" s="259"/>
      <c r="L102" s="259"/>
      <c r="M102" s="236">
        <f t="shared" ref="M102:AI102" si="92">1.07*1.22*M95</f>
        <v>5.7993398004514072</v>
      </c>
      <c r="N102" s="231">
        <f t="shared" si="92"/>
        <v>6.443710889390454</v>
      </c>
      <c r="O102" s="231">
        <f t="shared" si="92"/>
        <v>7.0880819783294999</v>
      </c>
      <c r="P102" s="231">
        <f t="shared" si="92"/>
        <v>7.7324530672685441</v>
      </c>
      <c r="Q102" s="231">
        <f t="shared" si="92"/>
        <v>8.37682415620759</v>
      </c>
      <c r="R102" s="231">
        <f t="shared" si="92"/>
        <v>9.021195245146636</v>
      </c>
      <c r="S102" s="231">
        <f t="shared" si="92"/>
        <v>9.6655663340856801</v>
      </c>
      <c r="T102" s="231">
        <f t="shared" si="92"/>
        <v>10.309937423024726</v>
      </c>
      <c r="U102" s="231">
        <f t="shared" si="92"/>
        <v>10.954308511963772</v>
      </c>
      <c r="V102" s="231">
        <f t="shared" si="92"/>
        <v>11.598679600902814</v>
      </c>
      <c r="W102" s="231">
        <f t="shared" si="92"/>
        <v>12.243050689841862</v>
      </c>
      <c r="X102" s="231">
        <f t="shared" si="92"/>
        <v>12.348492210848184</v>
      </c>
      <c r="Y102" s="231">
        <f t="shared" si="92"/>
        <v>12.348492210848184</v>
      </c>
      <c r="Z102" s="231">
        <f t="shared" si="92"/>
        <v>12.348492210848184</v>
      </c>
      <c r="AA102" s="231">
        <f t="shared" si="92"/>
        <v>12.348492210848184</v>
      </c>
      <c r="AB102" s="231">
        <f t="shared" si="92"/>
        <v>12.348492210848184</v>
      </c>
      <c r="AC102" s="231">
        <f t="shared" si="92"/>
        <v>12.348492210848184</v>
      </c>
      <c r="AD102" s="231">
        <f t="shared" si="92"/>
        <v>12.348492210848184</v>
      </c>
      <c r="AE102" s="231">
        <f t="shared" si="92"/>
        <v>12.348492210848184</v>
      </c>
      <c r="AF102" s="231">
        <f t="shared" si="92"/>
        <v>12.348492210848184</v>
      </c>
      <c r="AG102" s="231">
        <f t="shared" si="92"/>
        <v>12.348492210848184</v>
      </c>
      <c r="AH102" s="231">
        <f t="shared" si="92"/>
        <v>12.348492210848184</v>
      </c>
      <c r="AI102" s="232">
        <f t="shared" si="92"/>
        <v>12.348492210848184</v>
      </c>
      <c r="AJ102" s="90"/>
      <c r="AK102" s="90"/>
      <c r="AL102" s="90"/>
      <c r="AM102" s="153"/>
      <c r="AQ102"/>
      <c r="AR102" s="13"/>
      <c r="AS102" s="12"/>
      <c r="AT102" s="3"/>
      <c r="AU102" s="3"/>
      <c r="AV102" s="3"/>
      <c r="AW102" s="3"/>
    </row>
    <row r="103" spans="2:49" hidden="1" x14ac:dyDescent="0.25">
      <c r="B103" s="242"/>
      <c r="D103" s="43" t="s">
        <v>73</v>
      </c>
      <c r="E103" s="43"/>
      <c r="F103" s="229">
        <f>1.07*0.707*F93</f>
        <v>2.9147972937684363</v>
      </c>
      <c r="G103" s="136"/>
      <c r="I103" s="267"/>
      <c r="J103" s="259"/>
      <c r="K103" s="259"/>
      <c r="L103" s="259"/>
      <c r="M103" s="236">
        <f t="shared" ref="M103:AI103" si="93">1.07*0.707*M93</f>
        <v>2.2420065056092304</v>
      </c>
      <c r="N103" s="231">
        <f t="shared" si="93"/>
        <v>2.3654617587402593</v>
      </c>
      <c r="O103" s="231">
        <f t="shared" si="93"/>
        <v>2.4834512413165371</v>
      </c>
      <c r="P103" s="231">
        <f t="shared" si="93"/>
        <v>2.5967869563489367</v>
      </c>
      <c r="Q103" s="231">
        <f t="shared" si="93"/>
        <v>2.706118346287413</v>
      </c>
      <c r="R103" s="231">
        <f t="shared" si="93"/>
        <v>2.8119752570768854</v>
      </c>
      <c r="S103" s="231">
        <f t="shared" si="93"/>
        <v>2.9147972937684363</v>
      </c>
      <c r="T103" s="231">
        <f t="shared" si="93"/>
        <v>3.0149544946025717</v>
      </c>
      <c r="U103" s="231">
        <f t="shared" si="93"/>
        <v>3.1127622712547507</v>
      </c>
      <c r="V103" s="231">
        <f t="shared" si="93"/>
        <v>3.2084924481585375</v>
      </c>
      <c r="W103" s="231">
        <f t="shared" si="93"/>
        <v>3.3023815789748423</v>
      </c>
      <c r="X103" s="231">
        <f t="shared" si="93"/>
        <v>3.3946373194348372</v>
      </c>
      <c r="Y103" s="231">
        <f t="shared" si="93"/>
        <v>3.4854433851010445</v>
      </c>
      <c r="Z103" s="231">
        <f t="shared" si="93"/>
        <v>3.5749634606138145</v>
      </c>
      <c r="AA103" s="231">
        <f t="shared" si="93"/>
        <v>3.6633443197354878</v>
      </c>
      <c r="AB103" s="231">
        <f t="shared" si="93"/>
        <v>3.7507183429161093</v>
      </c>
      <c r="AC103" s="231">
        <f t="shared" si="93"/>
        <v>3.8372055690042339</v>
      </c>
      <c r="AD103" s="231">
        <f t="shared" si="93"/>
        <v>3.9229153825292711</v>
      </c>
      <c r="AE103" s="231">
        <f t="shared" si="93"/>
        <v>4.0079479128533908</v>
      </c>
      <c r="AF103" s="231">
        <f t="shared" si="93"/>
        <v>4.0923952032860313</v>
      </c>
      <c r="AG103" s="231">
        <f t="shared" si="93"/>
        <v>4.1763421948862582</v>
      </c>
      <c r="AH103" s="231">
        <f t="shared" si="93"/>
        <v>4.259867559740508</v>
      </c>
      <c r="AI103" s="232">
        <f t="shared" si="93"/>
        <v>4.4259409115282908</v>
      </c>
      <c r="AJ103" s="90"/>
      <c r="AK103" s="90"/>
      <c r="AL103" s="90"/>
      <c r="AM103" s="153"/>
      <c r="AQ103"/>
      <c r="AR103" s="13"/>
      <c r="AS103" s="12"/>
      <c r="AT103" s="3"/>
      <c r="AU103" s="3"/>
      <c r="AV103" s="3"/>
      <c r="AW103" s="3"/>
    </row>
    <row r="104" spans="2:49" hidden="1" x14ac:dyDescent="0.25">
      <c r="B104" s="242"/>
      <c r="D104" s="43" t="s">
        <v>74</v>
      </c>
      <c r="E104" s="43"/>
      <c r="F104" s="229">
        <f>1.07*0.707*F94</f>
        <v>5.8024535201015794</v>
      </c>
      <c r="G104" s="136"/>
      <c r="I104" s="267"/>
      <c r="J104" s="259"/>
      <c r="K104" s="259"/>
      <c r="L104" s="259"/>
      <c r="M104" s="236">
        <f t="shared" ref="M104:AI104" si="94">1.07*0.707*M94</f>
        <v>4.1440282689131474</v>
      </c>
      <c r="N104" s="231">
        <f t="shared" si="94"/>
        <v>4.4165842040354724</v>
      </c>
      <c r="O104" s="231">
        <f t="shared" si="94"/>
        <v>4.688422064983091</v>
      </c>
      <c r="P104" s="231">
        <f t="shared" si="94"/>
        <v>4.9614429377982727</v>
      </c>
      <c r="Q104" s="231">
        <f t="shared" si="94"/>
        <v>5.237240796846681</v>
      </c>
      <c r="R104" s="231">
        <f t="shared" si="94"/>
        <v>5.5171808760423451</v>
      </c>
      <c r="S104" s="231">
        <f t="shared" si="94"/>
        <v>5.8024535201015794</v>
      </c>
      <c r="T104" s="231">
        <f t="shared" si="94"/>
        <v>6.0941123417701757</v>
      </c>
      <c r="U104" s="231">
        <f t="shared" si="94"/>
        <v>6.3931019769291142</v>
      </c>
      <c r="V104" s="231">
        <f t="shared" si="94"/>
        <v>6.7002787358707083</v>
      </c>
      <c r="W104" s="231">
        <f t="shared" si="94"/>
        <v>7.0164262759728402</v>
      </c>
      <c r="X104" s="231">
        <f t="shared" si="94"/>
        <v>7.3422677052507286</v>
      </c>
      <c r="Y104" s="231">
        <f t="shared" si="94"/>
        <v>7.6784750755382536</v>
      </c>
      <c r="Z104" s="231">
        <f t="shared" si="94"/>
        <v>8.02567693222659</v>
      </c>
      <c r="AA104" s="231">
        <f t="shared" si="94"/>
        <v>8.3844643938402275</v>
      </c>
      <c r="AB104" s="231">
        <f t="shared" si="94"/>
        <v>8.755396103377743</v>
      </c>
      <c r="AC104" s="231">
        <f t="shared" si="94"/>
        <v>9.139002302470951</v>
      </c>
      <c r="AD104" s="231">
        <f t="shared" si="94"/>
        <v>9.5357882154162734</v>
      </c>
      <c r="AE104" s="231">
        <f t="shared" si="94"/>
        <v>9.9462368843221771</v>
      </c>
      <c r="AF104" s="231">
        <f t="shared" si="94"/>
        <v>10.370811563338751</v>
      </c>
      <c r="AG104" s="231">
        <f t="shared" si="94"/>
        <v>10.809957755431173</v>
      </c>
      <c r="AH104" s="231">
        <f t="shared" si="94"/>
        <v>11.264104956889096</v>
      </c>
      <c r="AI104" s="232">
        <f t="shared" si="94"/>
        <v>12.219049161685584</v>
      </c>
      <c r="AJ104" s="90"/>
      <c r="AK104" s="90"/>
      <c r="AL104" s="90"/>
      <c r="AM104" s="153"/>
      <c r="AQ104"/>
      <c r="AR104" s="13"/>
      <c r="AS104" s="12"/>
      <c r="AT104" s="3"/>
      <c r="AU104" s="3"/>
      <c r="AV104" s="3"/>
      <c r="AW104" s="3"/>
    </row>
    <row r="105" spans="2:49" ht="15.75" hidden="1" thickBot="1" x14ac:dyDescent="0.3">
      <c r="B105" s="242"/>
      <c r="D105" s="43" t="s">
        <v>80</v>
      </c>
      <c r="E105" s="43"/>
      <c r="F105" s="229">
        <f>1.07*0.707*F95</f>
        <v>5.6012749165562097</v>
      </c>
      <c r="G105" s="136"/>
      <c r="I105" s="267"/>
      <c r="J105" s="259"/>
      <c r="K105" s="259"/>
      <c r="L105" s="259"/>
      <c r="M105" s="236">
        <f t="shared" ref="M105:AI105" si="95">1.07*0.707*M95</f>
        <v>3.3607649499337251</v>
      </c>
      <c r="N105" s="231">
        <f t="shared" si="95"/>
        <v>3.7341832777041399</v>
      </c>
      <c r="O105" s="231">
        <f t="shared" si="95"/>
        <v>4.1076016054745539</v>
      </c>
      <c r="P105" s="231">
        <f t="shared" si="95"/>
        <v>4.4810199332449674</v>
      </c>
      <c r="Q105" s="231">
        <f t="shared" si="95"/>
        <v>4.8544382610153809</v>
      </c>
      <c r="R105" s="231">
        <f t="shared" si="95"/>
        <v>5.2278565887857962</v>
      </c>
      <c r="S105" s="231">
        <f t="shared" si="95"/>
        <v>5.6012749165562097</v>
      </c>
      <c r="T105" s="231">
        <f t="shared" si="95"/>
        <v>5.9746932443266232</v>
      </c>
      <c r="U105" s="231">
        <f t="shared" si="95"/>
        <v>6.3481115720970385</v>
      </c>
      <c r="V105" s="231">
        <f t="shared" si="95"/>
        <v>6.7215298998674502</v>
      </c>
      <c r="W105" s="231">
        <f t="shared" si="95"/>
        <v>7.0949482276378646</v>
      </c>
      <c r="X105" s="231">
        <f t="shared" si="95"/>
        <v>7.1560524533357919</v>
      </c>
      <c r="Y105" s="231">
        <f t="shared" si="95"/>
        <v>7.1560524533357919</v>
      </c>
      <c r="Z105" s="231">
        <f t="shared" si="95"/>
        <v>7.1560524533357919</v>
      </c>
      <c r="AA105" s="231">
        <f t="shared" si="95"/>
        <v>7.1560524533357919</v>
      </c>
      <c r="AB105" s="231">
        <f t="shared" si="95"/>
        <v>7.1560524533357919</v>
      </c>
      <c r="AC105" s="231">
        <f t="shared" si="95"/>
        <v>7.1560524533357919</v>
      </c>
      <c r="AD105" s="231">
        <f t="shared" si="95"/>
        <v>7.1560524533357919</v>
      </c>
      <c r="AE105" s="231">
        <f t="shared" si="95"/>
        <v>7.1560524533357919</v>
      </c>
      <c r="AF105" s="231">
        <f t="shared" si="95"/>
        <v>7.1560524533357919</v>
      </c>
      <c r="AG105" s="231">
        <f t="shared" si="95"/>
        <v>7.1560524533357919</v>
      </c>
      <c r="AH105" s="231">
        <f t="shared" si="95"/>
        <v>7.1560524533357919</v>
      </c>
      <c r="AI105" s="232">
        <f t="shared" si="95"/>
        <v>7.1560524533357919</v>
      </c>
      <c r="AJ105" s="90"/>
      <c r="AK105" s="90"/>
      <c r="AL105" s="90"/>
      <c r="AM105" s="153"/>
      <c r="AQ105"/>
      <c r="AR105" s="13"/>
      <c r="AS105" s="12"/>
      <c r="AT105" s="3"/>
      <c r="AU105" s="3"/>
      <c r="AV105" s="3"/>
      <c r="AW105" s="3"/>
    </row>
    <row r="106" spans="2:49" x14ac:dyDescent="0.25">
      <c r="B106" s="142"/>
      <c r="C106" s="243"/>
      <c r="D106" s="239" t="s">
        <v>56</v>
      </c>
      <c r="E106" s="239"/>
      <c r="F106" s="220">
        <f>F100</f>
        <v>5.0297775083415734</v>
      </c>
      <c r="G106" s="215" t="s">
        <v>32</v>
      </c>
      <c r="I106" s="15"/>
      <c r="J106"/>
      <c r="K106"/>
      <c r="L106"/>
      <c r="M106" s="195">
        <f t="shared" ref="M106:AI106" si="96">M100</f>
        <v>3.8688089630031981</v>
      </c>
      <c r="N106" s="184">
        <f t="shared" si="96"/>
        <v>4.0818434875008727</v>
      </c>
      <c r="O106" s="184">
        <f t="shared" si="96"/>
        <v>4.2854462721445197</v>
      </c>
      <c r="P106" s="184">
        <f t="shared" si="96"/>
        <v>4.4810185102485196</v>
      </c>
      <c r="Q106" s="184">
        <f t="shared" si="96"/>
        <v>4.6696808804393832</v>
      </c>
      <c r="R106" s="184">
        <f t="shared" si="96"/>
        <v>4.8523476854792085</v>
      </c>
      <c r="S106" s="184">
        <f t="shared" si="96"/>
        <v>5.0297775083415734</v>
      </c>
      <c r="T106" s="184">
        <f t="shared" si="96"/>
        <v>5.2026088874330094</v>
      </c>
      <c r="U106" s="184">
        <f t="shared" si="96"/>
        <v>5.3713860974975907</v>
      </c>
      <c r="V106" s="184">
        <f t="shared" si="96"/>
        <v>5.5365781990854543</v>
      </c>
      <c r="W106" s="184">
        <f t="shared" si="96"/>
        <v>5.6985933894615393</v>
      </c>
      <c r="X106" s="184">
        <f t="shared" si="96"/>
        <v>5.8577899995905263</v>
      </c>
      <c r="Y106" s="184">
        <f t="shared" si="96"/>
        <v>6.0144850492549855</v>
      </c>
      <c r="Z106" s="184">
        <f t="shared" si="96"/>
        <v>6.1689609928555216</v>
      </c>
      <c r="AA106" s="184">
        <f t="shared" si="96"/>
        <v>6.3214711033625113</v>
      </c>
      <c r="AB106" s="184">
        <f t="shared" si="96"/>
        <v>6.4722438166303453</v>
      </c>
      <c r="AC106" s="184">
        <f t="shared" si="96"/>
        <v>6.6214862718319178</v>
      </c>
      <c r="AD106" s="184">
        <f t="shared" si="96"/>
        <v>6.7693872230349523</v>
      </c>
      <c r="AE106" s="184">
        <f t="shared" si="96"/>
        <v>6.9161194535801096</v>
      </c>
      <c r="AF106" s="184">
        <f t="shared" si="96"/>
        <v>7.0618417935063071</v>
      </c>
      <c r="AG106" s="184">
        <f t="shared" si="96"/>
        <v>7.2067008172011819</v>
      </c>
      <c r="AH106" s="184">
        <f t="shared" si="96"/>
        <v>7.3508322813061104</v>
      </c>
      <c r="AI106" s="185">
        <f t="shared" si="96"/>
        <v>7.6374086450700363</v>
      </c>
      <c r="AM106" s="129"/>
      <c r="AR106" s="12"/>
      <c r="AS106" s="12"/>
      <c r="AT106" s="3"/>
      <c r="AU106" s="3"/>
      <c r="AV106" s="3"/>
      <c r="AW106" s="3"/>
    </row>
    <row r="107" spans="2:49" x14ac:dyDescent="0.25">
      <c r="B107" s="141"/>
      <c r="C107" s="244" t="s">
        <v>67</v>
      </c>
      <c r="D107" s="253" t="s">
        <v>57</v>
      </c>
      <c r="E107" s="253"/>
      <c r="F107" s="221">
        <f>IF(F101&lt;F102,F101,F102)</f>
        <v>9.6655663340856801</v>
      </c>
      <c r="G107" s="216" t="s">
        <v>32</v>
      </c>
      <c r="I107" s="15"/>
      <c r="J107"/>
      <c r="K107"/>
      <c r="L107"/>
      <c r="M107" s="190">
        <f t="shared" ref="M107:AI107" si="97">IF(M101&lt;M102,M101,M102)</f>
        <v>5.7993398004514072</v>
      </c>
      <c r="N107" s="179">
        <f t="shared" si="97"/>
        <v>6.443710889390454</v>
      </c>
      <c r="O107" s="179">
        <f t="shared" si="97"/>
        <v>7.0880819783294999</v>
      </c>
      <c r="P107" s="179">
        <f t="shared" si="97"/>
        <v>7.7324530672685441</v>
      </c>
      <c r="Q107" s="179">
        <f t="shared" si="97"/>
        <v>8.37682415620759</v>
      </c>
      <c r="R107" s="179">
        <f t="shared" si="97"/>
        <v>9.021195245146636</v>
      </c>
      <c r="S107" s="179">
        <f t="shared" si="97"/>
        <v>9.6655663340856801</v>
      </c>
      <c r="T107" s="179">
        <f t="shared" si="97"/>
        <v>10.309937423024726</v>
      </c>
      <c r="U107" s="179">
        <f t="shared" si="97"/>
        <v>10.954308511963772</v>
      </c>
      <c r="V107" s="179">
        <f t="shared" si="97"/>
        <v>11.562008568263458</v>
      </c>
      <c r="W107" s="179">
        <f t="shared" si="97"/>
        <v>12.107553121197832</v>
      </c>
      <c r="X107" s="179">
        <f t="shared" si="97"/>
        <v>12.348492210848184</v>
      </c>
      <c r="Y107" s="179">
        <f t="shared" si="97"/>
        <v>12.348492210848184</v>
      </c>
      <c r="Z107" s="179">
        <f t="shared" si="97"/>
        <v>12.348492210848184</v>
      </c>
      <c r="AA107" s="179">
        <f t="shared" si="97"/>
        <v>12.348492210848184</v>
      </c>
      <c r="AB107" s="179">
        <f t="shared" si="97"/>
        <v>12.348492210848184</v>
      </c>
      <c r="AC107" s="179">
        <f t="shared" si="97"/>
        <v>12.348492210848184</v>
      </c>
      <c r="AD107" s="179">
        <f t="shared" si="97"/>
        <v>12.348492210848184</v>
      </c>
      <c r="AE107" s="179">
        <f t="shared" si="97"/>
        <v>12.348492210848184</v>
      </c>
      <c r="AF107" s="179">
        <f t="shared" si="97"/>
        <v>12.348492210848184</v>
      </c>
      <c r="AG107" s="179">
        <f t="shared" si="97"/>
        <v>12.348492210848184</v>
      </c>
      <c r="AH107" s="179">
        <f t="shared" si="97"/>
        <v>12.348492210848184</v>
      </c>
      <c r="AI107" s="180">
        <f t="shared" si="97"/>
        <v>12.348492210848184</v>
      </c>
      <c r="AM107" s="129"/>
    </row>
    <row r="108" spans="2:49" x14ac:dyDescent="0.25">
      <c r="B108" s="142"/>
      <c r="C108" s="243" t="s">
        <v>68</v>
      </c>
      <c r="D108" s="252" t="s">
        <v>60</v>
      </c>
      <c r="E108" s="252"/>
      <c r="F108" s="222">
        <f>F103</f>
        <v>2.9147972937684363</v>
      </c>
      <c r="G108" s="217" t="s">
        <v>32</v>
      </c>
      <c r="I108" s="15"/>
      <c r="J108"/>
      <c r="K108"/>
      <c r="L108"/>
      <c r="M108" s="191">
        <f t="shared" ref="M108:AI108" si="98">M103</f>
        <v>2.2420065056092304</v>
      </c>
      <c r="N108" s="182">
        <f t="shared" si="98"/>
        <v>2.3654617587402593</v>
      </c>
      <c r="O108" s="182">
        <f t="shared" si="98"/>
        <v>2.4834512413165371</v>
      </c>
      <c r="P108" s="182">
        <f t="shared" si="98"/>
        <v>2.5967869563489367</v>
      </c>
      <c r="Q108" s="182">
        <f t="shared" si="98"/>
        <v>2.706118346287413</v>
      </c>
      <c r="R108" s="182">
        <f t="shared" si="98"/>
        <v>2.8119752570768854</v>
      </c>
      <c r="S108" s="182">
        <f t="shared" si="98"/>
        <v>2.9147972937684363</v>
      </c>
      <c r="T108" s="182">
        <f t="shared" si="98"/>
        <v>3.0149544946025717</v>
      </c>
      <c r="U108" s="182">
        <f t="shared" si="98"/>
        <v>3.1127622712547507</v>
      </c>
      <c r="V108" s="182">
        <f t="shared" si="98"/>
        <v>3.2084924481585375</v>
      </c>
      <c r="W108" s="182">
        <f t="shared" si="98"/>
        <v>3.3023815789748423</v>
      </c>
      <c r="X108" s="182">
        <f t="shared" si="98"/>
        <v>3.3946373194348372</v>
      </c>
      <c r="Y108" s="182">
        <f t="shared" si="98"/>
        <v>3.4854433851010445</v>
      </c>
      <c r="Z108" s="182">
        <f t="shared" si="98"/>
        <v>3.5749634606138145</v>
      </c>
      <c r="AA108" s="182">
        <f t="shared" si="98"/>
        <v>3.6633443197354878</v>
      </c>
      <c r="AB108" s="182">
        <f t="shared" si="98"/>
        <v>3.7507183429161093</v>
      </c>
      <c r="AC108" s="182">
        <f t="shared" si="98"/>
        <v>3.8372055690042339</v>
      </c>
      <c r="AD108" s="182">
        <f t="shared" si="98"/>
        <v>3.9229153825292711</v>
      </c>
      <c r="AE108" s="182">
        <f t="shared" si="98"/>
        <v>4.0079479128533908</v>
      </c>
      <c r="AF108" s="182">
        <f t="shared" si="98"/>
        <v>4.0923952032860313</v>
      </c>
      <c r="AG108" s="182">
        <f t="shared" si="98"/>
        <v>4.1763421948862582</v>
      </c>
      <c r="AH108" s="182">
        <f t="shared" si="98"/>
        <v>4.259867559740508</v>
      </c>
      <c r="AI108" s="183">
        <f t="shared" si="98"/>
        <v>4.4259409115282908</v>
      </c>
      <c r="AM108" s="129"/>
      <c r="AQ108"/>
      <c r="AR108"/>
      <c r="AS108"/>
      <c r="AT108"/>
      <c r="AU108"/>
      <c r="AV108"/>
      <c r="AW108"/>
    </row>
    <row r="109" spans="2:49" ht="15.75" thickBot="1" x14ac:dyDescent="0.3">
      <c r="B109" s="143"/>
      <c r="C109" s="248"/>
      <c r="D109" s="238" t="s">
        <v>61</v>
      </c>
      <c r="E109" s="238"/>
      <c r="F109" s="223">
        <f t="shared" ref="F109" si="99">IF(F104&lt;F105,F104,F105)</f>
        <v>5.6012749165562097</v>
      </c>
      <c r="G109" s="130" t="s">
        <v>32</v>
      </c>
      <c r="I109" s="273"/>
      <c r="J109" s="121"/>
      <c r="K109" s="121"/>
      <c r="L109" s="121"/>
      <c r="M109" s="196">
        <f t="shared" ref="M109:AI109" si="100">IF(M104&lt;M105,M104,M105)</f>
        <v>3.3607649499337251</v>
      </c>
      <c r="N109" s="187">
        <f t="shared" si="100"/>
        <v>3.7341832777041399</v>
      </c>
      <c r="O109" s="187">
        <f t="shared" si="100"/>
        <v>4.1076016054745539</v>
      </c>
      <c r="P109" s="187">
        <f t="shared" si="100"/>
        <v>4.4810199332449674</v>
      </c>
      <c r="Q109" s="187">
        <f t="shared" si="100"/>
        <v>4.8544382610153809</v>
      </c>
      <c r="R109" s="187">
        <f t="shared" si="100"/>
        <v>5.2278565887857962</v>
      </c>
      <c r="S109" s="187">
        <f t="shared" si="100"/>
        <v>5.6012749165562097</v>
      </c>
      <c r="T109" s="187">
        <f t="shared" si="100"/>
        <v>5.9746932443266232</v>
      </c>
      <c r="U109" s="187">
        <f t="shared" si="100"/>
        <v>6.3481115720970385</v>
      </c>
      <c r="V109" s="187">
        <f t="shared" si="100"/>
        <v>6.7002787358707083</v>
      </c>
      <c r="W109" s="187">
        <f t="shared" si="100"/>
        <v>7.0164262759728402</v>
      </c>
      <c r="X109" s="187">
        <f t="shared" si="100"/>
        <v>7.1560524533357919</v>
      </c>
      <c r="Y109" s="187">
        <f t="shared" si="100"/>
        <v>7.1560524533357919</v>
      </c>
      <c r="Z109" s="187">
        <f t="shared" si="100"/>
        <v>7.1560524533357919</v>
      </c>
      <c r="AA109" s="187">
        <f t="shared" si="100"/>
        <v>7.1560524533357919</v>
      </c>
      <c r="AB109" s="187">
        <f t="shared" si="100"/>
        <v>7.1560524533357919</v>
      </c>
      <c r="AC109" s="187">
        <f t="shared" si="100"/>
        <v>7.1560524533357919</v>
      </c>
      <c r="AD109" s="187">
        <f t="shared" si="100"/>
        <v>7.1560524533357919</v>
      </c>
      <c r="AE109" s="187">
        <f t="shared" si="100"/>
        <v>7.1560524533357919</v>
      </c>
      <c r="AF109" s="187">
        <f t="shared" si="100"/>
        <v>7.1560524533357919</v>
      </c>
      <c r="AG109" s="187">
        <f t="shared" si="100"/>
        <v>7.1560524533357919</v>
      </c>
      <c r="AH109" s="187">
        <f t="shared" si="100"/>
        <v>7.1560524533357919</v>
      </c>
      <c r="AI109" s="188">
        <f t="shared" si="100"/>
        <v>7.1560524533357919</v>
      </c>
      <c r="AJ109" s="17"/>
      <c r="AK109" s="17"/>
      <c r="AL109" s="17"/>
      <c r="AM109" s="162"/>
      <c r="AQ109"/>
      <c r="AR109"/>
      <c r="AS109"/>
      <c r="AT109"/>
      <c r="AU109"/>
      <c r="AV109"/>
      <c r="AW109"/>
    </row>
    <row r="110" spans="2:49" ht="15.75" thickTop="1" x14ac:dyDescent="0.25">
      <c r="B110" s="139"/>
      <c r="C110" s="139"/>
      <c r="D110" s="125" t="s">
        <v>22</v>
      </c>
      <c r="E110" s="125"/>
      <c r="F110" s="218">
        <f>1.359*10^-3*(F$16/($C$16*10^-3*$B128*10^-3)*(0.507*0.171))^2.0302</f>
        <v>6.676835592150681</v>
      </c>
      <c r="G110" s="149" t="s">
        <v>6</v>
      </c>
      <c r="I110" s="263"/>
      <c r="J110" s="75"/>
      <c r="K110" s="75"/>
      <c r="L110" s="75"/>
      <c r="M110" s="75"/>
      <c r="N110" s="75"/>
      <c r="O110" s="205">
        <f t="shared" ref="O110:AM110" si="101">1.359*10^-3*(O$16/($C$16*10^-3*$B128*10^-3)*(0.507*0.171))^2.0302</f>
        <v>3.5571783280919846</v>
      </c>
      <c r="P110" s="206">
        <f t="shared" si="101"/>
        <v>4.244474942612432</v>
      </c>
      <c r="Q110" s="206">
        <f t="shared" si="101"/>
        <v>4.9934189167071805</v>
      </c>
      <c r="R110" s="206">
        <f t="shared" si="101"/>
        <v>5.8041596054972526</v>
      </c>
      <c r="S110" s="206">
        <f t="shared" si="101"/>
        <v>6.676835592150681</v>
      </c>
      <c r="T110" s="206">
        <f t="shared" si="101"/>
        <v>7.6115761584406147</v>
      </c>
      <c r="U110" s="206">
        <f t="shared" si="101"/>
        <v>8.608502471945636</v>
      </c>
      <c r="V110" s="206">
        <f t="shared" si="101"/>
        <v>9.6677285584944865</v>
      </c>
      <c r="W110" s="206">
        <f t="shared" si="101"/>
        <v>10.789362108842775</v>
      </c>
      <c r="X110" s="206">
        <f t="shared" si="101"/>
        <v>11.973505155330701</v>
      </c>
      <c r="Y110" s="206">
        <f t="shared" si="101"/>
        <v>13.220254645110208</v>
      </c>
      <c r="Z110" s="206">
        <f t="shared" si="101"/>
        <v>14.529702930052757</v>
      </c>
      <c r="AA110" s="206">
        <f t="shared" si="101"/>
        <v>15.901938188779186</v>
      </c>
      <c r="AB110" s="206">
        <f t="shared" si="101"/>
        <v>17.337044792829015</v>
      </c>
      <c r="AC110" s="206">
        <f t="shared" si="101"/>
        <v>18.835103626434982</v>
      </c>
      <c r="AD110" s="206">
        <f t="shared" si="101"/>
        <v>20.396192367442378</v>
      </c>
      <c r="AE110" s="206">
        <f t="shared" si="101"/>
        <v>22.020385735438726</v>
      </c>
      <c r="AF110" s="206">
        <f t="shared" si="101"/>
        <v>23.707755712017409</v>
      </c>
      <c r="AG110" s="206">
        <f t="shared" si="101"/>
        <v>25.458371737208097</v>
      </c>
      <c r="AH110" s="206">
        <f t="shared" si="101"/>
        <v>27.272300885400995</v>
      </c>
      <c r="AI110" s="206">
        <f t="shared" si="101"/>
        <v>31.090355953825622</v>
      </c>
      <c r="AJ110" s="206">
        <f t="shared" si="101"/>
        <v>35.162415840165458</v>
      </c>
      <c r="AK110" s="206">
        <f t="shared" si="101"/>
        <v>39.48894629599792</v>
      </c>
      <c r="AL110" s="206">
        <f t="shared" si="101"/>
        <v>44.070387196567687</v>
      </c>
      <c r="AM110" s="212">
        <f t="shared" si="101"/>
        <v>48.907155304672585</v>
      </c>
      <c r="AN110" s="15"/>
      <c r="AO110"/>
      <c r="AP110"/>
      <c r="AQ110"/>
      <c r="AR110"/>
      <c r="AS110"/>
      <c r="AT110"/>
      <c r="AU110"/>
      <c r="AV110"/>
      <c r="AW110" s="3"/>
    </row>
    <row r="111" spans="2:49" x14ac:dyDescent="0.25">
      <c r="B111" s="147" t="s">
        <v>38</v>
      </c>
      <c r="C111" s="147" t="s">
        <v>117</v>
      </c>
      <c r="D111" s="132" t="s">
        <v>46</v>
      </c>
      <c r="E111" s="132"/>
      <c r="F111" s="229">
        <f>IF(-114.08+32.01*LN(F$16/($C$16*$B128)*(507*171))+10*LOG($C$16*$B128/(507*171))&lt;15,"&lt;15",-114.08+32.01*LN(F$16/($C$16*$B128)*(507*171))+10*LOG($C$16*$B128/(507*171)))</f>
        <v>23.51201002810437</v>
      </c>
      <c r="G111" s="136" t="s">
        <v>49</v>
      </c>
      <c r="I111" s="15"/>
      <c r="J111"/>
      <c r="K111"/>
      <c r="L111"/>
      <c r="M111"/>
      <c r="N111"/>
      <c r="O111" s="236" t="str">
        <f t="shared" ref="O111:AM111" si="102">IF(-114.08+32.01*LN(O$16/($C$16*$B128)*(507*171))+10*LOG($C$16*$B128/(507*171))&lt;15,"&lt;15",-114.08+32.01*LN(O$16/($C$16*$B128)*(507*171))+10*LOG($C$16*$B128/(507*171)))</f>
        <v>&lt;15</v>
      </c>
      <c r="P111" s="231">
        <f t="shared" si="102"/>
        <v>16.369184950536535</v>
      </c>
      <c r="Q111" s="231">
        <f t="shared" si="102"/>
        <v>18.93135202316644</v>
      </c>
      <c r="R111" s="231">
        <f t="shared" si="102"/>
        <v>21.303548211807097</v>
      </c>
      <c r="S111" s="231">
        <f t="shared" si="102"/>
        <v>23.51201002810437</v>
      </c>
      <c r="T111" s="231">
        <f t="shared" si="102"/>
        <v>25.577888089718058</v>
      </c>
      <c r="U111" s="231">
        <f t="shared" si="102"/>
        <v>27.51848223406212</v>
      </c>
      <c r="V111" s="231">
        <f t="shared" si="102"/>
        <v>29.34812306107888</v>
      </c>
      <c r="W111" s="231">
        <f t="shared" si="102"/>
        <v>31.078814813940411</v>
      </c>
      <c r="X111" s="231">
        <f t="shared" si="102"/>
        <v>32.720713167285922</v>
      </c>
      <c r="Y111" s="231">
        <f t="shared" si="102"/>
        <v>34.282486322349413</v>
      </c>
      <c r="Z111" s="231">
        <f t="shared" si="102"/>
        <v>35.771592022822333</v>
      </c>
      <c r="AA111" s="231">
        <f t="shared" si="102"/>
        <v>37.194492942714717</v>
      </c>
      <c r="AB111" s="231">
        <f t="shared" si="102"/>
        <v>38.556826200260375</v>
      </c>
      <c r="AC111" s="231">
        <f t="shared" si="102"/>
        <v>39.863538244853757</v>
      </c>
      <c r="AD111" s="231">
        <f t="shared" si="102"/>
        <v>41.118993272890279</v>
      </c>
      <c r="AE111" s="231">
        <f t="shared" si="102"/>
        <v>42.327061171621224</v>
      </c>
      <c r="AF111" s="231">
        <f t="shared" si="102"/>
        <v>43.491189461530908</v>
      </c>
      <c r="AG111" s="231">
        <f t="shared" si="102"/>
        <v>44.614462608689664</v>
      </c>
      <c r="AH111" s="231">
        <f t="shared" si="102"/>
        <v>45.699651277828238</v>
      </c>
      <c r="AI111" s="231">
        <f t="shared" si="102"/>
        <v>47.765529339441869</v>
      </c>
      <c r="AJ111" s="231">
        <f t="shared" si="102"/>
        <v>49.706123483785987</v>
      </c>
      <c r="AK111" s="231">
        <f t="shared" si="102"/>
        <v>51.535764310802719</v>
      </c>
      <c r="AL111" s="231">
        <f t="shared" si="102"/>
        <v>53.266456063664251</v>
      </c>
      <c r="AM111" s="233">
        <f t="shared" si="102"/>
        <v>54.908354417009733</v>
      </c>
      <c r="AN111" s="15"/>
      <c r="AO111"/>
      <c r="AP111"/>
      <c r="AQ111"/>
      <c r="AR111"/>
      <c r="AS111"/>
      <c r="AT111"/>
      <c r="AU111"/>
      <c r="AV111"/>
      <c r="AW111" s="3"/>
    </row>
    <row r="112" spans="2:49" x14ac:dyDescent="0.25">
      <c r="B112" s="242" t="s">
        <v>33</v>
      </c>
      <c r="C112" s="242" t="s">
        <v>35</v>
      </c>
      <c r="D112" s="132" t="s">
        <v>23</v>
      </c>
      <c r="E112" s="132"/>
      <c r="F112" s="229">
        <f>IF(-15-114.08+32.01*LN(F$16/($C$16*$B128)*(507*171))+10*LOG($C$16*$B128/(507*171))&lt;5,"&lt;5",-15-114.08+32.01*LN(F$16/($C$16*$B128)*(507*171))+10*LOG($C$16*$B128/(507*171)))</f>
        <v>8.5120100281043847</v>
      </c>
      <c r="G112" s="136" t="s">
        <v>42</v>
      </c>
      <c r="I112" s="15"/>
      <c r="J112"/>
      <c r="K112"/>
      <c r="L112"/>
      <c r="M112"/>
      <c r="N112"/>
      <c r="O112" s="236" t="str">
        <f t="shared" ref="O112:AM112" si="103">IF(-15-114.08+32.01*LN(O$16/($C$16*$B128)*(507*171))+10*LOG($C$16*$B128/(507*171))&lt;5,"&lt;5",-15-114.08+32.01*LN(O$16/($C$16*$B128)*(507*171))+10*LOG($C$16*$B128/(507*171)))</f>
        <v>&lt;5</v>
      </c>
      <c r="P112" s="231" t="str">
        <f t="shared" si="103"/>
        <v>&lt;5</v>
      </c>
      <c r="Q112" s="231" t="str">
        <f t="shared" si="103"/>
        <v>&lt;5</v>
      </c>
      <c r="R112" s="231">
        <f t="shared" si="103"/>
        <v>6.3035482118071107</v>
      </c>
      <c r="S112" s="231">
        <f t="shared" si="103"/>
        <v>8.5120100281043847</v>
      </c>
      <c r="T112" s="231">
        <f t="shared" si="103"/>
        <v>10.577888089718073</v>
      </c>
      <c r="U112" s="231">
        <f t="shared" si="103"/>
        <v>12.518482234062134</v>
      </c>
      <c r="V112" s="231">
        <f t="shared" si="103"/>
        <v>14.348123061078894</v>
      </c>
      <c r="W112" s="231">
        <f t="shared" si="103"/>
        <v>16.078814813940426</v>
      </c>
      <c r="X112" s="231">
        <f t="shared" si="103"/>
        <v>17.720713167285936</v>
      </c>
      <c r="Y112" s="231">
        <f t="shared" si="103"/>
        <v>19.282486322349428</v>
      </c>
      <c r="Z112" s="231">
        <f t="shared" si="103"/>
        <v>20.771592022822347</v>
      </c>
      <c r="AA112" s="231">
        <f t="shared" si="103"/>
        <v>22.194492942714731</v>
      </c>
      <c r="AB112" s="231">
        <f t="shared" si="103"/>
        <v>23.556826200260389</v>
      </c>
      <c r="AC112" s="231">
        <f t="shared" si="103"/>
        <v>24.863538244853771</v>
      </c>
      <c r="AD112" s="231">
        <f t="shared" si="103"/>
        <v>26.118993272890293</v>
      </c>
      <c r="AE112" s="231">
        <f t="shared" si="103"/>
        <v>27.327061171621239</v>
      </c>
      <c r="AF112" s="231">
        <f t="shared" si="103"/>
        <v>28.491189461530922</v>
      </c>
      <c r="AG112" s="231">
        <f t="shared" si="103"/>
        <v>29.614462608689678</v>
      </c>
      <c r="AH112" s="231">
        <f t="shared" si="103"/>
        <v>30.699651277828252</v>
      </c>
      <c r="AI112" s="231">
        <f t="shared" si="103"/>
        <v>32.765529339441883</v>
      </c>
      <c r="AJ112" s="231">
        <f t="shared" si="103"/>
        <v>34.706123483786001</v>
      </c>
      <c r="AK112" s="231">
        <f t="shared" si="103"/>
        <v>36.535764310802733</v>
      </c>
      <c r="AL112" s="231">
        <f t="shared" si="103"/>
        <v>38.266456063664265</v>
      </c>
      <c r="AM112" s="233">
        <f t="shared" si="103"/>
        <v>39.908354417009747</v>
      </c>
      <c r="AN112"/>
      <c r="AO112"/>
      <c r="AP112"/>
      <c r="AQ112"/>
      <c r="AR112"/>
      <c r="AS112"/>
      <c r="AT112"/>
      <c r="AU112"/>
      <c r="AV112"/>
      <c r="AW112" s="3"/>
    </row>
    <row r="113" spans="2:49" hidden="1" x14ac:dyDescent="0.25">
      <c r="B113" s="242"/>
      <c r="D113" s="43" t="s">
        <v>71</v>
      </c>
      <c r="E113" s="43"/>
      <c r="F113" s="106">
        <f>1.075*0.707*F124</f>
        <v>2.9178703099205143</v>
      </c>
      <c r="G113" s="136"/>
      <c r="I113" s="264"/>
      <c r="J113" s="259"/>
      <c r="K113" s="259"/>
      <c r="L113" s="259"/>
      <c r="M113" s="259"/>
      <c r="N113" s="106"/>
      <c r="O113" s="106">
        <f t="shared" ref="O113:AM113" si="104">1.075*0.707*O124</f>
        <v>2.4902440328936253</v>
      </c>
      <c r="P113" s="106">
        <f t="shared" si="104"/>
        <v>2.602924266518678</v>
      </c>
      <c r="Q113" s="106">
        <f t="shared" si="104"/>
        <v>2.7114202402378695</v>
      </c>
      <c r="R113" s="106">
        <f t="shared" si="104"/>
        <v>2.8162572829725474</v>
      </c>
      <c r="S113" s="106">
        <f t="shared" si="104"/>
        <v>2.9178703099205143</v>
      </c>
      <c r="T113" s="106">
        <f t="shared" si="104"/>
        <v>3.0166245674537109</v>
      </c>
      <c r="U113" s="106">
        <f t="shared" si="104"/>
        <v>3.1128306215863408</v>
      </c>
      <c r="V113" s="106">
        <f t="shared" si="104"/>
        <v>3.2067554305906554</v>
      </c>
      <c r="W113" s="106">
        <f t="shared" si="104"/>
        <v>3.298630684666457</v>
      </c>
      <c r="X113" s="106">
        <f t="shared" si="104"/>
        <v>3.388659195030236</v>
      </c>
      <c r="Y113" s="106">
        <f t="shared" si="104"/>
        <v>3.4770198630528482</v>
      </c>
      <c r="Z113" s="106">
        <f t="shared" si="104"/>
        <v>3.563871597425921</v>
      </c>
      <c r="AA113" s="106">
        <f t="shared" si="104"/>
        <v>3.6493564396445355</v>
      </c>
      <c r="AB113" s="106">
        <f t="shared" si="104"/>
        <v>3.7336020852137142</v>
      </c>
      <c r="AC113" s="106">
        <f t="shared" si="104"/>
        <v>3.8167239376883844</v>
      </c>
      <c r="AD113" s="106">
        <f t="shared" si="104"/>
        <v>3.898826797322978</v>
      </c>
      <c r="AE113" s="106">
        <f t="shared" si="104"/>
        <v>3.9800062608831448</v>
      </c>
      <c r="AF113" s="106">
        <f t="shared" si="104"/>
        <v>4.0603498908993743</v>
      </c>
      <c r="AG113" s="106">
        <f t="shared" si="104"/>
        <v>4.1399381992260338</v>
      </c>
      <c r="AH113" s="106">
        <f t="shared" si="104"/>
        <v>4.218845479796399</v>
      </c>
      <c r="AI113" s="106">
        <f t="shared" si="104"/>
        <v>4.374887198137178</v>
      </c>
      <c r="AJ113" s="106">
        <f t="shared" si="104"/>
        <v>4.5289695862648269</v>
      </c>
      <c r="AK113" s="106">
        <f t="shared" si="104"/>
        <v>4.6815239099583961</v>
      </c>
      <c r="AL113" s="106">
        <f t="shared" si="104"/>
        <v>4.8329300916401712</v>
      </c>
      <c r="AM113" s="295">
        <f t="shared" si="104"/>
        <v>4.9835258644101241</v>
      </c>
      <c r="AQ113"/>
      <c r="AR113" s="13"/>
      <c r="AS113" s="12"/>
      <c r="AT113" s="3"/>
      <c r="AU113" s="3"/>
      <c r="AV113" s="3"/>
      <c r="AW113" s="3"/>
    </row>
    <row r="114" spans="2:49" hidden="1" x14ac:dyDescent="0.25">
      <c r="B114" s="242"/>
      <c r="D114" s="43" t="s">
        <v>72</v>
      </c>
      <c r="E114" s="43"/>
      <c r="F114" s="106">
        <f>1.075*0.707*F125</f>
        <v>5.5953532364903396</v>
      </c>
      <c r="G114" s="136"/>
      <c r="I114" s="264"/>
      <c r="J114" s="259"/>
      <c r="K114" s="259"/>
      <c r="L114" s="259"/>
      <c r="M114" s="259"/>
      <c r="N114" s="106"/>
      <c r="O114" s="106">
        <f t="shared" ref="O114:AM114" si="105">1.075*0.707*O125</f>
        <v>4.603474424087846</v>
      </c>
      <c r="P114" s="106">
        <f t="shared" si="105"/>
        <v>4.8514554841058599</v>
      </c>
      <c r="Q114" s="106">
        <f t="shared" si="105"/>
        <v>5.0986464489703005</v>
      </c>
      <c r="R114" s="106">
        <f t="shared" si="105"/>
        <v>5.346263649598618</v>
      </c>
      <c r="S114" s="106">
        <f t="shared" si="105"/>
        <v>5.5953532364903396</v>
      </c>
      <c r="T114" s="106">
        <f t="shared" si="105"/>
        <v>5.8468289424996849</v>
      </c>
      <c r="U114" s="106">
        <f t="shared" si="105"/>
        <v>6.1014994881820988</v>
      </c>
      <c r="V114" s="106">
        <f t="shared" si="105"/>
        <v>6.3600889233644962</v>
      </c>
      <c r="W114" s="106">
        <f t="shared" si="105"/>
        <v>6.6232520252773615</v>
      </c>
      <c r="X114" s="106">
        <f t="shared" si="105"/>
        <v>6.8915861581472733</v>
      </c>
      <c r="Y114" s="106">
        <f t="shared" si="105"/>
        <v>7.1656405489228598</v>
      </c>
      <c r="Z114" s="106">
        <f t="shared" si="105"/>
        <v>7.4459236425183848</v>
      </c>
      <c r="AA114" s="106">
        <f t="shared" si="105"/>
        <v>7.7329090068141912</v>
      </c>
      <c r="AB114" s="106">
        <f t="shared" si="105"/>
        <v>8.0270401267464404</v>
      </c>
      <c r="AC114" s="106">
        <f t="shared" si="105"/>
        <v>8.3287343363295125</v>
      </c>
      <c r="AD114" s="106">
        <f t="shared" si="105"/>
        <v>8.6383860737813727</v>
      </c>
      <c r="AE114" s="106">
        <f t="shared" si="105"/>
        <v>8.956369599388216</v>
      </c>
      <c r="AF114" s="106">
        <f t="shared" si="105"/>
        <v>9.2830412826984681</v>
      </c>
      <c r="AG114" s="106">
        <f t="shared" si="105"/>
        <v>9.6187415413270045</v>
      </c>
      <c r="AH114" s="106">
        <f t="shared" si="105"/>
        <v>9.9637964955444023</v>
      </c>
      <c r="AI114" s="106">
        <f t="shared" si="105"/>
        <v>10.683211817017732</v>
      </c>
      <c r="AJ114" s="106">
        <f t="shared" si="105"/>
        <v>11.443659669576146</v>
      </c>
      <c r="AK114" s="106">
        <f t="shared" si="105"/>
        <v>12.24735711749282</v>
      </c>
      <c r="AL114" s="106">
        <f t="shared" si="105"/>
        <v>13.096390688240358</v>
      </c>
      <c r="AM114" s="295">
        <f t="shared" si="105"/>
        <v>13.992735775808484</v>
      </c>
      <c r="AQ114"/>
      <c r="AR114" s="13"/>
      <c r="AS114" s="12"/>
      <c r="AT114" s="3"/>
      <c r="AU114" s="3"/>
      <c r="AV114" s="3"/>
      <c r="AW114" s="3"/>
    </row>
    <row r="115" spans="2:49" hidden="1" x14ac:dyDescent="0.25">
      <c r="B115" s="242"/>
      <c r="D115" s="43" t="s">
        <v>79</v>
      </c>
      <c r="E115" s="43"/>
      <c r="F115" s="106">
        <f>1.075*0.707*F126</f>
        <v>5.0941453567852095</v>
      </c>
      <c r="G115" s="136"/>
      <c r="I115" s="264"/>
      <c r="J115" s="259"/>
      <c r="K115" s="259"/>
      <c r="L115" s="259"/>
      <c r="M115" s="259"/>
      <c r="N115" s="106"/>
      <c r="O115" s="106">
        <f t="shared" ref="O115:AM115" si="106">1.075*0.707*O126</f>
        <v>3.7357065949758201</v>
      </c>
      <c r="P115" s="106">
        <f t="shared" si="106"/>
        <v>4.0753162854281682</v>
      </c>
      <c r="Q115" s="106">
        <f t="shared" si="106"/>
        <v>4.4149259758805153</v>
      </c>
      <c r="R115" s="106">
        <f t="shared" si="106"/>
        <v>4.7545356663328633</v>
      </c>
      <c r="S115" s="106">
        <f t="shared" si="106"/>
        <v>5.0941453567852095</v>
      </c>
      <c r="T115" s="106">
        <f t="shared" si="106"/>
        <v>5.4337550472375566</v>
      </c>
      <c r="U115" s="106">
        <f t="shared" si="106"/>
        <v>5.7733647376899038</v>
      </c>
      <c r="V115" s="106">
        <f t="shared" si="106"/>
        <v>6.1129744281422509</v>
      </c>
      <c r="W115" s="106">
        <f t="shared" si="106"/>
        <v>6.4525841185945989</v>
      </c>
      <c r="X115" s="106">
        <f t="shared" si="106"/>
        <v>6.792193809046946</v>
      </c>
      <c r="Y115" s="106">
        <f t="shared" si="106"/>
        <v>7.1318034994992932</v>
      </c>
      <c r="Z115" s="106">
        <f t="shared" si="106"/>
        <v>7.1894919507812851</v>
      </c>
      <c r="AA115" s="106">
        <f t="shared" si="106"/>
        <v>7.1894919507812851</v>
      </c>
      <c r="AB115" s="106">
        <f t="shared" si="106"/>
        <v>7.1894919507812851</v>
      </c>
      <c r="AC115" s="106">
        <f t="shared" si="106"/>
        <v>7.1894919507812851</v>
      </c>
      <c r="AD115" s="106">
        <f t="shared" si="106"/>
        <v>7.1894919507812851</v>
      </c>
      <c r="AE115" s="106">
        <f t="shared" si="106"/>
        <v>7.1894919507812851</v>
      </c>
      <c r="AF115" s="106">
        <f t="shared" si="106"/>
        <v>7.1894919507812851</v>
      </c>
      <c r="AG115" s="106">
        <f t="shared" si="106"/>
        <v>7.1894919507812851</v>
      </c>
      <c r="AH115" s="106">
        <f t="shared" si="106"/>
        <v>7.1894919507812851</v>
      </c>
      <c r="AI115" s="106">
        <f t="shared" si="106"/>
        <v>7.1894919507812851</v>
      </c>
      <c r="AJ115" s="106">
        <f t="shared" si="106"/>
        <v>7.1894919507812851</v>
      </c>
      <c r="AK115" s="106">
        <f t="shared" si="106"/>
        <v>7.1894919507812851</v>
      </c>
      <c r="AL115" s="106">
        <f t="shared" si="106"/>
        <v>7.1894919507812851</v>
      </c>
      <c r="AM115" s="295">
        <f t="shared" si="106"/>
        <v>7.1894919507812851</v>
      </c>
      <c r="AQ115"/>
      <c r="AR115" s="13"/>
      <c r="AS115" s="12"/>
      <c r="AT115" s="3"/>
      <c r="AU115" s="3"/>
      <c r="AV115" s="3"/>
      <c r="AW115" s="3"/>
    </row>
    <row r="116" spans="2:49" hidden="1" x14ac:dyDescent="0.25">
      <c r="B116" s="242"/>
      <c r="D116" s="43" t="s">
        <v>73</v>
      </c>
      <c r="E116" s="43"/>
      <c r="F116" s="106">
        <f>1.075*1.225*F124</f>
        <v>5.0557158835256448</v>
      </c>
      <c r="G116" s="136"/>
      <c r="I116" s="264"/>
      <c r="J116" s="259"/>
      <c r="K116" s="259"/>
      <c r="L116" s="259"/>
      <c r="M116" s="259"/>
      <c r="N116" s="106"/>
      <c r="O116" s="106">
        <f t="shared" ref="O116:AM116" si="107">1.075*1.225*O124</f>
        <v>4.3147792649146979</v>
      </c>
      <c r="P116" s="106">
        <f t="shared" si="107"/>
        <v>4.5100172934729574</v>
      </c>
      <c r="Q116" s="106">
        <f t="shared" si="107"/>
        <v>4.6980053667487844</v>
      </c>
      <c r="R116" s="106">
        <f t="shared" si="107"/>
        <v>4.8796537081207507</v>
      </c>
      <c r="S116" s="106">
        <f t="shared" si="107"/>
        <v>5.0557158835256448</v>
      </c>
      <c r="T116" s="106">
        <f t="shared" si="107"/>
        <v>5.2268247455881136</v>
      </c>
      <c r="U116" s="106">
        <f t="shared" si="107"/>
        <v>5.3935184037387094</v>
      </c>
      <c r="V116" s="106">
        <f t="shared" si="107"/>
        <v>5.5562594094392548</v>
      </c>
      <c r="W116" s="106">
        <f t="shared" si="107"/>
        <v>5.715449206105248</v>
      </c>
      <c r="X116" s="106">
        <f t="shared" si="107"/>
        <v>5.8714391993098154</v>
      </c>
      <c r="Y116" s="106">
        <f t="shared" si="107"/>
        <v>6.0245393666757279</v>
      </c>
      <c r="Z116" s="106">
        <f t="shared" si="107"/>
        <v>6.1750250450449133</v>
      </c>
      <c r="AA116" s="106">
        <f t="shared" si="107"/>
        <v>6.3231423459187504</v>
      </c>
      <c r="AB116" s="106">
        <f t="shared" si="107"/>
        <v>6.4691125238851486</v>
      </c>
      <c r="AC116" s="106">
        <f t="shared" si="107"/>
        <v>6.6131355355986861</v>
      </c>
      <c r="AD116" s="106">
        <f t="shared" si="107"/>
        <v>6.7553929656586256</v>
      </c>
      <c r="AE116" s="106">
        <f t="shared" si="107"/>
        <v>6.8960504520252517</v>
      </c>
      <c r="AF116" s="106">
        <f t="shared" si="107"/>
        <v>7.0352597119543621</v>
      </c>
      <c r="AG116" s="106">
        <f t="shared" si="107"/>
        <v>7.1731602461837234</v>
      </c>
      <c r="AH116" s="106">
        <f t="shared" si="107"/>
        <v>7.3098807818254441</v>
      </c>
      <c r="AI116" s="106">
        <f t="shared" si="107"/>
        <v>7.5802500957822403</v>
      </c>
      <c r="AJ116" s="106">
        <f t="shared" si="107"/>
        <v>7.8472245306568782</v>
      </c>
      <c r="AK116" s="106">
        <f t="shared" si="107"/>
        <v>8.1115513291358354</v>
      </c>
      <c r="AL116" s="106">
        <f t="shared" si="107"/>
        <v>8.3738887726438627</v>
      </c>
      <c r="AM116" s="295">
        <f t="shared" si="107"/>
        <v>8.6348220422947701</v>
      </c>
      <c r="AQ116"/>
      <c r="AR116" s="13"/>
      <c r="AS116" s="12"/>
      <c r="AT116" s="3"/>
      <c r="AU116" s="3"/>
      <c r="AV116" s="3"/>
      <c r="AW116" s="3"/>
    </row>
    <row r="117" spans="2:49" hidden="1" x14ac:dyDescent="0.25">
      <c r="B117" s="242"/>
      <c r="D117" s="43" t="s">
        <v>74</v>
      </c>
      <c r="E117" s="43"/>
      <c r="F117" s="106">
        <f>1.075*1.225*F125</f>
        <v>9.6949189741169253</v>
      </c>
      <c r="G117" s="136"/>
      <c r="I117" s="264"/>
      <c r="J117" s="259"/>
      <c r="K117" s="259"/>
      <c r="L117" s="259"/>
      <c r="M117" s="259"/>
      <c r="N117" s="106"/>
      <c r="O117" s="106">
        <f t="shared" ref="O117:AM117" si="108">1.075*1.225*O125</f>
        <v>7.976317071439337</v>
      </c>
      <c r="P117" s="106">
        <f t="shared" si="108"/>
        <v>8.4059872249358971</v>
      </c>
      <c r="Q117" s="106">
        <f t="shared" si="108"/>
        <v>8.8342884016812153</v>
      </c>
      <c r="R117" s="106">
        <f t="shared" si="108"/>
        <v>9.2633281057401806</v>
      </c>
      <c r="S117" s="106">
        <f t="shared" si="108"/>
        <v>9.6949189741169253</v>
      </c>
      <c r="T117" s="106">
        <f t="shared" si="108"/>
        <v>10.130644207301435</v>
      </c>
      <c r="U117" s="106">
        <f t="shared" si="108"/>
        <v>10.571905053780865</v>
      </c>
      <c r="V117" s="106">
        <f t="shared" si="108"/>
        <v>11.019956055334525</v>
      </c>
      <c r="W117" s="106">
        <f t="shared" si="108"/>
        <v>11.475931726965726</v>
      </c>
      <c r="X117" s="106">
        <f t="shared" si="108"/>
        <v>11.940867105700722</v>
      </c>
      <c r="Y117" s="106">
        <f t="shared" si="108"/>
        <v>12.415713822391094</v>
      </c>
      <c r="Z117" s="106">
        <f t="shared" si="108"/>
        <v>12.901352845947697</v>
      </c>
      <c r="AA117" s="106">
        <f t="shared" si="108"/>
        <v>13.398604714777065</v>
      </c>
      <c r="AB117" s="106">
        <f t="shared" si="108"/>
        <v>13.908237843372547</v>
      </c>
      <c r="AC117" s="106">
        <f t="shared" si="108"/>
        <v>14.430975335224405</v>
      </c>
      <c r="AD117" s="106">
        <f t="shared" si="108"/>
        <v>14.967500622888517</v>
      </c>
      <c r="AE117" s="106">
        <f t="shared" si="108"/>
        <v>15.518462177157803</v>
      </c>
      <c r="AF117" s="106">
        <f t="shared" si="108"/>
        <v>16.084477470022101</v>
      </c>
      <c r="AG117" s="106">
        <f t="shared" si="108"/>
        <v>16.666136333982433</v>
      </c>
      <c r="AH117" s="106">
        <f t="shared" si="108"/>
        <v>17.26400382891357</v>
      </c>
      <c r="AI117" s="106">
        <f t="shared" si="108"/>
        <v>18.510515524535673</v>
      </c>
      <c r="AJ117" s="106">
        <f t="shared" si="108"/>
        <v>19.82812318985966</v>
      </c>
      <c r="AK117" s="106">
        <f t="shared" si="108"/>
        <v>21.220668272883604</v>
      </c>
      <c r="AL117" s="106">
        <f t="shared" si="108"/>
        <v>22.69176604398082</v>
      </c>
      <c r="AM117" s="295">
        <f t="shared" si="108"/>
        <v>24.244839215509753</v>
      </c>
      <c r="AQ117"/>
      <c r="AR117" s="13"/>
      <c r="AS117" s="12"/>
      <c r="AT117" s="3"/>
      <c r="AU117" s="3"/>
      <c r="AV117" s="3"/>
      <c r="AW117" s="3"/>
    </row>
    <row r="118" spans="2:49" hidden="1" x14ac:dyDescent="0.25">
      <c r="B118" s="242"/>
      <c r="D118" s="43" t="s">
        <v>80</v>
      </c>
      <c r="E118" s="43"/>
      <c r="F118" s="106">
        <f>1.075*1.225*F126</f>
        <v>8.8264894795783349</v>
      </c>
      <c r="G118" s="136"/>
      <c r="I118" s="264"/>
      <c r="J118" s="259"/>
      <c r="K118" s="259"/>
      <c r="L118" s="259"/>
      <c r="M118" s="259"/>
      <c r="N118" s="106"/>
      <c r="O118" s="106">
        <f t="shared" ref="O118:AM118" si="109">1.075*1.225*O126</f>
        <v>6.4727589516907775</v>
      </c>
      <c r="P118" s="106">
        <f t="shared" si="109"/>
        <v>7.0611915836626675</v>
      </c>
      <c r="Q118" s="106">
        <f t="shared" si="109"/>
        <v>7.6496242156345566</v>
      </c>
      <c r="R118" s="106">
        <f t="shared" si="109"/>
        <v>8.2380568476064457</v>
      </c>
      <c r="S118" s="106">
        <f t="shared" si="109"/>
        <v>8.8264894795783349</v>
      </c>
      <c r="T118" s="106">
        <f t="shared" si="109"/>
        <v>9.4149221115502222</v>
      </c>
      <c r="U118" s="106">
        <f t="shared" si="109"/>
        <v>10.003354743522111</v>
      </c>
      <c r="V118" s="106">
        <f t="shared" si="109"/>
        <v>10.591787375494</v>
      </c>
      <c r="W118" s="106">
        <f t="shared" si="109"/>
        <v>11.18022000746589</v>
      </c>
      <c r="X118" s="106">
        <f t="shared" si="109"/>
        <v>11.768652639437779</v>
      </c>
      <c r="Y118" s="106">
        <f t="shared" si="109"/>
        <v>12.357085271409668</v>
      </c>
      <c r="Z118" s="106">
        <f t="shared" si="109"/>
        <v>12.457040508779455</v>
      </c>
      <c r="AA118" s="106">
        <f t="shared" si="109"/>
        <v>12.457040508779455</v>
      </c>
      <c r="AB118" s="106">
        <f t="shared" si="109"/>
        <v>12.457040508779455</v>
      </c>
      <c r="AC118" s="106">
        <f t="shared" si="109"/>
        <v>12.457040508779455</v>
      </c>
      <c r="AD118" s="106">
        <f t="shared" si="109"/>
        <v>12.457040508779455</v>
      </c>
      <c r="AE118" s="106">
        <f t="shared" si="109"/>
        <v>12.457040508779455</v>
      </c>
      <c r="AF118" s="106">
        <f t="shared" si="109"/>
        <v>12.457040508779455</v>
      </c>
      <c r="AG118" s="106">
        <f t="shared" si="109"/>
        <v>12.457040508779455</v>
      </c>
      <c r="AH118" s="106">
        <f t="shared" si="109"/>
        <v>12.457040508779455</v>
      </c>
      <c r="AI118" s="106">
        <f t="shared" si="109"/>
        <v>12.457040508779455</v>
      </c>
      <c r="AJ118" s="106">
        <f t="shared" si="109"/>
        <v>12.457040508779455</v>
      </c>
      <c r="AK118" s="106">
        <f t="shared" si="109"/>
        <v>12.457040508779455</v>
      </c>
      <c r="AL118" s="106">
        <f t="shared" si="109"/>
        <v>12.457040508779455</v>
      </c>
      <c r="AM118" s="295">
        <f t="shared" si="109"/>
        <v>12.457040508779455</v>
      </c>
      <c r="AQ118"/>
      <c r="AR118" s="13"/>
      <c r="AS118" s="12"/>
      <c r="AT118" s="3"/>
      <c r="AU118" s="3"/>
      <c r="AV118" s="3"/>
      <c r="AW118" s="3"/>
    </row>
    <row r="119" spans="2:49" ht="13.9" customHeight="1" thickBot="1" x14ac:dyDescent="0.3">
      <c r="B119" s="151"/>
      <c r="C119" s="289"/>
      <c r="D119" s="145" t="s">
        <v>93</v>
      </c>
      <c r="E119" s="145"/>
      <c r="F119" s="283">
        <f>2+(F$16/$C$16*$F$10/$F$8^3)</f>
        <v>2.3679703235256446</v>
      </c>
      <c r="G119" s="214" t="s">
        <v>32</v>
      </c>
      <c r="I119" s="290"/>
      <c r="J119" s="291"/>
      <c r="K119" s="291"/>
      <c r="L119" s="291"/>
      <c r="M119" s="291"/>
      <c r="N119" s="291"/>
      <c r="O119" s="297">
        <f t="shared" ref="O119:AM119" si="110">2+(O$16/$C$16*$F$10/$F$8^3)</f>
        <v>2.269844903918806</v>
      </c>
      <c r="P119" s="285">
        <f t="shared" si="110"/>
        <v>2.2943762588205159</v>
      </c>
      <c r="Q119" s="285">
        <f t="shared" si="110"/>
        <v>2.3189076137222253</v>
      </c>
      <c r="R119" s="285">
        <f t="shared" si="110"/>
        <v>2.3434389686239352</v>
      </c>
      <c r="S119" s="285">
        <f t="shared" si="110"/>
        <v>2.3679703235256446</v>
      </c>
      <c r="T119" s="285">
        <f t="shared" si="110"/>
        <v>2.3925016784273541</v>
      </c>
      <c r="U119" s="285">
        <f t="shared" si="110"/>
        <v>2.4170330333290639</v>
      </c>
      <c r="V119" s="285">
        <f t="shared" si="110"/>
        <v>2.4415643882307734</v>
      </c>
      <c r="W119" s="285">
        <f t="shared" si="110"/>
        <v>2.4660957431324833</v>
      </c>
      <c r="X119" s="285">
        <f t="shared" si="110"/>
        <v>2.4906270980341927</v>
      </c>
      <c r="Y119" s="285">
        <f t="shared" si="110"/>
        <v>2.5151584529359026</v>
      </c>
      <c r="Z119" s="285">
        <f t="shared" si="110"/>
        <v>2.539689807837612</v>
      </c>
      <c r="AA119" s="285">
        <f t="shared" si="110"/>
        <v>2.5642211627393219</v>
      </c>
      <c r="AB119" s="285">
        <f t="shared" si="110"/>
        <v>2.5887525176410313</v>
      </c>
      <c r="AC119" s="285">
        <f t="shared" si="110"/>
        <v>2.6132838725427412</v>
      </c>
      <c r="AD119" s="285">
        <f t="shared" si="110"/>
        <v>2.6378152274444506</v>
      </c>
      <c r="AE119" s="285">
        <f t="shared" si="110"/>
        <v>2.6623465823461601</v>
      </c>
      <c r="AF119" s="285">
        <f t="shared" si="110"/>
        <v>2.6868779372478699</v>
      </c>
      <c r="AG119" s="285">
        <f t="shared" si="110"/>
        <v>2.7114092921495798</v>
      </c>
      <c r="AH119" s="285">
        <f t="shared" si="110"/>
        <v>2.7359406470512893</v>
      </c>
      <c r="AI119" s="285">
        <f t="shared" si="110"/>
        <v>2.7850033568547086</v>
      </c>
      <c r="AJ119" s="285">
        <f t="shared" si="110"/>
        <v>2.8340660666581279</v>
      </c>
      <c r="AK119" s="285">
        <f t="shared" si="110"/>
        <v>2.8831287764615472</v>
      </c>
      <c r="AL119" s="285">
        <f t="shared" si="110"/>
        <v>2.9321914862649665</v>
      </c>
      <c r="AM119" s="296">
        <f t="shared" si="110"/>
        <v>2.9812541960683858</v>
      </c>
      <c r="AQ119"/>
      <c r="AR119" s="13"/>
      <c r="AS119" s="12"/>
      <c r="AT119" s="3"/>
      <c r="AU119" s="3"/>
      <c r="AV119" s="3"/>
      <c r="AW119" s="3"/>
    </row>
    <row r="120" spans="2:49" x14ac:dyDescent="0.25">
      <c r="B120" s="140"/>
      <c r="C120" s="243"/>
      <c r="D120" s="132" t="s">
        <v>56</v>
      </c>
      <c r="E120" s="132"/>
      <c r="F120" s="220">
        <f>F113</f>
        <v>2.9178703099205143</v>
      </c>
      <c r="G120" s="136" t="s">
        <v>32</v>
      </c>
      <c r="I120" s="15"/>
      <c r="J120"/>
      <c r="K120"/>
      <c r="L120"/>
      <c r="M120"/>
      <c r="N120"/>
      <c r="O120" s="195">
        <f t="shared" ref="O120:AM120" si="111">O113</f>
        <v>2.4902440328936253</v>
      </c>
      <c r="P120" s="184">
        <f t="shared" si="111"/>
        <v>2.602924266518678</v>
      </c>
      <c r="Q120" s="184">
        <f t="shared" si="111"/>
        <v>2.7114202402378695</v>
      </c>
      <c r="R120" s="184">
        <f t="shared" si="111"/>
        <v>2.8162572829725474</v>
      </c>
      <c r="S120" s="184">
        <f t="shared" si="111"/>
        <v>2.9178703099205143</v>
      </c>
      <c r="T120" s="184">
        <f t="shared" si="111"/>
        <v>3.0166245674537109</v>
      </c>
      <c r="U120" s="184">
        <f t="shared" si="111"/>
        <v>3.1128306215863408</v>
      </c>
      <c r="V120" s="184">
        <f t="shared" si="111"/>
        <v>3.2067554305906554</v>
      </c>
      <c r="W120" s="184">
        <f t="shared" si="111"/>
        <v>3.298630684666457</v>
      </c>
      <c r="X120" s="184">
        <f t="shared" si="111"/>
        <v>3.388659195030236</v>
      </c>
      <c r="Y120" s="184">
        <f t="shared" si="111"/>
        <v>3.4770198630528482</v>
      </c>
      <c r="Z120" s="184">
        <f t="shared" si="111"/>
        <v>3.563871597425921</v>
      </c>
      <c r="AA120" s="184">
        <f t="shared" si="111"/>
        <v>3.6493564396445355</v>
      </c>
      <c r="AB120" s="184">
        <f t="shared" si="111"/>
        <v>3.7336020852137142</v>
      </c>
      <c r="AC120" s="184">
        <f t="shared" si="111"/>
        <v>3.8167239376883844</v>
      </c>
      <c r="AD120" s="184">
        <f t="shared" si="111"/>
        <v>3.898826797322978</v>
      </c>
      <c r="AE120" s="184">
        <f t="shared" si="111"/>
        <v>3.9800062608831448</v>
      </c>
      <c r="AF120" s="184">
        <f t="shared" si="111"/>
        <v>4.0603498908993743</v>
      </c>
      <c r="AG120" s="184">
        <f t="shared" si="111"/>
        <v>4.1399381992260338</v>
      </c>
      <c r="AH120" s="184">
        <f t="shared" si="111"/>
        <v>4.218845479796399</v>
      </c>
      <c r="AI120" s="184">
        <f t="shared" si="111"/>
        <v>4.374887198137178</v>
      </c>
      <c r="AJ120" s="184">
        <f t="shared" si="111"/>
        <v>4.5289695862648269</v>
      </c>
      <c r="AK120" s="184">
        <f t="shared" si="111"/>
        <v>4.6815239099583961</v>
      </c>
      <c r="AL120" s="184">
        <f t="shared" si="111"/>
        <v>4.8329300916401712</v>
      </c>
      <c r="AM120" s="200">
        <f t="shared" si="111"/>
        <v>4.9835258644101241</v>
      </c>
      <c r="AN120" s="15"/>
      <c r="AO120"/>
      <c r="AP120"/>
      <c r="AQ120"/>
      <c r="AR120"/>
      <c r="AS120"/>
      <c r="AT120"/>
      <c r="AU120"/>
      <c r="AV120"/>
      <c r="AW120" s="3"/>
    </row>
    <row r="121" spans="2:49" x14ac:dyDescent="0.25">
      <c r="B121" s="140"/>
      <c r="C121" s="247" t="s">
        <v>65</v>
      </c>
      <c r="D121" s="253" t="s">
        <v>57</v>
      </c>
      <c r="E121" s="253"/>
      <c r="F121" s="221">
        <f>IF(F114&lt;F115,F114,F115)</f>
        <v>5.0941453567852095</v>
      </c>
      <c r="G121" s="216" t="s">
        <v>32</v>
      </c>
      <c r="I121" s="15"/>
      <c r="J121"/>
      <c r="K121"/>
      <c r="L121"/>
      <c r="M121"/>
      <c r="N121"/>
      <c r="O121" s="190">
        <f t="shared" ref="O121:AM121" si="112">IF(O114&lt;O115,O114,O115)</f>
        <v>3.7357065949758201</v>
      </c>
      <c r="P121" s="179">
        <f t="shared" si="112"/>
        <v>4.0753162854281682</v>
      </c>
      <c r="Q121" s="179">
        <f t="shared" si="112"/>
        <v>4.4149259758805153</v>
      </c>
      <c r="R121" s="179">
        <f t="shared" si="112"/>
        <v>4.7545356663328633</v>
      </c>
      <c r="S121" s="179">
        <f t="shared" si="112"/>
        <v>5.0941453567852095</v>
      </c>
      <c r="T121" s="179">
        <f t="shared" si="112"/>
        <v>5.4337550472375566</v>
      </c>
      <c r="U121" s="179">
        <f t="shared" si="112"/>
        <v>5.7733647376899038</v>
      </c>
      <c r="V121" s="179">
        <f t="shared" si="112"/>
        <v>6.1129744281422509</v>
      </c>
      <c r="W121" s="179">
        <f t="shared" si="112"/>
        <v>6.4525841185945989</v>
      </c>
      <c r="X121" s="179">
        <f t="shared" si="112"/>
        <v>6.792193809046946</v>
      </c>
      <c r="Y121" s="179">
        <f t="shared" si="112"/>
        <v>7.1318034994992932</v>
      </c>
      <c r="Z121" s="179">
        <f t="shared" si="112"/>
        <v>7.1894919507812851</v>
      </c>
      <c r="AA121" s="179">
        <f t="shared" si="112"/>
        <v>7.1894919507812851</v>
      </c>
      <c r="AB121" s="179">
        <f t="shared" si="112"/>
        <v>7.1894919507812851</v>
      </c>
      <c r="AC121" s="179">
        <f t="shared" si="112"/>
        <v>7.1894919507812851</v>
      </c>
      <c r="AD121" s="179">
        <f t="shared" si="112"/>
        <v>7.1894919507812851</v>
      </c>
      <c r="AE121" s="179">
        <f t="shared" si="112"/>
        <v>7.1894919507812851</v>
      </c>
      <c r="AF121" s="179">
        <f t="shared" si="112"/>
        <v>7.1894919507812851</v>
      </c>
      <c r="AG121" s="179">
        <f t="shared" si="112"/>
        <v>7.1894919507812851</v>
      </c>
      <c r="AH121" s="179">
        <f t="shared" si="112"/>
        <v>7.1894919507812851</v>
      </c>
      <c r="AI121" s="179">
        <f t="shared" si="112"/>
        <v>7.1894919507812851</v>
      </c>
      <c r="AJ121" s="179">
        <f t="shared" si="112"/>
        <v>7.1894919507812851</v>
      </c>
      <c r="AK121" s="179">
        <f t="shared" si="112"/>
        <v>7.1894919507812851</v>
      </c>
      <c r="AL121" s="179">
        <f t="shared" si="112"/>
        <v>7.1894919507812851</v>
      </c>
      <c r="AM121" s="197">
        <f t="shared" si="112"/>
        <v>7.1894919507812851</v>
      </c>
      <c r="AN121" s="15"/>
      <c r="AO121"/>
      <c r="AP121"/>
      <c r="AQ121"/>
      <c r="AR121"/>
      <c r="AS121"/>
      <c r="AT121"/>
      <c r="AU121"/>
      <c r="AV121"/>
      <c r="AW121" s="3"/>
    </row>
    <row r="122" spans="2:49" x14ac:dyDescent="0.25">
      <c r="B122" s="140"/>
      <c r="C122" s="243" t="s">
        <v>66</v>
      </c>
      <c r="D122" s="252" t="s">
        <v>60</v>
      </c>
      <c r="E122" s="252"/>
      <c r="F122" s="222">
        <f>F116</f>
        <v>5.0557158835256448</v>
      </c>
      <c r="G122" s="217" t="s">
        <v>32</v>
      </c>
      <c r="I122" s="15"/>
      <c r="J122"/>
      <c r="K122"/>
      <c r="L122"/>
      <c r="M122"/>
      <c r="N122"/>
      <c r="O122" s="191">
        <f t="shared" ref="O122:AM122" si="113">O116</f>
        <v>4.3147792649146979</v>
      </c>
      <c r="P122" s="182">
        <f t="shared" si="113"/>
        <v>4.5100172934729574</v>
      </c>
      <c r="Q122" s="182">
        <f t="shared" si="113"/>
        <v>4.6980053667487844</v>
      </c>
      <c r="R122" s="182">
        <f t="shared" si="113"/>
        <v>4.8796537081207507</v>
      </c>
      <c r="S122" s="182">
        <f t="shared" si="113"/>
        <v>5.0557158835256448</v>
      </c>
      <c r="T122" s="182">
        <f t="shared" si="113"/>
        <v>5.2268247455881136</v>
      </c>
      <c r="U122" s="182">
        <f t="shared" si="113"/>
        <v>5.3935184037387094</v>
      </c>
      <c r="V122" s="182">
        <f t="shared" si="113"/>
        <v>5.5562594094392548</v>
      </c>
      <c r="W122" s="182">
        <f t="shared" si="113"/>
        <v>5.715449206105248</v>
      </c>
      <c r="X122" s="182">
        <f t="shared" si="113"/>
        <v>5.8714391993098154</v>
      </c>
      <c r="Y122" s="182">
        <f t="shared" si="113"/>
        <v>6.0245393666757279</v>
      </c>
      <c r="Z122" s="182">
        <f t="shared" si="113"/>
        <v>6.1750250450449133</v>
      </c>
      <c r="AA122" s="182">
        <f t="shared" si="113"/>
        <v>6.3231423459187504</v>
      </c>
      <c r="AB122" s="182">
        <f t="shared" si="113"/>
        <v>6.4691125238851486</v>
      </c>
      <c r="AC122" s="182">
        <f t="shared" si="113"/>
        <v>6.6131355355986861</v>
      </c>
      <c r="AD122" s="182">
        <f t="shared" si="113"/>
        <v>6.7553929656586256</v>
      </c>
      <c r="AE122" s="182">
        <f t="shared" si="113"/>
        <v>6.8960504520252517</v>
      </c>
      <c r="AF122" s="182">
        <f t="shared" si="113"/>
        <v>7.0352597119543621</v>
      </c>
      <c r="AG122" s="182">
        <f t="shared" si="113"/>
        <v>7.1731602461837234</v>
      </c>
      <c r="AH122" s="182">
        <f t="shared" si="113"/>
        <v>7.3098807818254441</v>
      </c>
      <c r="AI122" s="182">
        <f t="shared" si="113"/>
        <v>7.5802500957822403</v>
      </c>
      <c r="AJ122" s="182">
        <f t="shared" si="113"/>
        <v>7.8472245306568782</v>
      </c>
      <c r="AK122" s="182">
        <f t="shared" si="113"/>
        <v>8.1115513291358354</v>
      </c>
      <c r="AL122" s="182">
        <f t="shared" si="113"/>
        <v>8.3738887726438627</v>
      </c>
      <c r="AM122" s="198">
        <f t="shared" si="113"/>
        <v>8.6348220422947701</v>
      </c>
      <c r="AN122" s="15"/>
      <c r="AO122"/>
      <c r="AP122"/>
      <c r="AQ122"/>
      <c r="AR122"/>
      <c r="AS122" s="12"/>
      <c r="AT122" s="3"/>
      <c r="AU122" s="3"/>
      <c r="AV122" s="3"/>
      <c r="AW122" s="3"/>
    </row>
    <row r="123" spans="2:49" ht="15.75" thickBot="1" x14ac:dyDescent="0.3">
      <c r="B123" s="140"/>
      <c r="C123" s="246"/>
      <c r="D123" s="238" t="s">
        <v>61</v>
      </c>
      <c r="E123" s="238"/>
      <c r="F123" s="223">
        <f t="shared" ref="F123" si="114">IF(F117&lt;F118,F117,F118)</f>
        <v>8.8264894795783349</v>
      </c>
      <c r="G123" s="214" t="s">
        <v>32</v>
      </c>
      <c r="I123" s="204"/>
      <c r="J123" s="135"/>
      <c r="K123" s="135"/>
      <c r="L123" s="135"/>
      <c r="M123" s="135"/>
      <c r="N123" s="135"/>
      <c r="O123" s="192">
        <f t="shared" ref="O123:AM123" si="115">IF(O117&lt;O118,O117,O118)</f>
        <v>6.4727589516907775</v>
      </c>
      <c r="P123" s="193">
        <f t="shared" si="115"/>
        <v>7.0611915836626675</v>
      </c>
      <c r="Q123" s="193">
        <f t="shared" si="115"/>
        <v>7.6496242156345566</v>
      </c>
      <c r="R123" s="193">
        <f t="shared" si="115"/>
        <v>8.2380568476064457</v>
      </c>
      <c r="S123" s="193">
        <f t="shared" si="115"/>
        <v>8.8264894795783349</v>
      </c>
      <c r="T123" s="193">
        <f t="shared" si="115"/>
        <v>9.4149221115502222</v>
      </c>
      <c r="U123" s="193">
        <f t="shared" si="115"/>
        <v>10.003354743522111</v>
      </c>
      <c r="V123" s="193">
        <f t="shared" si="115"/>
        <v>10.591787375494</v>
      </c>
      <c r="W123" s="193">
        <f t="shared" si="115"/>
        <v>11.18022000746589</v>
      </c>
      <c r="X123" s="193">
        <f t="shared" si="115"/>
        <v>11.768652639437779</v>
      </c>
      <c r="Y123" s="193">
        <f t="shared" si="115"/>
        <v>12.357085271409668</v>
      </c>
      <c r="Z123" s="193">
        <f t="shared" si="115"/>
        <v>12.457040508779455</v>
      </c>
      <c r="AA123" s="193">
        <f t="shared" si="115"/>
        <v>12.457040508779455</v>
      </c>
      <c r="AB123" s="193">
        <f t="shared" si="115"/>
        <v>12.457040508779455</v>
      </c>
      <c r="AC123" s="193">
        <f t="shared" si="115"/>
        <v>12.457040508779455</v>
      </c>
      <c r="AD123" s="193">
        <f t="shared" si="115"/>
        <v>12.457040508779455</v>
      </c>
      <c r="AE123" s="193">
        <f t="shared" si="115"/>
        <v>12.457040508779455</v>
      </c>
      <c r="AF123" s="193">
        <f t="shared" si="115"/>
        <v>12.457040508779455</v>
      </c>
      <c r="AG123" s="193">
        <f t="shared" si="115"/>
        <v>12.457040508779455</v>
      </c>
      <c r="AH123" s="193">
        <f t="shared" si="115"/>
        <v>12.457040508779455</v>
      </c>
      <c r="AI123" s="193">
        <f t="shared" si="115"/>
        <v>12.457040508779455</v>
      </c>
      <c r="AJ123" s="193">
        <f t="shared" si="115"/>
        <v>12.457040508779455</v>
      </c>
      <c r="AK123" s="193">
        <f t="shared" si="115"/>
        <v>12.457040508779455</v>
      </c>
      <c r="AL123" s="193">
        <f t="shared" si="115"/>
        <v>12.457040508779455</v>
      </c>
      <c r="AM123" s="199">
        <f t="shared" si="115"/>
        <v>12.457040508779455</v>
      </c>
      <c r="AN123" s="15"/>
      <c r="AO123"/>
      <c r="AP123"/>
      <c r="AQ123"/>
      <c r="AR123"/>
    </row>
    <row r="124" spans="2:49" hidden="1" x14ac:dyDescent="0.25">
      <c r="B124" s="242"/>
      <c r="C124" s="256"/>
      <c r="D124" s="371" t="s">
        <v>75</v>
      </c>
      <c r="E124" s="371"/>
      <c r="F124" s="370">
        <f>(0.2529+2.7683*10^-4*F110)*SQRT(F$16)/$F$4*$F$5*$F$7/$F$8</f>
        <v>3.839176750660195</v>
      </c>
      <c r="G124" s="215"/>
      <c r="I124" s="275"/>
      <c r="J124" s="257"/>
      <c r="K124" s="257"/>
      <c r="L124" s="257"/>
      <c r="M124" s="257"/>
      <c r="N124" s="257"/>
      <c r="O124" s="269">
        <f t="shared" ref="O124:AM124" si="116">(0.2529+2.7683*10^-4*O110)*SQRT(O$16)/$F$4*$F$5*$F$7/$F$8</f>
        <v>3.2765291048236906</v>
      </c>
      <c r="P124" s="269">
        <f t="shared" si="116"/>
        <v>3.4247876931925636</v>
      </c>
      <c r="Q124" s="269">
        <f t="shared" si="116"/>
        <v>3.5675408575216205</v>
      </c>
      <c r="R124" s="269">
        <f t="shared" si="116"/>
        <v>3.7054797973389659</v>
      </c>
      <c r="S124" s="269">
        <f t="shared" si="116"/>
        <v>3.839176750660195</v>
      </c>
      <c r="T124" s="269">
        <f t="shared" si="116"/>
        <v>3.969112289008534</v>
      </c>
      <c r="U124" s="269">
        <f t="shared" si="116"/>
        <v>4.0956950384347106</v>
      </c>
      <c r="V124" s="269">
        <f t="shared" si="116"/>
        <v>4.2192762482690114</v>
      </c>
      <c r="W124" s="269">
        <f t="shared" si="116"/>
        <v>4.3401607640096804</v>
      </c>
      <c r="X124" s="269">
        <f t="shared" si="116"/>
        <v>4.4586154337426223</v>
      </c>
      <c r="Y124" s="269">
        <f t="shared" si="116"/>
        <v>4.5748756462653839</v>
      </c>
      <c r="Z124" s="269">
        <f t="shared" si="116"/>
        <v>4.6891504850839398</v>
      </c>
      <c r="AA124" s="269">
        <f t="shared" si="116"/>
        <v>4.8016268407546274</v>
      </c>
      <c r="AB124" s="269">
        <f t="shared" si="116"/>
        <v>4.9124727281519878</v>
      </c>
      <c r="AC124" s="269">
        <f t="shared" si="116"/>
        <v>5.0218399890640235</v>
      </c>
      <c r="AD124" s="269">
        <f t="shared" si="116"/>
        <v>5.1298665140264834</v>
      </c>
      <c r="AE124" s="269">
        <f t="shared" si="116"/>
        <v>5.2366780841197924</v>
      </c>
      <c r="AF124" s="269">
        <f t="shared" si="116"/>
        <v>5.342389909410052</v>
      </c>
      <c r="AG124" s="269">
        <f t="shared" si="116"/>
        <v>5.4471079230631023</v>
      </c>
      <c r="AH124" s="269">
        <f t="shared" si="116"/>
        <v>5.5509298770387803</v>
      </c>
      <c r="AI124" s="269">
        <f t="shared" si="116"/>
        <v>5.7562411738260959</v>
      </c>
      <c r="AJ124" s="269">
        <f t="shared" si="116"/>
        <v>5.9589744893455174</v>
      </c>
      <c r="AK124" s="269">
        <f t="shared" si="116"/>
        <v>6.1596972599038144</v>
      </c>
      <c r="AL124" s="269">
        <f t="shared" si="116"/>
        <v>6.3589093669815755</v>
      </c>
      <c r="AM124" s="269">
        <f t="shared" si="116"/>
        <v>6.55705518161919</v>
      </c>
      <c r="AQ124"/>
      <c r="AR124" s="13"/>
      <c r="AS124" s="12"/>
      <c r="AT124" s="3"/>
      <c r="AU124" s="3"/>
      <c r="AV124" s="3"/>
      <c r="AW124" s="3"/>
    </row>
    <row r="125" spans="2:49" hidden="1" x14ac:dyDescent="0.25">
      <c r="B125" s="242"/>
      <c r="C125" s="88"/>
      <c r="D125" s="43" t="s">
        <v>76</v>
      </c>
      <c r="E125" s="43"/>
      <c r="F125" s="229">
        <f>(0.675+9.273*10^-3*F110)*SQRT(F$16)*$F$4*$F$6/$F$7*$F$8</f>
        <v>7.3620647169373896</v>
      </c>
      <c r="G125" s="136"/>
      <c r="I125" s="267"/>
      <c r="J125" s="259"/>
      <c r="K125" s="259"/>
      <c r="L125" s="259"/>
      <c r="M125" s="259"/>
      <c r="N125" s="106"/>
      <c r="O125" s="236">
        <f t="shared" ref="O125:AM125" si="117">(0.675+9.273*10^-3*O110)*SQRT(O$16)*$F$4*$F$6/$F$7*$F$8</f>
        <v>6.0570039460384146</v>
      </c>
      <c r="P125" s="231">
        <f t="shared" si="117"/>
        <v>6.3832840815839749</v>
      </c>
      <c r="Q125" s="231">
        <f t="shared" si="117"/>
        <v>6.7085246524394604</v>
      </c>
      <c r="R125" s="231">
        <f t="shared" si="117"/>
        <v>7.0343260413783995</v>
      </c>
      <c r="S125" s="231">
        <f t="shared" si="117"/>
        <v>7.3620647169373896</v>
      </c>
      <c r="T125" s="231">
        <f t="shared" si="117"/>
        <v>7.6929429196403873</v>
      </c>
      <c r="U125" s="231">
        <f t="shared" si="117"/>
        <v>8.0280247204790616</v>
      </c>
      <c r="V125" s="231">
        <f t="shared" si="117"/>
        <v>8.3682627852564018</v>
      </c>
      <c r="W125" s="231">
        <f t="shared" si="117"/>
        <v>8.71451863462039</v>
      </c>
      <c r="X125" s="231">
        <f t="shared" si="117"/>
        <v>9.0675782482777194</v>
      </c>
      <c r="Y125" s="231">
        <f t="shared" si="117"/>
        <v>9.4281642694948982</v>
      </c>
      <c r="Z125" s="231">
        <f t="shared" si="117"/>
        <v>9.7969456827319963</v>
      </c>
      <c r="AA125" s="231">
        <f t="shared" si="117"/>
        <v>10.174545583124491</v>
      </c>
      <c r="AB125" s="231">
        <f t="shared" si="117"/>
        <v>10.561547484288598</v>
      </c>
      <c r="AC125" s="231">
        <f t="shared" si="117"/>
        <v>10.958500491864759</v>
      </c>
      <c r="AD125" s="231">
        <f t="shared" si="117"/>
        <v>11.365923586436463</v>
      </c>
      <c r="AE125" s="231">
        <f t="shared" si="117"/>
        <v>11.7843091995503</v>
      </c>
      <c r="AF125" s="231">
        <f t="shared" si="117"/>
        <v>12.214126223082753</v>
      </c>
      <c r="AG125" s="231">
        <f t="shared" si="117"/>
        <v>12.655822560214473</v>
      </c>
      <c r="AH125" s="231">
        <f t="shared" si="117"/>
        <v>13.109827302449792</v>
      </c>
      <c r="AI125" s="231">
        <f t="shared" si="117"/>
        <v>14.056395272547261</v>
      </c>
      <c r="AJ125" s="231">
        <f t="shared" si="117"/>
        <v>15.056951639191009</v>
      </c>
      <c r="AK125" s="231">
        <f t="shared" si="117"/>
        <v>16.114413496257125</v>
      </c>
      <c r="AL125" s="231">
        <f t="shared" si="117"/>
        <v>17.231526184323357</v>
      </c>
      <c r="AM125" s="233">
        <f t="shared" si="117"/>
        <v>18.41088882051049</v>
      </c>
      <c r="AQ125"/>
      <c r="AR125" s="13"/>
      <c r="AS125" s="12"/>
      <c r="AT125" s="3"/>
      <c r="AU125" s="3"/>
      <c r="AV125" s="3"/>
      <c r="AW125" s="3"/>
    </row>
    <row r="126" spans="2:49" ht="15.75" hidden="1" thickBot="1" x14ac:dyDescent="0.3">
      <c r="B126" s="242"/>
      <c r="C126" s="282"/>
      <c r="D126" s="134" t="s">
        <v>77</v>
      </c>
      <c r="E126" s="134"/>
      <c r="F126" s="219">
        <f>IF(($F$3*(F$16*10^-3)/SQRT($C$16*10^-3*$B$128*10^-3)*$F$4/$F$6^2*$F$8)&lt;(4*$F$13*$F$8),($F$3*(F$16*10^-3)/SQRT($C$16*10^-3*$B$128*10^-3)*$F$4/$F$6^2*$F$8),(4*$F$13*$F$8))</f>
        <v>6.7026023575345679</v>
      </c>
      <c r="G126" s="214"/>
      <c r="I126" s="268"/>
      <c r="J126" s="278"/>
      <c r="K126" s="278"/>
      <c r="L126" s="278"/>
      <c r="M126" s="278"/>
      <c r="N126" s="291"/>
      <c r="O126" s="208">
        <f t="shared" ref="O126:AM126" si="118">IF(($F$3*(O$16*10^-3)/SQRT($C$16*10^-3*$B$128*10^-3)*$F$4/$F$6^2*$F$8)&lt;(4*$F$13*$F$8),($F$3*(O$16*10^-3)/SQRT($C$16*10^-3*$B$128*10^-3)*$F$4/$F$6^2*$F$8),(4*$F$13*$F$8))</f>
        <v>4.9152417288586827</v>
      </c>
      <c r="P126" s="209">
        <f t="shared" si="118"/>
        <v>5.3620818860276547</v>
      </c>
      <c r="Q126" s="209">
        <f t="shared" si="118"/>
        <v>5.8089220431966258</v>
      </c>
      <c r="R126" s="209">
        <f t="shared" si="118"/>
        <v>6.2557622003655977</v>
      </c>
      <c r="S126" s="209">
        <f t="shared" si="118"/>
        <v>6.7026023575345679</v>
      </c>
      <c r="T126" s="209">
        <f t="shared" si="118"/>
        <v>7.149442514703539</v>
      </c>
      <c r="U126" s="209">
        <f t="shared" si="118"/>
        <v>7.5962826718725101</v>
      </c>
      <c r="V126" s="209">
        <f t="shared" si="118"/>
        <v>8.0431228290414811</v>
      </c>
      <c r="W126" s="209">
        <f t="shared" si="118"/>
        <v>8.4899629862104522</v>
      </c>
      <c r="X126" s="209">
        <f t="shared" si="118"/>
        <v>8.9368031433794233</v>
      </c>
      <c r="Y126" s="209">
        <f t="shared" si="118"/>
        <v>9.3836433005483944</v>
      </c>
      <c r="Z126" s="209">
        <f t="shared" si="118"/>
        <v>9.4595466606773275</v>
      </c>
      <c r="AA126" s="209">
        <f t="shared" si="118"/>
        <v>9.4595466606773275</v>
      </c>
      <c r="AB126" s="209">
        <f t="shared" si="118"/>
        <v>9.4595466606773275</v>
      </c>
      <c r="AC126" s="209">
        <f t="shared" si="118"/>
        <v>9.4595466606773275</v>
      </c>
      <c r="AD126" s="209">
        <f t="shared" si="118"/>
        <v>9.4595466606773275</v>
      </c>
      <c r="AE126" s="209">
        <f t="shared" si="118"/>
        <v>9.4595466606773275</v>
      </c>
      <c r="AF126" s="209">
        <f t="shared" si="118"/>
        <v>9.4595466606773275</v>
      </c>
      <c r="AG126" s="209">
        <f t="shared" si="118"/>
        <v>9.4595466606773275</v>
      </c>
      <c r="AH126" s="209">
        <f t="shared" si="118"/>
        <v>9.4595466606773275</v>
      </c>
      <c r="AI126" s="209">
        <f t="shared" si="118"/>
        <v>9.4595466606773275</v>
      </c>
      <c r="AJ126" s="209">
        <f t="shared" si="118"/>
        <v>9.4595466606773275</v>
      </c>
      <c r="AK126" s="209">
        <f t="shared" si="118"/>
        <v>9.4595466606773275</v>
      </c>
      <c r="AL126" s="209">
        <f t="shared" si="118"/>
        <v>9.4595466606773275</v>
      </c>
      <c r="AM126" s="213">
        <f t="shared" si="118"/>
        <v>9.4595466606773275</v>
      </c>
      <c r="AQ126"/>
      <c r="AR126" s="13"/>
      <c r="AS126" s="12"/>
      <c r="AT126" s="3"/>
      <c r="AU126" s="3"/>
      <c r="AV126" s="3"/>
      <c r="AW126" s="3"/>
    </row>
    <row r="127" spans="2:49" x14ac:dyDescent="0.25">
      <c r="B127" s="140"/>
      <c r="C127" s="245"/>
      <c r="D127" s="239" t="s">
        <v>56</v>
      </c>
      <c r="E127" s="239"/>
      <c r="F127" s="220">
        <f>F124</f>
        <v>3.839176750660195</v>
      </c>
      <c r="G127" s="215" t="s">
        <v>32</v>
      </c>
      <c r="I127" s="226"/>
      <c r="J127" s="137"/>
      <c r="K127" s="137"/>
      <c r="L127" s="137"/>
      <c r="M127" s="137"/>
      <c r="N127" s="137"/>
      <c r="O127" s="195">
        <f t="shared" ref="O127:AM127" si="119">O124</f>
        <v>3.2765291048236906</v>
      </c>
      <c r="P127" s="184">
        <f t="shared" si="119"/>
        <v>3.4247876931925636</v>
      </c>
      <c r="Q127" s="184">
        <f t="shared" si="119"/>
        <v>3.5675408575216205</v>
      </c>
      <c r="R127" s="184">
        <f t="shared" si="119"/>
        <v>3.7054797973389659</v>
      </c>
      <c r="S127" s="184">
        <f t="shared" si="119"/>
        <v>3.839176750660195</v>
      </c>
      <c r="T127" s="184">
        <f t="shared" si="119"/>
        <v>3.969112289008534</v>
      </c>
      <c r="U127" s="184">
        <f t="shared" si="119"/>
        <v>4.0956950384347106</v>
      </c>
      <c r="V127" s="184">
        <f t="shared" si="119"/>
        <v>4.2192762482690114</v>
      </c>
      <c r="W127" s="184">
        <f t="shared" si="119"/>
        <v>4.3401607640096804</v>
      </c>
      <c r="X127" s="184">
        <f t="shared" si="119"/>
        <v>4.4586154337426223</v>
      </c>
      <c r="Y127" s="184">
        <f t="shared" si="119"/>
        <v>4.5748756462653839</v>
      </c>
      <c r="Z127" s="184">
        <f t="shared" si="119"/>
        <v>4.6891504850839398</v>
      </c>
      <c r="AA127" s="184">
        <f t="shared" si="119"/>
        <v>4.8016268407546274</v>
      </c>
      <c r="AB127" s="184">
        <f t="shared" si="119"/>
        <v>4.9124727281519878</v>
      </c>
      <c r="AC127" s="184">
        <f t="shared" si="119"/>
        <v>5.0218399890640235</v>
      </c>
      <c r="AD127" s="184">
        <f t="shared" si="119"/>
        <v>5.1298665140264834</v>
      </c>
      <c r="AE127" s="184">
        <f t="shared" si="119"/>
        <v>5.2366780841197924</v>
      </c>
      <c r="AF127" s="184">
        <f t="shared" si="119"/>
        <v>5.342389909410052</v>
      </c>
      <c r="AG127" s="184">
        <f t="shared" si="119"/>
        <v>5.4471079230631023</v>
      </c>
      <c r="AH127" s="184">
        <f t="shared" si="119"/>
        <v>5.5509298770387803</v>
      </c>
      <c r="AI127" s="184">
        <f t="shared" si="119"/>
        <v>5.7562411738260959</v>
      </c>
      <c r="AJ127" s="184">
        <f t="shared" si="119"/>
        <v>5.9589744893455174</v>
      </c>
      <c r="AK127" s="184">
        <f t="shared" si="119"/>
        <v>6.1596972599038144</v>
      </c>
      <c r="AL127" s="184">
        <f t="shared" si="119"/>
        <v>6.3589093669815755</v>
      </c>
      <c r="AM127" s="200">
        <f t="shared" si="119"/>
        <v>6.55705518161919</v>
      </c>
      <c r="AN127" s="15"/>
      <c r="AO127"/>
      <c r="AP127"/>
      <c r="AQ127"/>
      <c r="AR127"/>
      <c r="AS127" s="12"/>
      <c r="AT127" s="3"/>
      <c r="AU127" s="3"/>
      <c r="AV127" s="3"/>
      <c r="AW127" s="3"/>
    </row>
    <row r="128" spans="2:49" x14ac:dyDescent="0.25">
      <c r="B128" s="254">
        <v>216</v>
      </c>
      <c r="C128" s="244" t="s">
        <v>58</v>
      </c>
      <c r="D128" s="253" t="s">
        <v>57</v>
      </c>
      <c r="E128" s="253"/>
      <c r="F128" s="221">
        <f t="shared" ref="F128" si="120">IF(F125&lt;F126,F125,F126)</f>
        <v>6.7026023575345679</v>
      </c>
      <c r="G128" s="216" t="s">
        <v>32</v>
      </c>
      <c r="I128" s="15"/>
      <c r="J128"/>
      <c r="K128"/>
      <c r="L128"/>
      <c r="M128"/>
      <c r="N128"/>
      <c r="O128" s="190">
        <f t="shared" ref="O128:AM128" si="121">IF(O125&lt;O126,O125,O126)</f>
        <v>4.9152417288586827</v>
      </c>
      <c r="P128" s="179">
        <f t="shared" si="121"/>
        <v>5.3620818860276547</v>
      </c>
      <c r="Q128" s="179">
        <f t="shared" si="121"/>
        <v>5.8089220431966258</v>
      </c>
      <c r="R128" s="179">
        <f t="shared" si="121"/>
        <v>6.2557622003655977</v>
      </c>
      <c r="S128" s="179">
        <f t="shared" si="121"/>
        <v>6.7026023575345679</v>
      </c>
      <c r="T128" s="179">
        <f t="shared" si="121"/>
        <v>7.149442514703539</v>
      </c>
      <c r="U128" s="179">
        <f t="shared" si="121"/>
        <v>7.5962826718725101</v>
      </c>
      <c r="V128" s="179">
        <f t="shared" si="121"/>
        <v>8.0431228290414811</v>
      </c>
      <c r="W128" s="179">
        <f t="shared" si="121"/>
        <v>8.4899629862104522</v>
      </c>
      <c r="X128" s="179">
        <f t="shared" si="121"/>
        <v>8.9368031433794233</v>
      </c>
      <c r="Y128" s="179">
        <f t="shared" si="121"/>
        <v>9.3836433005483944</v>
      </c>
      <c r="Z128" s="179">
        <f t="shared" si="121"/>
        <v>9.4595466606773275</v>
      </c>
      <c r="AA128" s="179">
        <f t="shared" si="121"/>
        <v>9.4595466606773275</v>
      </c>
      <c r="AB128" s="179">
        <f t="shared" si="121"/>
        <v>9.4595466606773275</v>
      </c>
      <c r="AC128" s="179">
        <f t="shared" si="121"/>
        <v>9.4595466606773275</v>
      </c>
      <c r="AD128" s="179">
        <f t="shared" si="121"/>
        <v>9.4595466606773275</v>
      </c>
      <c r="AE128" s="179">
        <f t="shared" si="121"/>
        <v>9.4595466606773275</v>
      </c>
      <c r="AF128" s="179">
        <f t="shared" si="121"/>
        <v>9.4595466606773275</v>
      </c>
      <c r="AG128" s="179">
        <f t="shared" si="121"/>
        <v>9.4595466606773275</v>
      </c>
      <c r="AH128" s="179">
        <f t="shared" si="121"/>
        <v>9.4595466606773275</v>
      </c>
      <c r="AI128" s="179">
        <f t="shared" si="121"/>
        <v>9.4595466606773275</v>
      </c>
      <c r="AJ128" s="179">
        <f t="shared" si="121"/>
        <v>9.4595466606773275</v>
      </c>
      <c r="AK128" s="179">
        <f t="shared" si="121"/>
        <v>9.4595466606773275</v>
      </c>
      <c r="AL128" s="179">
        <f t="shared" si="121"/>
        <v>9.4595466606773275</v>
      </c>
      <c r="AM128" s="197">
        <f t="shared" si="121"/>
        <v>9.4595466606773275</v>
      </c>
      <c r="AN128" s="15"/>
      <c r="AO128"/>
      <c r="AP128"/>
      <c r="AQ128"/>
      <c r="AR128"/>
    </row>
    <row r="129" spans="2:49" x14ac:dyDescent="0.25">
      <c r="B129" s="254" t="s">
        <v>45</v>
      </c>
      <c r="C129" s="243" t="s">
        <v>59</v>
      </c>
      <c r="D129" s="252" t="s">
        <v>60</v>
      </c>
      <c r="E129" s="252"/>
      <c r="F129" s="222">
        <f>F124</f>
        <v>3.839176750660195</v>
      </c>
      <c r="G129" s="217" t="s">
        <v>32</v>
      </c>
      <c r="I129" s="15"/>
      <c r="J129"/>
      <c r="K129"/>
      <c r="L129"/>
      <c r="M129"/>
      <c r="N129"/>
      <c r="O129" s="191">
        <f t="shared" ref="O129:AM129" si="122">O124</f>
        <v>3.2765291048236906</v>
      </c>
      <c r="P129" s="182">
        <f t="shared" si="122"/>
        <v>3.4247876931925636</v>
      </c>
      <c r="Q129" s="182">
        <f t="shared" si="122"/>
        <v>3.5675408575216205</v>
      </c>
      <c r="R129" s="182">
        <f t="shared" si="122"/>
        <v>3.7054797973389659</v>
      </c>
      <c r="S129" s="182">
        <f t="shared" si="122"/>
        <v>3.839176750660195</v>
      </c>
      <c r="T129" s="182">
        <f t="shared" si="122"/>
        <v>3.969112289008534</v>
      </c>
      <c r="U129" s="182">
        <f t="shared" si="122"/>
        <v>4.0956950384347106</v>
      </c>
      <c r="V129" s="182">
        <f t="shared" si="122"/>
        <v>4.2192762482690114</v>
      </c>
      <c r="W129" s="182">
        <f t="shared" si="122"/>
        <v>4.3401607640096804</v>
      </c>
      <c r="X129" s="182">
        <f t="shared" si="122"/>
        <v>4.4586154337426223</v>
      </c>
      <c r="Y129" s="182">
        <f t="shared" si="122"/>
        <v>4.5748756462653839</v>
      </c>
      <c r="Z129" s="182">
        <f t="shared" si="122"/>
        <v>4.6891504850839398</v>
      </c>
      <c r="AA129" s="182">
        <f t="shared" si="122"/>
        <v>4.8016268407546274</v>
      </c>
      <c r="AB129" s="182">
        <f t="shared" si="122"/>
        <v>4.9124727281519878</v>
      </c>
      <c r="AC129" s="182">
        <f t="shared" si="122"/>
        <v>5.0218399890640235</v>
      </c>
      <c r="AD129" s="182">
        <f t="shared" si="122"/>
        <v>5.1298665140264834</v>
      </c>
      <c r="AE129" s="182">
        <f t="shared" si="122"/>
        <v>5.2366780841197924</v>
      </c>
      <c r="AF129" s="182">
        <f t="shared" si="122"/>
        <v>5.342389909410052</v>
      </c>
      <c r="AG129" s="182">
        <f t="shared" si="122"/>
        <v>5.4471079230631023</v>
      </c>
      <c r="AH129" s="182">
        <f t="shared" si="122"/>
        <v>5.5509298770387803</v>
      </c>
      <c r="AI129" s="182">
        <f t="shared" si="122"/>
        <v>5.7562411738260959</v>
      </c>
      <c r="AJ129" s="182">
        <f t="shared" si="122"/>
        <v>5.9589744893455174</v>
      </c>
      <c r="AK129" s="182">
        <f t="shared" si="122"/>
        <v>6.1596972599038144</v>
      </c>
      <c r="AL129" s="182">
        <f t="shared" si="122"/>
        <v>6.3589093669815755</v>
      </c>
      <c r="AM129" s="198">
        <f t="shared" si="122"/>
        <v>6.55705518161919</v>
      </c>
      <c r="AN129" s="15"/>
      <c r="AO129"/>
      <c r="AP129"/>
      <c r="AQ129"/>
      <c r="AR129"/>
      <c r="AS129" s="12"/>
      <c r="AT129" s="3"/>
      <c r="AU129" s="3"/>
      <c r="AV129" s="3"/>
      <c r="AW129" s="3"/>
    </row>
    <row r="130" spans="2:49" ht="15.75" thickBot="1" x14ac:dyDescent="0.3">
      <c r="B130" s="141"/>
      <c r="C130" s="246"/>
      <c r="D130" s="238" t="s">
        <v>61</v>
      </c>
      <c r="E130" s="238"/>
      <c r="F130" s="223">
        <f t="shared" ref="F130" si="123">IF(F125&lt;F126,F125,F126)</f>
        <v>6.7026023575345679</v>
      </c>
      <c r="G130" s="214" t="s">
        <v>32</v>
      </c>
      <c r="I130" s="204"/>
      <c r="J130" s="135"/>
      <c r="K130" s="135"/>
      <c r="L130" s="135"/>
      <c r="M130" s="135"/>
      <c r="N130" s="135"/>
      <c r="O130" s="192">
        <f t="shared" ref="O130:AM130" si="124">IF(O125&lt;O126,O125,O126)</f>
        <v>4.9152417288586827</v>
      </c>
      <c r="P130" s="193">
        <f t="shared" si="124"/>
        <v>5.3620818860276547</v>
      </c>
      <c r="Q130" s="193">
        <f t="shared" si="124"/>
        <v>5.8089220431966258</v>
      </c>
      <c r="R130" s="193">
        <f t="shared" si="124"/>
        <v>6.2557622003655977</v>
      </c>
      <c r="S130" s="193">
        <f t="shared" si="124"/>
        <v>6.7026023575345679</v>
      </c>
      <c r="T130" s="193">
        <f t="shared" si="124"/>
        <v>7.149442514703539</v>
      </c>
      <c r="U130" s="193">
        <f t="shared" si="124"/>
        <v>7.5962826718725101</v>
      </c>
      <c r="V130" s="193">
        <f t="shared" si="124"/>
        <v>8.0431228290414811</v>
      </c>
      <c r="W130" s="193">
        <f t="shared" si="124"/>
        <v>8.4899629862104522</v>
      </c>
      <c r="X130" s="193">
        <f t="shared" si="124"/>
        <v>8.9368031433794233</v>
      </c>
      <c r="Y130" s="193">
        <f t="shared" si="124"/>
        <v>9.3836433005483944</v>
      </c>
      <c r="Z130" s="193">
        <f t="shared" si="124"/>
        <v>9.4595466606773275</v>
      </c>
      <c r="AA130" s="193">
        <f t="shared" si="124"/>
        <v>9.4595466606773275</v>
      </c>
      <c r="AB130" s="193">
        <f t="shared" si="124"/>
        <v>9.4595466606773275</v>
      </c>
      <c r="AC130" s="193">
        <f t="shared" si="124"/>
        <v>9.4595466606773275</v>
      </c>
      <c r="AD130" s="193">
        <f t="shared" si="124"/>
        <v>9.4595466606773275</v>
      </c>
      <c r="AE130" s="193">
        <f t="shared" si="124"/>
        <v>9.4595466606773275</v>
      </c>
      <c r="AF130" s="193">
        <f t="shared" si="124"/>
        <v>9.4595466606773275</v>
      </c>
      <c r="AG130" s="193">
        <f t="shared" si="124"/>
        <v>9.4595466606773275</v>
      </c>
      <c r="AH130" s="193">
        <f t="shared" si="124"/>
        <v>9.4595466606773275</v>
      </c>
      <c r="AI130" s="193">
        <f t="shared" si="124"/>
        <v>9.4595466606773275</v>
      </c>
      <c r="AJ130" s="193">
        <f t="shared" si="124"/>
        <v>9.4595466606773275</v>
      </c>
      <c r="AK130" s="193">
        <f t="shared" si="124"/>
        <v>9.4595466606773275</v>
      </c>
      <c r="AL130" s="193">
        <f t="shared" si="124"/>
        <v>9.4595466606773275</v>
      </c>
      <c r="AM130" s="199">
        <f t="shared" si="124"/>
        <v>9.4595466606773275</v>
      </c>
      <c r="AN130" s="15"/>
      <c r="AO130"/>
      <c r="AP130"/>
      <c r="AQ130"/>
      <c r="AR130"/>
    </row>
    <row r="131" spans="2:49" ht="15.75" hidden="1" thickBot="1" x14ac:dyDescent="0.3">
      <c r="B131" s="242"/>
      <c r="D131" s="43" t="s">
        <v>71</v>
      </c>
      <c r="E131" s="43"/>
      <c r="F131" s="229">
        <f>1.07*1.22*F124</f>
        <v>5.0116613303118189</v>
      </c>
      <c r="G131" s="136"/>
      <c r="I131" s="267"/>
      <c r="J131" s="259"/>
      <c r="K131" s="259"/>
      <c r="L131" s="259"/>
      <c r="M131" s="259"/>
      <c r="N131" s="259"/>
      <c r="O131" s="236">
        <f t="shared" ref="O131:AM131" si="125">1.07*1.22*O124</f>
        <v>4.2771810934368464</v>
      </c>
      <c r="P131" s="231">
        <f t="shared" si="125"/>
        <v>4.4707178546935733</v>
      </c>
      <c r="Q131" s="231">
        <f t="shared" si="125"/>
        <v>4.657067835408724</v>
      </c>
      <c r="R131" s="231">
        <f t="shared" si="125"/>
        <v>4.8371333274462867</v>
      </c>
      <c r="S131" s="231">
        <f t="shared" si="125"/>
        <v>5.0116613303118189</v>
      </c>
      <c r="T131" s="231">
        <f t="shared" si="125"/>
        <v>5.1812791820717408</v>
      </c>
      <c r="U131" s="231">
        <f t="shared" si="125"/>
        <v>5.3465203031726718</v>
      </c>
      <c r="V131" s="231">
        <f t="shared" si="125"/>
        <v>5.507843214490368</v>
      </c>
      <c r="W131" s="231">
        <f t="shared" si="125"/>
        <v>5.6656458613382377</v>
      </c>
      <c r="X131" s="231">
        <f t="shared" si="125"/>
        <v>5.8202765872076192</v>
      </c>
      <c r="Y131" s="231">
        <f t="shared" si="125"/>
        <v>5.9720426686348329</v>
      </c>
      <c r="Z131" s="231">
        <f t="shared" si="125"/>
        <v>6.121217043228576</v>
      </c>
      <c r="AA131" s="231">
        <f t="shared" si="125"/>
        <v>6.2680436779210913</v>
      </c>
      <c r="AB131" s="231">
        <f t="shared" si="125"/>
        <v>6.412741899329605</v>
      </c>
      <c r="AC131" s="231">
        <f t="shared" si="125"/>
        <v>6.5555099217241768</v>
      </c>
      <c r="AD131" s="231">
        <f t="shared" si="125"/>
        <v>6.6965277474101716</v>
      </c>
      <c r="AE131" s="231">
        <f t="shared" si="125"/>
        <v>6.8359595710099779</v>
      </c>
      <c r="AF131" s="231">
        <f t="shared" si="125"/>
        <v>6.9739557877438827</v>
      </c>
      <c r="AG131" s="231">
        <f t="shared" si="125"/>
        <v>7.1106546827665742</v>
      </c>
      <c r="AH131" s="231">
        <f t="shared" si="125"/>
        <v>7.2461838614864247</v>
      </c>
      <c r="AI131" s="231">
        <f t="shared" si="125"/>
        <v>7.514197228312586</v>
      </c>
      <c r="AJ131" s="231">
        <f t="shared" si="125"/>
        <v>7.778845298391639</v>
      </c>
      <c r="AK131" s="231">
        <f t="shared" si="125"/>
        <v>8.0408688030784408</v>
      </c>
      <c r="AL131" s="231">
        <f t="shared" si="125"/>
        <v>8.3009202876577497</v>
      </c>
      <c r="AM131" s="233">
        <f t="shared" si="125"/>
        <v>8.5595798340856906</v>
      </c>
      <c r="AQ131"/>
      <c r="AR131" s="13"/>
      <c r="AS131" s="12"/>
      <c r="AT131" s="3"/>
      <c r="AU131" s="3"/>
      <c r="AV131" s="3"/>
      <c r="AW131" s="3"/>
    </row>
    <row r="132" spans="2:49" ht="15.75" hidden="1" thickBot="1" x14ac:dyDescent="0.3">
      <c r="B132" s="242"/>
      <c r="D132" s="43" t="s">
        <v>72</v>
      </c>
      <c r="E132" s="43"/>
      <c r="F132" s="229">
        <f>1.07*1.22*F125</f>
        <v>9.6104392814900699</v>
      </c>
      <c r="G132" s="136"/>
      <c r="I132" s="267"/>
      <c r="J132" s="259"/>
      <c r="K132" s="259"/>
      <c r="L132" s="259"/>
      <c r="M132" s="259"/>
      <c r="N132" s="259"/>
      <c r="O132" s="236">
        <f t="shared" ref="O132:AM132" si="126">1.07*1.22*O125</f>
        <v>7.906812951158547</v>
      </c>
      <c r="P132" s="231">
        <f t="shared" si="126"/>
        <v>8.332739040099721</v>
      </c>
      <c r="Q132" s="231">
        <f t="shared" si="126"/>
        <v>8.7573080812944717</v>
      </c>
      <c r="R132" s="231">
        <f t="shared" si="126"/>
        <v>9.182609214415363</v>
      </c>
      <c r="S132" s="231">
        <f t="shared" si="126"/>
        <v>9.6104392814900699</v>
      </c>
      <c r="T132" s="231">
        <f t="shared" si="126"/>
        <v>10.042367687298562</v>
      </c>
      <c r="U132" s="231">
        <f t="shared" si="126"/>
        <v>10.479783470113368</v>
      </c>
      <c r="V132" s="231">
        <f t="shared" si="126"/>
        <v>10.923930239873707</v>
      </c>
      <c r="W132" s="231">
        <f t="shared" si="126"/>
        <v>11.375932625633459</v>
      </c>
      <c r="X132" s="231">
        <f t="shared" si="126"/>
        <v>11.836816645301736</v>
      </c>
      <c r="Y132" s="231">
        <f t="shared" si="126"/>
        <v>12.307525637398641</v>
      </c>
      <c r="Z132" s="231">
        <f t="shared" si="126"/>
        <v>12.788932894238348</v>
      </c>
      <c r="AA132" s="231">
        <f t="shared" si="126"/>
        <v>13.281851804210712</v>
      </c>
      <c r="AB132" s="231">
        <f t="shared" si="126"/>
        <v>13.787044085990336</v>
      </c>
      <c r="AC132" s="231">
        <f t="shared" si="126"/>
        <v>14.305226542080259</v>
      </c>
      <c r="AD132" s="231">
        <f t="shared" si="126"/>
        <v>14.83707664973416</v>
      </c>
      <c r="AE132" s="231">
        <f t="shared" si="126"/>
        <v>15.383237229092963</v>
      </c>
      <c r="AF132" s="231">
        <f t="shared" si="126"/>
        <v>15.944320371612227</v>
      </c>
      <c r="AG132" s="231">
        <f t="shared" si="126"/>
        <v>16.520910770103974</v>
      </c>
      <c r="AH132" s="231">
        <f t="shared" si="126"/>
        <v>17.11356856061796</v>
      </c>
      <c r="AI132" s="231">
        <f t="shared" si="126"/>
        <v>18.349218388783196</v>
      </c>
      <c r="AJ132" s="231">
        <f t="shared" si="126"/>
        <v>19.655344669799945</v>
      </c>
      <c r="AK132" s="231">
        <f t="shared" si="126"/>
        <v>21.035755378014052</v>
      </c>
      <c r="AL132" s="231">
        <f t="shared" si="126"/>
        <v>22.494034281015711</v>
      </c>
      <c r="AM132" s="233">
        <f t="shared" si="126"/>
        <v>24.033574266294394</v>
      </c>
      <c r="AQ132"/>
      <c r="AR132" s="13"/>
      <c r="AS132" s="12"/>
      <c r="AT132" s="3"/>
      <c r="AU132" s="3"/>
      <c r="AV132" s="3"/>
      <c r="AW132" s="3"/>
    </row>
    <row r="133" spans="2:49" ht="15.75" hidden="1" thickBot="1" x14ac:dyDescent="0.3">
      <c r="B133" s="242"/>
      <c r="D133" s="43" t="s">
        <v>79</v>
      </c>
      <c r="E133" s="43"/>
      <c r="F133" s="229">
        <f>1.07*1.22*F126</f>
        <v>8.7495771175256252</v>
      </c>
      <c r="G133" s="136"/>
      <c r="I133" s="267"/>
      <c r="J133" s="259"/>
      <c r="K133" s="259"/>
      <c r="L133" s="259"/>
      <c r="M133" s="259"/>
      <c r="N133" s="259"/>
      <c r="O133" s="236">
        <f t="shared" ref="O133:AM133" si="127">1.07*1.22*O126</f>
        <v>6.4163565528521254</v>
      </c>
      <c r="P133" s="231">
        <f t="shared" si="127"/>
        <v>6.9996616940205012</v>
      </c>
      <c r="Q133" s="231">
        <f t="shared" si="127"/>
        <v>7.5829668351888762</v>
      </c>
      <c r="R133" s="231">
        <f t="shared" si="127"/>
        <v>8.1662719763572511</v>
      </c>
      <c r="S133" s="231">
        <f t="shared" si="127"/>
        <v>8.7495771175256252</v>
      </c>
      <c r="T133" s="231">
        <f t="shared" si="127"/>
        <v>9.332882258694001</v>
      </c>
      <c r="U133" s="231">
        <f t="shared" si="127"/>
        <v>9.9161873998623751</v>
      </c>
      <c r="V133" s="231">
        <f t="shared" si="127"/>
        <v>10.499492541030751</v>
      </c>
      <c r="W133" s="231">
        <f t="shared" si="127"/>
        <v>11.082797682199125</v>
      </c>
      <c r="X133" s="231">
        <f t="shared" si="127"/>
        <v>11.666102823367501</v>
      </c>
      <c r="Y133" s="231">
        <f t="shared" si="127"/>
        <v>12.249407964535875</v>
      </c>
      <c r="Z133" s="231">
        <f t="shared" si="127"/>
        <v>12.348492210848184</v>
      </c>
      <c r="AA133" s="231">
        <f t="shared" si="127"/>
        <v>12.348492210848184</v>
      </c>
      <c r="AB133" s="231">
        <f t="shared" si="127"/>
        <v>12.348492210848184</v>
      </c>
      <c r="AC133" s="231">
        <f t="shared" si="127"/>
        <v>12.348492210848184</v>
      </c>
      <c r="AD133" s="231">
        <f t="shared" si="127"/>
        <v>12.348492210848184</v>
      </c>
      <c r="AE133" s="231">
        <f t="shared" si="127"/>
        <v>12.348492210848184</v>
      </c>
      <c r="AF133" s="231">
        <f t="shared" si="127"/>
        <v>12.348492210848184</v>
      </c>
      <c r="AG133" s="231">
        <f t="shared" si="127"/>
        <v>12.348492210848184</v>
      </c>
      <c r="AH133" s="231">
        <f t="shared" si="127"/>
        <v>12.348492210848184</v>
      </c>
      <c r="AI133" s="231">
        <f t="shared" si="127"/>
        <v>12.348492210848184</v>
      </c>
      <c r="AJ133" s="231">
        <f t="shared" si="127"/>
        <v>12.348492210848184</v>
      </c>
      <c r="AK133" s="231">
        <f t="shared" si="127"/>
        <v>12.348492210848184</v>
      </c>
      <c r="AL133" s="231">
        <f t="shared" si="127"/>
        <v>12.348492210848184</v>
      </c>
      <c r="AM133" s="233">
        <f t="shared" si="127"/>
        <v>12.348492210848184</v>
      </c>
      <c r="AQ133"/>
      <c r="AR133" s="13"/>
      <c r="AS133" s="12"/>
      <c r="AT133" s="3"/>
      <c r="AU133" s="3"/>
      <c r="AV133" s="3"/>
      <c r="AW133" s="3"/>
    </row>
    <row r="134" spans="2:49" ht="15.75" hidden="1" thickBot="1" x14ac:dyDescent="0.3">
      <c r="B134" s="242"/>
      <c r="D134" s="43" t="s">
        <v>73</v>
      </c>
      <c r="E134" s="43"/>
      <c r="F134" s="229">
        <f>1.07*0.707*F124</f>
        <v>2.9042988201069311</v>
      </c>
      <c r="G134" s="136"/>
      <c r="I134" s="267"/>
      <c r="J134" s="259"/>
      <c r="K134" s="259"/>
      <c r="L134" s="259"/>
      <c r="M134" s="259"/>
      <c r="N134" s="259"/>
      <c r="O134" s="236">
        <f t="shared" ref="O134:AM134" si="128">1.07*0.707*O124</f>
        <v>2.4786615025080736</v>
      </c>
      <c r="P134" s="231">
        <f t="shared" si="128"/>
        <v>2.5908176420232425</v>
      </c>
      <c r="Q134" s="231">
        <f t="shared" si="128"/>
        <v>2.6988089833065305</v>
      </c>
      <c r="R134" s="231">
        <f t="shared" si="128"/>
        <v>2.8031584118889543</v>
      </c>
      <c r="S134" s="231">
        <f t="shared" si="128"/>
        <v>2.9042988201069311</v>
      </c>
      <c r="T134" s="231">
        <f t="shared" si="128"/>
        <v>3.0025937555120659</v>
      </c>
      <c r="U134" s="231">
        <f t="shared" si="128"/>
        <v>3.0983523396254742</v>
      </c>
      <c r="V134" s="231">
        <f t="shared" si="128"/>
        <v>3.1918402890530242</v>
      </c>
      <c r="W134" s="231">
        <f t="shared" si="128"/>
        <v>3.2832882163656829</v>
      </c>
      <c r="X134" s="231">
        <f t="shared" si="128"/>
        <v>3.3728979894719564</v>
      </c>
      <c r="Y134" s="231">
        <f t="shared" si="128"/>
        <v>3.4608476776433004</v>
      </c>
      <c r="Z134" s="231">
        <f t="shared" si="128"/>
        <v>3.5472954504611498</v>
      </c>
      <c r="AA134" s="231">
        <f t="shared" si="128"/>
        <v>3.6323826887624682</v>
      </c>
      <c r="AB134" s="231">
        <f t="shared" si="128"/>
        <v>3.716236494119697</v>
      </c>
      <c r="AC134" s="231">
        <f t="shared" si="128"/>
        <v>3.798971733327043</v>
      </c>
      <c r="AD134" s="231">
        <f t="shared" si="128"/>
        <v>3.8806927191958942</v>
      </c>
      <c r="AE134" s="231">
        <f t="shared" si="128"/>
        <v>3.9614946038557819</v>
      </c>
      <c r="AF134" s="231">
        <f t="shared" si="128"/>
        <v>4.0414645425696101</v>
      </c>
      <c r="AG134" s="231">
        <f t="shared" si="128"/>
        <v>4.1206826727180061</v>
      </c>
      <c r="AH134" s="231">
        <f t="shared" si="128"/>
        <v>4.1992229426810672</v>
      </c>
      <c r="AI134" s="231">
        <f t="shared" si="128"/>
        <v>4.3545388855877034</v>
      </c>
      <c r="AJ134" s="231">
        <f t="shared" si="128"/>
        <v>4.5079046114449906</v>
      </c>
      <c r="AK134" s="231">
        <f t="shared" si="128"/>
        <v>4.6597493801446364</v>
      </c>
      <c r="AL134" s="231">
        <f t="shared" si="128"/>
        <v>4.8104513470278922</v>
      </c>
      <c r="AM134" s="233">
        <f t="shared" si="128"/>
        <v>4.9603466743431008</v>
      </c>
      <c r="AQ134"/>
      <c r="AR134" s="13"/>
      <c r="AS134" s="12"/>
      <c r="AT134" s="3"/>
      <c r="AU134" s="3"/>
      <c r="AV134" s="3"/>
      <c r="AW134" s="3"/>
    </row>
    <row r="135" spans="2:49" ht="15.75" hidden="1" thickBot="1" x14ac:dyDescent="0.3">
      <c r="B135" s="242"/>
      <c r="D135" s="43" t="s">
        <v>74</v>
      </c>
      <c r="E135" s="43"/>
      <c r="F135" s="229">
        <f>1.07*0.707*F125</f>
        <v>5.5693283377159659</v>
      </c>
      <c r="G135" s="136"/>
      <c r="I135" s="267"/>
      <c r="J135" s="259"/>
      <c r="K135" s="259"/>
      <c r="L135" s="259"/>
      <c r="M135" s="259"/>
      <c r="N135" s="259"/>
      <c r="O135" s="236">
        <f t="shared" ref="O135:AM135" si="129">1.07*0.707*O125</f>
        <v>4.5820629151386001</v>
      </c>
      <c r="P135" s="231">
        <f t="shared" si="129"/>
        <v>4.8288905748774615</v>
      </c>
      <c r="Q135" s="231">
        <f t="shared" si="129"/>
        <v>5.0749318143239277</v>
      </c>
      <c r="R135" s="231">
        <f t="shared" si="129"/>
        <v>5.3213973070423455</v>
      </c>
      <c r="S135" s="231">
        <f t="shared" si="129"/>
        <v>5.5693283377159659</v>
      </c>
      <c r="T135" s="231">
        <f t="shared" si="129"/>
        <v>5.8196343892787565</v>
      </c>
      <c r="U135" s="231">
        <f t="shared" si="129"/>
        <v>6.0731204207952052</v>
      </c>
      <c r="V135" s="231">
        <f t="shared" si="129"/>
        <v>6.3305071144186149</v>
      </c>
      <c r="W135" s="231">
        <f t="shared" si="129"/>
        <v>6.5924462019039787</v>
      </c>
      <c r="X135" s="231">
        <f t="shared" si="129"/>
        <v>6.8595322690396117</v>
      </c>
      <c r="Y135" s="231">
        <f t="shared" si="129"/>
        <v>7.1323119882301951</v>
      </c>
      <c r="Z135" s="231">
        <f t="shared" si="129"/>
        <v>7.4112914395299274</v>
      </c>
      <c r="AA135" s="231">
        <f t="shared" si="129"/>
        <v>7.696941988177846</v>
      </c>
      <c r="AB135" s="231">
        <f t="shared" si="129"/>
        <v>7.9897050563894814</v>
      </c>
      <c r="AC135" s="231">
        <f t="shared" si="129"/>
        <v>8.2899960370907717</v>
      </c>
      <c r="AD135" s="231">
        <f t="shared" si="129"/>
        <v>8.5982075339033202</v>
      </c>
      <c r="AE135" s="231">
        <f t="shared" si="129"/>
        <v>8.914712066367807</v>
      </c>
      <c r="AF135" s="231">
        <f t="shared" si="129"/>
        <v>9.2398643464998713</v>
      </c>
      <c r="AG135" s="231">
        <f t="shared" si="129"/>
        <v>9.5740032085766469</v>
      </c>
      <c r="AH135" s="231">
        <f t="shared" si="129"/>
        <v>9.9174532560302442</v>
      </c>
      <c r="AI135" s="231">
        <f t="shared" si="129"/>
        <v>10.633522459729278</v>
      </c>
      <c r="AJ135" s="231">
        <f t="shared" si="129"/>
        <v>11.390433345531607</v>
      </c>
      <c r="AK135" s="231">
        <f t="shared" si="129"/>
        <v>12.190392665783552</v>
      </c>
      <c r="AL135" s="231">
        <f t="shared" si="129"/>
        <v>13.035477243178777</v>
      </c>
      <c r="AM135" s="233">
        <f t="shared" si="129"/>
        <v>13.927653283827981</v>
      </c>
      <c r="AQ135"/>
      <c r="AR135" s="13"/>
      <c r="AS135" s="12"/>
      <c r="AT135" s="3"/>
      <c r="AU135" s="3"/>
      <c r="AV135" s="3"/>
      <c r="AW135" s="3"/>
    </row>
    <row r="136" spans="2:49" ht="15.75" hidden="1" thickBot="1" x14ac:dyDescent="0.3">
      <c r="B136" s="242"/>
      <c r="D136" s="43" t="s">
        <v>80</v>
      </c>
      <c r="E136" s="43"/>
      <c r="F136" s="229">
        <f>1.07*0.707*F126</f>
        <v>5.0704516574513256</v>
      </c>
      <c r="G136" s="136"/>
      <c r="I136" s="267"/>
      <c r="J136" s="259"/>
      <c r="K136" s="259"/>
      <c r="L136" s="259"/>
      <c r="M136" s="259"/>
      <c r="N136" s="259"/>
      <c r="O136" s="236">
        <f t="shared" ref="O136:AM136" si="130">1.07*0.707*O126</f>
        <v>3.7183312154643047</v>
      </c>
      <c r="P136" s="231">
        <f t="shared" si="130"/>
        <v>4.0563613259610607</v>
      </c>
      <c r="Q136" s="231">
        <f t="shared" si="130"/>
        <v>4.3943914364578154</v>
      </c>
      <c r="R136" s="231">
        <f t="shared" si="130"/>
        <v>4.732421546954571</v>
      </c>
      <c r="S136" s="231">
        <f t="shared" si="130"/>
        <v>5.0704516574513256</v>
      </c>
      <c r="T136" s="231">
        <f t="shared" si="130"/>
        <v>5.4084817679480803</v>
      </c>
      <c r="U136" s="231">
        <f t="shared" si="130"/>
        <v>5.746511878444835</v>
      </c>
      <c r="V136" s="231">
        <f t="shared" si="130"/>
        <v>6.0845419889415897</v>
      </c>
      <c r="W136" s="231">
        <f t="shared" si="130"/>
        <v>6.4225720994383453</v>
      </c>
      <c r="X136" s="231">
        <f t="shared" si="130"/>
        <v>6.7606022099351</v>
      </c>
      <c r="Y136" s="231">
        <f t="shared" si="130"/>
        <v>7.0986323204318547</v>
      </c>
      <c r="Z136" s="231">
        <f t="shared" si="130"/>
        <v>7.1560524533357919</v>
      </c>
      <c r="AA136" s="231">
        <f t="shared" si="130"/>
        <v>7.1560524533357919</v>
      </c>
      <c r="AB136" s="231">
        <f t="shared" si="130"/>
        <v>7.1560524533357919</v>
      </c>
      <c r="AC136" s="231">
        <f t="shared" si="130"/>
        <v>7.1560524533357919</v>
      </c>
      <c r="AD136" s="231">
        <f t="shared" si="130"/>
        <v>7.1560524533357919</v>
      </c>
      <c r="AE136" s="231">
        <f t="shared" si="130"/>
        <v>7.1560524533357919</v>
      </c>
      <c r="AF136" s="231">
        <f t="shared" si="130"/>
        <v>7.1560524533357919</v>
      </c>
      <c r="AG136" s="231">
        <f t="shared" si="130"/>
        <v>7.1560524533357919</v>
      </c>
      <c r="AH136" s="231">
        <f t="shared" si="130"/>
        <v>7.1560524533357919</v>
      </c>
      <c r="AI136" s="231">
        <f t="shared" si="130"/>
        <v>7.1560524533357919</v>
      </c>
      <c r="AJ136" s="231">
        <f t="shared" si="130"/>
        <v>7.1560524533357919</v>
      </c>
      <c r="AK136" s="231">
        <f t="shared" si="130"/>
        <v>7.1560524533357919</v>
      </c>
      <c r="AL136" s="231">
        <f t="shared" si="130"/>
        <v>7.1560524533357919</v>
      </c>
      <c r="AM136" s="233">
        <f t="shared" si="130"/>
        <v>7.1560524533357919</v>
      </c>
      <c r="AQ136"/>
      <c r="AR136" s="13"/>
      <c r="AS136" s="12"/>
      <c r="AT136" s="3"/>
      <c r="AU136" s="3"/>
      <c r="AV136" s="3"/>
      <c r="AW136" s="3"/>
    </row>
    <row r="137" spans="2:49" x14ac:dyDescent="0.25">
      <c r="B137" s="142"/>
      <c r="C137" s="243"/>
      <c r="D137" s="239" t="s">
        <v>56</v>
      </c>
      <c r="E137" s="239"/>
      <c r="F137" s="220">
        <f>F131</f>
        <v>5.0116613303118189</v>
      </c>
      <c r="G137" s="215" t="s">
        <v>32</v>
      </c>
      <c r="I137" s="15"/>
      <c r="J137"/>
      <c r="K137"/>
      <c r="L137"/>
      <c r="M137"/>
      <c r="N137"/>
      <c r="O137" s="195">
        <f t="shared" ref="O137:AM137" si="131">O131</f>
        <v>4.2771810934368464</v>
      </c>
      <c r="P137" s="184">
        <f t="shared" si="131"/>
        <v>4.4707178546935733</v>
      </c>
      <c r="Q137" s="184">
        <f t="shared" si="131"/>
        <v>4.657067835408724</v>
      </c>
      <c r="R137" s="184">
        <f t="shared" si="131"/>
        <v>4.8371333274462867</v>
      </c>
      <c r="S137" s="184">
        <f t="shared" si="131"/>
        <v>5.0116613303118189</v>
      </c>
      <c r="T137" s="184">
        <f t="shared" si="131"/>
        <v>5.1812791820717408</v>
      </c>
      <c r="U137" s="184">
        <f t="shared" si="131"/>
        <v>5.3465203031726718</v>
      </c>
      <c r="V137" s="184">
        <f t="shared" si="131"/>
        <v>5.507843214490368</v>
      </c>
      <c r="W137" s="184">
        <f t="shared" si="131"/>
        <v>5.6656458613382377</v>
      </c>
      <c r="X137" s="184">
        <f t="shared" si="131"/>
        <v>5.8202765872076192</v>
      </c>
      <c r="Y137" s="184">
        <f t="shared" si="131"/>
        <v>5.9720426686348329</v>
      </c>
      <c r="Z137" s="184">
        <f t="shared" si="131"/>
        <v>6.121217043228576</v>
      </c>
      <c r="AA137" s="184">
        <f t="shared" si="131"/>
        <v>6.2680436779210913</v>
      </c>
      <c r="AB137" s="184">
        <f t="shared" si="131"/>
        <v>6.412741899329605</v>
      </c>
      <c r="AC137" s="184">
        <f t="shared" si="131"/>
        <v>6.5555099217241768</v>
      </c>
      <c r="AD137" s="184">
        <f t="shared" si="131"/>
        <v>6.6965277474101716</v>
      </c>
      <c r="AE137" s="184">
        <f t="shared" si="131"/>
        <v>6.8359595710099779</v>
      </c>
      <c r="AF137" s="184">
        <f t="shared" si="131"/>
        <v>6.9739557877438827</v>
      </c>
      <c r="AG137" s="184">
        <f t="shared" si="131"/>
        <v>7.1106546827665742</v>
      </c>
      <c r="AH137" s="184">
        <f t="shared" si="131"/>
        <v>7.2461838614864247</v>
      </c>
      <c r="AI137" s="184">
        <f t="shared" si="131"/>
        <v>7.514197228312586</v>
      </c>
      <c r="AJ137" s="184">
        <f t="shared" si="131"/>
        <v>7.778845298391639</v>
      </c>
      <c r="AK137" s="184">
        <f t="shared" si="131"/>
        <v>8.0408688030784408</v>
      </c>
      <c r="AL137" s="184">
        <f t="shared" si="131"/>
        <v>8.3009202876577497</v>
      </c>
      <c r="AM137" s="200">
        <f t="shared" si="131"/>
        <v>8.5595798340856906</v>
      </c>
      <c r="AN137" s="15"/>
      <c r="AO137"/>
      <c r="AP137"/>
      <c r="AQ137"/>
      <c r="AR137"/>
      <c r="AS137" s="12"/>
      <c r="AT137" s="3"/>
      <c r="AU137" s="3"/>
      <c r="AV137" s="3"/>
      <c r="AW137" s="3"/>
    </row>
    <row r="138" spans="2:49" x14ac:dyDescent="0.25">
      <c r="B138" s="141"/>
      <c r="C138" s="244" t="s">
        <v>67</v>
      </c>
      <c r="D138" s="253" t="s">
        <v>57</v>
      </c>
      <c r="E138" s="253"/>
      <c r="F138" s="221">
        <f>IF(F132&lt;F133,F132,F133)</f>
        <v>8.7495771175256252</v>
      </c>
      <c r="G138" s="216" t="s">
        <v>32</v>
      </c>
      <c r="I138" s="15"/>
      <c r="J138"/>
      <c r="K138"/>
      <c r="L138"/>
      <c r="M138"/>
      <c r="N138"/>
      <c r="O138" s="190">
        <f t="shared" ref="O138:AM138" si="132">IF(O132&lt;O133,O132,O133)</f>
        <v>6.4163565528521254</v>
      </c>
      <c r="P138" s="179">
        <f t="shared" si="132"/>
        <v>6.9996616940205012</v>
      </c>
      <c r="Q138" s="179">
        <f t="shared" si="132"/>
        <v>7.5829668351888762</v>
      </c>
      <c r="R138" s="179">
        <f t="shared" si="132"/>
        <v>8.1662719763572511</v>
      </c>
      <c r="S138" s="179">
        <f t="shared" si="132"/>
        <v>8.7495771175256252</v>
      </c>
      <c r="T138" s="179">
        <f t="shared" si="132"/>
        <v>9.332882258694001</v>
      </c>
      <c r="U138" s="179">
        <f t="shared" si="132"/>
        <v>9.9161873998623751</v>
      </c>
      <c r="V138" s="179">
        <f t="shared" si="132"/>
        <v>10.499492541030751</v>
      </c>
      <c r="W138" s="179">
        <f t="shared" si="132"/>
        <v>11.082797682199125</v>
      </c>
      <c r="X138" s="179">
        <f t="shared" si="132"/>
        <v>11.666102823367501</v>
      </c>
      <c r="Y138" s="179">
        <f t="shared" si="132"/>
        <v>12.249407964535875</v>
      </c>
      <c r="Z138" s="179">
        <f t="shared" si="132"/>
        <v>12.348492210848184</v>
      </c>
      <c r="AA138" s="179">
        <f t="shared" si="132"/>
        <v>12.348492210848184</v>
      </c>
      <c r="AB138" s="179">
        <f t="shared" si="132"/>
        <v>12.348492210848184</v>
      </c>
      <c r="AC138" s="179">
        <f t="shared" si="132"/>
        <v>12.348492210848184</v>
      </c>
      <c r="AD138" s="179">
        <f t="shared" si="132"/>
        <v>12.348492210848184</v>
      </c>
      <c r="AE138" s="179">
        <f t="shared" si="132"/>
        <v>12.348492210848184</v>
      </c>
      <c r="AF138" s="179">
        <f t="shared" si="132"/>
        <v>12.348492210848184</v>
      </c>
      <c r="AG138" s="179">
        <f t="shared" si="132"/>
        <v>12.348492210848184</v>
      </c>
      <c r="AH138" s="179">
        <f t="shared" si="132"/>
        <v>12.348492210848184</v>
      </c>
      <c r="AI138" s="179">
        <f t="shared" si="132"/>
        <v>12.348492210848184</v>
      </c>
      <c r="AJ138" s="179">
        <f t="shared" si="132"/>
        <v>12.348492210848184</v>
      </c>
      <c r="AK138" s="179">
        <f t="shared" si="132"/>
        <v>12.348492210848184</v>
      </c>
      <c r="AL138" s="179">
        <f t="shared" si="132"/>
        <v>12.348492210848184</v>
      </c>
      <c r="AM138" s="197">
        <f t="shared" si="132"/>
        <v>12.348492210848184</v>
      </c>
      <c r="AN138" s="15"/>
      <c r="AO138"/>
      <c r="AP138"/>
      <c r="AQ138"/>
      <c r="AR138"/>
    </row>
    <row r="139" spans="2:49" x14ac:dyDescent="0.25">
      <c r="B139" s="142"/>
      <c r="C139" s="243" t="s">
        <v>68</v>
      </c>
      <c r="D139" s="252" t="s">
        <v>60</v>
      </c>
      <c r="E139" s="252"/>
      <c r="F139" s="222">
        <f>F134</f>
        <v>2.9042988201069311</v>
      </c>
      <c r="G139" s="217" t="s">
        <v>32</v>
      </c>
      <c r="I139" s="15"/>
      <c r="J139"/>
      <c r="K139"/>
      <c r="L139"/>
      <c r="M139"/>
      <c r="N139"/>
      <c r="O139" s="191">
        <f t="shared" ref="O139:AM139" si="133">O134</f>
        <v>2.4786615025080736</v>
      </c>
      <c r="P139" s="182">
        <f t="shared" si="133"/>
        <v>2.5908176420232425</v>
      </c>
      <c r="Q139" s="182">
        <f t="shared" si="133"/>
        <v>2.6988089833065305</v>
      </c>
      <c r="R139" s="182">
        <f t="shared" si="133"/>
        <v>2.8031584118889543</v>
      </c>
      <c r="S139" s="182">
        <f t="shared" si="133"/>
        <v>2.9042988201069311</v>
      </c>
      <c r="T139" s="182">
        <f t="shared" si="133"/>
        <v>3.0025937555120659</v>
      </c>
      <c r="U139" s="182">
        <f t="shared" si="133"/>
        <v>3.0983523396254742</v>
      </c>
      <c r="V139" s="182">
        <f t="shared" si="133"/>
        <v>3.1918402890530242</v>
      </c>
      <c r="W139" s="182">
        <f t="shared" si="133"/>
        <v>3.2832882163656829</v>
      </c>
      <c r="X139" s="182">
        <f t="shared" si="133"/>
        <v>3.3728979894719564</v>
      </c>
      <c r="Y139" s="182">
        <f t="shared" si="133"/>
        <v>3.4608476776433004</v>
      </c>
      <c r="Z139" s="182">
        <f t="shared" si="133"/>
        <v>3.5472954504611498</v>
      </c>
      <c r="AA139" s="182">
        <f t="shared" si="133"/>
        <v>3.6323826887624682</v>
      </c>
      <c r="AB139" s="182">
        <f t="shared" si="133"/>
        <v>3.716236494119697</v>
      </c>
      <c r="AC139" s="182">
        <f t="shared" si="133"/>
        <v>3.798971733327043</v>
      </c>
      <c r="AD139" s="182">
        <f t="shared" si="133"/>
        <v>3.8806927191958942</v>
      </c>
      <c r="AE139" s="182">
        <f t="shared" si="133"/>
        <v>3.9614946038557819</v>
      </c>
      <c r="AF139" s="182">
        <f t="shared" si="133"/>
        <v>4.0414645425696101</v>
      </c>
      <c r="AG139" s="182">
        <f t="shared" si="133"/>
        <v>4.1206826727180061</v>
      </c>
      <c r="AH139" s="182">
        <f t="shared" si="133"/>
        <v>4.1992229426810672</v>
      </c>
      <c r="AI139" s="182">
        <f t="shared" si="133"/>
        <v>4.3545388855877034</v>
      </c>
      <c r="AJ139" s="182">
        <f t="shared" si="133"/>
        <v>4.5079046114449906</v>
      </c>
      <c r="AK139" s="182">
        <f t="shared" si="133"/>
        <v>4.6597493801446364</v>
      </c>
      <c r="AL139" s="182">
        <f t="shared" si="133"/>
        <v>4.8104513470278922</v>
      </c>
      <c r="AM139" s="198">
        <f t="shared" si="133"/>
        <v>4.9603466743431008</v>
      </c>
      <c r="AN139" s="15"/>
      <c r="AO139"/>
      <c r="AP139"/>
      <c r="AQ139"/>
      <c r="AR139"/>
      <c r="AS139"/>
      <c r="AT139"/>
      <c r="AU139"/>
      <c r="AV139"/>
      <c r="AW139"/>
    </row>
    <row r="140" spans="2:49" ht="15.75" thickBot="1" x14ac:dyDescent="0.3">
      <c r="B140" s="143"/>
      <c r="C140" s="249"/>
      <c r="D140" s="237" t="s">
        <v>61</v>
      </c>
      <c r="E140" s="252"/>
      <c r="F140" s="223">
        <f t="shared" ref="F140" si="134">IF(F135&lt;F136,F135,F136)</f>
        <v>5.0704516574513256</v>
      </c>
      <c r="G140" s="130" t="s">
        <v>32</v>
      </c>
      <c r="I140" s="273"/>
      <c r="J140" s="121"/>
      <c r="K140" s="121"/>
      <c r="L140" s="121"/>
      <c r="M140" s="121"/>
      <c r="N140" s="121"/>
      <c r="O140" s="196">
        <f t="shared" ref="O140:AM140" si="135">IF(O135&lt;O136,O135,O136)</f>
        <v>3.7183312154643047</v>
      </c>
      <c r="P140" s="187">
        <f t="shared" si="135"/>
        <v>4.0563613259610607</v>
      </c>
      <c r="Q140" s="187">
        <f t="shared" si="135"/>
        <v>4.3943914364578154</v>
      </c>
      <c r="R140" s="187">
        <f t="shared" si="135"/>
        <v>4.732421546954571</v>
      </c>
      <c r="S140" s="187">
        <f t="shared" si="135"/>
        <v>5.0704516574513256</v>
      </c>
      <c r="T140" s="187">
        <f t="shared" si="135"/>
        <v>5.4084817679480803</v>
      </c>
      <c r="U140" s="187">
        <f t="shared" si="135"/>
        <v>5.746511878444835</v>
      </c>
      <c r="V140" s="187">
        <f t="shared" si="135"/>
        <v>6.0845419889415897</v>
      </c>
      <c r="W140" s="187">
        <f t="shared" si="135"/>
        <v>6.4225720994383453</v>
      </c>
      <c r="X140" s="187">
        <f t="shared" si="135"/>
        <v>6.7606022099351</v>
      </c>
      <c r="Y140" s="187">
        <f t="shared" si="135"/>
        <v>7.0986323204318547</v>
      </c>
      <c r="Z140" s="187">
        <f t="shared" si="135"/>
        <v>7.1560524533357919</v>
      </c>
      <c r="AA140" s="187">
        <f t="shared" si="135"/>
        <v>7.1560524533357919</v>
      </c>
      <c r="AB140" s="187">
        <f t="shared" si="135"/>
        <v>7.1560524533357919</v>
      </c>
      <c r="AC140" s="187">
        <f t="shared" si="135"/>
        <v>7.1560524533357919</v>
      </c>
      <c r="AD140" s="187">
        <f t="shared" si="135"/>
        <v>7.1560524533357919</v>
      </c>
      <c r="AE140" s="187">
        <f t="shared" si="135"/>
        <v>7.1560524533357919</v>
      </c>
      <c r="AF140" s="187">
        <f t="shared" si="135"/>
        <v>7.1560524533357919</v>
      </c>
      <c r="AG140" s="187">
        <f t="shared" si="135"/>
        <v>7.1560524533357919</v>
      </c>
      <c r="AH140" s="187">
        <f t="shared" si="135"/>
        <v>7.1560524533357919</v>
      </c>
      <c r="AI140" s="187">
        <f t="shared" si="135"/>
        <v>7.1560524533357919</v>
      </c>
      <c r="AJ140" s="187">
        <f t="shared" si="135"/>
        <v>7.1560524533357919</v>
      </c>
      <c r="AK140" s="187">
        <f t="shared" si="135"/>
        <v>7.1560524533357919</v>
      </c>
      <c r="AL140" s="187">
        <f t="shared" si="135"/>
        <v>7.1560524533357919</v>
      </c>
      <c r="AM140" s="201">
        <f t="shared" si="135"/>
        <v>7.1560524533357919</v>
      </c>
      <c r="AN140" s="15"/>
      <c r="AO140"/>
      <c r="AP140"/>
      <c r="AQ140"/>
      <c r="AR140"/>
      <c r="AS140"/>
      <c r="AT140"/>
      <c r="AU140"/>
      <c r="AV140"/>
      <c r="AW140"/>
    </row>
    <row r="141" spans="2:49" ht="16.5" thickTop="1" thickBot="1" x14ac:dyDescent="0.3">
      <c r="D141"/>
      <c r="E141"/>
      <c r="G141" s="2"/>
      <c r="H141" s="2"/>
      <c r="I141" s="235">
        <v>50</v>
      </c>
      <c r="J141" s="202">
        <v>60</v>
      </c>
      <c r="K141" s="202">
        <v>70</v>
      </c>
      <c r="L141" s="202">
        <v>80</v>
      </c>
      <c r="M141" s="202">
        <v>90</v>
      </c>
      <c r="N141" s="202">
        <v>100</v>
      </c>
      <c r="O141" s="202">
        <v>110</v>
      </c>
      <c r="P141" s="202">
        <v>120</v>
      </c>
      <c r="Q141" s="202">
        <v>130</v>
      </c>
      <c r="R141" s="202">
        <v>140</v>
      </c>
      <c r="S141" s="202">
        <v>150</v>
      </c>
      <c r="T141" s="202">
        <v>160</v>
      </c>
      <c r="U141" s="202">
        <v>170</v>
      </c>
      <c r="V141" s="202">
        <v>180</v>
      </c>
      <c r="W141" s="202">
        <v>190</v>
      </c>
      <c r="X141" s="202">
        <v>200</v>
      </c>
      <c r="Y141" s="202">
        <v>210</v>
      </c>
      <c r="Z141" s="202">
        <v>220</v>
      </c>
      <c r="AA141" s="202">
        <v>230</v>
      </c>
      <c r="AB141" s="202">
        <v>240</v>
      </c>
      <c r="AC141" s="202">
        <v>250</v>
      </c>
      <c r="AD141" s="202">
        <v>260</v>
      </c>
      <c r="AE141" s="202">
        <v>270</v>
      </c>
      <c r="AF141" s="202">
        <v>280</v>
      </c>
      <c r="AG141" s="202">
        <v>290</v>
      </c>
      <c r="AH141" s="202">
        <v>300</v>
      </c>
      <c r="AI141" s="202">
        <v>320</v>
      </c>
      <c r="AJ141" s="202">
        <v>340</v>
      </c>
      <c r="AK141" s="202">
        <v>360</v>
      </c>
      <c r="AL141" s="202">
        <v>380</v>
      </c>
      <c r="AM141" s="203">
        <v>400</v>
      </c>
      <c r="AN141"/>
      <c r="AO141"/>
      <c r="AP141"/>
      <c r="AQ141"/>
      <c r="AR141"/>
      <c r="AS141"/>
      <c r="AT141"/>
      <c r="AU141"/>
      <c r="AV141"/>
      <c r="AW141"/>
    </row>
    <row r="142" spans="2:49" ht="15.75" thickTop="1" x14ac:dyDescent="0.25">
      <c r="D142"/>
      <c r="E142"/>
      <c r="G142" s="2"/>
      <c r="H142" s="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</row>
    <row r="143" spans="2:49" x14ac:dyDescent="0.25">
      <c r="C143"/>
      <c r="D143"/>
      <c r="E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</row>
    <row r="144" spans="2:49" x14ac:dyDescent="0.25">
      <c r="C144"/>
      <c r="D144"/>
      <c r="E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</row>
    <row r="145" spans="6:6" customFormat="1" x14ac:dyDescent="0.25">
      <c r="F145" s="106"/>
    </row>
    <row r="146" spans="6:6" customFormat="1" x14ac:dyDescent="0.25">
      <c r="F146" s="106"/>
    </row>
    <row r="147" spans="6:6" customFormat="1" x14ac:dyDescent="0.25">
      <c r="F147" s="106"/>
    </row>
    <row r="148" spans="6:6" customFormat="1" x14ac:dyDescent="0.25">
      <c r="F148" s="106"/>
    </row>
    <row r="149" spans="6:6" customFormat="1" x14ac:dyDescent="0.25">
      <c r="F149" s="106"/>
    </row>
    <row r="150" spans="6:6" customFormat="1" x14ac:dyDescent="0.25">
      <c r="F150" s="106"/>
    </row>
    <row r="151" spans="6:6" customFormat="1" x14ac:dyDescent="0.25">
      <c r="F151" s="106"/>
    </row>
    <row r="152" spans="6:6" customFormat="1" x14ac:dyDescent="0.25">
      <c r="F152" s="106"/>
    </row>
    <row r="153" spans="6:6" customFormat="1" x14ac:dyDescent="0.25">
      <c r="F153" s="106"/>
    </row>
    <row r="154" spans="6:6" customFormat="1" x14ac:dyDescent="0.25">
      <c r="F154" s="106"/>
    </row>
    <row r="155" spans="6:6" customFormat="1" x14ac:dyDescent="0.25">
      <c r="F155" s="106"/>
    </row>
    <row r="156" spans="6:6" customFormat="1" x14ac:dyDescent="0.25">
      <c r="F156" s="106"/>
    </row>
    <row r="157" spans="6:6" customFormat="1" x14ac:dyDescent="0.25">
      <c r="F157" s="106"/>
    </row>
    <row r="158" spans="6:6" customFormat="1" x14ac:dyDescent="0.25">
      <c r="F158" s="106"/>
    </row>
    <row r="159" spans="6:6" customFormat="1" x14ac:dyDescent="0.25">
      <c r="F159" s="106"/>
    </row>
    <row r="160" spans="6:6" customFormat="1" x14ac:dyDescent="0.25">
      <c r="F160" s="106"/>
    </row>
    <row r="161" spans="3:49" x14ac:dyDescent="0.25">
      <c r="C161"/>
      <c r="D161"/>
      <c r="E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</row>
    <row r="162" spans="3:49" x14ac:dyDescent="0.25">
      <c r="C162"/>
      <c r="D162"/>
      <c r="E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</row>
    <row r="163" spans="3:49" x14ac:dyDescent="0.25">
      <c r="C163"/>
      <c r="D163"/>
      <c r="E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</row>
    <row r="164" spans="3:49" x14ac:dyDescent="0.25">
      <c r="C164"/>
      <c r="D164"/>
      <c r="E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</row>
    <row r="165" spans="3:49" x14ac:dyDescent="0.25">
      <c r="C165"/>
      <c r="D165"/>
      <c r="E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</row>
    <row r="166" spans="3:49" x14ac:dyDescent="0.25">
      <c r="G166" s="2"/>
      <c r="H166" s="2"/>
    </row>
  </sheetData>
  <sheetProtection algorithmName="SHA-512" hashValue="96xN/XkYRbIPSndztLRwbNZ0Gk6r4FaxHMQn3VjxnurjL5H81GSL3Jg/dIdPmilgdOdKJxj7wZ5AoHeMytBG2Q==" saltValue="jUQaCXulsLwTyprDCxbVMQ==" spinCount="100000" sheet="1" objects="1" scenarios="1" selectLockedCells="1"/>
  <conditionalFormatting sqref="F13">
    <cfRule type="expression" dxfId="344" priority="9" stopIfTrue="1">
      <formula>IF(F13&lt;2,TRUE,FALSE)</formula>
    </cfRule>
    <cfRule type="expression" dxfId="343" priority="10">
      <formula>IF(F13&gt;4.5,TRUE,FALSE)</formula>
    </cfRule>
  </conditionalFormatting>
  <conditionalFormatting sqref="F14">
    <cfRule type="expression" dxfId="342" priority="7" stopIfTrue="1">
      <formula>IF(ABS(F14)&gt;12,TRUE,FALSE)</formula>
    </cfRule>
    <cfRule type="expression" dxfId="341" priority="8">
      <formula>IF(ABS(F14)&lt;8,TRUE,FALSE)</formula>
    </cfRule>
  </conditionalFormatting>
  <conditionalFormatting sqref="F15">
    <cfRule type="expression" dxfId="340" priority="5" stopIfTrue="1">
      <formula>IF(F15&gt;95,TRUE,FALSE)</formula>
    </cfRule>
    <cfRule type="expression" dxfId="339" priority="6">
      <formula>IF(F15&lt;70,TRUE,FALSE)</formula>
    </cfRule>
  </conditionalFormatting>
  <conditionalFormatting sqref="F16">
    <cfRule type="expression" dxfId="338" priority="3" stopIfTrue="1">
      <formula>IF(F16&gt;400,TRUE,FALSE)</formula>
    </cfRule>
    <cfRule type="expression" dxfId="337" priority="4">
      <formula>IF(F16&lt;50,TRUE,FALSE)</formula>
    </cfRule>
  </conditionalFormatting>
  <conditionalFormatting sqref="F17">
    <cfRule type="cellIs" dxfId="336" priority="698" operator="lessThan">
      <formula>3</formula>
    </cfRule>
    <cfRule type="cellIs" dxfId="335" priority="699" operator="lessThanOrEqual">
      <formula>20</formula>
    </cfRule>
    <cfRule type="cellIs" dxfId="334" priority="700" operator="lessThanOrEqual">
      <formula>30</formula>
    </cfRule>
    <cfRule type="cellIs" dxfId="333" priority="701" operator="lessThanOrEqual">
      <formula>40</formula>
    </cfRule>
    <cfRule type="cellIs" dxfId="332" priority="702" operator="greaterThan">
      <formula>40</formula>
    </cfRule>
  </conditionalFormatting>
  <conditionalFormatting sqref="F18">
    <cfRule type="cellIs" dxfId="331" priority="530" operator="equal">
      <formula>"&lt;15"</formula>
    </cfRule>
    <cfRule type="cellIs" dxfId="330" priority="531" operator="lessThanOrEqual">
      <formula>40</formula>
    </cfRule>
    <cfRule type="cellIs" dxfId="329" priority="532" operator="lessThanOrEqual">
      <formula>45</formula>
    </cfRule>
    <cfRule type="cellIs" dxfId="328" priority="533" operator="lessThanOrEqual">
      <formula>50</formula>
    </cfRule>
    <cfRule type="cellIs" dxfId="327" priority="534" operator="greaterThan">
      <formula>50</formula>
    </cfRule>
  </conditionalFormatting>
  <conditionalFormatting sqref="F19">
    <cfRule type="cellIs" dxfId="326" priority="693" operator="equal">
      <formula>"&lt;5"</formula>
    </cfRule>
    <cfRule type="cellIs" dxfId="325" priority="694" operator="lessThanOrEqual">
      <formula>25</formula>
    </cfRule>
    <cfRule type="cellIs" dxfId="324" priority="695" operator="lessThanOrEqual">
      <formula>30</formula>
    </cfRule>
    <cfRule type="cellIs" dxfId="323" priority="696" operator="lessThanOrEqual">
      <formula>35</formula>
    </cfRule>
    <cfRule type="cellIs" dxfId="322" priority="697" operator="greaterThan">
      <formula>35</formula>
    </cfRule>
  </conditionalFormatting>
  <conditionalFormatting sqref="F26">
    <cfRule type="expression" dxfId="321" priority="45">
      <formula>IF(F26&gt;$F$13,TRUE,FALSE)</formula>
    </cfRule>
  </conditionalFormatting>
  <conditionalFormatting sqref="F27:F30">
    <cfRule type="expression" dxfId="320" priority="73">
      <formula>$F$17&gt;50</formula>
    </cfRule>
    <cfRule type="expression" dxfId="319" priority="74">
      <formula>$F$17&lt;3</formula>
    </cfRule>
  </conditionalFormatting>
  <conditionalFormatting sqref="F34:F37">
    <cfRule type="expression" dxfId="318" priority="63">
      <formula>$F$17&gt;50</formula>
    </cfRule>
    <cfRule type="expression" dxfId="317" priority="64">
      <formula>$F$17&lt;3</formula>
    </cfRule>
  </conditionalFormatting>
  <conditionalFormatting sqref="F44:F47">
    <cfRule type="expression" dxfId="316" priority="65">
      <formula>$F$17&gt;50</formula>
    </cfRule>
    <cfRule type="expression" dxfId="315" priority="66">
      <formula>$F$17&lt;3</formula>
    </cfRule>
  </conditionalFormatting>
  <conditionalFormatting sqref="F48">
    <cfRule type="cellIs" dxfId="314" priority="119" operator="lessThan">
      <formula>3</formula>
    </cfRule>
    <cfRule type="cellIs" dxfId="313" priority="120" operator="lessThanOrEqual">
      <formula>20</formula>
    </cfRule>
    <cfRule type="cellIs" dxfId="312" priority="121" operator="lessThanOrEqual">
      <formula>30</formula>
    </cfRule>
    <cfRule type="cellIs" dxfId="311" priority="122" operator="lessThanOrEqual">
      <formula>40</formula>
    </cfRule>
    <cfRule type="cellIs" dxfId="310" priority="123" operator="greaterThan">
      <formula>40</formula>
    </cfRule>
  </conditionalFormatting>
  <conditionalFormatting sqref="F49">
    <cfRule type="cellIs" dxfId="309" priority="89" operator="equal">
      <formula>"&lt;15"</formula>
    </cfRule>
    <cfRule type="cellIs" dxfId="308" priority="90" operator="lessThanOrEqual">
      <formula>40</formula>
    </cfRule>
    <cfRule type="cellIs" dxfId="307" priority="91" operator="lessThanOrEqual">
      <formula>45</formula>
    </cfRule>
    <cfRule type="cellIs" dxfId="306" priority="92" operator="lessThanOrEqual">
      <formula>50</formula>
    </cfRule>
    <cfRule type="cellIs" dxfId="305" priority="93" operator="greaterThan">
      <formula>50</formula>
    </cfRule>
  </conditionalFormatting>
  <conditionalFormatting sqref="F50">
    <cfRule type="cellIs" dxfId="304" priority="114" operator="equal">
      <formula>"&lt;5"</formula>
    </cfRule>
    <cfRule type="cellIs" dxfId="303" priority="115" operator="lessThanOrEqual">
      <formula>25</formula>
    </cfRule>
    <cfRule type="cellIs" dxfId="302" priority="116" operator="lessThanOrEqual">
      <formula>30</formula>
    </cfRule>
    <cfRule type="cellIs" dxfId="301" priority="117" operator="lessThanOrEqual">
      <formula>35</formula>
    </cfRule>
    <cfRule type="cellIs" dxfId="300" priority="118" operator="greaterThan">
      <formula>35</formula>
    </cfRule>
  </conditionalFormatting>
  <conditionalFormatting sqref="F57">
    <cfRule type="expression" dxfId="299" priority="46">
      <formula>IF(F57&gt;$F$13,TRUE,FALSE)</formula>
    </cfRule>
  </conditionalFormatting>
  <conditionalFormatting sqref="F58:F78">
    <cfRule type="expression" dxfId="298" priority="61">
      <formula>$F$48&gt;50</formula>
    </cfRule>
    <cfRule type="expression" dxfId="297" priority="62">
      <formula>$F$48&lt;3</formula>
    </cfRule>
  </conditionalFormatting>
  <conditionalFormatting sqref="F79">
    <cfRule type="cellIs" dxfId="296" priority="109" operator="lessThan">
      <formula>3</formula>
    </cfRule>
    <cfRule type="cellIs" dxfId="295" priority="110" operator="lessThanOrEqual">
      <formula>20</formula>
    </cfRule>
    <cfRule type="cellIs" dxfId="294" priority="111" operator="lessThanOrEqual">
      <formula>30</formula>
    </cfRule>
    <cfRule type="cellIs" dxfId="293" priority="112" operator="lessThanOrEqual">
      <formula>40</formula>
    </cfRule>
    <cfRule type="cellIs" dxfId="292" priority="113" operator="greaterThan">
      <formula>40</formula>
    </cfRule>
  </conditionalFormatting>
  <conditionalFormatting sqref="F80">
    <cfRule type="cellIs" dxfId="291" priority="84" operator="equal">
      <formula>"&lt;15"</formula>
    </cfRule>
    <cfRule type="cellIs" dxfId="290" priority="85" operator="lessThanOrEqual">
      <formula>40</formula>
    </cfRule>
    <cfRule type="cellIs" dxfId="289" priority="86" operator="lessThanOrEqual">
      <formula>45</formula>
    </cfRule>
    <cfRule type="cellIs" dxfId="288" priority="87" operator="lessThanOrEqual">
      <formula>50</formula>
    </cfRule>
    <cfRule type="cellIs" dxfId="287" priority="88" operator="greaterThan">
      <formula>50</formula>
    </cfRule>
  </conditionalFormatting>
  <conditionalFormatting sqref="F81">
    <cfRule type="cellIs" dxfId="286" priority="104" operator="equal">
      <formula>"&lt;5"</formula>
    </cfRule>
    <cfRule type="cellIs" dxfId="285" priority="105" operator="lessThanOrEqual">
      <formula>25</formula>
    </cfRule>
    <cfRule type="cellIs" dxfId="284" priority="106" operator="lessThanOrEqual">
      <formula>30</formula>
    </cfRule>
    <cfRule type="cellIs" dxfId="283" priority="107" operator="lessThanOrEqual">
      <formula>35</formula>
    </cfRule>
    <cfRule type="cellIs" dxfId="282" priority="108" operator="greaterThan">
      <formula>35</formula>
    </cfRule>
  </conditionalFormatting>
  <conditionalFormatting sqref="F88">
    <cfRule type="expression" dxfId="281" priority="48">
      <formula>IF(F88&gt;$F$13,TRUE,FALSE)</formula>
    </cfRule>
  </conditionalFormatting>
  <conditionalFormatting sqref="F89:F92">
    <cfRule type="expression" dxfId="280" priority="59">
      <formula>$F$79&gt;50</formula>
    </cfRule>
    <cfRule type="expression" dxfId="279" priority="60">
      <formula>$F$79&lt;3</formula>
    </cfRule>
  </conditionalFormatting>
  <conditionalFormatting sqref="F96:F99">
    <cfRule type="expression" dxfId="278" priority="57">
      <formula>$F$79&gt;50</formula>
    </cfRule>
    <cfRule type="expression" dxfId="277" priority="58">
      <formula>$F$79&lt;3</formula>
    </cfRule>
  </conditionalFormatting>
  <conditionalFormatting sqref="F106:F109">
    <cfRule type="expression" dxfId="276" priority="55">
      <formula>$F$79&gt;50</formula>
    </cfRule>
    <cfRule type="expression" dxfId="275" priority="56">
      <formula>$F$79&lt;3</formula>
    </cfRule>
  </conditionalFormatting>
  <conditionalFormatting sqref="F110">
    <cfRule type="cellIs" dxfId="274" priority="99" operator="lessThan">
      <formula>3</formula>
    </cfRule>
    <cfRule type="cellIs" dxfId="273" priority="100" operator="lessThanOrEqual">
      <formula>20</formula>
    </cfRule>
    <cfRule type="cellIs" dxfId="272" priority="101" operator="lessThanOrEqual">
      <formula>30</formula>
    </cfRule>
    <cfRule type="cellIs" dxfId="271" priority="102" operator="lessThanOrEqual">
      <formula>40</formula>
    </cfRule>
    <cfRule type="cellIs" dxfId="270" priority="103" operator="greaterThan">
      <formula>40</formula>
    </cfRule>
  </conditionalFormatting>
  <conditionalFormatting sqref="F111">
    <cfRule type="cellIs" dxfId="269" priority="79" operator="equal">
      <formula>"&lt;15"</formula>
    </cfRule>
    <cfRule type="cellIs" dxfId="268" priority="80" operator="lessThanOrEqual">
      <formula>40</formula>
    </cfRule>
    <cfRule type="cellIs" dxfId="267" priority="81" operator="lessThanOrEqual">
      <formula>45</formula>
    </cfRule>
    <cfRule type="cellIs" dxfId="266" priority="82" operator="lessThanOrEqual">
      <formula>50</formula>
    </cfRule>
    <cfRule type="cellIs" dxfId="265" priority="83" operator="greaterThan">
      <formula>50</formula>
    </cfRule>
  </conditionalFormatting>
  <conditionalFormatting sqref="F112">
    <cfRule type="cellIs" dxfId="264" priority="94" operator="equal">
      <formula>"&lt;5"</formula>
    </cfRule>
    <cfRule type="cellIs" dxfId="263" priority="95" operator="lessThanOrEqual">
      <formula>25</formula>
    </cfRule>
    <cfRule type="cellIs" dxfId="262" priority="96" operator="lessThanOrEqual">
      <formula>30</formula>
    </cfRule>
    <cfRule type="cellIs" dxfId="261" priority="97" operator="lessThanOrEqual">
      <formula>35</formula>
    </cfRule>
    <cfRule type="cellIs" dxfId="260" priority="98" operator="greaterThan">
      <formula>35</formula>
    </cfRule>
  </conditionalFormatting>
  <conditionalFormatting sqref="F119">
    <cfRule type="expression" dxfId="259" priority="47">
      <formula>IF(F119&gt;$F$13,TRUE,FALSE)</formula>
    </cfRule>
  </conditionalFormatting>
  <conditionalFormatting sqref="F120:F123">
    <cfRule type="expression" dxfId="258" priority="53">
      <formula>$F$110&gt;50</formula>
    </cfRule>
    <cfRule type="expression" dxfId="257" priority="54">
      <formula>$F$110&lt;3</formula>
    </cfRule>
  </conditionalFormatting>
  <conditionalFormatting sqref="F127:F130">
    <cfRule type="expression" dxfId="256" priority="51">
      <formula>$F$110&gt;50</formula>
    </cfRule>
    <cfRule type="expression" dxfId="255" priority="52">
      <formula>$F$110&lt;3</formula>
    </cfRule>
  </conditionalFormatting>
  <conditionalFormatting sqref="F137:F140">
    <cfRule type="expression" dxfId="254" priority="49">
      <formula>$F$110&gt;50</formula>
    </cfRule>
    <cfRule type="expression" dxfId="253" priority="50">
      <formula>$F$110&lt;3</formula>
    </cfRule>
  </conditionalFormatting>
  <conditionalFormatting sqref="I17:V17">
    <cfRule type="cellIs" dxfId="252" priority="570" operator="lessThan">
      <formula>3</formula>
    </cfRule>
    <cfRule type="cellIs" dxfId="251" priority="571" operator="lessThanOrEqual">
      <formula>20</formula>
    </cfRule>
    <cfRule type="cellIs" dxfId="250" priority="572" operator="lessThanOrEqual">
      <formula>30</formula>
    </cfRule>
    <cfRule type="cellIs" dxfId="249" priority="573" operator="lessThanOrEqual">
      <formula>40</formula>
    </cfRule>
    <cfRule type="cellIs" dxfId="248" priority="574" operator="greaterThan">
      <formula>40</formula>
    </cfRule>
  </conditionalFormatting>
  <conditionalFormatting sqref="I18:V18">
    <cfRule type="cellIs" dxfId="247" priority="525" operator="equal">
      <formula>"&lt;15"</formula>
    </cfRule>
    <cfRule type="cellIs" dxfId="246" priority="526" operator="lessThanOrEqual">
      <formula>40</formula>
    </cfRule>
    <cfRule type="cellIs" dxfId="245" priority="527" operator="lessThanOrEqual">
      <formula>45</formula>
    </cfRule>
    <cfRule type="cellIs" dxfId="244" priority="528" operator="lessThanOrEqual">
      <formula>50</formula>
    </cfRule>
    <cfRule type="cellIs" dxfId="243" priority="529" operator="greaterThan">
      <formula>50</formula>
    </cfRule>
  </conditionalFormatting>
  <conditionalFormatting sqref="I19:V19">
    <cfRule type="cellIs" dxfId="242" priority="565" operator="equal">
      <formula>"&lt;5"</formula>
    </cfRule>
    <cfRule type="cellIs" dxfId="241" priority="566" operator="lessThanOrEqual">
      <formula>25</formula>
    </cfRule>
    <cfRule type="cellIs" dxfId="240" priority="567" operator="lessThanOrEqual">
      <formula>30</formula>
    </cfRule>
    <cfRule type="cellIs" dxfId="239" priority="568" operator="lessThanOrEqual">
      <formula>35</formula>
    </cfRule>
    <cfRule type="cellIs" dxfId="238" priority="569" operator="greaterThan">
      <formula>35</formula>
    </cfRule>
  </conditionalFormatting>
  <conditionalFormatting sqref="I27:V30">
    <cfRule type="expression" dxfId="237" priority="39">
      <formula>$F$17&gt;50</formula>
    </cfRule>
    <cfRule type="expression" dxfId="236" priority="40">
      <formula>$F$17&lt;3</formula>
    </cfRule>
  </conditionalFormatting>
  <conditionalFormatting sqref="I34:V37">
    <cfRule type="expression" dxfId="235" priority="29">
      <formula>$F$17&gt;50</formula>
    </cfRule>
    <cfRule type="expression" dxfId="234" priority="30">
      <formula>$F$17&lt;3</formula>
    </cfRule>
  </conditionalFormatting>
  <conditionalFormatting sqref="I44:V47">
    <cfRule type="expression" dxfId="233" priority="31">
      <formula>$F$17&gt;50</formula>
    </cfRule>
    <cfRule type="expression" dxfId="232" priority="32">
      <formula>$F$17&lt;3</formula>
    </cfRule>
  </conditionalFormatting>
  <conditionalFormatting sqref="K48:AC48">
    <cfRule type="cellIs" dxfId="231" priority="560" operator="lessThan">
      <formula>3</formula>
    </cfRule>
    <cfRule type="cellIs" dxfId="230" priority="561" operator="lessThanOrEqual">
      <formula>20</formula>
    </cfRule>
    <cfRule type="cellIs" dxfId="229" priority="562" operator="lessThanOrEqual">
      <formula>30</formula>
    </cfRule>
    <cfRule type="cellIs" dxfId="228" priority="563" operator="lessThanOrEqual">
      <formula>40</formula>
    </cfRule>
    <cfRule type="cellIs" dxfId="227" priority="564" operator="greaterThan">
      <formula>40</formula>
    </cfRule>
  </conditionalFormatting>
  <conditionalFormatting sqref="K49:AC49">
    <cfRule type="cellIs" dxfId="226" priority="515" operator="equal">
      <formula>"&lt;15"</formula>
    </cfRule>
    <cfRule type="cellIs" dxfId="225" priority="516" operator="lessThanOrEqual">
      <formula>40</formula>
    </cfRule>
    <cfRule type="cellIs" dxfId="224" priority="517" operator="lessThanOrEqual">
      <formula>45</formula>
    </cfRule>
    <cfRule type="cellIs" dxfId="223" priority="518" operator="lessThanOrEqual">
      <formula>50</formula>
    </cfRule>
    <cfRule type="cellIs" dxfId="222" priority="519" operator="greaterThan">
      <formula>50</formula>
    </cfRule>
  </conditionalFormatting>
  <conditionalFormatting sqref="K50:AC50">
    <cfRule type="cellIs" dxfId="221" priority="555" operator="equal">
      <formula>"&lt;5"</formula>
    </cfRule>
    <cfRule type="cellIs" dxfId="220" priority="556" operator="lessThanOrEqual">
      <formula>25</formula>
    </cfRule>
    <cfRule type="cellIs" dxfId="219" priority="557" operator="lessThanOrEqual">
      <formula>30</formula>
    </cfRule>
    <cfRule type="cellIs" dxfId="218" priority="558" operator="lessThanOrEqual">
      <formula>35</formula>
    </cfRule>
    <cfRule type="cellIs" dxfId="217" priority="559" operator="greaterThan">
      <formula>35</formula>
    </cfRule>
  </conditionalFormatting>
  <conditionalFormatting sqref="K58:AC78">
    <cfRule type="expression" dxfId="216" priority="26">
      <formula>$F$48&gt;50</formula>
    </cfRule>
    <cfRule type="expression" dxfId="215" priority="27">
      <formula>$F$48&lt;3</formula>
    </cfRule>
  </conditionalFormatting>
  <conditionalFormatting sqref="M79:AI79">
    <cfRule type="cellIs" dxfId="214" priority="550" operator="lessThan">
      <formula>3</formula>
    </cfRule>
    <cfRule type="cellIs" dxfId="213" priority="551" operator="lessThanOrEqual">
      <formula>20</formula>
    </cfRule>
    <cfRule type="cellIs" dxfId="212" priority="552" operator="lessThanOrEqual">
      <formula>30</formula>
    </cfRule>
    <cfRule type="cellIs" dxfId="211" priority="553" operator="lessThanOrEqual">
      <formula>40</formula>
    </cfRule>
    <cfRule type="cellIs" dxfId="210" priority="554" operator="greaterThan">
      <formula>40</formula>
    </cfRule>
  </conditionalFormatting>
  <conditionalFormatting sqref="M80:AI80">
    <cfRule type="cellIs" dxfId="209" priority="505" operator="equal">
      <formula>"&lt;15"</formula>
    </cfRule>
    <cfRule type="cellIs" dxfId="208" priority="506" operator="lessThanOrEqual">
      <formula>40</formula>
    </cfRule>
    <cfRule type="cellIs" dxfId="207" priority="507" operator="lessThanOrEqual">
      <formula>45</formula>
    </cfRule>
    <cfRule type="cellIs" dxfId="206" priority="508" operator="lessThanOrEqual">
      <formula>50</formula>
    </cfRule>
    <cfRule type="cellIs" dxfId="205" priority="509" operator="greaterThan">
      <formula>50</formula>
    </cfRule>
  </conditionalFormatting>
  <conditionalFormatting sqref="M81:AI81">
    <cfRule type="cellIs" dxfId="204" priority="545" operator="equal">
      <formula>"&lt;5"</formula>
    </cfRule>
    <cfRule type="cellIs" dxfId="203" priority="546" operator="lessThanOrEqual">
      <formula>25</formula>
    </cfRule>
    <cfRule type="cellIs" dxfId="202" priority="547" operator="lessThanOrEqual">
      <formula>30</formula>
    </cfRule>
    <cfRule type="cellIs" dxfId="201" priority="548" operator="lessThanOrEqual">
      <formula>35</formula>
    </cfRule>
    <cfRule type="cellIs" dxfId="200" priority="549" operator="greaterThan">
      <formula>35</formula>
    </cfRule>
  </conditionalFormatting>
  <conditionalFormatting sqref="M89:AI92">
    <cfRule type="expression" dxfId="199" priority="23">
      <formula>$F$79&gt;50</formula>
    </cfRule>
    <cfRule type="expression" dxfId="198" priority="24">
      <formula>$F$79&lt;3</formula>
    </cfRule>
  </conditionalFormatting>
  <conditionalFormatting sqref="M96:AI99">
    <cfRule type="expression" dxfId="197" priority="21">
      <formula>$F$79&gt;50</formula>
    </cfRule>
    <cfRule type="expression" dxfId="196" priority="22">
      <formula>$F$79&lt;3</formula>
    </cfRule>
  </conditionalFormatting>
  <conditionalFormatting sqref="M106:AI109">
    <cfRule type="expression" dxfId="195" priority="19">
      <formula>$F$79&gt;50</formula>
    </cfRule>
    <cfRule type="expression" dxfId="194" priority="20">
      <formula>$F$79&lt;3</formula>
    </cfRule>
  </conditionalFormatting>
  <conditionalFormatting sqref="O110:AM110">
    <cfRule type="cellIs" dxfId="193" priority="540" operator="lessThan">
      <formula>3</formula>
    </cfRule>
    <cfRule type="cellIs" dxfId="192" priority="541" operator="lessThanOrEqual">
      <formula>20</formula>
    </cfRule>
    <cfRule type="cellIs" dxfId="191" priority="542" operator="lessThanOrEqual">
      <formula>30</formula>
    </cfRule>
    <cfRule type="cellIs" dxfId="190" priority="543" operator="lessThanOrEqual">
      <formula>40</formula>
    </cfRule>
    <cfRule type="cellIs" dxfId="189" priority="544" operator="greaterThan">
      <formula>40</formula>
    </cfRule>
  </conditionalFormatting>
  <conditionalFormatting sqref="O111:AM111">
    <cfRule type="cellIs" dxfId="188" priority="495" operator="equal">
      <formula>"&lt;15"</formula>
    </cfRule>
    <cfRule type="cellIs" dxfId="187" priority="496" operator="lessThanOrEqual">
      <formula>40</formula>
    </cfRule>
    <cfRule type="cellIs" dxfId="186" priority="497" operator="lessThanOrEqual">
      <formula>45</formula>
    </cfRule>
    <cfRule type="cellIs" dxfId="185" priority="498" operator="lessThanOrEqual">
      <formula>50</formula>
    </cfRule>
    <cfRule type="cellIs" dxfId="184" priority="499" operator="greaterThan">
      <formula>50</formula>
    </cfRule>
  </conditionalFormatting>
  <conditionalFormatting sqref="O112:AM112">
    <cfRule type="cellIs" dxfId="183" priority="535" operator="equal">
      <formula>"&lt;5"</formula>
    </cfRule>
    <cfRule type="cellIs" dxfId="182" priority="536" operator="lessThanOrEqual">
      <formula>25</formula>
    </cfRule>
    <cfRule type="cellIs" dxfId="181" priority="537" operator="lessThanOrEqual">
      <formula>30</formula>
    </cfRule>
    <cfRule type="cellIs" dxfId="180" priority="538" operator="lessThanOrEqual">
      <formula>35</formula>
    </cfRule>
    <cfRule type="cellIs" dxfId="179" priority="539" operator="greaterThan">
      <formula>35</formula>
    </cfRule>
  </conditionalFormatting>
  <conditionalFormatting sqref="O120:AM123">
    <cfRule type="expression" dxfId="178" priority="16">
      <formula>$F$110&gt;50</formula>
    </cfRule>
    <cfRule type="expression" dxfId="177" priority="17">
      <formula>$F$110&lt;3</formula>
    </cfRule>
  </conditionalFormatting>
  <conditionalFormatting sqref="O127:AM130">
    <cfRule type="expression" dxfId="176" priority="14">
      <formula>$F$110&gt;50</formula>
    </cfRule>
    <cfRule type="expression" dxfId="175" priority="15">
      <formula>$F$110&lt;3</formula>
    </cfRule>
  </conditionalFormatting>
  <conditionalFormatting sqref="O137:AM140">
    <cfRule type="expression" dxfId="174" priority="12">
      <formula>$F$110&gt;50</formula>
    </cfRule>
    <cfRule type="expression" dxfId="173" priority="13">
      <formula>$F$110&lt;3</formula>
    </cfRule>
  </conditionalFormatting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7171" r:id="rId4">
          <objectPr defaultSize="0" autoPict="0" r:id="rId5">
            <anchor moveWithCells="1">
              <from>
                <xdr:col>3</xdr:col>
                <xdr:colOff>28575</xdr:colOff>
                <xdr:row>15</xdr:row>
                <xdr:rowOff>19050</xdr:rowOff>
              </from>
              <to>
                <xdr:col>3</xdr:col>
                <xdr:colOff>152400</xdr:colOff>
                <xdr:row>15</xdr:row>
                <xdr:rowOff>180975</xdr:rowOff>
              </to>
            </anchor>
          </objectPr>
        </oleObject>
      </mc:Choice>
      <mc:Fallback>
        <oleObject progId="Equation.3" shapeId="7171" r:id="rId4"/>
      </mc:Fallback>
    </mc:AlternateContent>
    <mc:AlternateContent xmlns:mc="http://schemas.openxmlformats.org/markup-compatibility/2006">
      <mc:Choice Requires="x14">
        <oleObject progId="Equation.3" shapeId="7172" r:id="rId6">
          <objectPr defaultSize="0" autoPict="0" r:id="rId5">
            <anchor moveWithCells="1">
              <from>
                <xdr:col>3</xdr:col>
                <xdr:colOff>28575</xdr:colOff>
                <xdr:row>15</xdr:row>
                <xdr:rowOff>19050</xdr:rowOff>
              </from>
              <to>
                <xdr:col>3</xdr:col>
                <xdr:colOff>152400</xdr:colOff>
                <xdr:row>15</xdr:row>
                <xdr:rowOff>180975</xdr:rowOff>
              </to>
            </anchor>
          </objectPr>
        </oleObject>
      </mc:Choice>
      <mc:Fallback>
        <oleObject progId="Equation.3" shapeId="7172" r:id="rId6"/>
      </mc:Fallback>
    </mc:AlternateContent>
    <mc:AlternateContent xmlns:mc="http://schemas.openxmlformats.org/markup-compatibility/2006">
      <mc:Choice Requires="x14">
        <oleObject progId="Equation.3" shapeId="7173" r:id="rId7">
          <objectPr defaultSize="0" autoPict="0" r:id="rId5">
            <anchor moveWithCells="1">
              <from>
                <xdr:col>3</xdr:col>
                <xdr:colOff>28575</xdr:colOff>
                <xdr:row>15</xdr:row>
                <xdr:rowOff>19050</xdr:rowOff>
              </from>
              <to>
                <xdr:col>3</xdr:col>
                <xdr:colOff>152400</xdr:colOff>
                <xdr:row>15</xdr:row>
                <xdr:rowOff>180975</xdr:rowOff>
              </to>
            </anchor>
          </objectPr>
        </oleObject>
      </mc:Choice>
      <mc:Fallback>
        <oleObject progId="Equation.3" shapeId="7173" r:id="rId7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0"/>
  <dimension ref="A1:AW166"/>
  <sheetViews>
    <sheetView workbookViewId="0"/>
  </sheetViews>
  <sheetFormatPr defaultColWidth="8.7109375" defaultRowHeight="15" x14ac:dyDescent="0.25"/>
  <cols>
    <col min="1" max="1" width="2.7109375" customWidth="1"/>
    <col min="3" max="3" width="8.7109375" customWidth="1"/>
    <col min="4" max="4" width="12.5703125" customWidth="1"/>
    <col min="5" max="5" width="12.5703125" hidden="1" customWidth="1"/>
    <col min="6" max="6" width="0" hidden="1" customWidth="1"/>
    <col min="7" max="8" width="5.28515625" hidden="1" customWidth="1"/>
    <col min="9" max="37" width="5" style="3" customWidth="1"/>
    <col min="38" max="45" width="5" style="2" customWidth="1"/>
  </cols>
  <sheetData>
    <row r="1" spans="1:45" ht="15.75" thickBot="1" x14ac:dyDescent="0.3"/>
    <row r="2" spans="1:45" hidden="1" x14ac:dyDescent="0.25">
      <c r="C2" s="2" t="s">
        <v>62</v>
      </c>
      <c r="D2" s="43" t="s">
        <v>69</v>
      </c>
      <c r="E2" s="43"/>
      <c r="F2" s="93">
        <v>7</v>
      </c>
      <c r="G2" s="260"/>
      <c r="H2" s="260"/>
    </row>
    <row r="3" spans="1:45" hidden="1" x14ac:dyDescent="0.25">
      <c r="C3" s="2"/>
      <c r="D3" s="43" t="s">
        <v>70</v>
      </c>
      <c r="E3" s="43"/>
      <c r="F3" s="93">
        <v>21</v>
      </c>
      <c r="G3" s="260"/>
      <c r="H3" s="260"/>
    </row>
    <row r="4" spans="1:45" hidden="1" x14ac:dyDescent="0.25">
      <c r="C4" s="2"/>
      <c r="D4" s="43" t="s">
        <v>78</v>
      </c>
      <c r="E4" s="43"/>
      <c r="F4" s="93">
        <f>SQRT(ABS(12/F14))</f>
        <v>1</v>
      </c>
      <c r="G4" s="260" t="s">
        <v>85</v>
      </c>
      <c r="H4" s="260"/>
    </row>
    <row r="5" spans="1:45" hidden="1" x14ac:dyDescent="0.25">
      <c r="C5" s="2"/>
      <c r="D5" s="43" t="s">
        <v>81</v>
      </c>
      <c r="E5" s="43"/>
      <c r="F5" s="93">
        <f>SQRT(1.209*F13^-0.199)</f>
        <v>1.0037328076321883</v>
      </c>
      <c r="G5" s="260" t="s">
        <v>86</v>
      </c>
      <c r="H5" s="260"/>
    </row>
    <row r="6" spans="1:45" hidden="1" x14ac:dyDescent="0.25">
      <c r="C6" s="2"/>
      <c r="D6" s="43" t="s">
        <v>82</v>
      </c>
      <c r="E6" s="43"/>
      <c r="F6" s="93">
        <f>SQRT(2.5/F13)</f>
        <v>1</v>
      </c>
      <c r="G6" s="260" t="s">
        <v>87</v>
      </c>
      <c r="H6" s="260"/>
    </row>
    <row r="7" spans="1:45" hidden="1" x14ac:dyDescent="0.25">
      <c r="C7" s="2"/>
      <c r="D7" s="43" t="s">
        <v>83</v>
      </c>
      <c r="E7" s="43"/>
      <c r="F7" s="277">
        <f>SQRT(195/145)</f>
        <v>1.1596670152276025</v>
      </c>
      <c r="G7" s="260" t="s">
        <v>84</v>
      </c>
      <c r="H7" s="260"/>
    </row>
    <row r="8" spans="1:45" hidden="1" x14ac:dyDescent="0.25">
      <c r="C8" s="2"/>
      <c r="D8" s="43" t="s">
        <v>91</v>
      </c>
      <c r="E8" s="43"/>
      <c r="F8" s="277">
        <f>SQRT(19.92*F9^2.153)</f>
        <v>0.94595466606773282</v>
      </c>
      <c r="G8" s="260" t="s">
        <v>92</v>
      </c>
      <c r="H8" s="260"/>
    </row>
    <row r="9" spans="1:45" hidden="1" x14ac:dyDescent="0.25">
      <c r="C9" s="2"/>
      <c r="D9" s="43" t="s">
        <v>52</v>
      </c>
      <c r="E9" s="43"/>
      <c r="F9" s="276">
        <f>0.679-4.915*10^-3*F15</f>
        <v>0.23665000000000003</v>
      </c>
      <c r="G9" s="260" t="s">
        <v>90</v>
      </c>
      <c r="H9" s="260"/>
    </row>
    <row r="10" spans="1:45" hidden="1" x14ac:dyDescent="0.25">
      <c r="C10" s="2"/>
      <c r="D10" s="43" t="s">
        <v>94</v>
      </c>
      <c r="E10" s="43"/>
      <c r="F10" s="277">
        <v>1.9</v>
      </c>
      <c r="G10" s="260"/>
      <c r="H10" s="260"/>
    </row>
    <row r="11" spans="1:45" ht="15.75" hidden="1" thickBot="1" x14ac:dyDescent="0.3">
      <c r="C11" s="2"/>
      <c r="D11" s="13"/>
      <c r="E11" s="13"/>
      <c r="G11" s="260"/>
      <c r="H11" s="260"/>
    </row>
    <row r="12" spans="1:45" ht="16.5" hidden="1" thickTop="1" thickBot="1" x14ac:dyDescent="0.3">
      <c r="C12" s="2"/>
      <c r="D12" s="13"/>
      <c r="E12" s="13"/>
      <c r="F12" s="240" t="s">
        <v>41</v>
      </c>
    </row>
    <row r="13" spans="1:45" ht="16.5" hidden="1" thickTop="1" thickBot="1" x14ac:dyDescent="0.3">
      <c r="C13" s="2"/>
      <c r="E13" s="125" t="s">
        <v>54</v>
      </c>
      <c r="F13" s="376">
        <v>2.5</v>
      </c>
      <c r="G13" s="152" t="s">
        <v>32</v>
      </c>
      <c r="H13" s="123" t="s">
        <v>102</v>
      </c>
      <c r="M13" s="122"/>
    </row>
    <row r="14" spans="1:45" ht="16.5" thickTop="1" thickBot="1" x14ac:dyDescent="0.3">
      <c r="B14" s="299" t="s">
        <v>63</v>
      </c>
      <c r="C14" s="139" t="s">
        <v>115</v>
      </c>
      <c r="E14" s="132" t="s">
        <v>53</v>
      </c>
      <c r="F14" s="364">
        <v>-12</v>
      </c>
      <c r="G14" s="153" t="s">
        <v>34</v>
      </c>
      <c r="H14" s="123" t="s">
        <v>100</v>
      </c>
    </row>
    <row r="15" spans="1:45" ht="16.5" thickTop="1" thickBot="1" x14ac:dyDescent="0.3">
      <c r="A15" s="2"/>
      <c r="B15" s="300" t="s">
        <v>64</v>
      </c>
      <c r="C15" s="242" t="s">
        <v>33</v>
      </c>
      <c r="D15" s="241" t="s">
        <v>154</v>
      </c>
      <c r="E15" s="13" t="s">
        <v>88</v>
      </c>
      <c r="F15" s="372">
        <v>90</v>
      </c>
      <c r="G15" s="153" t="s">
        <v>89</v>
      </c>
      <c r="H15" s="123" t="s">
        <v>101</v>
      </c>
    </row>
    <row r="16" spans="1:45" ht="16.5" thickTop="1" thickBot="1" x14ac:dyDescent="0.3">
      <c r="B16" s="301" t="s">
        <v>96</v>
      </c>
      <c r="C16" s="298">
        <v>1455</v>
      </c>
      <c r="D16" s="498" t="s">
        <v>55</v>
      </c>
      <c r="F16" s="372">
        <v>200</v>
      </c>
      <c r="G16" s="262" t="s">
        <v>15</v>
      </c>
      <c r="H16" s="334"/>
      <c r="I16" s="235">
        <v>90</v>
      </c>
      <c r="J16" s="202">
        <v>100</v>
      </c>
      <c r="K16" s="202">
        <v>110</v>
      </c>
      <c r="L16" s="202">
        <v>120</v>
      </c>
      <c r="M16" s="202">
        <v>130</v>
      </c>
      <c r="N16" s="202">
        <v>140</v>
      </c>
      <c r="O16" s="202">
        <v>150</v>
      </c>
      <c r="P16" s="202">
        <v>160</v>
      </c>
      <c r="Q16" s="202">
        <v>170</v>
      </c>
      <c r="R16" s="202">
        <v>180</v>
      </c>
      <c r="S16" s="202">
        <v>190</v>
      </c>
      <c r="T16" s="202">
        <v>200</v>
      </c>
      <c r="U16" s="202">
        <v>210</v>
      </c>
      <c r="V16" s="202">
        <v>220</v>
      </c>
      <c r="W16" s="202">
        <v>230</v>
      </c>
      <c r="X16" s="202">
        <v>240</v>
      </c>
      <c r="Y16" s="202">
        <v>250</v>
      </c>
      <c r="Z16" s="202">
        <v>260</v>
      </c>
      <c r="AA16" s="202">
        <v>270</v>
      </c>
      <c r="AB16" s="202">
        <v>280</v>
      </c>
      <c r="AC16" s="202">
        <v>290</v>
      </c>
      <c r="AD16" s="202">
        <v>300</v>
      </c>
      <c r="AE16" s="202">
        <v>320</v>
      </c>
      <c r="AF16" s="202">
        <v>340</v>
      </c>
      <c r="AG16" s="202">
        <v>360</v>
      </c>
      <c r="AH16" s="202">
        <v>380</v>
      </c>
      <c r="AI16" s="172">
        <v>400</v>
      </c>
      <c r="AJ16" s="202">
        <v>420</v>
      </c>
      <c r="AK16" s="202">
        <v>440</v>
      </c>
      <c r="AL16" s="202">
        <v>460</v>
      </c>
      <c r="AM16" s="202">
        <v>480</v>
      </c>
      <c r="AN16" s="202">
        <v>500</v>
      </c>
      <c r="AO16" s="202">
        <v>520</v>
      </c>
      <c r="AP16" s="202">
        <v>540</v>
      </c>
      <c r="AQ16" s="202">
        <v>560</v>
      </c>
      <c r="AR16" s="202">
        <v>580</v>
      </c>
      <c r="AS16" s="203">
        <v>600</v>
      </c>
    </row>
    <row r="17" spans="2:49" ht="15.75" thickTop="1" x14ac:dyDescent="0.25">
      <c r="B17" s="139"/>
      <c r="C17" s="139"/>
      <c r="D17" s="125" t="s">
        <v>22</v>
      </c>
      <c r="E17" s="125"/>
      <c r="F17" s="218">
        <f>1.359*10^-3*(F$16/($C$16*10^-3*$B35*10^-3)*(0.507*0.171))^2.0302</f>
        <v>22.757439412319311</v>
      </c>
      <c r="G17" s="149" t="s">
        <v>6</v>
      </c>
      <c r="I17" s="169">
        <f t="shared" ref="I17:AC17" si="0">1.359*10^-3*(I$16/($C$16*10^-3*$B35*10^-3)*(0.507*0.171))^2.0302</f>
        <v>4.4985799225919694</v>
      </c>
      <c r="J17" s="206">
        <f t="shared" si="0"/>
        <v>5.5715020926497845</v>
      </c>
      <c r="K17" s="206">
        <f t="shared" si="0"/>
        <v>6.7609500501470148</v>
      </c>
      <c r="L17" s="206">
        <f t="shared" si="0"/>
        <v>8.0672601790801224</v>
      </c>
      <c r="M17" s="206">
        <f t="shared" si="0"/>
        <v>9.4907403457124424</v>
      </c>
      <c r="N17" s="206">
        <f t="shared" si="0"/>
        <v>11.031674421815264</v>
      </c>
      <c r="O17" s="206">
        <f t="shared" si="0"/>
        <v>12.690325805450394</v>
      </c>
      <c r="P17" s="206">
        <f t="shared" si="0"/>
        <v>14.466940215985755</v>
      </c>
      <c r="Q17" s="206">
        <f t="shared" si="0"/>
        <v>16.361747950547652</v>
      </c>
      <c r="R17" s="206">
        <f t="shared" si="0"/>
        <v>18.374965732297362</v>
      </c>
      <c r="S17" s="206">
        <f t="shared" si="0"/>
        <v>20.506798243641128</v>
      </c>
      <c r="T17" s="206">
        <f t="shared" si="0"/>
        <v>22.757439412319311</v>
      </c>
      <c r="U17" s="206">
        <f t="shared" si="0"/>
        <v>25.127073500910765</v>
      </c>
      <c r="V17" s="206">
        <f t="shared" si="0"/>
        <v>27.615876037975561</v>
      </c>
      <c r="W17" s="279">
        <f t="shared" si="0"/>
        <v>30.224014620186125</v>
      </c>
      <c r="X17" s="206">
        <f t="shared" si="0"/>
        <v>32.95164960828675</v>
      </c>
      <c r="Y17" s="206">
        <f t="shared" si="0"/>
        <v>35.798934734872994</v>
      </c>
      <c r="Z17" s="206">
        <f t="shared" si="0"/>
        <v>38.766017638321252</v>
      </c>
      <c r="AA17" s="206">
        <f t="shared" si="0"/>
        <v>41.853040334395409</v>
      </c>
      <c r="AB17" s="206">
        <f t="shared" si="0"/>
        <v>45.060139634892217</v>
      </c>
      <c r="AC17" s="207">
        <f t="shared" si="0"/>
        <v>48.387447520985745</v>
      </c>
      <c r="AD17" s="75"/>
      <c r="AE17" s="126"/>
      <c r="AM17"/>
      <c r="AN17" s="12"/>
      <c r="AO17" s="155" t="s">
        <v>14</v>
      </c>
      <c r="AP17" s="156" t="s">
        <v>20</v>
      </c>
      <c r="AQ17" s="157" t="s">
        <v>21</v>
      </c>
      <c r="AR17" s="158" t="s">
        <v>18</v>
      </c>
      <c r="AS17" s="152" t="s">
        <v>6</v>
      </c>
    </row>
    <row r="18" spans="2:49" x14ac:dyDescent="0.25">
      <c r="B18" s="147" t="s">
        <v>38</v>
      </c>
      <c r="C18" s="147" t="s">
        <v>117</v>
      </c>
      <c r="D18" s="132" t="s">
        <v>46</v>
      </c>
      <c r="E18" s="132"/>
      <c r="F18" s="229">
        <f>IF(-114.08+32.01*LN(F$16/($C$16*$B35)*(507*171))+10*LOG($C$16*$B35/(507*171))&lt;15,"&lt;15",-114.08+32.01*LN(F$16/($C$16*$B35)*(507*171))+10*LOG($C$16*$B35/(507*171)))</f>
        <v>41.472395991763179</v>
      </c>
      <c r="G18" s="136" t="s">
        <v>49</v>
      </c>
      <c r="I18" s="230">
        <f t="shared" ref="I18:AC18" si="1">IF(-114.08+32.01*LN(I$16/($C$16*$B35)*(507*171))+10*LOG($C$16*$B35/(507*171))&lt;15,"&lt;15",-114.08+32.01*LN(I$16/($C$16*$B35)*(507*171))+10*LOG($C$16*$B35/(507*171)))</f>
        <v>15.912164635832301</v>
      </c>
      <c r="J18" s="231">
        <f t="shared" si="1"/>
        <v>19.284754742039315</v>
      </c>
      <c r="K18" s="231">
        <f t="shared" si="1"/>
        <v>22.335633597575754</v>
      </c>
      <c r="L18" s="231">
        <f t="shared" si="1"/>
        <v>25.120867775013824</v>
      </c>
      <c r="M18" s="231">
        <f t="shared" si="1"/>
        <v>27.683034847643729</v>
      </c>
      <c r="N18" s="231">
        <f t="shared" si="1"/>
        <v>30.055231036284358</v>
      </c>
      <c r="O18" s="231">
        <f t="shared" si="1"/>
        <v>32.263692852581656</v>
      </c>
      <c r="P18" s="231">
        <f t="shared" si="1"/>
        <v>34.329570914195315</v>
      </c>
      <c r="Q18" s="231">
        <f t="shared" si="1"/>
        <v>36.270165058539376</v>
      </c>
      <c r="R18" s="231">
        <f t="shared" si="1"/>
        <v>38.099805885556137</v>
      </c>
      <c r="S18" s="231">
        <f t="shared" si="1"/>
        <v>39.830497638417697</v>
      </c>
      <c r="T18" s="231">
        <f t="shared" si="1"/>
        <v>41.472395991763179</v>
      </c>
      <c r="U18" s="231">
        <f t="shared" si="1"/>
        <v>43.034169146826699</v>
      </c>
      <c r="V18" s="231">
        <f t="shared" si="1"/>
        <v>44.523274847299618</v>
      </c>
      <c r="W18" s="250">
        <f t="shared" si="1"/>
        <v>45.946175767192003</v>
      </c>
      <c r="X18" s="231">
        <f t="shared" si="1"/>
        <v>47.30850902473766</v>
      </c>
      <c r="Y18" s="231">
        <f t="shared" si="1"/>
        <v>48.615221069331014</v>
      </c>
      <c r="Z18" s="231">
        <f t="shared" si="1"/>
        <v>49.870676097367564</v>
      </c>
      <c r="AA18" s="231">
        <f t="shared" si="1"/>
        <v>51.078743996098481</v>
      </c>
      <c r="AB18" s="231">
        <f t="shared" si="1"/>
        <v>52.242872286008193</v>
      </c>
      <c r="AC18" s="232">
        <f t="shared" si="1"/>
        <v>53.366145433166949</v>
      </c>
      <c r="AD18"/>
      <c r="AM18"/>
      <c r="AN18" s="12"/>
      <c r="AO18" s="163" t="s">
        <v>19</v>
      </c>
      <c r="AP18" s="9" t="s">
        <v>47</v>
      </c>
      <c r="AQ18" s="10" t="s">
        <v>18</v>
      </c>
      <c r="AR18" s="11" t="s">
        <v>48</v>
      </c>
      <c r="AS18" s="153" t="s">
        <v>49</v>
      </c>
    </row>
    <row r="19" spans="2:49" x14ac:dyDescent="0.25">
      <c r="B19" s="242" t="s">
        <v>33</v>
      </c>
      <c r="C19" s="242" t="s">
        <v>35</v>
      </c>
      <c r="D19" s="132" t="s">
        <v>23</v>
      </c>
      <c r="E19" s="132"/>
      <c r="F19" s="229">
        <f>IF(-15-114.08+32.01*LN(F$16/($C$16*$B35)*(507*171))+10*LOG($C$16*$B35/(507*171))&lt;5,"&lt;5",-15-114.08+32.01*LN(F$16/($C$16*$B35)*(507*171))+10*LOG($C$16*$B35/(507*171)))</f>
        <v>26.472395991763197</v>
      </c>
      <c r="G19" s="136" t="s">
        <v>42</v>
      </c>
      <c r="I19" s="230" t="str">
        <f t="shared" ref="I19:AC19" si="2">IF(-15-114.08+32.01*LN(I$16/($C$16*$B35)*(507*171))+10*LOG($C$16*$B35/(507*171))&lt;5,"&lt;5",-15-114.08+32.01*LN(I$16/($C$16*$B35)*(507*171))+10*LOG($C$16*$B35/(507*171)))</f>
        <v>&lt;5</v>
      </c>
      <c r="J19" s="231" t="str">
        <f t="shared" si="2"/>
        <v>&lt;5</v>
      </c>
      <c r="K19" s="231">
        <f t="shared" si="2"/>
        <v>7.3356335975757681</v>
      </c>
      <c r="L19" s="231">
        <f t="shared" si="2"/>
        <v>10.120867775013838</v>
      </c>
      <c r="M19" s="231">
        <f t="shared" si="2"/>
        <v>12.683034847643743</v>
      </c>
      <c r="N19" s="231">
        <f t="shared" si="2"/>
        <v>15.055231036284372</v>
      </c>
      <c r="O19" s="231">
        <f t="shared" si="2"/>
        <v>17.263692852581674</v>
      </c>
      <c r="P19" s="231">
        <f t="shared" si="2"/>
        <v>19.329570914195333</v>
      </c>
      <c r="Q19" s="231">
        <f t="shared" si="2"/>
        <v>21.270165058539394</v>
      </c>
      <c r="R19" s="231">
        <f t="shared" si="2"/>
        <v>23.099805885556155</v>
      </c>
      <c r="S19" s="231">
        <f t="shared" si="2"/>
        <v>24.830497638417715</v>
      </c>
      <c r="T19" s="231">
        <f t="shared" si="2"/>
        <v>26.472395991763197</v>
      </c>
      <c r="U19" s="231">
        <f t="shared" si="2"/>
        <v>28.034169146826716</v>
      </c>
      <c r="V19" s="231">
        <f t="shared" si="2"/>
        <v>29.523274847299636</v>
      </c>
      <c r="W19" s="250">
        <f t="shared" si="2"/>
        <v>30.94617576719202</v>
      </c>
      <c r="X19" s="231">
        <f t="shared" si="2"/>
        <v>32.308509024737674</v>
      </c>
      <c r="Y19" s="231">
        <f t="shared" si="2"/>
        <v>33.615221069331028</v>
      </c>
      <c r="Z19" s="231">
        <f t="shared" si="2"/>
        <v>34.870676097367578</v>
      </c>
      <c r="AA19" s="231">
        <f t="shared" si="2"/>
        <v>36.078743996098495</v>
      </c>
      <c r="AB19" s="231">
        <f t="shared" si="2"/>
        <v>37.242872286008208</v>
      </c>
      <c r="AC19" s="232">
        <f t="shared" si="2"/>
        <v>38.366145433166963</v>
      </c>
      <c r="AD19"/>
      <c r="AM19"/>
      <c r="AN19" s="13"/>
      <c r="AO19" s="168" t="s">
        <v>16</v>
      </c>
      <c r="AP19" s="165" t="s">
        <v>20</v>
      </c>
      <c r="AQ19" s="166" t="s">
        <v>51</v>
      </c>
      <c r="AR19" s="167" t="s">
        <v>21</v>
      </c>
      <c r="AS19" s="234" t="s">
        <v>42</v>
      </c>
    </row>
    <row r="20" spans="2:49" hidden="1" x14ac:dyDescent="0.25">
      <c r="B20" s="242"/>
      <c r="C20" s="2"/>
      <c r="D20" s="43" t="s">
        <v>71</v>
      </c>
      <c r="E20" s="43"/>
      <c r="F20" s="106">
        <f>1.075*0.707*F31</f>
        <v>3.4281425783840875</v>
      </c>
      <c r="G20" s="136"/>
      <c r="I20" s="264">
        <f t="shared" ref="I20:AC20" si="3">1.075*0.707*I31</f>
        <v>2.2464371247076382</v>
      </c>
      <c r="J20" s="231">
        <f t="shared" si="3"/>
        <v>2.3707200466871514</v>
      </c>
      <c r="K20" s="231">
        <f t="shared" si="3"/>
        <v>2.4896498633411452</v>
      </c>
      <c r="L20" s="231">
        <f t="shared" si="3"/>
        <v>2.6040454476803276</v>
      </c>
      <c r="M20" s="231">
        <f t="shared" si="3"/>
        <v>2.7145627035243072</v>
      </c>
      <c r="N20" s="106">
        <f t="shared" si="3"/>
        <v>2.821737600757682</v>
      </c>
      <c r="O20" s="231">
        <f t="shared" si="3"/>
        <v>2.9260155835804289</v>
      </c>
      <c r="P20" s="231">
        <f t="shared" si="3"/>
        <v>3.0277722847120763</v>
      </c>
      <c r="Q20" s="231">
        <f t="shared" si="3"/>
        <v>3.1273284970064257</v>
      </c>
      <c r="R20" s="231">
        <f t="shared" si="3"/>
        <v>3.2249612378356578</v>
      </c>
      <c r="S20" s="231">
        <f t="shared" si="3"/>
        <v>3.3209120859527919</v>
      </c>
      <c r="T20" s="231">
        <f t="shared" si="3"/>
        <v>3.4153935711946044</v>
      </c>
      <c r="U20" s="231">
        <f t="shared" si="3"/>
        <v>3.5085941463747687</v>
      </c>
      <c r="V20" s="231">
        <f t="shared" si="3"/>
        <v>3.6006821085190772</v>
      </c>
      <c r="W20" s="250">
        <f t="shared" si="3"/>
        <v>3.6918087291883244</v>
      </c>
      <c r="X20" s="231">
        <f t="shared" si="3"/>
        <v>3.7821107809394987</v>
      </c>
      <c r="Y20" s="231">
        <f t="shared" si="3"/>
        <v>3.8717125967994503</v>
      </c>
      <c r="Z20" s="231">
        <f t="shared" si="3"/>
        <v>3.9607277643723875</v>
      </c>
      <c r="AA20" s="231">
        <f t="shared" si="3"/>
        <v>4.0492605310328758</v>
      </c>
      <c r="AB20" s="231">
        <f t="shared" si="3"/>
        <v>4.1374069784199374</v>
      </c>
      <c r="AC20" s="232">
        <f t="shared" si="3"/>
        <v>4.2252560110563433</v>
      </c>
      <c r="AF20"/>
      <c r="AG20"/>
      <c r="AH20"/>
      <c r="AI20" s="90"/>
      <c r="AJ20" s="90"/>
      <c r="AK20" s="90"/>
      <c r="AL20" s="90"/>
      <c r="AM20" s="43"/>
      <c r="AN20" s="3"/>
      <c r="AO20" s="3"/>
      <c r="AQ20"/>
      <c r="AR20" s="13"/>
      <c r="AS20" s="12"/>
      <c r="AT20" s="3"/>
      <c r="AU20" s="3"/>
      <c r="AV20" s="3"/>
      <c r="AW20" s="3"/>
    </row>
    <row r="21" spans="2:49" hidden="1" x14ac:dyDescent="0.25">
      <c r="B21" s="242"/>
      <c r="C21" s="2"/>
      <c r="D21" s="43" t="s">
        <v>72</v>
      </c>
      <c r="E21" s="43"/>
      <c r="F21" s="106">
        <f>1.075*0.707*F32</f>
        <v>7.7683394122243739</v>
      </c>
      <c r="G21" s="136"/>
      <c r="I21" s="264">
        <f t="shared" ref="I21:AC21" si="4">1.075*0.707*I32</f>
        <v>4.2153423018507326</v>
      </c>
      <c r="J21" s="231">
        <f t="shared" si="4"/>
        <v>4.5050422101997531</v>
      </c>
      <c r="K21" s="231">
        <f t="shared" si="4"/>
        <v>4.7966459290822492</v>
      </c>
      <c r="L21" s="231">
        <f t="shared" si="4"/>
        <v>5.0921995994303551</v>
      </c>
      <c r="M21" s="231">
        <f t="shared" si="4"/>
        <v>5.3934351011349069</v>
      </c>
      <c r="N21" s="106">
        <f t="shared" si="4"/>
        <v>5.7018494805515969</v>
      </c>
      <c r="O21" s="231">
        <f t="shared" si="4"/>
        <v>6.0187596138388546</v>
      </c>
      <c r="P21" s="231">
        <f t="shared" si="4"/>
        <v>6.3453410051484846</v>
      </c>
      <c r="Q21" s="231">
        <f t="shared" si="4"/>
        <v>6.6826560587189414</v>
      </c>
      <c r="R21" s="231">
        <f t="shared" si="4"/>
        <v>7.031675154775332</v>
      </c>
      <c r="S21" s="231">
        <f t="shared" si="4"/>
        <v>7.3932926763663351</v>
      </c>
      <c r="T21" s="231">
        <f t="shared" si="4"/>
        <v>7.7683394122243739</v>
      </c>
      <c r="U21" s="231">
        <f t="shared" si="4"/>
        <v>8.1575923057951645</v>
      </c>
      <c r="V21" s="231">
        <f t="shared" si="4"/>
        <v>8.5617822258604726</v>
      </c>
      <c r="W21" s="250">
        <f t="shared" si="4"/>
        <v>8.9816002384887401</v>
      </c>
      <c r="X21" s="231">
        <f t="shared" si="4"/>
        <v>9.4177027272253202</v>
      </c>
      <c r="Y21" s="231">
        <f t="shared" si="4"/>
        <v>9.8707156164822702</v>
      </c>
      <c r="Z21" s="231">
        <f t="shared" si="4"/>
        <v>10.341237888282947</v>
      </c>
      <c r="AA21" s="231">
        <f t="shared" si="4"/>
        <v>10.829844536097156</v>
      </c>
      <c r="AB21" s="231">
        <f t="shared" si="4"/>
        <v>11.337089065756359</v>
      </c>
      <c r="AC21" s="232">
        <f t="shared" si="4"/>
        <v>11.863505628569582</v>
      </c>
      <c r="AF21"/>
      <c r="AG21"/>
      <c r="AH21"/>
      <c r="AI21" s="90"/>
      <c r="AJ21" s="90"/>
      <c r="AK21" s="90"/>
      <c r="AL21" s="90"/>
      <c r="AM21" s="43"/>
      <c r="AN21" s="3"/>
      <c r="AO21" s="3"/>
      <c r="AQ21"/>
      <c r="AR21" s="13"/>
      <c r="AS21" s="12"/>
      <c r="AT21" s="3"/>
      <c r="AU21" s="3"/>
      <c r="AV21" s="3"/>
      <c r="AW21" s="3"/>
    </row>
    <row r="22" spans="2:49" hidden="1" x14ac:dyDescent="0.25">
      <c r="B22" s="242"/>
      <c r="C22" s="2"/>
      <c r="D22" s="43" t="s">
        <v>79</v>
      </c>
      <c r="E22" s="43"/>
      <c r="F22" s="106">
        <f>1.075*0.707*F33</f>
        <v>7.1894919507812851</v>
      </c>
      <c r="G22" s="136"/>
      <c r="I22" s="264">
        <f t="shared" ref="I22:AC22" si="5">1.075*0.707*I33</f>
        <v>3.5802298737461542</v>
      </c>
      <c r="J22" s="231">
        <f t="shared" si="5"/>
        <v>3.9780331930512829</v>
      </c>
      <c r="K22" s="231">
        <f t="shared" si="5"/>
        <v>4.3758365123564111</v>
      </c>
      <c r="L22" s="231">
        <f t="shared" si="5"/>
        <v>4.7736398316615389</v>
      </c>
      <c r="M22" s="231">
        <f t="shared" si="5"/>
        <v>5.1714431509666676</v>
      </c>
      <c r="N22" s="106">
        <f t="shared" si="5"/>
        <v>5.5692464702717972</v>
      </c>
      <c r="O22" s="231">
        <f t="shared" si="5"/>
        <v>5.9670497895769241</v>
      </c>
      <c r="P22" s="231">
        <f t="shared" si="5"/>
        <v>6.3648531088820519</v>
      </c>
      <c r="Q22" s="231">
        <f t="shared" si="5"/>
        <v>6.5057939474954685</v>
      </c>
      <c r="R22" s="231">
        <f t="shared" si="5"/>
        <v>6.5501586761349069</v>
      </c>
      <c r="S22" s="231">
        <f t="shared" si="5"/>
        <v>6.5945234047743444</v>
      </c>
      <c r="T22" s="231">
        <f t="shared" si="5"/>
        <v>6.6388881334137819</v>
      </c>
      <c r="U22" s="231">
        <f t="shared" si="5"/>
        <v>6.6832528620532194</v>
      </c>
      <c r="V22" s="231">
        <f t="shared" si="5"/>
        <v>6.727617590692657</v>
      </c>
      <c r="W22" s="250">
        <f t="shared" si="5"/>
        <v>6.7719823193320963</v>
      </c>
      <c r="X22" s="231">
        <f t="shared" si="5"/>
        <v>6.8163470479715329</v>
      </c>
      <c r="Y22" s="231">
        <f t="shared" si="5"/>
        <v>6.8607117766109695</v>
      </c>
      <c r="Z22" s="231">
        <f t="shared" si="5"/>
        <v>6.9050765052504079</v>
      </c>
      <c r="AA22" s="231">
        <f t="shared" si="5"/>
        <v>6.9494412338898446</v>
      </c>
      <c r="AB22" s="231">
        <f t="shared" si="5"/>
        <v>6.993805962529283</v>
      </c>
      <c r="AC22" s="232">
        <f t="shared" si="5"/>
        <v>7.0381706911687196</v>
      </c>
      <c r="AF22"/>
      <c r="AG22"/>
      <c r="AH22"/>
      <c r="AI22" s="90"/>
      <c r="AJ22" s="90"/>
      <c r="AK22" s="90"/>
      <c r="AL22" s="90"/>
      <c r="AM22" s="43"/>
      <c r="AN22" s="3"/>
      <c r="AO22" s="3"/>
      <c r="AQ22"/>
      <c r="AR22" s="13"/>
      <c r="AS22" s="12"/>
      <c r="AT22" s="3"/>
      <c r="AU22" s="3"/>
      <c r="AV22" s="3"/>
      <c r="AW22" s="3"/>
    </row>
    <row r="23" spans="2:49" hidden="1" x14ac:dyDescent="0.25">
      <c r="B23" s="242"/>
      <c r="C23" s="2"/>
      <c r="D23" s="43" t="s">
        <v>73</v>
      </c>
      <c r="E23" s="43"/>
      <c r="F23" s="106">
        <f>1.075*1.225*F31</f>
        <v>5.9398510021506468</v>
      </c>
      <c r="G23" s="136"/>
      <c r="I23" s="264">
        <f t="shared" ref="I23:AC23" si="6">1.075*1.225*I31</f>
        <v>3.8923415527112546</v>
      </c>
      <c r="J23" s="231">
        <f t="shared" si="6"/>
        <v>4.1076832492104112</v>
      </c>
      <c r="K23" s="231">
        <f t="shared" si="6"/>
        <v>4.3137497632148563</v>
      </c>
      <c r="L23" s="231">
        <f t="shared" si="6"/>
        <v>4.5119599340995782</v>
      </c>
      <c r="M23" s="231">
        <f t="shared" si="6"/>
        <v>4.7034502288787507</v>
      </c>
      <c r="N23" s="106">
        <f t="shared" si="6"/>
        <v>4.8891493082435087</v>
      </c>
      <c r="O23" s="231">
        <f t="shared" si="6"/>
        <v>5.0698289814512387</v>
      </c>
      <c r="P23" s="231">
        <f t="shared" si="6"/>
        <v>5.2461400972734005</v>
      </c>
      <c r="Q23" s="231">
        <f t="shared" si="6"/>
        <v>5.4186384849121234</v>
      </c>
      <c r="R23" s="231">
        <f t="shared" si="6"/>
        <v>5.5878041249627737</v>
      </c>
      <c r="S23" s="231">
        <f t="shared" si="6"/>
        <v>5.7540555944726597</v>
      </c>
      <c r="T23" s="231">
        <f t="shared" si="6"/>
        <v>5.9177611382084736</v>
      </c>
      <c r="U23" s="231">
        <f t="shared" si="6"/>
        <v>6.0792472833226192</v>
      </c>
      <c r="V23" s="231">
        <f t="shared" si="6"/>
        <v>6.2388056335726585</v>
      </c>
      <c r="W23" s="250">
        <f t="shared" si="6"/>
        <v>6.3966982931480869</v>
      </c>
      <c r="X23" s="231">
        <f t="shared" si="6"/>
        <v>6.5531622442021025</v>
      </c>
      <c r="Y23" s="231">
        <f t="shared" si="6"/>
        <v>6.7084129152465728</v>
      </c>
      <c r="Z23" s="231">
        <f t="shared" si="6"/>
        <v>6.8626471164868104</v>
      </c>
      <c r="AA23" s="231">
        <f t="shared" si="6"/>
        <v>7.0160454745619134</v>
      </c>
      <c r="AB23" s="231">
        <f t="shared" si="6"/>
        <v>7.1687744675592988</v>
      </c>
      <c r="AC23" s="232">
        <f t="shared" si="6"/>
        <v>7.3209881379689117</v>
      </c>
      <c r="AF23"/>
      <c r="AG23"/>
      <c r="AH23"/>
      <c r="AI23" s="90"/>
      <c r="AJ23" s="90"/>
      <c r="AK23" s="90"/>
      <c r="AL23" s="90"/>
      <c r="AM23" s="43"/>
      <c r="AN23" s="3"/>
      <c r="AO23" s="3"/>
      <c r="AQ23"/>
      <c r="AR23" s="13"/>
      <c r="AS23" s="12"/>
      <c r="AT23" s="3"/>
      <c r="AU23" s="3"/>
      <c r="AV23" s="3"/>
      <c r="AW23" s="3"/>
    </row>
    <row r="24" spans="2:49" hidden="1" x14ac:dyDescent="0.25">
      <c r="B24" s="242"/>
      <c r="C24" s="2"/>
      <c r="D24" s="43" t="s">
        <v>74</v>
      </c>
      <c r="E24" s="43"/>
      <c r="F24" s="106">
        <f>1.075*1.225*F32</f>
        <v>13.459994031081838</v>
      </c>
      <c r="G24" s="136"/>
      <c r="I24" s="264">
        <f t="shared" ref="I24:AC24" si="7">1.075*1.225*I32</f>
        <v>7.3038109190482992</v>
      </c>
      <c r="J24" s="231">
        <f t="shared" si="7"/>
        <v>7.8057662057916524</v>
      </c>
      <c r="K24" s="231">
        <f t="shared" si="7"/>
        <v>8.3110201741524126</v>
      </c>
      <c r="L24" s="231">
        <f t="shared" si="7"/>
        <v>8.8231181178248743</v>
      </c>
      <c r="M24" s="231">
        <f t="shared" si="7"/>
        <v>9.3450608187981068</v>
      </c>
      <c r="N24" s="106">
        <f t="shared" si="7"/>
        <v>9.8794421692725702</v>
      </c>
      <c r="O24" s="231">
        <f t="shared" si="7"/>
        <v>10.428543885364352</v>
      </c>
      <c r="P24" s="231">
        <f t="shared" si="7"/>
        <v>10.99440273169292</v>
      </c>
      <c r="Q24" s="231">
        <f t="shared" si="7"/>
        <v>11.578859507681335</v>
      </c>
      <c r="R24" s="231">
        <f t="shared" si="7"/>
        <v>12.183595565204783</v>
      </c>
      <c r="S24" s="231">
        <f t="shared" si="7"/>
        <v>12.810160577862463</v>
      </c>
      <c r="T24" s="231">
        <f t="shared" si="7"/>
        <v>13.459994031081838</v>
      </c>
      <c r="U24" s="231">
        <f t="shared" si="7"/>
        <v>14.134442114001525</v>
      </c>
      <c r="V24" s="231">
        <f t="shared" si="7"/>
        <v>14.834771183421612</v>
      </c>
      <c r="W24" s="250">
        <f t="shared" si="7"/>
        <v>15.562178631044846</v>
      </c>
      <c r="X24" s="231">
        <f t="shared" si="7"/>
        <v>16.317801755093377</v>
      </c>
      <c r="Y24" s="231">
        <f t="shared" si="7"/>
        <v>17.10272507806334</v>
      </c>
      <c r="Z24" s="231">
        <f t="shared" si="7"/>
        <v>17.917986440094218</v>
      </c>
      <c r="AA24" s="231">
        <f t="shared" si="7"/>
        <v>18.764582117000025</v>
      </c>
      <c r="AB24" s="231">
        <f t="shared" si="7"/>
        <v>19.643471153538247</v>
      </c>
      <c r="AC24" s="232">
        <f t="shared" si="7"/>
        <v>20.555579059402742</v>
      </c>
      <c r="AF24"/>
      <c r="AG24"/>
      <c r="AH24"/>
      <c r="AI24" s="90"/>
      <c r="AJ24" s="90"/>
      <c r="AK24" s="90"/>
      <c r="AL24" s="90"/>
      <c r="AM24" s="43"/>
      <c r="AN24" s="3"/>
      <c r="AO24" s="3"/>
      <c r="AQ24"/>
      <c r="AR24" s="13"/>
      <c r="AS24" s="12"/>
      <c r="AT24" s="3"/>
      <c r="AU24" s="3"/>
      <c r="AV24" s="3"/>
      <c r="AW24" s="3"/>
    </row>
    <row r="25" spans="2:49" hidden="1" x14ac:dyDescent="0.25">
      <c r="B25" s="242"/>
      <c r="C25" s="2"/>
      <c r="D25" s="43" t="s">
        <v>80</v>
      </c>
      <c r="E25" s="43"/>
      <c r="F25" s="106">
        <f>1.075*1.225*F33</f>
        <v>12.457040508779455</v>
      </c>
      <c r="G25" s="136"/>
      <c r="I25" s="264">
        <f t="shared" ref="I25:AC25" si="8">1.075*1.225*I33</f>
        <v>6.2033685931245257</v>
      </c>
      <c r="J25" s="231">
        <f t="shared" si="8"/>
        <v>6.8926317701383626</v>
      </c>
      <c r="K25" s="231">
        <f t="shared" si="8"/>
        <v>7.5818949471521977</v>
      </c>
      <c r="L25" s="231">
        <f t="shared" si="8"/>
        <v>8.2711581241660337</v>
      </c>
      <c r="M25" s="231">
        <f t="shared" si="8"/>
        <v>8.9604213011798706</v>
      </c>
      <c r="N25" s="106">
        <f t="shared" si="8"/>
        <v>9.6496844781937074</v>
      </c>
      <c r="O25" s="231">
        <f t="shared" si="8"/>
        <v>10.338947655207543</v>
      </c>
      <c r="P25" s="231">
        <f t="shared" si="8"/>
        <v>11.028210832221378</v>
      </c>
      <c r="Q25" s="231">
        <f t="shared" si="8"/>
        <v>11.272415255561455</v>
      </c>
      <c r="R25" s="231">
        <f t="shared" si="8"/>
        <v>11.349284834887214</v>
      </c>
      <c r="S25" s="231">
        <f t="shared" si="8"/>
        <v>11.426154414212974</v>
      </c>
      <c r="T25" s="231">
        <f t="shared" si="8"/>
        <v>11.503023993538731</v>
      </c>
      <c r="U25" s="231">
        <f t="shared" si="8"/>
        <v>11.57989357286449</v>
      </c>
      <c r="V25" s="231">
        <f t="shared" si="8"/>
        <v>11.656763152190248</v>
      </c>
      <c r="W25" s="250">
        <f t="shared" si="8"/>
        <v>11.733632731516009</v>
      </c>
      <c r="X25" s="231">
        <f t="shared" si="8"/>
        <v>11.810502310841766</v>
      </c>
      <c r="Y25" s="231">
        <f t="shared" si="8"/>
        <v>11.887371890167524</v>
      </c>
      <c r="Z25" s="231">
        <f t="shared" si="8"/>
        <v>11.964241469493283</v>
      </c>
      <c r="AA25" s="231">
        <f t="shared" si="8"/>
        <v>12.041111048819038</v>
      </c>
      <c r="AB25" s="231">
        <f t="shared" si="8"/>
        <v>12.117980628144798</v>
      </c>
      <c r="AC25" s="232">
        <f t="shared" si="8"/>
        <v>12.194850207470555</v>
      </c>
      <c r="AF25"/>
      <c r="AG25"/>
      <c r="AH25"/>
      <c r="AI25" s="90"/>
      <c r="AJ25" s="90"/>
      <c r="AK25" s="90"/>
      <c r="AL25" s="90"/>
      <c r="AM25" s="43"/>
      <c r="AN25" s="3"/>
      <c r="AO25" s="3"/>
      <c r="AQ25"/>
      <c r="AR25" s="13"/>
      <c r="AS25" s="12"/>
      <c r="AT25" s="3"/>
      <c r="AU25" s="3"/>
      <c r="AV25" s="3"/>
      <c r="AW25" s="3"/>
    </row>
    <row r="26" spans="2:49" ht="15.75" thickBot="1" x14ac:dyDescent="0.3">
      <c r="B26" s="151"/>
      <c r="C26" s="288"/>
      <c r="D26" s="287" t="s">
        <v>93</v>
      </c>
      <c r="E26" s="287"/>
      <c r="F26" s="283">
        <f>2+(F$16/$C$16*$F$10/$F$8^3)</f>
        <v>2.3085386905163481</v>
      </c>
      <c r="G26" s="214" t="s">
        <v>32</v>
      </c>
      <c r="I26" s="284">
        <f t="shared" ref="I26:AC26" si="9">2+(I$16/$C$16*$F$10/$F$8^3)</f>
        <v>2.1388424107323565</v>
      </c>
      <c r="J26" s="285">
        <f t="shared" si="9"/>
        <v>2.1542693452581743</v>
      </c>
      <c r="K26" s="285">
        <f t="shared" si="9"/>
        <v>2.1696962797839916</v>
      </c>
      <c r="L26" s="285">
        <f t="shared" si="9"/>
        <v>2.1851232143098089</v>
      </c>
      <c r="M26" s="285">
        <f t="shared" si="9"/>
        <v>2.2005501488356263</v>
      </c>
      <c r="N26" s="285">
        <f t="shared" si="9"/>
        <v>2.2159770833614436</v>
      </c>
      <c r="O26" s="285">
        <f t="shared" si="9"/>
        <v>2.2314040178872609</v>
      </c>
      <c r="P26" s="285">
        <f t="shared" si="9"/>
        <v>2.2468309524130783</v>
      </c>
      <c r="Q26" s="285">
        <f t="shared" si="9"/>
        <v>2.2622578869388956</v>
      </c>
      <c r="R26" s="285">
        <f t="shared" si="9"/>
        <v>2.2776848214647134</v>
      </c>
      <c r="S26" s="285">
        <f t="shared" si="9"/>
        <v>2.2931117559905307</v>
      </c>
      <c r="T26" s="285">
        <f t="shared" si="9"/>
        <v>2.3085386905163481</v>
      </c>
      <c r="U26" s="285">
        <f t="shared" si="9"/>
        <v>2.3239656250421654</v>
      </c>
      <c r="V26" s="285">
        <f t="shared" si="9"/>
        <v>2.3393925595679828</v>
      </c>
      <c r="W26" s="285">
        <f t="shared" si="9"/>
        <v>2.3548194940938005</v>
      </c>
      <c r="X26" s="285">
        <f t="shared" si="9"/>
        <v>2.3702464286196179</v>
      </c>
      <c r="Y26" s="285">
        <f t="shared" si="9"/>
        <v>2.3856733631454352</v>
      </c>
      <c r="Z26" s="285">
        <f t="shared" si="9"/>
        <v>2.4011002976712525</v>
      </c>
      <c r="AA26" s="285">
        <f t="shared" si="9"/>
        <v>2.4165272321970699</v>
      </c>
      <c r="AB26" s="285">
        <f t="shared" si="9"/>
        <v>2.4319541667228872</v>
      </c>
      <c r="AC26" s="286">
        <f t="shared" si="9"/>
        <v>2.4473811012487046</v>
      </c>
      <c r="AF26"/>
      <c r="AG26"/>
      <c r="AH26"/>
      <c r="AI26" s="90"/>
      <c r="AJ26" s="90"/>
      <c r="AK26" s="90"/>
      <c r="AL26" s="90"/>
      <c r="AM26" s="43"/>
      <c r="AN26" s="3"/>
      <c r="AO26" s="164" t="s">
        <v>43</v>
      </c>
      <c r="AP26" s="154"/>
      <c r="AQ26" s="154"/>
      <c r="AR26" s="154"/>
      <c r="AS26" s="161"/>
      <c r="AT26" s="3"/>
      <c r="AU26" s="3"/>
      <c r="AV26" s="3"/>
      <c r="AW26" s="3"/>
    </row>
    <row r="27" spans="2:49" x14ac:dyDescent="0.25">
      <c r="B27" s="140"/>
      <c r="C27" s="243"/>
      <c r="D27" s="132" t="s">
        <v>56</v>
      </c>
      <c r="E27" s="132"/>
      <c r="F27" s="224">
        <f>F20</f>
        <v>3.4281425783840875</v>
      </c>
      <c r="G27" s="136" t="s">
        <v>32</v>
      </c>
      <c r="I27" s="255">
        <f t="shared" ref="I27:AC27" si="10">I20</f>
        <v>2.2464371247076382</v>
      </c>
      <c r="J27" s="176">
        <f t="shared" si="10"/>
        <v>2.3707200466871514</v>
      </c>
      <c r="K27" s="176">
        <f t="shared" si="10"/>
        <v>2.4896498633411452</v>
      </c>
      <c r="L27" s="176">
        <f t="shared" si="10"/>
        <v>2.6040454476803276</v>
      </c>
      <c r="M27" s="176">
        <f t="shared" si="10"/>
        <v>2.7145627035243072</v>
      </c>
      <c r="N27" s="176">
        <f t="shared" si="10"/>
        <v>2.821737600757682</v>
      </c>
      <c r="O27" s="176">
        <f t="shared" si="10"/>
        <v>2.9260155835804289</v>
      </c>
      <c r="P27" s="176">
        <f t="shared" si="10"/>
        <v>3.0277722847120763</v>
      </c>
      <c r="Q27" s="176">
        <f t="shared" si="10"/>
        <v>3.1273284970064257</v>
      </c>
      <c r="R27" s="176">
        <f t="shared" si="10"/>
        <v>3.2249612378356578</v>
      </c>
      <c r="S27" s="176">
        <f t="shared" si="10"/>
        <v>3.3209120859527919</v>
      </c>
      <c r="T27" s="176">
        <f t="shared" si="10"/>
        <v>3.4153935711946044</v>
      </c>
      <c r="U27" s="176">
        <f t="shared" si="10"/>
        <v>3.5085941463747687</v>
      </c>
      <c r="V27" s="176">
        <f t="shared" si="10"/>
        <v>3.6006821085190772</v>
      </c>
      <c r="W27" s="176">
        <f t="shared" si="10"/>
        <v>3.6918087291883244</v>
      </c>
      <c r="X27" s="176">
        <f t="shared" si="10"/>
        <v>3.7821107809394987</v>
      </c>
      <c r="Y27" s="176">
        <f t="shared" si="10"/>
        <v>3.8717125967994503</v>
      </c>
      <c r="Z27" s="176">
        <f t="shared" si="10"/>
        <v>3.9607277643723875</v>
      </c>
      <c r="AA27" s="176">
        <f t="shared" si="10"/>
        <v>4.0492605310328758</v>
      </c>
      <c r="AB27" s="176">
        <f t="shared" si="10"/>
        <v>4.1374069784199374</v>
      </c>
      <c r="AC27" s="177">
        <f t="shared" si="10"/>
        <v>4.2252560110563433</v>
      </c>
      <c r="AD27"/>
      <c r="AM27"/>
      <c r="AN27"/>
      <c r="AS27" s="292"/>
    </row>
    <row r="28" spans="2:49" x14ac:dyDescent="0.25">
      <c r="B28" s="140"/>
      <c r="C28" s="247" t="s">
        <v>65</v>
      </c>
      <c r="D28" s="253" t="s">
        <v>57</v>
      </c>
      <c r="E28" s="253"/>
      <c r="F28" s="221">
        <f>IF(F21&lt;F22,F21,F22)</f>
        <v>7.1894919507812851</v>
      </c>
      <c r="G28" s="216" t="s">
        <v>32</v>
      </c>
      <c r="I28" s="178">
        <f t="shared" ref="I28:AC28" si="11">IF(I21&lt;I22,I21,I22)</f>
        <v>3.5802298737461542</v>
      </c>
      <c r="J28" s="179">
        <f t="shared" si="11"/>
        <v>3.9780331930512829</v>
      </c>
      <c r="K28" s="179">
        <f t="shared" si="11"/>
        <v>4.3758365123564111</v>
      </c>
      <c r="L28" s="179">
        <f t="shared" si="11"/>
        <v>4.7736398316615389</v>
      </c>
      <c r="M28" s="179">
        <f t="shared" si="11"/>
        <v>5.1714431509666676</v>
      </c>
      <c r="N28" s="179">
        <f t="shared" si="11"/>
        <v>5.5692464702717972</v>
      </c>
      <c r="O28" s="179">
        <f t="shared" si="11"/>
        <v>5.9670497895769241</v>
      </c>
      <c r="P28" s="179">
        <f t="shared" si="11"/>
        <v>6.3453410051484846</v>
      </c>
      <c r="Q28" s="179">
        <f t="shared" si="11"/>
        <v>6.5057939474954685</v>
      </c>
      <c r="R28" s="179">
        <f t="shared" si="11"/>
        <v>6.5501586761349069</v>
      </c>
      <c r="S28" s="179">
        <f t="shared" si="11"/>
        <v>6.5945234047743444</v>
      </c>
      <c r="T28" s="179">
        <f t="shared" si="11"/>
        <v>6.6388881334137819</v>
      </c>
      <c r="U28" s="179">
        <f t="shared" si="11"/>
        <v>6.6832528620532194</v>
      </c>
      <c r="V28" s="179">
        <f t="shared" si="11"/>
        <v>6.727617590692657</v>
      </c>
      <c r="W28" s="179">
        <f t="shared" si="11"/>
        <v>6.7719823193320963</v>
      </c>
      <c r="X28" s="179">
        <f t="shared" si="11"/>
        <v>6.8163470479715329</v>
      </c>
      <c r="Y28" s="179">
        <f t="shared" si="11"/>
        <v>6.8607117766109695</v>
      </c>
      <c r="Z28" s="179">
        <f t="shared" si="11"/>
        <v>6.9050765052504079</v>
      </c>
      <c r="AA28" s="179">
        <f t="shared" si="11"/>
        <v>6.9494412338898446</v>
      </c>
      <c r="AB28" s="179">
        <f t="shared" si="11"/>
        <v>6.993805962529283</v>
      </c>
      <c r="AC28" s="180">
        <f t="shared" si="11"/>
        <v>7.0381706911687196</v>
      </c>
      <c r="AD28"/>
      <c r="AM28"/>
      <c r="AN28"/>
      <c r="AO28" s="3"/>
      <c r="AP28" s="3"/>
      <c r="AQ28" s="3"/>
      <c r="AR28" s="3"/>
      <c r="AS28" s="129"/>
    </row>
    <row r="29" spans="2:49" x14ac:dyDescent="0.25">
      <c r="B29" s="140"/>
      <c r="C29" s="243" t="s">
        <v>66</v>
      </c>
      <c r="D29" s="252" t="s">
        <v>60</v>
      </c>
      <c r="E29" s="252"/>
      <c r="F29" s="222">
        <f>F23</f>
        <v>5.9398510021506468</v>
      </c>
      <c r="G29" s="217" t="s">
        <v>32</v>
      </c>
      <c r="I29" s="181">
        <f t="shared" ref="I29:AC29" si="12">I23</f>
        <v>3.8923415527112546</v>
      </c>
      <c r="J29" s="182">
        <f t="shared" si="12"/>
        <v>4.1076832492104112</v>
      </c>
      <c r="K29" s="182">
        <f t="shared" si="12"/>
        <v>4.3137497632148563</v>
      </c>
      <c r="L29" s="182">
        <f t="shared" si="12"/>
        <v>4.5119599340995782</v>
      </c>
      <c r="M29" s="182">
        <f t="shared" si="12"/>
        <v>4.7034502288787507</v>
      </c>
      <c r="N29" s="182">
        <f t="shared" si="12"/>
        <v>4.8891493082435087</v>
      </c>
      <c r="O29" s="182">
        <f t="shared" si="12"/>
        <v>5.0698289814512387</v>
      </c>
      <c r="P29" s="182">
        <f t="shared" si="12"/>
        <v>5.2461400972734005</v>
      </c>
      <c r="Q29" s="182">
        <f t="shared" si="12"/>
        <v>5.4186384849121234</v>
      </c>
      <c r="R29" s="182">
        <f t="shared" si="12"/>
        <v>5.5878041249627737</v>
      </c>
      <c r="S29" s="182">
        <f t="shared" si="12"/>
        <v>5.7540555944726597</v>
      </c>
      <c r="T29" s="182">
        <f t="shared" si="12"/>
        <v>5.9177611382084736</v>
      </c>
      <c r="U29" s="182">
        <f t="shared" si="12"/>
        <v>6.0792472833226192</v>
      </c>
      <c r="V29" s="182">
        <f t="shared" si="12"/>
        <v>6.2388056335726585</v>
      </c>
      <c r="W29" s="182">
        <f t="shared" si="12"/>
        <v>6.3966982931480869</v>
      </c>
      <c r="X29" s="182">
        <f t="shared" si="12"/>
        <v>6.5531622442021025</v>
      </c>
      <c r="Y29" s="182">
        <f t="shared" si="12"/>
        <v>6.7084129152465728</v>
      </c>
      <c r="Z29" s="182">
        <f t="shared" si="12"/>
        <v>6.8626471164868104</v>
      </c>
      <c r="AA29" s="182">
        <f t="shared" si="12"/>
        <v>7.0160454745619134</v>
      </c>
      <c r="AB29" s="182">
        <f t="shared" si="12"/>
        <v>7.1687744675592988</v>
      </c>
      <c r="AC29" s="183">
        <f t="shared" si="12"/>
        <v>7.3209881379689117</v>
      </c>
      <c r="AD29"/>
      <c r="AN29" s="12"/>
      <c r="AO29" s="3"/>
      <c r="AP29" s="3"/>
      <c r="AQ29" s="3"/>
      <c r="AR29" s="3"/>
      <c r="AS29" s="129"/>
    </row>
    <row r="30" spans="2:49" ht="15.75" thickBot="1" x14ac:dyDescent="0.3">
      <c r="B30" s="140"/>
      <c r="C30" s="246"/>
      <c r="D30" s="238" t="s">
        <v>61</v>
      </c>
      <c r="E30" s="238"/>
      <c r="F30" s="223">
        <f t="shared" ref="F30" si="13">IF(F24&lt;F25,F24,F25)</f>
        <v>12.457040508779455</v>
      </c>
      <c r="G30" s="214" t="s">
        <v>32</v>
      </c>
      <c r="I30" s="258">
        <f t="shared" ref="I30:AC30" si="14">IF(I24&lt;I25,I24,I25)</f>
        <v>6.2033685931245257</v>
      </c>
      <c r="J30" s="193">
        <f t="shared" si="14"/>
        <v>6.8926317701383626</v>
      </c>
      <c r="K30" s="193">
        <f t="shared" si="14"/>
        <v>7.5818949471521977</v>
      </c>
      <c r="L30" s="193">
        <f t="shared" si="14"/>
        <v>8.2711581241660337</v>
      </c>
      <c r="M30" s="193">
        <f t="shared" si="14"/>
        <v>8.9604213011798706</v>
      </c>
      <c r="N30" s="193">
        <f t="shared" si="14"/>
        <v>9.6496844781937074</v>
      </c>
      <c r="O30" s="193">
        <f t="shared" si="14"/>
        <v>10.338947655207543</v>
      </c>
      <c r="P30" s="193">
        <f t="shared" si="14"/>
        <v>10.99440273169292</v>
      </c>
      <c r="Q30" s="193">
        <f t="shared" si="14"/>
        <v>11.272415255561455</v>
      </c>
      <c r="R30" s="193">
        <f t="shared" si="14"/>
        <v>11.349284834887214</v>
      </c>
      <c r="S30" s="193">
        <f t="shared" si="14"/>
        <v>11.426154414212974</v>
      </c>
      <c r="T30" s="193">
        <f t="shared" si="14"/>
        <v>11.503023993538731</v>
      </c>
      <c r="U30" s="193">
        <f t="shared" si="14"/>
        <v>11.57989357286449</v>
      </c>
      <c r="V30" s="193">
        <f t="shared" si="14"/>
        <v>11.656763152190248</v>
      </c>
      <c r="W30" s="193">
        <f t="shared" si="14"/>
        <v>11.733632731516009</v>
      </c>
      <c r="X30" s="193">
        <f t="shared" si="14"/>
        <v>11.810502310841766</v>
      </c>
      <c r="Y30" s="193">
        <f t="shared" si="14"/>
        <v>11.887371890167524</v>
      </c>
      <c r="Z30" s="193">
        <f t="shared" si="14"/>
        <v>11.964241469493283</v>
      </c>
      <c r="AA30" s="193">
        <f t="shared" si="14"/>
        <v>12.041111048819038</v>
      </c>
      <c r="AB30" s="193">
        <f t="shared" si="14"/>
        <v>12.117980628144798</v>
      </c>
      <c r="AC30" s="194">
        <f t="shared" si="14"/>
        <v>12.194850207470555</v>
      </c>
      <c r="AD30"/>
      <c r="AO30" s="3"/>
      <c r="AP30" s="3"/>
      <c r="AQ30" s="3"/>
      <c r="AR30" s="3"/>
      <c r="AS30" s="129"/>
    </row>
    <row r="31" spans="2:49" hidden="1" x14ac:dyDescent="0.25">
      <c r="B31" s="242"/>
      <c r="C31" s="2"/>
      <c r="D31" s="43" t="s">
        <v>75</v>
      </c>
      <c r="E31" s="43"/>
      <c r="F31" s="370">
        <f>(0.2529+2.7683*10^-4*F17)*SQRT(F$16)/$F$4*$F$5*$F$7/$F$8</f>
        <v>4.5105655450598174</v>
      </c>
      <c r="G31" s="136"/>
      <c r="I31" s="368">
        <f>(0.2529+2.7683*10^-4*I17)*SQRT(I$16)*$F$7/$F$8</f>
        <v>2.9557410936582853</v>
      </c>
      <c r="J31" s="265">
        <f t="shared" ref="J31:AC31" si="15">(0.2529+2.7683*10^-4*J17)*SQRT(J$16)*$F$7/$F$8</f>
        <v>3.119265875052994</v>
      </c>
      <c r="K31" s="265">
        <f t="shared" si="15"/>
        <v>3.2757473284972805</v>
      </c>
      <c r="L31" s="265">
        <f t="shared" si="15"/>
        <v>3.4262628830371735</v>
      </c>
      <c r="M31" s="265">
        <f t="shared" si="15"/>
        <v>3.5716755416260089</v>
      </c>
      <c r="N31" s="265">
        <f t="shared" si="15"/>
        <v>3.7126905045987728</v>
      </c>
      <c r="O31" s="265">
        <f t="shared" si="15"/>
        <v>3.8498938634655824</v>
      </c>
      <c r="P31" s="265">
        <f t="shared" si="15"/>
        <v>3.9837798555469579</v>
      </c>
      <c r="Q31" s="265">
        <f t="shared" si="15"/>
        <v>4.1147705628188884</v>
      </c>
      <c r="R31" s="265">
        <f t="shared" si="15"/>
        <v>4.2432304698340948</v>
      </c>
      <c r="S31" s="265">
        <f t="shared" si="15"/>
        <v>4.3694774329170647</v>
      </c>
      <c r="T31" s="265">
        <f t="shared" si="15"/>
        <v>4.493791087391342</v>
      </c>
      <c r="U31" s="265">
        <f t="shared" si="15"/>
        <v>4.6164193893289944</v>
      </c>
      <c r="V31" s="265">
        <f t="shared" si="15"/>
        <v>4.7375837749009273</v>
      </c>
      <c r="W31" s="265">
        <f t="shared" si="15"/>
        <v>4.8574832790872993</v>
      </c>
      <c r="X31" s="265">
        <f t="shared" si="15"/>
        <v>4.9762978598592138</v>
      </c>
      <c r="Y31" s="265">
        <f t="shared" si="15"/>
        <v>5.0941911079233586</v>
      </c>
      <c r="Z31" s="265">
        <f t="shared" si="15"/>
        <v>5.2113124757374925</v>
      </c>
      <c r="AA31" s="265">
        <f t="shared" si="15"/>
        <v>5.3277991263877844</v>
      </c>
      <c r="AB31" s="265">
        <f t="shared" si="15"/>
        <v>5.4437774789249538</v>
      </c>
      <c r="AC31" s="266">
        <f t="shared" si="15"/>
        <v>5.5593645091363353</v>
      </c>
      <c r="AF31"/>
      <c r="AG31"/>
      <c r="AH31"/>
      <c r="AI31" s="90"/>
      <c r="AJ31" s="90"/>
      <c r="AK31" s="90"/>
      <c r="AL31" s="90"/>
      <c r="AM31" s="43"/>
      <c r="AN31" s="3"/>
      <c r="AO31" s="3"/>
      <c r="AQ31"/>
      <c r="AR31" s="13"/>
      <c r="AS31" s="12"/>
      <c r="AT31" s="3"/>
      <c r="AU31" s="3"/>
      <c r="AV31" s="3"/>
      <c r="AW31" s="3"/>
    </row>
    <row r="32" spans="2:49" hidden="1" x14ac:dyDescent="0.25">
      <c r="B32" s="242"/>
      <c r="C32" s="2"/>
      <c r="D32" s="43" t="s">
        <v>76</v>
      </c>
      <c r="E32" s="43"/>
      <c r="F32" s="229">
        <f>(0.675+9.273*10^-3*F17)*SQRT(F$16)*$F$4*$F$6/$F$7*$F$8</f>
        <v>10.221163004143778</v>
      </c>
      <c r="G32" s="136"/>
      <c r="I32" s="230">
        <f>(0.675+9.273*10^-3*I17)*SQRT(I$16)*$F$4/$F$7*$F$8</f>
        <v>5.5463205839949117</v>
      </c>
      <c r="J32" s="231">
        <f t="shared" ref="J32:AC32" si="16">(0.675+9.273*10^-3*J17)*SQRT(J$16)*$F$4/$F$7*$F$8</f>
        <v>5.9274921353899588</v>
      </c>
      <c r="K32" s="231">
        <f t="shared" si="16"/>
        <v>6.3111686182457811</v>
      </c>
      <c r="L32" s="231">
        <f t="shared" si="16"/>
        <v>6.7000422347032735</v>
      </c>
      <c r="M32" s="231">
        <f t="shared" si="16"/>
        <v>7.0963916991347746</v>
      </c>
      <c r="N32" s="231">
        <f t="shared" si="16"/>
        <v>7.5021867445828718</v>
      </c>
      <c r="O32" s="231">
        <f t="shared" si="16"/>
        <v>7.9191600458390905</v>
      </c>
      <c r="P32" s="231">
        <f t="shared" si="16"/>
        <v>8.3488582680155066</v>
      </c>
      <c r="Q32" s="231">
        <f t="shared" si="16"/>
        <v>8.7926792654438231</v>
      </c>
      <c r="R32" s="231">
        <f t="shared" si="16"/>
        <v>9.2518998122105618</v>
      </c>
      <c r="S32" s="231">
        <f t="shared" si="16"/>
        <v>9.7276966894067112</v>
      </c>
      <c r="T32" s="231">
        <f t="shared" si="16"/>
        <v>10.221163004143778</v>
      </c>
      <c r="U32" s="231">
        <f t="shared" si="16"/>
        <v>10.733321016802297</v>
      </c>
      <c r="V32" s="231">
        <f t="shared" si="16"/>
        <v>11.265132365199136</v>
      </c>
      <c r="W32" s="231">
        <f t="shared" si="16"/>
        <v>11.817506316882655</v>
      </c>
      <c r="X32" s="231">
        <f t="shared" si="16"/>
        <v>12.391306506003515</v>
      </c>
      <c r="Y32" s="231">
        <f t="shared" si="16"/>
        <v>12.987356490223704</v>
      </c>
      <c r="Z32" s="231">
        <f t="shared" si="16"/>
        <v>13.606444377859871</v>
      </c>
      <c r="AA32" s="231">
        <f t="shared" si="16"/>
        <v>14.249326714380654</v>
      </c>
      <c r="AB32" s="231">
        <f t="shared" si="16"/>
        <v>14.916731772976362</v>
      </c>
      <c r="AC32" s="232">
        <f t="shared" si="16"/>
        <v>15.609362361198096</v>
      </c>
      <c r="AF32"/>
      <c r="AG32"/>
      <c r="AH32"/>
      <c r="AI32" s="90"/>
      <c r="AJ32" s="90"/>
      <c r="AK32" s="90"/>
      <c r="AL32" s="90"/>
      <c r="AM32" s="43"/>
      <c r="AN32" s="3"/>
      <c r="AO32" s="3"/>
      <c r="AQ32"/>
      <c r="AR32" s="13"/>
      <c r="AS32" s="12"/>
      <c r="AT32" s="3"/>
      <c r="AU32" s="3"/>
      <c r="AV32" s="3"/>
      <c r="AW32" s="3"/>
    </row>
    <row r="33" spans="2:49" ht="15.75" hidden="1" thickBot="1" x14ac:dyDescent="0.3">
      <c r="B33" s="242"/>
      <c r="C33" s="2"/>
      <c r="D33" s="43" t="s">
        <v>77</v>
      </c>
      <c r="E33" s="43"/>
      <c r="F33" s="219">
        <f>IF(($F$3*(F$16*10^-3)/SQRT($C$16*10^-3*$B$35*10^-3)*$F$4/$F$6^2*$F$8)&lt;(4*$F$13*$F$8),($F$3*(F$16*10^-3)/SQRT($C$16*10^-3*$B$35*10^-3)*$F$4/$F$6^2*$F$8),(4*$F$13*$F$8))</f>
        <v>9.4595466606773275</v>
      </c>
      <c r="G33" s="136"/>
      <c r="I33" s="211">
        <f>IF(($F$3*(I$16*10^-3)/SQRT($C$16*10^-3*$B$35*10^-3)*$F$4*$F$8)&lt;(4*I$26*$F$8),($F$3*(I$16*10^-3)/SQRT($C$16*10^-3*$B$35*10^-3)*$F$4*$F$8),(4*I$26*$F$8))</f>
        <v>4.7106738248691222</v>
      </c>
      <c r="J33" s="209">
        <f t="shared" ref="J33:AC33" si="17">IF(($F$3*(J$16*10^-3)/SQRT($C$16*10^-3*$B$35*10^-3)*$F$4*$F$8)&lt;(4*J$26*$F$8),($F$3*(J$16*10^-3)/SQRT($C$16*10^-3*$B$35*10^-3)*$F$4*$F$8),(4*J$26*$F$8))</f>
        <v>5.2340820276323585</v>
      </c>
      <c r="K33" s="209">
        <f t="shared" si="17"/>
        <v>5.7574902303955939</v>
      </c>
      <c r="L33" s="209">
        <f t="shared" si="17"/>
        <v>6.2808984331588293</v>
      </c>
      <c r="M33" s="209">
        <f t="shared" si="17"/>
        <v>6.8043066359220656</v>
      </c>
      <c r="N33" s="209">
        <f t="shared" si="17"/>
        <v>7.3277148386853028</v>
      </c>
      <c r="O33" s="209">
        <f t="shared" si="17"/>
        <v>7.8511230414485373</v>
      </c>
      <c r="P33" s="209">
        <f t="shared" si="17"/>
        <v>8.3745312442117719</v>
      </c>
      <c r="Q33" s="209">
        <f t="shared" si="17"/>
        <v>8.5599736159935116</v>
      </c>
      <c r="R33" s="209">
        <f t="shared" si="17"/>
        <v>8.6183463387847858</v>
      </c>
      <c r="S33" s="209">
        <f t="shared" si="17"/>
        <v>8.6767190615760601</v>
      </c>
      <c r="T33" s="209">
        <f t="shared" si="17"/>
        <v>8.7350917843673326</v>
      </c>
      <c r="U33" s="209">
        <f t="shared" si="17"/>
        <v>8.7934645071586068</v>
      </c>
      <c r="V33" s="209">
        <f t="shared" si="17"/>
        <v>8.8518372299498793</v>
      </c>
      <c r="W33" s="209">
        <f t="shared" si="17"/>
        <v>8.9102099527411553</v>
      </c>
      <c r="X33" s="209">
        <f t="shared" si="17"/>
        <v>8.9685826755324278</v>
      </c>
      <c r="Y33" s="209">
        <f t="shared" si="17"/>
        <v>9.0269553983237003</v>
      </c>
      <c r="Z33" s="209">
        <f t="shared" si="17"/>
        <v>9.0853281211149746</v>
      </c>
      <c r="AA33" s="209">
        <f t="shared" si="17"/>
        <v>9.143700843906247</v>
      </c>
      <c r="AB33" s="209">
        <f t="shared" si="17"/>
        <v>9.2020735666975213</v>
      </c>
      <c r="AC33" s="210">
        <f t="shared" si="17"/>
        <v>9.2604462894887938</v>
      </c>
      <c r="AF33"/>
      <c r="AG33"/>
      <c r="AH33"/>
      <c r="AI33" s="90"/>
      <c r="AJ33" s="90"/>
      <c r="AK33" s="90"/>
      <c r="AL33" s="90"/>
      <c r="AM33" s="43"/>
      <c r="AN33" s="3"/>
      <c r="AO33" s="3"/>
      <c r="AQ33"/>
      <c r="AR33" s="13"/>
      <c r="AS33" s="12"/>
      <c r="AT33" s="3"/>
      <c r="AU33" s="3"/>
      <c r="AV33" s="3"/>
      <c r="AW33" s="3"/>
    </row>
    <row r="34" spans="2:49" x14ac:dyDescent="0.25">
      <c r="B34" s="140"/>
      <c r="C34" s="243"/>
      <c r="D34" s="239" t="s">
        <v>56</v>
      </c>
      <c r="E34" s="239"/>
      <c r="F34" s="220">
        <f>F31</f>
        <v>4.5105655450598174</v>
      </c>
      <c r="G34" s="215" t="s">
        <v>32</v>
      </c>
      <c r="I34" s="175">
        <f t="shared" ref="I34:AC34" si="18">I31</f>
        <v>2.9557410936582853</v>
      </c>
      <c r="J34" s="184">
        <f t="shared" si="18"/>
        <v>3.119265875052994</v>
      </c>
      <c r="K34" s="184">
        <f t="shared" si="18"/>
        <v>3.2757473284972805</v>
      </c>
      <c r="L34" s="184">
        <f t="shared" si="18"/>
        <v>3.4262628830371735</v>
      </c>
      <c r="M34" s="184">
        <f t="shared" si="18"/>
        <v>3.5716755416260089</v>
      </c>
      <c r="N34" s="184">
        <f t="shared" si="18"/>
        <v>3.7126905045987728</v>
      </c>
      <c r="O34" s="184">
        <f t="shared" si="18"/>
        <v>3.8498938634655824</v>
      </c>
      <c r="P34" s="184">
        <f t="shared" si="18"/>
        <v>3.9837798555469579</v>
      </c>
      <c r="Q34" s="184">
        <f t="shared" si="18"/>
        <v>4.1147705628188884</v>
      </c>
      <c r="R34" s="184">
        <f t="shared" si="18"/>
        <v>4.2432304698340948</v>
      </c>
      <c r="S34" s="184">
        <f t="shared" si="18"/>
        <v>4.3694774329170647</v>
      </c>
      <c r="T34" s="184">
        <f t="shared" si="18"/>
        <v>4.493791087391342</v>
      </c>
      <c r="U34" s="184">
        <f t="shared" si="18"/>
        <v>4.6164193893289944</v>
      </c>
      <c r="V34" s="184">
        <f t="shared" si="18"/>
        <v>4.7375837749009273</v>
      </c>
      <c r="W34" s="184">
        <f t="shared" si="18"/>
        <v>4.8574832790872993</v>
      </c>
      <c r="X34" s="184">
        <f t="shared" si="18"/>
        <v>4.9762978598592138</v>
      </c>
      <c r="Y34" s="184">
        <f t="shared" si="18"/>
        <v>5.0941911079233586</v>
      </c>
      <c r="Z34" s="184">
        <f t="shared" si="18"/>
        <v>5.2113124757374925</v>
      </c>
      <c r="AA34" s="184">
        <f t="shared" si="18"/>
        <v>5.3277991263877844</v>
      </c>
      <c r="AB34" s="184">
        <f t="shared" si="18"/>
        <v>5.4437774789249538</v>
      </c>
      <c r="AC34" s="185">
        <f t="shared" si="18"/>
        <v>5.5593645091363353</v>
      </c>
      <c r="AD34"/>
      <c r="AN34"/>
      <c r="AO34" s="3"/>
      <c r="AP34" s="3"/>
      <c r="AQ34" s="3"/>
      <c r="AR34" s="3"/>
      <c r="AS34" s="129"/>
    </row>
    <row r="35" spans="2:49" x14ac:dyDescent="0.25">
      <c r="B35" s="254">
        <v>99</v>
      </c>
      <c r="C35" s="244" t="s">
        <v>58</v>
      </c>
      <c r="D35" s="253" t="s">
        <v>57</v>
      </c>
      <c r="E35" s="253"/>
      <c r="F35" s="221">
        <f t="shared" ref="F35" si="19">IF(F32&lt;F33,F32,F33)</f>
        <v>9.4595466606773275</v>
      </c>
      <c r="G35" s="216" t="s">
        <v>32</v>
      </c>
      <c r="I35" s="178">
        <f t="shared" ref="I35:AC35" si="20">IF(I32&lt;I33,I32,I33)</f>
        <v>4.7106738248691222</v>
      </c>
      <c r="J35" s="179">
        <f t="shared" si="20"/>
        <v>5.2340820276323585</v>
      </c>
      <c r="K35" s="179">
        <f t="shared" si="20"/>
        <v>5.7574902303955939</v>
      </c>
      <c r="L35" s="179">
        <f t="shared" si="20"/>
        <v>6.2808984331588293</v>
      </c>
      <c r="M35" s="179">
        <f t="shared" si="20"/>
        <v>6.8043066359220656</v>
      </c>
      <c r="N35" s="179">
        <f t="shared" si="20"/>
        <v>7.3277148386853028</v>
      </c>
      <c r="O35" s="179">
        <f t="shared" si="20"/>
        <v>7.8511230414485373</v>
      </c>
      <c r="P35" s="179">
        <f t="shared" si="20"/>
        <v>8.3488582680155066</v>
      </c>
      <c r="Q35" s="179">
        <f t="shared" si="20"/>
        <v>8.5599736159935116</v>
      </c>
      <c r="R35" s="179">
        <f t="shared" si="20"/>
        <v>8.6183463387847858</v>
      </c>
      <c r="S35" s="179">
        <f t="shared" si="20"/>
        <v>8.6767190615760601</v>
      </c>
      <c r="T35" s="179">
        <f t="shared" si="20"/>
        <v>8.7350917843673326</v>
      </c>
      <c r="U35" s="179">
        <f t="shared" si="20"/>
        <v>8.7934645071586068</v>
      </c>
      <c r="V35" s="179">
        <f t="shared" si="20"/>
        <v>8.8518372299498793</v>
      </c>
      <c r="W35" s="179">
        <f t="shared" si="20"/>
        <v>8.9102099527411553</v>
      </c>
      <c r="X35" s="179">
        <f t="shared" si="20"/>
        <v>8.9685826755324278</v>
      </c>
      <c r="Y35" s="179">
        <f t="shared" si="20"/>
        <v>9.0269553983237003</v>
      </c>
      <c r="Z35" s="179">
        <f t="shared" si="20"/>
        <v>9.0853281211149746</v>
      </c>
      <c r="AA35" s="179">
        <f t="shared" si="20"/>
        <v>9.143700843906247</v>
      </c>
      <c r="AB35" s="179">
        <f t="shared" si="20"/>
        <v>9.2020735666975213</v>
      </c>
      <c r="AC35" s="180">
        <f t="shared" si="20"/>
        <v>9.2604462894887938</v>
      </c>
      <c r="AD35"/>
      <c r="AO35" s="3"/>
      <c r="AP35" s="3"/>
      <c r="AQ35" s="3"/>
      <c r="AR35" s="3"/>
      <c r="AS35" s="129"/>
    </row>
    <row r="36" spans="2:49" x14ac:dyDescent="0.25">
      <c r="B36" s="254" t="s">
        <v>37</v>
      </c>
      <c r="C36" s="243" t="s">
        <v>59</v>
      </c>
      <c r="D36" s="252" t="s">
        <v>60</v>
      </c>
      <c r="E36" s="252"/>
      <c r="F36" s="222">
        <f>F31</f>
        <v>4.5105655450598174</v>
      </c>
      <c r="G36" s="217" t="s">
        <v>32</v>
      </c>
      <c r="I36" s="181">
        <f t="shared" ref="I36:AC36" si="21">I31</f>
        <v>2.9557410936582853</v>
      </c>
      <c r="J36" s="182">
        <f t="shared" si="21"/>
        <v>3.119265875052994</v>
      </c>
      <c r="K36" s="182">
        <f t="shared" si="21"/>
        <v>3.2757473284972805</v>
      </c>
      <c r="L36" s="182">
        <f t="shared" si="21"/>
        <v>3.4262628830371735</v>
      </c>
      <c r="M36" s="182">
        <f t="shared" si="21"/>
        <v>3.5716755416260089</v>
      </c>
      <c r="N36" s="182">
        <f t="shared" si="21"/>
        <v>3.7126905045987728</v>
      </c>
      <c r="O36" s="182">
        <f t="shared" si="21"/>
        <v>3.8498938634655824</v>
      </c>
      <c r="P36" s="182">
        <f t="shared" si="21"/>
        <v>3.9837798555469579</v>
      </c>
      <c r="Q36" s="182">
        <f t="shared" si="21"/>
        <v>4.1147705628188884</v>
      </c>
      <c r="R36" s="182">
        <f t="shared" si="21"/>
        <v>4.2432304698340948</v>
      </c>
      <c r="S36" s="182">
        <f t="shared" si="21"/>
        <v>4.3694774329170647</v>
      </c>
      <c r="T36" s="182">
        <f t="shared" si="21"/>
        <v>4.493791087391342</v>
      </c>
      <c r="U36" s="182">
        <f t="shared" si="21"/>
        <v>4.6164193893289944</v>
      </c>
      <c r="V36" s="182">
        <f t="shared" si="21"/>
        <v>4.7375837749009273</v>
      </c>
      <c r="W36" s="182">
        <f t="shared" si="21"/>
        <v>4.8574832790872993</v>
      </c>
      <c r="X36" s="182">
        <f t="shared" si="21"/>
        <v>4.9762978598592138</v>
      </c>
      <c r="Y36" s="182">
        <f t="shared" si="21"/>
        <v>5.0941911079233586</v>
      </c>
      <c r="Z36" s="182">
        <f t="shared" si="21"/>
        <v>5.2113124757374925</v>
      </c>
      <c r="AA36" s="182">
        <f t="shared" si="21"/>
        <v>5.3277991263877844</v>
      </c>
      <c r="AB36" s="182">
        <f t="shared" si="21"/>
        <v>5.4437774789249538</v>
      </c>
      <c r="AC36" s="183">
        <f t="shared" si="21"/>
        <v>5.5593645091363353</v>
      </c>
      <c r="AD36"/>
      <c r="AN36" s="12"/>
      <c r="AO36" s="3"/>
      <c r="AP36" s="3"/>
      <c r="AQ36" s="3"/>
      <c r="AR36" s="3"/>
      <c r="AS36" s="129"/>
    </row>
    <row r="37" spans="2:49" ht="15.75" thickBot="1" x14ac:dyDescent="0.3">
      <c r="B37" s="141"/>
      <c r="C37" s="246"/>
      <c r="D37" s="238" t="s">
        <v>61</v>
      </c>
      <c r="E37" s="238"/>
      <c r="F37" s="223">
        <f t="shared" ref="F37" si="22">IF(F32&lt;F33,F32,F33)</f>
        <v>9.4595466606773275</v>
      </c>
      <c r="G37" s="214" t="s">
        <v>32</v>
      </c>
      <c r="I37" s="258">
        <f t="shared" ref="I37:AC37" si="23">IF(I32&lt;I33,I32,I33)</f>
        <v>4.7106738248691222</v>
      </c>
      <c r="J37" s="193">
        <f t="shared" si="23"/>
        <v>5.2340820276323585</v>
      </c>
      <c r="K37" s="193">
        <f t="shared" si="23"/>
        <v>5.7574902303955939</v>
      </c>
      <c r="L37" s="193">
        <f t="shared" si="23"/>
        <v>6.2808984331588293</v>
      </c>
      <c r="M37" s="193">
        <f t="shared" si="23"/>
        <v>6.8043066359220656</v>
      </c>
      <c r="N37" s="193">
        <f t="shared" si="23"/>
        <v>7.3277148386853028</v>
      </c>
      <c r="O37" s="193">
        <f t="shared" si="23"/>
        <v>7.8511230414485373</v>
      </c>
      <c r="P37" s="193">
        <f t="shared" si="23"/>
        <v>8.3488582680155066</v>
      </c>
      <c r="Q37" s="193">
        <f t="shared" si="23"/>
        <v>8.5599736159935116</v>
      </c>
      <c r="R37" s="193">
        <f t="shared" si="23"/>
        <v>8.6183463387847858</v>
      </c>
      <c r="S37" s="193">
        <f t="shared" si="23"/>
        <v>8.6767190615760601</v>
      </c>
      <c r="T37" s="193">
        <f t="shared" si="23"/>
        <v>8.7350917843673326</v>
      </c>
      <c r="U37" s="193">
        <f t="shared" si="23"/>
        <v>8.7934645071586068</v>
      </c>
      <c r="V37" s="193">
        <f t="shared" si="23"/>
        <v>8.8518372299498793</v>
      </c>
      <c r="W37" s="193">
        <f t="shared" si="23"/>
        <v>8.9102099527411553</v>
      </c>
      <c r="X37" s="193">
        <f t="shared" si="23"/>
        <v>8.9685826755324278</v>
      </c>
      <c r="Y37" s="193">
        <f t="shared" si="23"/>
        <v>9.0269553983237003</v>
      </c>
      <c r="Z37" s="193">
        <f t="shared" si="23"/>
        <v>9.0853281211149746</v>
      </c>
      <c r="AA37" s="193">
        <f t="shared" si="23"/>
        <v>9.143700843906247</v>
      </c>
      <c r="AB37" s="193">
        <f t="shared" si="23"/>
        <v>9.2020735666975213</v>
      </c>
      <c r="AC37" s="194">
        <f t="shared" si="23"/>
        <v>9.2604462894887938</v>
      </c>
      <c r="AD37"/>
      <c r="AO37" s="3"/>
      <c r="AP37" s="3"/>
      <c r="AQ37" s="3"/>
      <c r="AR37" s="3"/>
      <c r="AS37" s="129"/>
    </row>
    <row r="38" spans="2:49" ht="15.75" hidden="1" thickBot="1" x14ac:dyDescent="0.3">
      <c r="B38" s="242"/>
      <c r="C38" s="2"/>
      <c r="D38" s="43" t="s">
        <v>71</v>
      </c>
      <c r="E38" s="43"/>
      <c r="F38" s="229">
        <f>1.07*1.22*F31</f>
        <v>5.8880922625210861</v>
      </c>
      <c r="G38" s="136"/>
      <c r="I38" s="230">
        <f t="shared" ref="I38:AC38" si="24">1.07*1.22*I31</f>
        <v>3.8584244236615262</v>
      </c>
      <c r="J38" s="231">
        <f t="shared" si="24"/>
        <v>4.0718896732941792</v>
      </c>
      <c r="K38" s="231">
        <f t="shared" si="24"/>
        <v>4.2761605626203503</v>
      </c>
      <c r="L38" s="231">
        <f t="shared" si="24"/>
        <v>4.4726435675167266</v>
      </c>
      <c r="M38" s="231">
        <f t="shared" si="24"/>
        <v>4.6624652520385927</v>
      </c>
      <c r="N38" s="231">
        <f t="shared" si="24"/>
        <v>4.8465461847032385</v>
      </c>
      <c r="O38" s="231">
        <f t="shared" si="24"/>
        <v>5.025651449367972</v>
      </c>
      <c r="P38" s="231">
        <f t="shared" si="24"/>
        <v>5.2004262234309993</v>
      </c>
      <c r="Q38" s="231">
        <f t="shared" si="24"/>
        <v>5.3714214927037771</v>
      </c>
      <c r="R38" s="231">
        <f t="shared" si="24"/>
        <v>5.5391130553214278</v>
      </c>
      <c r="S38" s="231">
        <f t="shared" si="24"/>
        <v>5.7039158409299366</v>
      </c>
      <c r="T38" s="231">
        <f t="shared" si="24"/>
        <v>5.8661948854806587</v>
      </c>
      <c r="U38" s="231">
        <f t="shared" si="24"/>
        <v>6.02627387083007</v>
      </c>
      <c r="V38" s="231">
        <f t="shared" si="24"/>
        <v>6.1844418597556707</v>
      </c>
      <c r="W38" s="231">
        <f t="shared" si="24"/>
        <v>6.3409586725205607</v>
      </c>
      <c r="X38" s="231">
        <f t="shared" si="24"/>
        <v>6.4960592262602184</v>
      </c>
      <c r="Y38" s="231">
        <f t="shared" si="24"/>
        <v>6.6499570722831534</v>
      </c>
      <c r="Z38" s="231">
        <f t="shared" si="24"/>
        <v>6.802847305827723</v>
      </c>
      <c r="AA38" s="231">
        <f t="shared" si="24"/>
        <v>6.9549089795866141</v>
      </c>
      <c r="AB38" s="231">
        <f t="shared" si="24"/>
        <v>7.1063071209886353</v>
      </c>
      <c r="AC38" s="232">
        <f t="shared" si="24"/>
        <v>7.2571944302265727</v>
      </c>
      <c r="AF38"/>
      <c r="AG38"/>
      <c r="AH38"/>
      <c r="AI38" s="90"/>
      <c r="AJ38" s="90"/>
      <c r="AK38" s="90"/>
      <c r="AL38" s="90"/>
      <c r="AM38" s="43"/>
      <c r="AN38" s="3"/>
      <c r="AO38" s="3"/>
      <c r="AQ38"/>
      <c r="AR38" s="13"/>
      <c r="AS38" s="12"/>
      <c r="AT38" s="3"/>
      <c r="AU38" s="3"/>
      <c r="AV38" s="3"/>
      <c r="AW38" s="3"/>
    </row>
    <row r="39" spans="2:49" ht="15.75" hidden="1" thickBot="1" x14ac:dyDescent="0.3">
      <c r="B39" s="242"/>
      <c r="C39" s="2"/>
      <c r="D39" s="43" t="s">
        <v>72</v>
      </c>
      <c r="E39" s="43"/>
      <c r="F39" s="229">
        <f>1.07*1.22*F32</f>
        <v>13.342706185609288</v>
      </c>
      <c r="G39" s="136"/>
      <c r="I39" s="230">
        <f t="shared" ref="I39:AC39" si="25">1.07*1.22*I32</f>
        <v>7.2401668903469583</v>
      </c>
      <c r="J39" s="231">
        <f t="shared" si="25"/>
        <v>7.7377482335380527</v>
      </c>
      <c r="K39" s="231">
        <f t="shared" si="25"/>
        <v>8.238599514258043</v>
      </c>
      <c r="L39" s="231">
        <f t="shared" si="25"/>
        <v>8.7462351331816546</v>
      </c>
      <c r="M39" s="231">
        <f t="shared" si="25"/>
        <v>9.263629724050535</v>
      </c>
      <c r="N39" s="231">
        <f t="shared" si="25"/>
        <v>9.7933545763784817</v>
      </c>
      <c r="O39" s="231">
        <f t="shared" si="25"/>
        <v>10.337671523838349</v>
      </c>
      <c r="P39" s="231">
        <f t="shared" si="25"/>
        <v>10.898599583067444</v>
      </c>
      <c r="Q39" s="231">
        <f t="shared" si="25"/>
        <v>11.477963513110367</v>
      </c>
      <c r="R39" s="231">
        <f t="shared" si="25"/>
        <v>12.077430014859669</v>
      </c>
      <c r="S39" s="231">
        <f t="shared" si="25"/>
        <v>12.698535258351521</v>
      </c>
      <c r="T39" s="231">
        <f t="shared" si="25"/>
        <v>13.342706185609288</v>
      </c>
      <c r="U39" s="231">
        <f t="shared" si="25"/>
        <v>14.011277255333718</v>
      </c>
      <c r="V39" s="231">
        <f t="shared" si="25"/>
        <v>14.705503789530953</v>
      </c>
      <c r="W39" s="231">
        <f t="shared" si="25"/>
        <v>15.42657274605862</v>
      </c>
      <c r="X39" s="231">
        <f t="shared" si="25"/>
        <v>16.175611512936989</v>
      </c>
      <c r="Y39" s="231">
        <f t="shared" si="25"/>
        <v>16.953695162338025</v>
      </c>
      <c r="Z39" s="231">
        <f t="shared" si="25"/>
        <v>17.761852490858278</v>
      </c>
      <c r="AA39" s="231">
        <f t="shared" si="25"/>
        <v>18.601071092952509</v>
      </c>
      <c r="AB39" s="231">
        <f t="shared" si="25"/>
        <v>19.472301656443346</v>
      </c>
      <c r="AC39" s="232">
        <f t="shared" si="25"/>
        <v>20.376461626307997</v>
      </c>
      <c r="AF39"/>
      <c r="AG39"/>
      <c r="AH39"/>
      <c r="AI39" s="90"/>
      <c r="AJ39" s="90"/>
      <c r="AK39" s="90"/>
      <c r="AL39" s="90"/>
      <c r="AM39" s="43"/>
      <c r="AN39" s="3"/>
      <c r="AO39" s="3"/>
      <c r="AQ39"/>
      <c r="AR39" s="13"/>
      <c r="AS39" s="12"/>
      <c r="AT39" s="3"/>
      <c r="AU39" s="3"/>
      <c r="AV39" s="3"/>
      <c r="AW39" s="3"/>
    </row>
    <row r="40" spans="2:49" ht="15.75" hidden="1" thickBot="1" x14ac:dyDescent="0.3">
      <c r="B40" s="242"/>
      <c r="C40" s="2"/>
      <c r="D40" s="43" t="s">
        <v>79</v>
      </c>
      <c r="E40" s="43"/>
      <c r="F40" s="229">
        <f>1.07*1.22*F33</f>
        <v>12.348492210848184</v>
      </c>
      <c r="G40" s="136"/>
      <c r="I40" s="230">
        <f t="shared" ref="I40:AC40" si="26">1.07*1.22*I33</f>
        <v>6.1493136109841524</v>
      </c>
      <c r="J40" s="231">
        <f t="shared" si="26"/>
        <v>6.8325706788712814</v>
      </c>
      <c r="K40" s="231">
        <f t="shared" si="26"/>
        <v>7.5158277467584087</v>
      </c>
      <c r="L40" s="231">
        <f t="shared" si="26"/>
        <v>8.199084814645536</v>
      </c>
      <c r="M40" s="231">
        <f t="shared" si="26"/>
        <v>8.8823418825326659</v>
      </c>
      <c r="N40" s="231">
        <f t="shared" si="26"/>
        <v>9.5655989504197958</v>
      </c>
      <c r="O40" s="231">
        <f t="shared" si="26"/>
        <v>10.248856018306922</v>
      </c>
      <c r="P40" s="231">
        <f t="shared" si="26"/>
        <v>10.932113086194049</v>
      </c>
      <c r="Q40" s="231">
        <f t="shared" si="26"/>
        <v>11.174189558317931</v>
      </c>
      <c r="R40" s="231">
        <f t="shared" si="26"/>
        <v>11.250389310649661</v>
      </c>
      <c r="S40" s="231">
        <f t="shared" si="26"/>
        <v>11.326589062981389</v>
      </c>
      <c r="T40" s="231">
        <f t="shared" si="26"/>
        <v>11.402788815313118</v>
      </c>
      <c r="U40" s="231">
        <f t="shared" si="26"/>
        <v>11.478988567644846</v>
      </c>
      <c r="V40" s="231">
        <f t="shared" si="26"/>
        <v>11.555188319976574</v>
      </c>
      <c r="W40" s="231">
        <f t="shared" si="26"/>
        <v>11.631388072308305</v>
      </c>
      <c r="X40" s="231">
        <f t="shared" si="26"/>
        <v>11.707587824640033</v>
      </c>
      <c r="Y40" s="231">
        <f t="shared" si="26"/>
        <v>11.783787576971759</v>
      </c>
      <c r="Z40" s="231">
        <f t="shared" si="26"/>
        <v>11.85998732930349</v>
      </c>
      <c r="AA40" s="231">
        <f t="shared" si="26"/>
        <v>11.936187081635216</v>
      </c>
      <c r="AB40" s="231">
        <f t="shared" si="26"/>
        <v>12.012386833966945</v>
      </c>
      <c r="AC40" s="232">
        <f t="shared" si="26"/>
        <v>12.088586586298673</v>
      </c>
      <c r="AF40"/>
      <c r="AG40"/>
      <c r="AH40"/>
      <c r="AI40" s="90"/>
      <c r="AJ40" s="90"/>
      <c r="AK40" s="90"/>
      <c r="AL40" s="90"/>
      <c r="AM40" s="43"/>
      <c r="AN40" s="3"/>
      <c r="AO40" s="3"/>
      <c r="AQ40"/>
      <c r="AR40" s="13"/>
      <c r="AS40" s="12"/>
      <c r="AT40" s="3"/>
      <c r="AU40" s="3"/>
      <c r="AV40" s="3"/>
      <c r="AW40" s="3"/>
    </row>
    <row r="41" spans="2:49" ht="15.75" hidden="1" thickBot="1" x14ac:dyDescent="0.3">
      <c r="B41" s="242"/>
      <c r="C41" s="2"/>
      <c r="D41" s="43" t="s">
        <v>73</v>
      </c>
      <c r="E41" s="43"/>
      <c r="F41" s="229">
        <f>1.07*0.707*F31</f>
        <v>3.4121977291823011</v>
      </c>
      <c r="G41" s="136"/>
      <c r="I41" s="230">
        <f t="shared" ref="I41:AC41" si="27">1.07*0.707*I31</f>
        <v>2.2359885799415564</v>
      </c>
      <c r="J41" s="231">
        <f t="shared" si="27"/>
        <v>2.3596934418188393</v>
      </c>
      <c r="K41" s="231">
        <f t="shared" si="27"/>
        <v>2.4780700965349078</v>
      </c>
      <c r="L41" s="231">
        <f t="shared" si="27"/>
        <v>2.5919336083887914</v>
      </c>
      <c r="M41" s="231">
        <f t="shared" si="27"/>
        <v>2.7019368304846596</v>
      </c>
      <c r="N41" s="231">
        <f t="shared" si="27"/>
        <v>2.8086132398239254</v>
      </c>
      <c r="O41" s="231">
        <f t="shared" si="27"/>
        <v>2.9124062087730782</v>
      </c>
      <c r="P41" s="231">
        <f t="shared" si="27"/>
        <v>3.0136896229227181</v>
      </c>
      <c r="Q41" s="231">
        <f t="shared" si="27"/>
        <v>3.1127827830668608</v>
      </c>
      <c r="R41" s="231">
        <f t="shared" si="27"/>
        <v>3.2099614181247942</v>
      </c>
      <c r="S41" s="231">
        <f t="shared" si="27"/>
        <v>3.3054659832274305</v>
      </c>
      <c r="T41" s="231">
        <f t="shared" si="27"/>
        <v>3.3995080197006762</v>
      </c>
      <c r="U41" s="231">
        <f t="shared" si="27"/>
        <v>3.4922751038334909</v>
      </c>
      <c r="V41" s="231">
        <f t="shared" si="27"/>
        <v>3.5839347498748024</v>
      </c>
      <c r="W41" s="231">
        <f t="shared" si="27"/>
        <v>3.6746375257967512</v>
      </c>
      <c r="X41" s="231">
        <f t="shared" si="27"/>
        <v>3.7645195680048968</v>
      </c>
      <c r="Y41" s="231">
        <f t="shared" si="27"/>
        <v>3.8537046312329415</v>
      </c>
      <c r="Z41" s="231">
        <f t="shared" si="27"/>
        <v>3.9423057747706558</v>
      </c>
      <c r="AA41" s="231">
        <f t="shared" si="27"/>
        <v>4.0304267611210953</v>
      </c>
      <c r="AB41" s="231">
        <f t="shared" si="27"/>
        <v>4.118163225031938</v>
      </c>
      <c r="AC41" s="232">
        <f t="shared" si="27"/>
        <v>4.2056036575165461</v>
      </c>
      <c r="AF41"/>
      <c r="AG41"/>
      <c r="AH41"/>
      <c r="AI41" s="90"/>
      <c r="AJ41" s="90"/>
      <c r="AK41" s="90"/>
      <c r="AL41" s="90"/>
      <c r="AM41" s="43"/>
      <c r="AN41" s="3"/>
      <c r="AO41" s="3"/>
      <c r="AQ41"/>
      <c r="AR41" s="13"/>
      <c r="AS41" s="12"/>
      <c r="AT41" s="3"/>
      <c r="AU41" s="3"/>
      <c r="AV41" s="3"/>
      <c r="AW41" s="3"/>
    </row>
    <row r="42" spans="2:49" ht="15.75" hidden="1" thickBot="1" x14ac:dyDescent="0.3">
      <c r="B42" s="242"/>
      <c r="C42" s="2"/>
      <c r="D42" s="43" t="s">
        <v>74</v>
      </c>
      <c r="E42" s="43"/>
      <c r="F42" s="229">
        <f>1.07*0.707*F32</f>
        <v>7.7322076010047258</v>
      </c>
      <c r="G42" s="136"/>
      <c r="I42" s="230">
        <f t="shared" ref="I42:AC42" si="28">1.07*0.707*I32</f>
        <v>4.195736058586311</v>
      </c>
      <c r="J42" s="231">
        <f t="shared" si="28"/>
        <v>4.48408852550115</v>
      </c>
      <c r="K42" s="231">
        <f t="shared" si="28"/>
        <v>4.7743359480167511</v>
      </c>
      <c r="L42" s="231">
        <f t="shared" si="28"/>
        <v>5.0685149501306794</v>
      </c>
      <c r="M42" s="231">
        <f t="shared" si="28"/>
        <v>5.3683493564784657</v>
      </c>
      <c r="N42" s="231">
        <f t="shared" si="28"/>
        <v>5.6753292504094963</v>
      </c>
      <c r="O42" s="231">
        <f t="shared" si="28"/>
        <v>5.9907653830768135</v>
      </c>
      <c r="P42" s="231">
        <f t="shared" si="28"/>
        <v>6.3158277911710501</v>
      </c>
      <c r="Q42" s="231">
        <f t="shared" si="28"/>
        <v>6.6515739375155976</v>
      </c>
      <c r="R42" s="231">
        <f t="shared" si="28"/>
        <v>6.9989696889391677</v>
      </c>
      <c r="S42" s="231">
        <f t="shared" si="28"/>
        <v>7.3589052685692833</v>
      </c>
      <c r="T42" s="231">
        <f t="shared" si="28"/>
        <v>7.7322076010047258</v>
      </c>
      <c r="U42" s="231">
        <f t="shared" si="28"/>
        <v>8.1196500160007687</v>
      </c>
      <c r="V42" s="231">
        <f t="shared" si="28"/>
        <v>8.521959982949495</v>
      </c>
      <c r="W42" s="231">
        <f t="shared" si="28"/>
        <v>8.9398253536585592</v>
      </c>
      <c r="X42" s="231">
        <f t="shared" si="28"/>
        <v>9.3738994587265996</v>
      </c>
      <c r="Y42" s="231">
        <f t="shared" si="28"/>
        <v>9.8248053112893299</v>
      </c>
      <c r="Z42" s="231">
        <f t="shared" si="28"/>
        <v>10.293139107407214</v>
      </c>
      <c r="AA42" s="231">
        <f t="shared" si="28"/>
        <v>10.779473166161821</v>
      </c>
      <c r="AB42" s="231">
        <f t="shared" si="28"/>
        <v>11.284358418938888</v>
      </c>
      <c r="AC42" s="232">
        <f t="shared" si="28"/>
        <v>11.808326532622749</v>
      </c>
      <c r="AF42"/>
      <c r="AG42"/>
      <c r="AH42"/>
      <c r="AI42" s="90"/>
      <c r="AJ42" s="90"/>
      <c r="AK42" s="90"/>
      <c r="AL42" s="90"/>
      <c r="AM42" s="43"/>
      <c r="AN42" s="3"/>
      <c r="AO42" s="3"/>
      <c r="AQ42"/>
      <c r="AR42" s="13"/>
      <c r="AS42" s="12"/>
      <c r="AT42" s="3"/>
      <c r="AU42" s="3"/>
      <c r="AV42" s="3"/>
      <c r="AW42" s="3"/>
    </row>
    <row r="43" spans="2:49" ht="15.75" hidden="1" thickBot="1" x14ac:dyDescent="0.3">
      <c r="B43" s="242"/>
      <c r="C43" s="2"/>
      <c r="D43" s="43" t="s">
        <v>80</v>
      </c>
      <c r="E43" s="43"/>
      <c r="F43" s="229">
        <f>1.07*0.707*F33</f>
        <v>7.1560524533357919</v>
      </c>
      <c r="G43" s="136"/>
      <c r="I43" s="230">
        <f t="shared" ref="I43:AC43" si="29">1.07*0.707*I33</f>
        <v>3.5635776417752423</v>
      </c>
      <c r="J43" s="231">
        <f t="shared" si="29"/>
        <v>3.9595307130836028</v>
      </c>
      <c r="K43" s="231">
        <f t="shared" si="29"/>
        <v>4.3554837843919625</v>
      </c>
      <c r="L43" s="231">
        <f t="shared" si="29"/>
        <v>4.751436855700323</v>
      </c>
      <c r="M43" s="231">
        <f t="shared" si="29"/>
        <v>5.1473899270086836</v>
      </c>
      <c r="N43" s="231">
        <f t="shared" si="29"/>
        <v>5.543342998317045</v>
      </c>
      <c r="O43" s="231">
        <f t="shared" si="29"/>
        <v>5.9392960696254038</v>
      </c>
      <c r="P43" s="231">
        <f t="shared" si="29"/>
        <v>6.3352491409337635</v>
      </c>
      <c r="Q43" s="231">
        <f t="shared" si="29"/>
        <v>6.4755344407629316</v>
      </c>
      <c r="R43" s="231">
        <f t="shared" si="29"/>
        <v>6.5196928218273023</v>
      </c>
      <c r="S43" s="231">
        <f t="shared" si="29"/>
        <v>6.5638512028916738</v>
      </c>
      <c r="T43" s="231">
        <f t="shared" si="29"/>
        <v>6.6080095839560435</v>
      </c>
      <c r="U43" s="231">
        <f t="shared" si="29"/>
        <v>6.6521679650204142</v>
      </c>
      <c r="V43" s="231">
        <f t="shared" si="29"/>
        <v>6.6963263460847839</v>
      </c>
      <c r="W43" s="231">
        <f t="shared" si="29"/>
        <v>6.7404847271491564</v>
      </c>
      <c r="X43" s="231">
        <f t="shared" si="29"/>
        <v>6.7846431082135261</v>
      </c>
      <c r="Y43" s="231">
        <f t="shared" si="29"/>
        <v>6.8288014892778959</v>
      </c>
      <c r="Z43" s="231">
        <f t="shared" si="29"/>
        <v>6.8729598703422674</v>
      </c>
      <c r="AA43" s="231">
        <f t="shared" si="29"/>
        <v>6.9171182514066372</v>
      </c>
      <c r="AB43" s="231">
        <f t="shared" si="29"/>
        <v>6.9612766324710078</v>
      </c>
      <c r="AC43" s="232">
        <f t="shared" si="29"/>
        <v>7.0054350135353776</v>
      </c>
      <c r="AF43"/>
      <c r="AG43"/>
      <c r="AH43"/>
      <c r="AI43" s="90"/>
      <c r="AJ43" s="90"/>
      <c r="AK43" s="90"/>
      <c r="AL43" s="90"/>
      <c r="AM43" s="43"/>
      <c r="AN43" s="3"/>
      <c r="AO43" s="3"/>
      <c r="AQ43"/>
      <c r="AR43" s="13"/>
      <c r="AS43" s="12"/>
      <c r="AT43" s="3"/>
      <c r="AU43" s="3"/>
      <c r="AV43" s="3"/>
      <c r="AW43" s="3"/>
    </row>
    <row r="44" spans="2:49" x14ac:dyDescent="0.25">
      <c r="B44" s="142"/>
      <c r="C44" s="243"/>
      <c r="D44" s="239" t="s">
        <v>56</v>
      </c>
      <c r="E44" s="252"/>
      <c r="F44" s="224">
        <f>F38</f>
        <v>5.8880922625210861</v>
      </c>
      <c r="G44" s="215" t="s">
        <v>32</v>
      </c>
      <c r="I44" s="255">
        <f t="shared" ref="I44:AC44" si="30">I38</f>
        <v>3.8584244236615262</v>
      </c>
      <c r="J44" s="176">
        <f t="shared" si="30"/>
        <v>4.0718896732941792</v>
      </c>
      <c r="K44" s="176">
        <f t="shared" si="30"/>
        <v>4.2761605626203503</v>
      </c>
      <c r="L44" s="176">
        <f t="shared" si="30"/>
        <v>4.4726435675167266</v>
      </c>
      <c r="M44" s="176">
        <f t="shared" si="30"/>
        <v>4.6624652520385927</v>
      </c>
      <c r="N44" s="176">
        <f t="shared" si="30"/>
        <v>4.8465461847032385</v>
      </c>
      <c r="O44" s="176">
        <f t="shared" si="30"/>
        <v>5.025651449367972</v>
      </c>
      <c r="P44" s="176">
        <f t="shared" si="30"/>
        <v>5.2004262234309993</v>
      </c>
      <c r="Q44" s="176">
        <f t="shared" si="30"/>
        <v>5.3714214927037771</v>
      </c>
      <c r="R44" s="176">
        <f t="shared" si="30"/>
        <v>5.5391130553214278</v>
      </c>
      <c r="S44" s="176">
        <f t="shared" si="30"/>
        <v>5.7039158409299366</v>
      </c>
      <c r="T44" s="176">
        <f t="shared" si="30"/>
        <v>5.8661948854806587</v>
      </c>
      <c r="U44" s="176">
        <f t="shared" si="30"/>
        <v>6.02627387083007</v>
      </c>
      <c r="V44" s="176">
        <f t="shared" si="30"/>
        <v>6.1844418597556707</v>
      </c>
      <c r="W44" s="176">
        <f t="shared" si="30"/>
        <v>6.3409586725205607</v>
      </c>
      <c r="X44" s="176">
        <f t="shared" si="30"/>
        <v>6.4960592262602184</v>
      </c>
      <c r="Y44" s="176">
        <f t="shared" si="30"/>
        <v>6.6499570722831534</v>
      </c>
      <c r="Z44" s="176">
        <f t="shared" si="30"/>
        <v>6.802847305827723</v>
      </c>
      <c r="AA44" s="176">
        <f t="shared" si="30"/>
        <v>6.9549089795866141</v>
      </c>
      <c r="AB44" s="176">
        <f t="shared" si="30"/>
        <v>7.1063071209886353</v>
      </c>
      <c r="AC44" s="177">
        <f t="shared" si="30"/>
        <v>7.2571944302265727</v>
      </c>
      <c r="AD44"/>
      <c r="AN44" s="12"/>
      <c r="AO44" s="3"/>
      <c r="AP44" s="3"/>
      <c r="AQ44" s="3"/>
      <c r="AR44" s="3"/>
      <c r="AS44" s="129"/>
    </row>
    <row r="45" spans="2:49" x14ac:dyDescent="0.25">
      <c r="B45" s="141"/>
      <c r="C45" s="244" t="s">
        <v>67</v>
      </c>
      <c r="D45" s="253" t="s">
        <v>57</v>
      </c>
      <c r="E45" s="253"/>
      <c r="F45" s="221">
        <f>IF(F39&lt;F40,F39,F40)</f>
        <v>12.348492210848184</v>
      </c>
      <c r="G45" s="216" t="s">
        <v>32</v>
      </c>
      <c r="I45" s="178">
        <f t="shared" ref="I45:AC45" si="31">IF(I39&lt;I40,I39,I40)</f>
        <v>6.1493136109841524</v>
      </c>
      <c r="J45" s="179">
        <f t="shared" si="31"/>
        <v>6.8325706788712814</v>
      </c>
      <c r="K45" s="179">
        <f t="shared" si="31"/>
        <v>7.5158277467584087</v>
      </c>
      <c r="L45" s="179">
        <f t="shared" si="31"/>
        <v>8.199084814645536</v>
      </c>
      <c r="M45" s="179">
        <f t="shared" si="31"/>
        <v>8.8823418825326659</v>
      </c>
      <c r="N45" s="179">
        <f t="shared" si="31"/>
        <v>9.5655989504197958</v>
      </c>
      <c r="O45" s="179">
        <f t="shared" si="31"/>
        <v>10.248856018306922</v>
      </c>
      <c r="P45" s="179">
        <f t="shared" si="31"/>
        <v>10.898599583067444</v>
      </c>
      <c r="Q45" s="179">
        <f t="shared" si="31"/>
        <v>11.174189558317931</v>
      </c>
      <c r="R45" s="179">
        <f t="shared" si="31"/>
        <v>11.250389310649661</v>
      </c>
      <c r="S45" s="179">
        <f t="shared" si="31"/>
        <v>11.326589062981389</v>
      </c>
      <c r="T45" s="179">
        <f t="shared" si="31"/>
        <v>11.402788815313118</v>
      </c>
      <c r="U45" s="179">
        <f t="shared" si="31"/>
        <v>11.478988567644846</v>
      </c>
      <c r="V45" s="179">
        <f t="shared" si="31"/>
        <v>11.555188319976574</v>
      </c>
      <c r="W45" s="179">
        <f t="shared" si="31"/>
        <v>11.631388072308305</v>
      </c>
      <c r="X45" s="179">
        <f t="shared" si="31"/>
        <v>11.707587824640033</v>
      </c>
      <c r="Y45" s="179">
        <f t="shared" si="31"/>
        <v>11.783787576971759</v>
      </c>
      <c r="Z45" s="179">
        <f t="shared" si="31"/>
        <v>11.85998732930349</v>
      </c>
      <c r="AA45" s="179">
        <f t="shared" si="31"/>
        <v>11.936187081635216</v>
      </c>
      <c r="AB45" s="179">
        <f t="shared" si="31"/>
        <v>12.012386833966945</v>
      </c>
      <c r="AC45" s="180">
        <f t="shared" si="31"/>
        <v>12.088586586298673</v>
      </c>
      <c r="AO45" s="3"/>
      <c r="AP45" s="3"/>
      <c r="AQ45" s="3"/>
      <c r="AR45" s="3"/>
      <c r="AS45" s="129"/>
    </row>
    <row r="46" spans="2:49" x14ac:dyDescent="0.25">
      <c r="B46" s="142"/>
      <c r="C46" s="243" t="s">
        <v>68</v>
      </c>
      <c r="D46" s="252" t="s">
        <v>60</v>
      </c>
      <c r="E46" s="252"/>
      <c r="F46" s="222">
        <f>F41</f>
        <v>3.4121977291823011</v>
      </c>
      <c r="G46" s="217" t="s">
        <v>32</v>
      </c>
      <c r="I46" s="181">
        <f t="shared" ref="I46:AC46" si="32">I41</f>
        <v>2.2359885799415564</v>
      </c>
      <c r="J46" s="182">
        <f t="shared" si="32"/>
        <v>2.3596934418188393</v>
      </c>
      <c r="K46" s="182">
        <f t="shared" si="32"/>
        <v>2.4780700965349078</v>
      </c>
      <c r="L46" s="182">
        <f t="shared" si="32"/>
        <v>2.5919336083887914</v>
      </c>
      <c r="M46" s="182">
        <f t="shared" si="32"/>
        <v>2.7019368304846596</v>
      </c>
      <c r="N46" s="182">
        <f t="shared" si="32"/>
        <v>2.8086132398239254</v>
      </c>
      <c r="O46" s="182">
        <f t="shared" si="32"/>
        <v>2.9124062087730782</v>
      </c>
      <c r="P46" s="182">
        <f t="shared" si="32"/>
        <v>3.0136896229227181</v>
      </c>
      <c r="Q46" s="182">
        <f t="shared" si="32"/>
        <v>3.1127827830668608</v>
      </c>
      <c r="R46" s="182">
        <f t="shared" si="32"/>
        <v>3.2099614181247942</v>
      </c>
      <c r="S46" s="182">
        <f t="shared" si="32"/>
        <v>3.3054659832274305</v>
      </c>
      <c r="T46" s="182">
        <f t="shared" si="32"/>
        <v>3.3995080197006762</v>
      </c>
      <c r="U46" s="182">
        <f t="shared" si="32"/>
        <v>3.4922751038334909</v>
      </c>
      <c r="V46" s="182">
        <f t="shared" si="32"/>
        <v>3.5839347498748024</v>
      </c>
      <c r="W46" s="182">
        <f t="shared" si="32"/>
        <v>3.6746375257967512</v>
      </c>
      <c r="X46" s="182">
        <f t="shared" si="32"/>
        <v>3.7645195680048968</v>
      </c>
      <c r="Y46" s="182">
        <f t="shared" si="32"/>
        <v>3.8537046312329415</v>
      </c>
      <c r="Z46" s="182">
        <f t="shared" si="32"/>
        <v>3.9423057747706558</v>
      </c>
      <c r="AA46" s="182">
        <f t="shared" si="32"/>
        <v>4.0304267611210953</v>
      </c>
      <c r="AB46" s="182">
        <f t="shared" si="32"/>
        <v>4.118163225031938</v>
      </c>
      <c r="AC46" s="183">
        <f t="shared" si="32"/>
        <v>4.2056036575165461</v>
      </c>
      <c r="AD46"/>
      <c r="AM46"/>
      <c r="AN46"/>
      <c r="AO46" s="3"/>
      <c r="AP46" s="3"/>
      <c r="AQ46" s="3"/>
      <c r="AR46" s="3"/>
      <c r="AS46" s="129"/>
    </row>
    <row r="47" spans="2:49" ht="15.75" thickBot="1" x14ac:dyDescent="0.3">
      <c r="B47" s="141"/>
      <c r="C47" s="248"/>
      <c r="D47" s="237" t="s">
        <v>61</v>
      </c>
      <c r="E47" s="237"/>
      <c r="F47" s="225">
        <f t="shared" ref="F47" si="33">IF(F42&lt;F43,F42,F43)</f>
        <v>7.1560524533357919</v>
      </c>
      <c r="G47" s="136" t="s">
        <v>32</v>
      </c>
      <c r="I47" s="186">
        <f t="shared" ref="I47:AC47" si="34">IF(I42&lt;I43,I42,I43)</f>
        <v>3.5635776417752423</v>
      </c>
      <c r="J47" s="187">
        <f t="shared" si="34"/>
        <v>3.9595307130836028</v>
      </c>
      <c r="K47" s="187">
        <f t="shared" si="34"/>
        <v>4.3554837843919625</v>
      </c>
      <c r="L47" s="187">
        <f t="shared" si="34"/>
        <v>4.751436855700323</v>
      </c>
      <c r="M47" s="187">
        <f t="shared" si="34"/>
        <v>5.1473899270086836</v>
      </c>
      <c r="N47" s="187">
        <f t="shared" si="34"/>
        <v>5.543342998317045</v>
      </c>
      <c r="O47" s="187">
        <f t="shared" si="34"/>
        <v>5.9392960696254038</v>
      </c>
      <c r="P47" s="187">
        <f t="shared" si="34"/>
        <v>6.3158277911710501</v>
      </c>
      <c r="Q47" s="187">
        <f t="shared" si="34"/>
        <v>6.4755344407629316</v>
      </c>
      <c r="R47" s="187">
        <f t="shared" si="34"/>
        <v>6.5196928218273023</v>
      </c>
      <c r="S47" s="187">
        <f t="shared" si="34"/>
        <v>6.5638512028916738</v>
      </c>
      <c r="T47" s="187">
        <f t="shared" si="34"/>
        <v>6.6080095839560435</v>
      </c>
      <c r="U47" s="187">
        <f t="shared" si="34"/>
        <v>6.6521679650204142</v>
      </c>
      <c r="V47" s="187">
        <f t="shared" si="34"/>
        <v>6.6963263460847839</v>
      </c>
      <c r="W47" s="187">
        <f t="shared" si="34"/>
        <v>6.7404847271491564</v>
      </c>
      <c r="X47" s="187">
        <f t="shared" si="34"/>
        <v>6.7846431082135261</v>
      </c>
      <c r="Y47" s="187">
        <f t="shared" si="34"/>
        <v>6.8288014892778959</v>
      </c>
      <c r="Z47" s="187">
        <f t="shared" si="34"/>
        <v>6.8729598703422674</v>
      </c>
      <c r="AA47" s="187">
        <f t="shared" si="34"/>
        <v>6.9171182514066372</v>
      </c>
      <c r="AB47" s="187">
        <f t="shared" si="34"/>
        <v>6.9612766324710078</v>
      </c>
      <c r="AC47" s="188">
        <f t="shared" si="34"/>
        <v>7.0054350135353776</v>
      </c>
      <c r="AD47"/>
      <c r="AE47" s="17"/>
      <c r="AF47" s="17"/>
      <c r="AG47" s="17"/>
      <c r="AH47" s="17"/>
      <c r="AI47" s="17"/>
      <c r="AJ47" s="17"/>
      <c r="AK47" s="17"/>
      <c r="AL47" s="78"/>
      <c r="AM47" s="121"/>
      <c r="AN47" s="121"/>
      <c r="AO47" s="17"/>
      <c r="AP47" s="17"/>
      <c r="AQ47" s="17"/>
      <c r="AR47" s="17"/>
      <c r="AS47" s="162"/>
    </row>
    <row r="48" spans="2:49" ht="15.75" thickTop="1" x14ac:dyDescent="0.25">
      <c r="B48" s="139"/>
      <c r="C48" s="139"/>
      <c r="D48" s="125" t="s">
        <v>22</v>
      </c>
      <c r="E48" s="125"/>
      <c r="F48" s="218">
        <f>1.359*10^-3*(F$16/($C$16*10^-3*$B66*10^-3)*(0.507*0.171))^2.0302</f>
        <v>11.595232093713243</v>
      </c>
      <c r="G48" s="149" t="s">
        <v>6</v>
      </c>
      <c r="I48" s="263"/>
      <c r="J48" s="75"/>
      <c r="K48" s="170"/>
      <c r="L48" s="206">
        <f t="shared" ref="L48:AI48" si="35">1.359*10^-3*(L$16/($C$16*10^-3*$B66*10^-3)*(0.507*0.171))^2.0302</f>
        <v>4.1103813325398821</v>
      </c>
      <c r="M48" s="206">
        <f t="shared" si="35"/>
        <v>4.8356642878781777</v>
      </c>
      <c r="N48" s="206">
        <f t="shared" si="35"/>
        <v>5.620791644686685</v>
      </c>
      <c r="O48" s="206">
        <f t="shared" si="35"/>
        <v>6.4658976079435426</v>
      </c>
      <c r="P48" s="206">
        <f t="shared" si="35"/>
        <v>7.3711073750863889</v>
      </c>
      <c r="Q48" s="206">
        <f t="shared" si="35"/>
        <v>8.3365382857061068</v>
      </c>
      <c r="R48" s="206">
        <f t="shared" si="35"/>
        <v>9.3623007632694542</v>
      </c>
      <c r="S48" s="206">
        <f t="shared" si="35"/>
        <v>10.448499096310952</v>
      </c>
      <c r="T48" s="206">
        <f t="shared" si="35"/>
        <v>11.595232093713243</v>
      </c>
      <c r="U48" s="206">
        <f t="shared" si="35"/>
        <v>12.802593639824543</v>
      </c>
      <c r="V48" s="206">
        <f t="shared" si="35"/>
        <v>14.070673168889106</v>
      </c>
      <c r="W48" s="206">
        <f t="shared" si="35"/>
        <v>15.39955607374389</v>
      </c>
      <c r="X48" s="206">
        <f t="shared" si="35"/>
        <v>16.789324060419869</v>
      </c>
      <c r="Y48" s="206">
        <f t="shared" si="35"/>
        <v>18.240055457813952</v>
      </c>
      <c r="Z48" s="206">
        <f t="shared" si="35"/>
        <v>19.751825489733548</v>
      </c>
      <c r="AA48" s="206">
        <f t="shared" si="35"/>
        <v>21.32470651518689</v>
      </c>
      <c r="AB48" s="206">
        <f t="shared" si="35"/>
        <v>22.958768241688311</v>
      </c>
      <c r="AC48" s="280">
        <f t="shared" si="35"/>
        <v>24.654077915482748</v>
      </c>
      <c r="AD48" s="206">
        <f t="shared" si="35"/>
        <v>26.410700491912195</v>
      </c>
      <c r="AE48" s="206">
        <f t="shared" si="35"/>
        <v>30.108133623700827</v>
      </c>
      <c r="AF48" s="206">
        <f t="shared" si="35"/>
        <v>34.051546924073349</v>
      </c>
      <c r="AG48" s="206">
        <f t="shared" si="35"/>
        <v>38.24139143034656</v>
      </c>
      <c r="AH48" s="206">
        <f t="shared" si="35"/>
        <v>42.678093121002817</v>
      </c>
      <c r="AI48" s="207">
        <f t="shared" si="35"/>
        <v>47.362055592257668</v>
      </c>
      <c r="AJ48"/>
      <c r="AK48"/>
      <c r="AL48"/>
      <c r="AM48"/>
      <c r="AN48"/>
      <c r="AO48" s="75"/>
      <c r="AP48" s="75"/>
      <c r="AQ48" s="75"/>
      <c r="AR48" s="75"/>
      <c r="AS48" s="149"/>
    </row>
    <row r="49" spans="2:49" x14ac:dyDescent="0.25">
      <c r="B49" s="147" t="s">
        <v>38</v>
      </c>
      <c r="C49" s="147" t="s">
        <v>117</v>
      </c>
      <c r="D49" s="132" t="s">
        <v>46</v>
      </c>
      <c r="E49" s="132"/>
      <c r="F49" s="229">
        <f>IF(-114.08+32.01*LN(F$16/($C$16*$B66)*(507*171))+10*LOG($C$16*$B66/(507*171))&lt;15,"&lt;15",-114.08+32.01*LN(F$16/($C$16*$B66)*(507*171))+10*LOG($C$16*$B66/(507*171)))</f>
        <v>32.283230850726142</v>
      </c>
      <c r="G49" s="136" t="s">
        <v>49</v>
      </c>
      <c r="I49" s="15"/>
      <c r="J49"/>
      <c r="K49"/>
      <c r="L49" s="236">
        <f t="shared" ref="L49:AI49" si="36">IF(-114.08+32.01*LN(L$16/($C$16*$B66)*(507*171))+10*LOG($C$16*$B66/(507*171))&lt;15,"&lt;15",-114.08+32.01*LN(L$16/($C$16*$B66)*(507*171))+10*LOG($C$16*$B66/(507*171)))</f>
        <v>15.931702633976768</v>
      </c>
      <c r="M49" s="231">
        <f t="shared" si="36"/>
        <v>18.49386970660666</v>
      </c>
      <c r="N49" s="231">
        <f t="shared" si="36"/>
        <v>20.866065895247317</v>
      </c>
      <c r="O49" s="231">
        <f t="shared" si="36"/>
        <v>23.074527711544619</v>
      </c>
      <c r="P49" s="231">
        <f t="shared" si="36"/>
        <v>25.140405773158278</v>
      </c>
      <c r="Q49" s="231">
        <f t="shared" si="36"/>
        <v>27.080999917502368</v>
      </c>
      <c r="R49" s="231">
        <f t="shared" si="36"/>
        <v>28.910640744519128</v>
      </c>
      <c r="S49" s="231">
        <f t="shared" si="36"/>
        <v>30.64133249738066</v>
      </c>
      <c r="T49" s="231">
        <f t="shared" si="36"/>
        <v>32.283230850726142</v>
      </c>
      <c r="U49" s="231">
        <f t="shared" si="36"/>
        <v>33.845004005789662</v>
      </c>
      <c r="V49" s="231">
        <f t="shared" si="36"/>
        <v>35.334109706262581</v>
      </c>
      <c r="W49" s="231">
        <f t="shared" si="36"/>
        <v>36.757010626154965</v>
      </c>
      <c r="X49" s="231">
        <f t="shared" si="36"/>
        <v>38.119343883700623</v>
      </c>
      <c r="Y49" s="231">
        <f t="shared" si="36"/>
        <v>39.426055928294005</v>
      </c>
      <c r="Z49" s="231">
        <f t="shared" si="36"/>
        <v>40.681510956330527</v>
      </c>
      <c r="AA49" s="231">
        <f t="shared" si="36"/>
        <v>41.889578855061472</v>
      </c>
      <c r="AB49" s="231">
        <f t="shared" si="36"/>
        <v>43.053707144971185</v>
      </c>
      <c r="AC49" s="270">
        <f t="shared" si="36"/>
        <v>44.176980292129912</v>
      </c>
      <c r="AD49" s="231">
        <f t="shared" si="36"/>
        <v>45.262168961268486</v>
      </c>
      <c r="AE49" s="231">
        <f t="shared" si="36"/>
        <v>47.328047022882117</v>
      </c>
      <c r="AF49" s="231">
        <f t="shared" si="36"/>
        <v>49.268641167226235</v>
      </c>
      <c r="AG49" s="231">
        <f t="shared" si="36"/>
        <v>51.098281994242967</v>
      </c>
      <c r="AH49" s="231">
        <f t="shared" si="36"/>
        <v>52.828973747104499</v>
      </c>
      <c r="AI49" s="232">
        <f t="shared" si="36"/>
        <v>54.470872100449981</v>
      </c>
      <c r="AJ49"/>
      <c r="AK49"/>
      <c r="AL49"/>
      <c r="AM49"/>
      <c r="AN49"/>
      <c r="AO49"/>
      <c r="AP49"/>
      <c r="AQ49"/>
      <c r="AR49"/>
      <c r="AS49" s="136"/>
    </row>
    <row r="50" spans="2:49" x14ac:dyDescent="0.25">
      <c r="B50" s="242" t="s">
        <v>33</v>
      </c>
      <c r="C50" s="242" t="s">
        <v>35</v>
      </c>
      <c r="D50" s="132" t="s">
        <v>23</v>
      </c>
      <c r="E50" s="132"/>
      <c r="F50" s="229">
        <f>IF(-15-114.08+32.01*LN(F$16/($C$16*$B66)*(507*171))+10*LOG($C$16*$B66/(507*171))&lt;5,"&lt;5",-15-114.08+32.01*LN(F$16/($C$16*$B66)*(507*171))+10*LOG($C$16*$B66/(507*171)))</f>
        <v>17.283230850726156</v>
      </c>
      <c r="G50" s="136" t="s">
        <v>42</v>
      </c>
      <c r="I50" s="15"/>
      <c r="J50"/>
      <c r="K50" s="171"/>
      <c r="L50" s="231" t="str">
        <f t="shared" ref="L50:AI50" si="37">IF(-15-114.08+32.01*LN(L$16/($C$16*$B66)*(507*171))+10*LOG($C$16*$B66/(507*171))&lt;5,"&lt;5",-15-114.08+32.01*LN(L$16/($C$16*$B66)*(507*171))+10*LOG($C$16*$B66/(507*171)))</f>
        <v>&lt;5</v>
      </c>
      <c r="M50" s="231" t="str">
        <f t="shared" si="37"/>
        <v>&lt;5</v>
      </c>
      <c r="N50" s="231">
        <f t="shared" si="37"/>
        <v>5.8660658952473295</v>
      </c>
      <c r="O50" s="231">
        <f t="shared" si="37"/>
        <v>8.074527711544631</v>
      </c>
      <c r="P50" s="231">
        <f t="shared" si="37"/>
        <v>10.140405773158291</v>
      </c>
      <c r="Q50" s="231">
        <f t="shared" si="37"/>
        <v>12.08099991750238</v>
      </c>
      <c r="R50" s="231">
        <f t="shared" si="37"/>
        <v>13.91064074451914</v>
      </c>
      <c r="S50" s="231">
        <f t="shared" si="37"/>
        <v>15.641332497380672</v>
      </c>
      <c r="T50" s="231">
        <f t="shared" si="37"/>
        <v>17.283230850726156</v>
      </c>
      <c r="U50" s="231">
        <f t="shared" si="37"/>
        <v>18.845004005789676</v>
      </c>
      <c r="V50" s="231">
        <f t="shared" si="37"/>
        <v>20.334109706262595</v>
      </c>
      <c r="W50" s="231">
        <f t="shared" si="37"/>
        <v>21.75701062615498</v>
      </c>
      <c r="X50" s="231">
        <f t="shared" si="37"/>
        <v>23.119343883700637</v>
      </c>
      <c r="Y50" s="231">
        <f t="shared" si="37"/>
        <v>24.426055928294019</v>
      </c>
      <c r="Z50" s="231">
        <f t="shared" si="37"/>
        <v>25.681510956330541</v>
      </c>
      <c r="AA50" s="231">
        <f t="shared" si="37"/>
        <v>26.889578855061487</v>
      </c>
      <c r="AB50" s="231">
        <f t="shared" si="37"/>
        <v>28.053707144971199</v>
      </c>
      <c r="AC50" s="270">
        <f t="shared" si="37"/>
        <v>29.176980292129926</v>
      </c>
      <c r="AD50" s="231">
        <f t="shared" si="37"/>
        <v>30.2621689612685</v>
      </c>
      <c r="AE50" s="231">
        <f t="shared" si="37"/>
        <v>32.328047022882132</v>
      </c>
      <c r="AF50" s="231">
        <f t="shared" si="37"/>
        <v>34.268641167226249</v>
      </c>
      <c r="AG50" s="231">
        <f t="shared" si="37"/>
        <v>36.098281994242981</v>
      </c>
      <c r="AH50" s="231">
        <f t="shared" si="37"/>
        <v>37.828973747104513</v>
      </c>
      <c r="AI50" s="232">
        <f t="shared" si="37"/>
        <v>39.470872100449995</v>
      </c>
      <c r="AJ50"/>
      <c r="AK50"/>
      <c r="AL50"/>
      <c r="AM50"/>
      <c r="AN50"/>
      <c r="AO50"/>
      <c r="AP50"/>
      <c r="AQ50"/>
      <c r="AR50"/>
      <c r="AS50" s="136"/>
    </row>
    <row r="51" spans="2:49" hidden="1" x14ac:dyDescent="0.25">
      <c r="B51" s="242"/>
      <c r="C51" s="2"/>
      <c r="D51" s="43" t="s">
        <v>71</v>
      </c>
      <c r="E51" s="43"/>
      <c r="F51" s="106">
        <f>1.075*0.707*F62</f>
        <v>3.3872742180869095</v>
      </c>
      <c r="G51" s="136"/>
      <c r="I51" s="264"/>
      <c r="J51" s="259"/>
      <c r="K51" s="271"/>
      <c r="L51" s="231">
        <f t="shared" ref="L51:AI51" si="38">1.075*0.707*L62</f>
        <v>2.5928653039288032</v>
      </c>
      <c r="M51" s="231">
        <f t="shared" si="38"/>
        <v>2.700872734392243</v>
      </c>
      <c r="N51" s="106">
        <f t="shared" si="38"/>
        <v>2.8052242139166332</v>
      </c>
      <c r="O51" s="231">
        <f t="shared" si="38"/>
        <v>2.9063526142169285</v>
      </c>
      <c r="P51" s="231">
        <f t="shared" si="38"/>
        <v>3.0046214113676948</v>
      </c>
      <c r="Q51" s="231">
        <f t="shared" si="38"/>
        <v>3.1003396171661559</v>
      </c>
      <c r="R51" s="231">
        <f t="shared" si="38"/>
        <v>3.1937728094140652</v>
      </c>
      <c r="S51" s="231">
        <f t="shared" si="38"/>
        <v>3.2851514395831471</v>
      </c>
      <c r="T51" s="231">
        <f t="shared" si="38"/>
        <v>3.3746771972886989</v>
      </c>
      <c r="U51" s="231">
        <f t="shared" si="38"/>
        <v>3.4625279602025283</v>
      </c>
      <c r="V51" s="231">
        <f t="shared" si="38"/>
        <v>3.5488616959980015</v>
      </c>
      <c r="W51" s="231">
        <f t="shared" si="38"/>
        <v>3.6338195756317688</v>
      </c>
      <c r="X51" s="231">
        <f t="shared" si="38"/>
        <v>3.7175284846608712</v>
      </c>
      <c r="Y51" s="231">
        <f t="shared" si="38"/>
        <v>3.8001030691853264</v>
      </c>
      <c r="Z51" s="231">
        <f t="shared" si="38"/>
        <v>3.8816474178060321</v>
      </c>
      <c r="AA51" s="231">
        <f t="shared" si="38"/>
        <v>3.9622564558593178</v>
      </c>
      <c r="AB51" s="231">
        <f t="shared" si="38"/>
        <v>4.0420171099858395</v>
      </c>
      <c r="AC51" s="270">
        <f t="shared" si="38"/>
        <v>4.1210092877260394</v>
      </c>
      <c r="AD51" s="231">
        <f t="shared" si="38"/>
        <v>4.1993067068991969</v>
      </c>
      <c r="AE51" s="231">
        <f t="shared" si="38"/>
        <v>4.3540853295956641</v>
      </c>
      <c r="AF51" s="231">
        <f t="shared" si="38"/>
        <v>4.5068433730134139</v>
      </c>
      <c r="AG51" s="231">
        <f t="shared" si="38"/>
        <v>4.6580082596889048</v>
      </c>
      <c r="AH51" s="231">
        <f t="shared" si="38"/>
        <v>4.8079563208773095</v>
      </c>
      <c r="AI51" s="232">
        <f t="shared" si="38"/>
        <v>4.9570219116049339</v>
      </c>
      <c r="AJ51" s="90"/>
      <c r="AK51" s="90"/>
      <c r="AL51" s="90"/>
      <c r="AM51" s="43"/>
      <c r="AN51" s="3"/>
      <c r="AO51" s="3"/>
      <c r="AQ51"/>
      <c r="AR51" s="13"/>
      <c r="AS51" s="12"/>
      <c r="AT51" s="3"/>
      <c r="AU51" s="3"/>
      <c r="AV51" s="3"/>
      <c r="AW51" s="3"/>
    </row>
    <row r="52" spans="2:49" hidden="1" x14ac:dyDescent="0.25">
      <c r="B52" s="242"/>
      <c r="C52" s="2"/>
      <c r="D52" s="43" t="s">
        <v>72</v>
      </c>
      <c r="E52" s="43"/>
      <c r="F52" s="106">
        <f>1.075*0.707*F63</f>
        <v>6.860831877770619</v>
      </c>
      <c r="G52" s="136"/>
      <c r="I52" s="264"/>
      <c r="J52" s="259"/>
      <c r="K52" s="271"/>
      <c r="L52" s="231">
        <f t="shared" ref="L52:AI52" si="39">1.075*0.707*L63</f>
        <v>4.843010791158</v>
      </c>
      <c r="M52" s="231">
        <f t="shared" si="39"/>
        <v>5.0883060107473836</v>
      </c>
      <c r="N52" s="106">
        <f t="shared" si="39"/>
        <v>5.3337906005483422</v>
      </c>
      <c r="O52" s="231">
        <f t="shared" si="39"/>
        <v>5.5805012146909476</v>
      </c>
      <c r="P52" s="231">
        <f t="shared" si="39"/>
        <v>5.8293424037562582</v>
      </c>
      <c r="Q52" s="231">
        <f t="shared" si="39"/>
        <v>6.0811139897195483</v>
      </c>
      <c r="R52" s="231">
        <f t="shared" si="39"/>
        <v>6.336531381762156</v>
      </c>
      <c r="S52" s="231">
        <f t="shared" si="39"/>
        <v>6.5962409523501906</v>
      </c>
      <c r="T52" s="231">
        <f t="shared" si="39"/>
        <v>6.860831877770619</v>
      </c>
      <c r="U52" s="231">
        <f t="shared" si="39"/>
        <v>7.1308453972549284</v>
      </c>
      <c r="V52" s="231">
        <f t="shared" si="39"/>
        <v>7.4067821536522622</v>
      </c>
      <c r="W52" s="231">
        <f t="shared" si="39"/>
        <v>7.6891080855581748</v>
      </c>
      <c r="X52" s="231">
        <f t="shared" si="39"/>
        <v>7.978259209965616</v>
      </c>
      <c r="Y52" s="231">
        <f t="shared" si="39"/>
        <v>8.2746455440668747</v>
      </c>
      <c r="Z52" s="231">
        <f t="shared" si="39"/>
        <v>8.5786543512020277</v>
      </c>
      <c r="AA52" s="231">
        <f t="shared" si="39"/>
        <v>8.8906528504463189</v>
      </c>
      <c r="AB52" s="231">
        <f t="shared" si="39"/>
        <v>9.2109904963073781</v>
      </c>
      <c r="AC52" s="270">
        <f t="shared" si="39"/>
        <v>9.5400009107134682</v>
      </c>
      <c r="AD52" s="231">
        <f t="shared" si="39"/>
        <v>9.8780035313838095</v>
      </c>
      <c r="AE52" s="231">
        <f t="shared" si="39"/>
        <v>10.58220051956803</v>
      </c>
      <c r="AF52" s="231">
        <f t="shared" si="39"/>
        <v>11.325902480513495</v>
      </c>
      <c r="AG52" s="231">
        <f t="shared" si="39"/>
        <v>12.11127656565278</v>
      </c>
      <c r="AH52" s="231">
        <f t="shared" si="39"/>
        <v>12.940360752189825</v>
      </c>
      <c r="AI52" s="232">
        <f t="shared" si="39"/>
        <v>13.815083136337703</v>
      </c>
      <c r="AJ52" s="90"/>
      <c r="AK52" s="90"/>
      <c r="AL52" s="90"/>
      <c r="AM52" s="43"/>
      <c r="AN52" s="3"/>
      <c r="AO52" s="3"/>
      <c r="AQ52"/>
      <c r="AR52" s="13"/>
      <c r="AS52" s="12"/>
      <c r="AT52" s="3"/>
      <c r="AU52" s="3"/>
      <c r="AV52" s="3"/>
      <c r="AW52" s="3"/>
    </row>
    <row r="53" spans="2:49" hidden="1" x14ac:dyDescent="0.25">
      <c r="B53" s="242"/>
      <c r="C53" s="2"/>
      <c r="D53" s="43" t="s">
        <v>79</v>
      </c>
      <c r="E53" s="43"/>
      <c r="F53" s="106">
        <f>1.075*0.707*F64</f>
        <v>7.1894919507812851</v>
      </c>
      <c r="G53" s="136"/>
      <c r="I53" s="264"/>
      <c r="J53" s="259"/>
      <c r="K53" s="271"/>
      <c r="L53" s="231">
        <f t="shared" ref="L53:AI53" si="40">1.075*0.707*L64</f>
        <v>4.7736398316615389</v>
      </c>
      <c r="M53" s="231">
        <f t="shared" si="40"/>
        <v>5.1714431509666676</v>
      </c>
      <c r="N53" s="106">
        <f t="shared" si="40"/>
        <v>5.5692464702717972</v>
      </c>
      <c r="O53" s="231">
        <f t="shared" si="40"/>
        <v>5.9670497895769241</v>
      </c>
      <c r="P53" s="231">
        <f t="shared" si="40"/>
        <v>6.3648531088820519</v>
      </c>
      <c r="Q53" s="231">
        <f t="shared" si="40"/>
        <v>6.5057939474954685</v>
      </c>
      <c r="R53" s="231">
        <f t="shared" si="40"/>
        <v>6.5501586761349069</v>
      </c>
      <c r="S53" s="231">
        <f t="shared" si="40"/>
        <v>6.5945234047743444</v>
      </c>
      <c r="T53" s="231">
        <f t="shared" si="40"/>
        <v>6.6388881334137819</v>
      </c>
      <c r="U53" s="231">
        <f t="shared" si="40"/>
        <v>6.6832528620532194</v>
      </c>
      <c r="V53" s="231">
        <f t="shared" si="40"/>
        <v>6.727617590692657</v>
      </c>
      <c r="W53" s="231">
        <f t="shared" si="40"/>
        <v>6.7719823193320963</v>
      </c>
      <c r="X53" s="231">
        <f t="shared" si="40"/>
        <v>6.8163470479715329</v>
      </c>
      <c r="Y53" s="231">
        <f t="shared" si="40"/>
        <v>6.8607117766109695</v>
      </c>
      <c r="Z53" s="231">
        <f t="shared" si="40"/>
        <v>6.9050765052504079</v>
      </c>
      <c r="AA53" s="231">
        <f t="shared" si="40"/>
        <v>6.9494412338898446</v>
      </c>
      <c r="AB53" s="231">
        <f t="shared" si="40"/>
        <v>6.993805962529283</v>
      </c>
      <c r="AC53" s="270">
        <f t="shared" si="40"/>
        <v>7.0381706911687196</v>
      </c>
      <c r="AD53" s="231">
        <f t="shared" si="40"/>
        <v>7.082535419808158</v>
      </c>
      <c r="AE53" s="231">
        <f t="shared" si="40"/>
        <v>7.1712648770870331</v>
      </c>
      <c r="AF53" s="231">
        <f t="shared" si="40"/>
        <v>7.2599943343659081</v>
      </c>
      <c r="AG53" s="231">
        <f t="shared" si="40"/>
        <v>7.348723791644785</v>
      </c>
      <c r="AH53" s="231">
        <f t="shared" si="40"/>
        <v>7.43745324892366</v>
      </c>
      <c r="AI53" s="232">
        <f t="shared" si="40"/>
        <v>7.526182706202535</v>
      </c>
      <c r="AJ53" s="90"/>
      <c r="AK53" s="90"/>
      <c r="AL53" s="90"/>
      <c r="AM53" s="43"/>
      <c r="AN53" s="3"/>
      <c r="AO53" s="3"/>
      <c r="AQ53"/>
      <c r="AR53" s="13"/>
      <c r="AS53" s="12"/>
      <c r="AT53" s="3"/>
      <c r="AU53" s="3"/>
      <c r="AV53" s="3"/>
      <c r="AW53" s="3"/>
    </row>
    <row r="54" spans="2:49" hidden="1" x14ac:dyDescent="0.25">
      <c r="B54" s="242"/>
      <c r="C54" s="2"/>
      <c r="D54" s="43" t="s">
        <v>73</v>
      </c>
      <c r="E54" s="43"/>
      <c r="F54" s="106">
        <f>1.075*1.225*F62</f>
        <v>5.8690394867842492</v>
      </c>
      <c r="G54" s="136"/>
      <c r="I54" s="264"/>
      <c r="J54" s="259"/>
      <c r="K54" s="271"/>
      <c r="L54" s="231">
        <f t="shared" ref="L54:AI54" si="41">1.075*1.225*L62</f>
        <v>4.4925883978964416</v>
      </c>
      <c r="M54" s="231">
        <f t="shared" si="41"/>
        <v>4.6797299853330951</v>
      </c>
      <c r="N54" s="106">
        <f t="shared" si="41"/>
        <v>4.8605370043109986</v>
      </c>
      <c r="O54" s="231">
        <f t="shared" si="41"/>
        <v>5.0357594800788368</v>
      </c>
      <c r="P54" s="231">
        <f t="shared" si="41"/>
        <v>5.2060271979143229</v>
      </c>
      <c r="Q54" s="231">
        <f t="shared" si="41"/>
        <v>5.3718755742977953</v>
      </c>
      <c r="R54" s="231">
        <f t="shared" si="41"/>
        <v>5.5337647687867468</v>
      </c>
      <c r="S54" s="231">
        <f t="shared" si="41"/>
        <v>5.6920940784856517</v>
      </c>
      <c r="T54" s="231">
        <f t="shared" si="41"/>
        <v>5.8472129655992306</v>
      </c>
      <c r="U54" s="231">
        <f t="shared" si="41"/>
        <v>5.9994296340142821</v>
      </c>
      <c r="V54" s="231">
        <f t="shared" si="41"/>
        <v>6.1490177900955478</v>
      </c>
      <c r="W54" s="231">
        <f t="shared" si="41"/>
        <v>6.2962220369857382</v>
      </c>
      <c r="X54" s="231">
        <f t="shared" si="41"/>
        <v>6.4412622258975496</v>
      </c>
      <c r="Y54" s="231">
        <f t="shared" si="41"/>
        <v>6.5843370010636848</v>
      </c>
      <c r="Z54" s="231">
        <f t="shared" si="41"/>
        <v>6.7256267140203532</v>
      </c>
      <c r="AA54" s="231">
        <f t="shared" si="41"/>
        <v>6.865295839360205</v>
      </c>
      <c r="AB54" s="231">
        <f t="shared" si="41"/>
        <v>7.0034949925497232</v>
      </c>
      <c r="AC54" s="270">
        <f t="shared" si="41"/>
        <v>7.1403626272480887</v>
      </c>
      <c r="AD54" s="231">
        <f t="shared" si="41"/>
        <v>7.2760264723500949</v>
      </c>
      <c r="AE54" s="231">
        <f t="shared" si="41"/>
        <v>7.5442072542499137</v>
      </c>
      <c r="AF54" s="231">
        <f t="shared" si="41"/>
        <v>7.8088870324489852</v>
      </c>
      <c r="AG54" s="231">
        <f t="shared" si="41"/>
        <v>8.0708063905500822</v>
      </c>
      <c r="AH54" s="231">
        <f t="shared" si="41"/>
        <v>8.3306173876587053</v>
      </c>
      <c r="AI54" s="232">
        <f t="shared" si="41"/>
        <v>8.5888993517907277</v>
      </c>
      <c r="AJ54" s="90"/>
      <c r="AK54" s="90"/>
      <c r="AL54" s="90"/>
      <c r="AM54" s="43"/>
      <c r="AN54" s="3"/>
      <c r="AO54" s="3"/>
      <c r="AQ54"/>
      <c r="AR54" s="13"/>
      <c r="AS54" s="12"/>
      <c r="AT54" s="3"/>
      <c r="AU54" s="3"/>
      <c r="AV54" s="3"/>
      <c r="AW54" s="3"/>
    </row>
    <row r="55" spans="2:49" hidden="1" x14ac:dyDescent="0.25">
      <c r="B55" s="242"/>
      <c r="C55" s="2"/>
      <c r="D55" s="43" t="s">
        <v>74</v>
      </c>
      <c r="E55" s="43"/>
      <c r="F55" s="106">
        <f>1.075*1.225*F63</f>
        <v>11.887579986236222</v>
      </c>
      <c r="G55" s="136"/>
      <c r="I55" s="264"/>
      <c r="J55" s="259"/>
      <c r="K55" s="271"/>
      <c r="L55" s="231">
        <f t="shared" ref="L55:AI55" si="42">1.075*1.225*L63</f>
        <v>8.3913553312143563</v>
      </c>
      <c r="M55" s="231">
        <f t="shared" si="42"/>
        <v>8.8163718007999243</v>
      </c>
      <c r="N55" s="106">
        <f t="shared" si="42"/>
        <v>9.2417163870887116</v>
      </c>
      <c r="O55" s="231">
        <f t="shared" si="42"/>
        <v>9.6691852729793659</v>
      </c>
      <c r="P55" s="231">
        <f t="shared" si="42"/>
        <v>10.100345749082626</v>
      </c>
      <c r="Q55" s="231">
        <f t="shared" si="42"/>
        <v>10.536583645553675</v>
      </c>
      <c r="R55" s="231">
        <f t="shared" si="42"/>
        <v>10.979138532756211</v>
      </c>
      <c r="S55" s="231">
        <f t="shared" si="42"/>
        <v>11.429130362983004</v>
      </c>
      <c r="T55" s="231">
        <f t="shared" si="42"/>
        <v>11.887579986236222</v>
      </c>
      <c r="U55" s="231">
        <f t="shared" si="42"/>
        <v>12.355425193263491</v>
      </c>
      <c r="V55" s="231">
        <f t="shared" si="42"/>
        <v>12.833533434546</v>
      </c>
      <c r="W55" s="231">
        <f t="shared" si="42"/>
        <v>13.322712029432482</v>
      </c>
      <c r="X55" s="231">
        <f t="shared" si="42"/>
        <v>13.823716452910723</v>
      </c>
      <c r="Y55" s="231">
        <f t="shared" si="42"/>
        <v>14.337257130808943</v>
      </c>
      <c r="Z55" s="231">
        <f t="shared" si="42"/>
        <v>14.864005063963909</v>
      </c>
      <c r="AA55" s="231">
        <f t="shared" si="42"/>
        <v>15.404596523050552</v>
      </c>
      <c r="AB55" s="231">
        <f t="shared" si="42"/>
        <v>15.959636998552389</v>
      </c>
      <c r="AC55" s="270">
        <f t="shared" si="42"/>
        <v>16.529704548265912</v>
      </c>
      <c r="AD55" s="231">
        <f t="shared" si="42"/>
        <v>17.115352653387792</v>
      </c>
      <c r="AE55" s="231">
        <f t="shared" si="42"/>
        <v>18.335495949746587</v>
      </c>
      <c r="AF55" s="231">
        <f t="shared" si="42"/>
        <v>19.624088456335265</v>
      </c>
      <c r="AG55" s="231">
        <f t="shared" si="42"/>
        <v>20.984885138507295</v>
      </c>
      <c r="AH55" s="231">
        <f t="shared" si="42"/>
        <v>22.42141714488336</v>
      </c>
      <c r="AI55" s="232">
        <f t="shared" si="42"/>
        <v>23.937025236228695</v>
      </c>
      <c r="AJ55" s="90"/>
      <c r="AK55" s="90"/>
      <c r="AL55" s="90"/>
      <c r="AM55" s="43"/>
      <c r="AN55" s="3"/>
      <c r="AO55" s="3"/>
      <c r="AQ55"/>
      <c r="AR55" s="13"/>
      <c r="AS55" s="12"/>
      <c r="AT55" s="3"/>
      <c r="AU55" s="3"/>
      <c r="AV55" s="3"/>
      <c r="AW55" s="3"/>
    </row>
    <row r="56" spans="2:49" hidden="1" x14ac:dyDescent="0.25">
      <c r="B56" s="242"/>
      <c r="C56" s="2"/>
      <c r="D56" s="43" t="s">
        <v>80</v>
      </c>
      <c r="E56" s="43"/>
      <c r="F56" s="106">
        <f>1.075*1.225*F64</f>
        <v>12.457040508779455</v>
      </c>
      <c r="G56" s="136"/>
      <c r="I56" s="264"/>
      <c r="J56" s="259"/>
      <c r="K56" s="271"/>
      <c r="L56" s="231">
        <f t="shared" ref="L56:AI56" si="43">1.075*1.225*L64</f>
        <v>8.2711581241660337</v>
      </c>
      <c r="M56" s="231">
        <f t="shared" si="43"/>
        <v>8.9604213011798706</v>
      </c>
      <c r="N56" s="106">
        <f t="shared" si="43"/>
        <v>9.6496844781937074</v>
      </c>
      <c r="O56" s="231">
        <f t="shared" si="43"/>
        <v>10.338947655207543</v>
      </c>
      <c r="P56" s="231">
        <f t="shared" si="43"/>
        <v>11.028210832221378</v>
      </c>
      <c r="Q56" s="231">
        <f t="shared" si="43"/>
        <v>11.272415255561455</v>
      </c>
      <c r="R56" s="231">
        <f t="shared" si="43"/>
        <v>11.349284834887214</v>
      </c>
      <c r="S56" s="231">
        <f t="shared" si="43"/>
        <v>11.426154414212974</v>
      </c>
      <c r="T56" s="231">
        <f t="shared" si="43"/>
        <v>11.503023993538731</v>
      </c>
      <c r="U56" s="231">
        <f t="shared" si="43"/>
        <v>11.57989357286449</v>
      </c>
      <c r="V56" s="231">
        <f t="shared" si="43"/>
        <v>11.656763152190248</v>
      </c>
      <c r="W56" s="231">
        <f t="shared" si="43"/>
        <v>11.733632731516009</v>
      </c>
      <c r="X56" s="231">
        <f t="shared" si="43"/>
        <v>11.810502310841766</v>
      </c>
      <c r="Y56" s="231">
        <f t="shared" si="43"/>
        <v>11.887371890167524</v>
      </c>
      <c r="Z56" s="231">
        <f t="shared" si="43"/>
        <v>11.964241469493283</v>
      </c>
      <c r="AA56" s="231">
        <f t="shared" si="43"/>
        <v>12.041111048819038</v>
      </c>
      <c r="AB56" s="231">
        <f t="shared" si="43"/>
        <v>12.117980628144798</v>
      </c>
      <c r="AC56" s="270">
        <f t="shared" si="43"/>
        <v>12.194850207470555</v>
      </c>
      <c r="AD56" s="231">
        <f t="shared" si="43"/>
        <v>12.271719786796314</v>
      </c>
      <c r="AE56" s="231">
        <f t="shared" si="43"/>
        <v>12.425458945447831</v>
      </c>
      <c r="AF56" s="231">
        <f t="shared" si="43"/>
        <v>12.579198104099348</v>
      </c>
      <c r="AG56" s="231">
        <f t="shared" si="43"/>
        <v>12.732937262750866</v>
      </c>
      <c r="AH56" s="231">
        <f t="shared" si="43"/>
        <v>12.886676421402383</v>
      </c>
      <c r="AI56" s="232">
        <f t="shared" si="43"/>
        <v>13.040415580053898</v>
      </c>
      <c r="AJ56" s="90"/>
      <c r="AK56" s="90"/>
      <c r="AL56" s="90"/>
      <c r="AM56" s="43"/>
      <c r="AN56" s="3"/>
      <c r="AO56" s="3"/>
      <c r="AQ56"/>
      <c r="AR56" s="13"/>
      <c r="AS56" s="12"/>
      <c r="AT56" s="3"/>
      <c r="AU56" s="3"/>
      <c r="AV56" s="3"/>
      <c r="AW56" s="3"/>
    </row>
    <row r="57" spans="2:49" ht="15.75" thickBot="1" x14ac:dyDescent="0.3">
      <c r="B57" s="151"/>
      <c r="C57" s="289"/>
      <c r="D57" s="145" t="s">
        <v>93</v>
      </c>
      <c r="E57" s="145"/>
      <c r="F57" s="283">
        <f>2+(F$16/$C$16*$F$10/$F$8^3)</f>
        <v>2.3085386905163481</v>
      </c>
      <c r="G57" s="214" t="s">
        <v>32</v>
      </c>
      <c r="I57" s="290"/>
      <c r="J57" s="291"/>
      <c r="K57" s="293"/>
      <c r="L57" s="297">
        <f t="shared" ref="L57:AI57" si="44">2+(L$16/$C$16*$F$10/$F$8^3)</f>
        <v>2.1851232143098089</v>
      </c>
      <c r="M57" s="285">
        <f t="shared" si="44"/>
        <v>2.2005501488356263</v>
      </c>
      <c r="N57" s="285">
        <f t="shared" si="44"/>
        <v>2.2159770833614436</v>
      </c>
      <c r="O57" s="285">
        <f t="shared" si="44"/>
        <v>2.2314040178872609</v>
      </c>
      <c r="P57" s="285">
        <f t="shared" si="44"/>
        <v>2.2468309524130783</v>
      </c>
      <c r="Q57" s="285">
        <f t="shared" si="44"/>
        <v>2.2622578869388956</v>
      </c>
      <c r="R57" s="285">
        <f t="shared" si="44"/>
        <v>2.2776848214647134</v>
      </c>
      <c r="S57" s="285">
        <f t="shared" si="44"/>
        <v>2.2931117559905307</v>
      </c>
      <c r="T57" s="285">
        <f t="shared" si="44"/>
        <v>2.3085386905163481</v>
      </c>
      <c r="U57" s="285">
        <f t="shared" si="44"/>
        <v>2.3239656250421654</v>
      </c>
      <c r="V57" s="285">
        <f t="shared" si="44"/>
        <v>2.3393925595679828</v>
      </c>
      <c r="W57" s="285">
        <f t="shared" si="44"/>
        <v>2.3548194940938005</v>
      </c>
      <c r="X57" s="285">
        <f t="shared" si="44"/>
        <v>2.3702464286196179</v>
      </c>
      <c r="Y57" s="285">
        <f t="shared" si="44"/>
        <v>2.3856733631454352</v>
      </c>
      <c r="Z57" s="285">
        <f t="shared" si="44"/>
        <v>2.4011002976712525</v>
      </c>
      <c r="AA57" s="285">
        <f t="shared" si="44"/>
        <v>2.4165272321970699</v>
      </c>
      <c r="AB57" s="285">
        <f t="shared" si="44"/>
        <v>2.4319541667228872</v>
      </c>
      <c r="AC57" s="285">
        <f t="shared" si="44"/>
        <v>2.4473811012487046</v>
      </c>
      <c r="AD57" s="285">
        <f t="shared" si="44"/>
        <v>2.4628080357745219</v>
      </c>
      <c r="AE57" s="285">
        <f t="shared" si="44"/>
        <v>2.493661904826157</v>
      </c>
      <c r="AF57" s="285">
        <f t="shared" si="44"/>
        <v>2.5245157738777917</v>
      </c>
      <c r="AG57" s="285">
        <f t="shared" si="44"/>
        <v>2.5553696429294268</v>
      </c>
      <c r="AH57" s="285">
        <f t="shared" si="44"/>
        <v>2.5862235119810615</v>
      </c>
      <c r="AI57" s="286">
        <f t="shared" si="44"/>
        <v>2.6170773810326962</v>
      </c>
      <c r="AJ57" s="90"/>
      <c r="AK57" s="90"/>
      <c r="AL57" s="90"/>
      <c r="AM57" s="43"/>
      <c r="AN57" s="3"/>
      <c r="AO57" s="3"/>
      <c r="AQ57"/>
      <c r="AR57" s="13"/>
      <c r="AS57" s="294"/>
      <c r="AT57" s="3"/>
      <c r="AU57" s="3"/>
      <c r="AV57" s="3"/>
      <c r="AW57" s="3"/>
    </row>
    <row r="58" spans="2:49" x14ac:dyDescent="0.25">
      <c r="B58" s="140"/>
      <c r="C58" s="243"/>
      <c r="D58" s="132" t="s">
        <v>56</v>
      </c>
      <c r="E58" s="132"/>
      <c r="F58" s="220">
        <f>F51</f>
        <v>3.3872742180869095</v>
      </c>
      <c r="G58" s="136" t="s">
        <v>32</v>
      </c>
      <c r="I58" s="15"/>
      <c r="J58"/>
      <c r="K58"/>
      <c r="L58" s="195">
        <f t="shared" ref="L58:AI58" si="45">L51</f>
        <v>2.5928653039288032</v>
      </c>
      <c r="M58" s="184">
        <f t="shared" si="45"/>
        <v>2.700872734392243</v>
      </c>
      <c r="N58" s="184">
        <f t="shared" si="45"/>
        <v>2.8052242139166332</v>
      </c>
      <c r="O58" s="184">
        <f t="shared" si="45"/>
        <v>2.9063526142169285</v>
      </c>
      <c r="P58" s="184">
        <f t="shared" si="45"/>
        <v>3.0046214113676948</v>
      </c>
      <c r="Q58" s="184">
        <f t="shared" si="45"/>
        <v>3.1003396171661559</v>
      </c>
      <c r="R58" s="184">
        <f t="shared" si="45"/>
        <v>3.1937728094140652</v>
      </c>
      <c r="S58" s="184">
        <f t="shared" si="45"/>
        <v>3.2851514395831471</v>
      </c>
      <c r="T58" s="184">
        <f t="shared" si="45"/>
        <v>3.3746771972886989</v>
      </c>
      <c r="U58" s="184">
        <f t="shared" si="45"/>
        <v>3.4625279602025283</v>
      </c>
      <c r="V58" s="184">
        <f t="shared" si="45"/>
        <v>3.5488616959980015</v>
      </c>
      <c r="W58" s="184">
        <f t="shared" si="45"/>
        <v>3.6338195756317688</v>
      </c>
      <c r="X58" s="184">
        <f t="shared" si="45"/>
        <v>3.7175284846608712</v>
      </c>
      <c r="Y58" s="184">
        <f t="shared" si="45"/>
        <v>3.8001030691853264</v>
      </c>
      <c r="Z58" s="184">
        <f t="shared" si="45"/>
        <v>3.8816474178060321</v>
      </c>
      <c r="AA58" s="184">
        <f t="shared" si="45"/>
        <v>3.9622564558593178</v>
      </c>
      <c r="AB58" s="184">
        <f t="shared" si="45"/>
        <v>4.0420171099858395</v>
      </c>
      <c r="AC58" s="184">
        <f t="shared" si="45"/>
        <v>4.1210092877260394</v>
      </c>
      <c r="AD58" s="184">
        <f t="shared" si="45"/>
        <v>4.1993067068991969</v>
      </c>
      <c r="AE58" s="184">
        <f t="shared" si="45"/>
        <v>4.3540853295956641</v>
      </c>
      <c r="AF58" s="184">
        <f t="shared" si="45"/>
        <v>4.5068433730134139</v>
      </c>
      <c r="AG58" s="184">
        <f t="shared" si="45"/>
        <v>4.6580082596889048</v>
      </c>
      <c r="AH58" s="184">
        <f t="shared" si="45"/>
        <v>4.8079563208773095</v>
      </c>
      <c r="AI58" s="185">
        <f t="shared" si="45"/>
        <v>4.9570219116049339</v>
      </c>
      <c r="AJ58"/>
      <c r="AK58"/>
      <c r="AL58"/>
      <c r="AM58"/>
      <c r="AN58"/>
      <c r="AO58"/>
      <c r="AP58"/>
      <c r="AQ58"/>
      <c r="AR58"/>
      <c r="AS58" s="136"/>
    </row>
    <row r="59" spans="2:49" x14ac:dyDescent="0.25">
      <c r="B59" s="140"/>
      <c r="C59" s="247" t="s">
        <v>65</v>
      </c>
      <c r="D59" s="253" t="s">
        <v>57</v>
      </c>
      <c r="E59" s="252"/>
      <c r="F59" s="224">
        <f>IF(F52&lt;F53,F52,F53)</f>
        <v>6.860831877770619</v>
      </c>
      <c r="G59" s="216" t="s">
        <v>32</v>
      </c>
      <c r="I59" s="15"/>
      <c r="J59"/>
      <c r="K59"/>
      <c r="L59" s="189">
        <f t="shared" ref="L59:AI59" si="46">IF(L52&lt;L53,L52,L53)</f>
        <v>4.7736398316615389</v>
      </c>
      <c r="M59" s="176">
        <f t="shared" si="46"/>
        <v>5.0883060107473836</v>
      </c>
      <c r="N59" s="176">
        <f t="shared" si="46"/>
        <v>5.3337906005483422</v>
      </c>
      <c r="O59" s="176">
        <f t="shared" si="46"/>
        <v>5.5805012146909476</v>
      </c>
      <c r="P59" s="176">
        <f t="shared" si="46"/>
        <v>5.8293424037562582</v>
      </c>
      <c r="Q59" s="176">
        <f t="shared" si="46"/>
        <v>6.0811139897195483</v>
      </c>
      <c r="R59" s="176">
        <f t="shared" si="46"/>
        <v>6.336531381762156</v>
      </c>
      <c r="S59" s="176">
        <f t="shared" si="46"/>
        <v>6.5945234047743444</v>
      </c>
      <c r="T59" s="176">
        <f t="shared" si="46"/>
        <v>6.6388881334137819</v>
      </c>
      <c r="U59" s="176">
        <f t="shared" si="46"/>
        <v>6.6832528620532194</v>
      </c>
      <c r="V59" s="176">
        <f t="shared" si="46"/>
        <v>6.727617590692657</v>
      </c>
      <c r="W59" s="176">
        <f t="shared" si="46"/>
        <v>6.7719823193320963</v>
      </c>
      <c r="X59" s="176">
        <f t="shared" si="46"/>
        <v>6.8163470479715329</v>
      </c>
      <c r="Y59" s="176">
        <f t="shared" si="46"/>
        <v>6.8607117766109695</v>
      </c>
      <c r="Z59" s="176">
        <f t="shared" si="46"/>
        <v>6.9050765052504079</v>
      </c>
      <c r="AA59" s="176">
        <f t="shared" si="46"/>
        <v>6.9494412338898446</v>
      </c>
      <c r="AB59" s="176">
        <f t="shared" si="46"/>
        <v>6.993805962529283</v>
      </c>
      <c r="AC59" s="176">
        <f t="shared" si="46"/>
        <v>7.0381706911687196</v>
      </c>
      <c r="AD59" s="176">
        <f t="shared" si="46"/>
        <v>7.082535419808158</v>
      </c>
      <c r="AE59" s="176">
        <f t="shared" si="46"/>
        <v>7.1712648770870331</v>
      </c>
      <c r="AF59" s="176">
        <f t="shared" si="46"/>
        <v>7.2599943343659081</v>
      </c>
      <c r="AG59" s="176">
        <f t="shared" si="46"/>
        <v>7.348723791644785</v>
      </c>
      <c r="AH59" s="176">
        <f t="shared" si="46"/>
        <v>7.43745324892366</v>
      </c>
      <c r="AI59" s="177">
        <f t="shared" si="46"/>
        <v>7.526182706202535</v>
      </c>
      <c r="AJ59"/>
      <c r="AK59"/>
      <c r="AL59"/>
      <c r="AM59"/>
      <c r="AN59"/>
      <c r="AO59" s="3"/>
      <c r="AP59" s="3"/>
      <c r="AQ59" s="3"/>
      <c r="AR59" s="3"/>
      <c r="AS59" s="129"/>
    </row>
    <row r="60" spans="2:49" x14ac:dyDescent="0.25">
      <c r="B60" s="140"/>
      <c r="C60" s="243" t="s">
        <v>66</v>
      </c>
      <c r="D60" s="252" t="s">
        <v>60</v>
      </c>
      <c r="E60" s="252"/>
      <c r="F60" s="222">
        <f>F54</f>
        <v>5.8690394867842492</v>
      </c>
      <c r="G60" s="217" t="s">
        <v>32</v>
      </c>
      <c r="I60" s="15"/>
      <c r="J60"/>
      <c r="K60"/>
      <c r="L60" s="191">
        <f t="shared" ref="L60:AI60" si="47">L54</f>
        <v>4.4925883978964416</v>
      </c>
      <c r="M60" s="182">
        <f t="shared" si="47"/>
        <v>4.6797299853330951</v>
      </c>
      <c r="N60" s="182">
        <f t="shared" si="47"/>
        <v>4.8605370043109986</v>
      </c>
      <c r="O60" s="182">
        <f t="shared" si="47"/>
        <v>5.0357594800788368</v>
      </c>
      <c r="P60" s="182">
        <f t="shared" si="47"/>
        <v>5.2060271979143229</v>
      </c>
      <c r="Q60" s="182">
        <f t="shared" si="47"/>
        <v>5.3718755742977953</v>
      </c>
      <c r="R60" s="182">
        <f t="shared" si="47"/>
        <v>5.5337647687867468</v>
      </c>
      <c r="S60" s="182">
        <f t="shared" si="47"/>
        <v>5.6920940784856517</v>
      </c>
      <c r="T60" s="182">
        <f t="shared" si="47"/>
        <v>5.8472129655992306</v>
      </c>
      <c r="U60" s="182">
        <f t="shared" si="47"/>
        <v>5.9994296340142821</v>
      </c>
      <c r="V60" s="182">
        <f t="shared" si="47"/>
        <v>6.1490177900955478</v>
      </c>
      <c r="W60" s="182">
        <f t="shared" si="47"/>
        <v>6.2962220369857382</v>
      </c>
      <c r="X60" s="182">
        <f t="shared" si="47"/>
        <v>6.4412622258975496</v>
      </c>
      <c r="Y60" s="182">
        <f t="shared" si="47"/>
        <v>6.5843370010636848</v>
      </c>
      <c r="Z60" s="182">
        <f t="shared" si="47"/>
        <v>6.7256267140203532</v>
      </c>
      <c r="AA60" s="182">
        <f t="shared" si="47"/>
        <v>6.865295839360205</v>
      </c>
      <c r="AB60" s="182">
        <f t="shared" si="47"/>
        <v>7.0034949925497232</v>
      </c>
      <c r="AC60" s="182">
        <f t="shared" si="47"/>
        <v>7.1403626272480887</v>
      </c>
      <c r="AD60" s="182">
        <f t="shared" si="47"/>
        <v>7.2760264723500949</v>
      </c>
      <c r="AE60" s="182">
        <f t="shared" si="47"/>
        <v>7.5442072542499137</v>
      </c>
      <c r="AF60" s="182">
        <f t="shared" si="47"/>
        <v>7.8088870324489852</v>
      </c>
      <c r="AG60" s="182">
        <f t="shared" si="47"/>
        <v>8.0708063905500822</v>
      </c>
      <c r="AH60" s="182">
        <f t="shared" si="47"/>
        <v>8.3306173876587053</v>
      </c>
      <c r="AI60" s="183">
        <f t="shared" si="47"/>
        <v>8.5888993517907277</v>
      </c>
      <c r="AN60" s="12"/>
      <c r="AO60" s="3"/>
      <c r="AP60" s="3"/>
      <c r="AQ60" s="3"/>
      <c r="AR60" s="3"/>
      <c r="AS60" s="129"/>
    </row>
    <row r="61" spans="2:49" ht="15.75" thickBot="1" x14ac:dyDescent="0.3">
      <c r="B61" s="140"/>
      <c r="C61" s="246"/>
      <c r="D61" s="238" t="s">
        <v>61</v>
      </c>
      <c r="E61" s="238"/>
      <c r="F61" s="223">
        <f t="shared" ref="F61" si="48">IF(F55&lt;F56,F55,F56)</f>
        <v>11.887579986236222</v>
      </c>
      <c r="G61" s="214" t="s">
        <v>32</v>
      </c>
      <c r="I61" s="204"/>
      <c r="J61" s="135"/>
      <c r="K61" s="135"/>
      <c r="L61" s="192">
        <f t="shared" ref="L61:AI61" si="49">IF(L55&lt;L56,L55,L56)</f>
        <v>8.2711581241660337</v>
      </c>
      <c r="M61" s="193">
        <f t="shared" si="49"/>
        <v>8.8163718007999243</v>
      </c>
      <c r="N61" s="193">
        <f t="shared" si="49"/>
        <v>9.2417163870887116</v>
      </c>
      <c r="O61" s="193">
        <f t="shared" si="49"/>
        <v>9.6691852729793659</v>
      </c>
      <c r="P61" s="193">
        <f t="shared" si="49"/>
        <v>10.100345749082626</v>
      </c>
      <c r="Q61" s="193">
        <f t="shared" si="49"/>
        <v>10.536583645553675</v>
      </c>
      <c r="R61" s="193">
        <f t="shared" si="49"/>
        <v>10.979138532756211</v>
      </c>
      <c r="S61" s="193">
        <f t="shared" si="49"/>
        <v>11.426154414212974</v>
      </c>
      <c r="T61" s="193">
        <f t="shared" si="49"/>
        <v>11.503023993538731</v>
      </c>
      <c r="U61" s="193">
        <f t="shared" si="49"/>
        <v>11.57989357286449</v>
      </c>
      <c r="V61" s="193">
        <f t="shared" si="49"/>
        <v>11.656763152190248</v>
      </c>
      <c r="W61" s="193">
        <f t="shared" si="49"/>
        <v>11.733632731516009</v>
      </c>
      <c r="X61" s="193">
        <f t="shared" si="49"/>
        <v>11.810502310841766</v>
      </c>
      <c r="Y61" s="193">
        <f t="shared" si="49"/>
        <v>11.887371890167524</v>
      </c>
      <c r="Z61" s="193">
        <f t="shared" si="49"/>
        <v>11.964241469493283</v>
      </c>
      <c r="AA61" s="193">
        <f t="shared" si="49"/>
        <v>12.041111048819038</v>
      </c>
      <c r="AB61" s="193">
        <f t="shared" si="49"/>
        <v>12.117980628144798</v>
      </c>
      <c r="AC61" s="193">
        <f t="shared" si="49"/>
        <v>12.194850207470555</v>
      </c>
      <c r="AD61" s="193">
        <f t="shared" si="49"/>
        <v>12.271719786796314</v>
      </c>
      <c r="AE61" s="193">
        <f t="shared" si="49"/>
        <v>12.425458945447831</v>
      </c>
      <c r="AF61" s="193">
        <f t="shared" si="49"/>
        <v>12.579198104099348</v>
      </c>
      <c r="AG61" s="193">
        <f t="shared" si="49"/>
        <v>12.732937262750866</v>
      </c>
      <c r="AH61" s="193">
        <f t="shared" si="49"/>
        <v>12.886676421402383</v>
      </c>
      <c r="AI61" s="194">
        <f t="shared" si="49"/>
        <v>13.040415580053898</v>
      </c>
      <c r="AO61" s="3"/>
      <c r="AP61" s="3"/>
      <c r="AQ61" s="3"/>
      <c r="AR61" s="3"/>
      <c r="AS61" s="129"/>
    </row>
    <row r="62" spans="2:49" hidden="1" x14ac:dyDescent="0.25">
      <c r="B62" s="242"/>
      <c r="C62" s="2"/>
      <c r="D62" s="371" t="s">
        <v>75</v>
      </c>
      <c r="E62" s="371"/>
      <c r="F62" s="402">
        <f>(0.2529+2.7683*10^-4*F48)*SQRT(F$16)/$F$4*$F$5*$F$7/$F$8</f>
        <v>4.4567931556026572</v>
      </c>
      <c r="G62" s="215"/>
      <c r="I62" s="275"/>
      <c r="J62" s="257"/>
      <c r="K62" s="257"/>
      <c r="L62" s="403">
        <f>(0.2529+2.7683*10^-4*L48)*SQRT(L$16)*$F$7/$F$8</f>
        <v>3.4115526514638379</v>
      </c>
      <c r="M62" s="404">
        <f t="shared" ref="M62:AI62" si="50">(0.2529+2.7683*10^-4*M48)*SQRT(M$16)*$F$7/$F$8</f>
        <v>3.5536630168642391</v>
      </c>
      <c r="N62" s="404">
        <f t="shared" si="50"/>
        <v>3.6909630787364014</v>
      </c>
      <c r="O62" s="404">
        <f t="shared" si="50"/>
        <v>3.8240223863911433</v>
      </c>
      <c r="P62" s="404">
        <f t="shared" si="50"/>
        <v>3.9533191820896616</v>
      </c>
      <c r="Q62" s="404">
        <f t="shared" si="50"/>
        <v>4.079260046927609</v>
      </c>
      <c r="R62" s="404">
        <f t="shared" si="50"/>
        <v>4.2021944138864713</v>
      </c>
      <c r="S62" s="404">
        <f t="shared" si="50"/>
        <v>4.3224254986127395</v>
      </c>
      <c r="T62" s="404">
        <f t="shared" si="50"/>
        <v>4.4402186734498192</v>
      </c>
      <c r="U62" s="404">
        <f t="shared" si="50"/>
        <v>4.5558079802671338</v>
      </c>
      <c r="V62" s="404">
        <f t="shared" si="50"/>
        <v>4.669401264429462</v>
      </c>
      <c r="W62" s="404">
        <f t="shared" si="50"/>
        <v>4.7811842710855155</v>
      </c>
      <c r="X62" s="404">
        <f t="shared" si="50"/>
        <v>4.8913239494238629</v>
      </c>
      <c r="Y62" s="404">
        <f t="shared" si="50"/>
        <v>4.9999711446140935</v>
      </c>
      <c r="Z62" s="404">
        <f t="shared" si="50"/>
        <v>5.1072628108365281</v>
      </c>
      <c r="AA62" s="404">
        <f t="shared" si="50"/>
        <v>5.2133238457410194</v>
      </c>
      <c r="AB62" s="404">
        <f t="shared" si="50"/>
        <v>5.3182686227240419</v>
      </c>
      <c r="AC62" s="404">
        <f t="shared" si="50"/>
        <v>5.4222022798276894</v>
      </c>
      <c r="AD62" s="404">
        <f t="shared" si="50"/>
        <v>5.5252218109920035</v>
      </c>
      <c r="AE62" s="404">
        <f t="shared" si="50"/>
        <v>5.7288711944944763</v>
      </c>
      <c r="AF62" s="404">
        <f t="shared" si="50"/>
        <v>5.9298620085042124</v>
      </c>
      <c r="AG62" s="404">
        <f t="shared" si="50"/>
        <v>6.1287566325961711</v>
      </c>
      <c r="AH62" s="404">
        <f t="shared" si="50"/>
        <v>6.3260502231864866</v>
      </c>
      <c r="AI62" s="405">
        <f t="shared" si="50"/>
        <v>6.5221827066279854</v>
      </c>
      <c r="AJ62" s="90"/>
      <c r="AK62" s="90"/>
      <c r="AL62" s="90"/>
      <c r="AM62" s="43"/>
      <c r="AN62" s="3"/>
      <c r="AO62" s="3"/>
      <c r="AQ62"/>
      <c r="AR62" s="13"/>
      <c r="AS62" s="12"/>
      <c r="AT62" s="3"/>
      <c r="AU62" s="3"/>
      <c r="AV62" s="3"/>
      <c r="AW62" s="3"/>
    </row>
    <row r="63" spans="2:49" hidden="1" x14ac:dyDescent="0.25">
      <c r="B63" s="242"/>
      <c r="C63" s="2"/>
      <c r="D63" s="43" t="s">
        <v>76</v>
      </c>
      <c r="E63" s="43"/>
      <c r="F63" s="406">
        <f>(0.675+9.273*10^-3*F48)*SQRT(F$16)*$F$4*$F$6/$F$7*$F$8</f>
        <v>9.0271134209672308</v>
      </c>
      <c r="G63" s="136"/>
      <c r="I63" s="267"/>
      <c r="J63" s="259"/>
      <c r="K63" s="259"/>
      <c r="L63" s="407">
        <f t="shared" ref="L63:AI63" si="51">(0.675+9.273*10^-3*L48)*SQRT(L$16)*$F$4*$F$6/$F$7*$F$8</f>
        <v>6.3721730089904938</v>
      </c>
      <c r="M63" s="408">
        <f t="shared" si="51"/>
        <v>6.6949192602182617</v>
      </c>
      <c r="N63" s="408">
        <f t="shared" si="51"/>
        <v>7.0179146745808918</v>
      </c>
      <c r="O63" s="408">
        <f t="shared" si="51"/>
        <v>7.3425232258030304</v>
      </c>
      <c r="P63" s="408">
        <f t="shared" si="51"/>
        <v>7.6699350728676796</v>
      </c>
      <c r="Q63" s="408">
        <f t="shared" si="51"/>
        <v>8.001202578493535</v>
      </c>
      <c r="R63" s="408">
        <f t="shared" si="51"/>
        <v>8.3372670395870614</v>
      </c>
      <c r="S63" s="408">
        <f t="shared" si="51"/>
        <v>8.6789789182595189</v>
      </c>
      <c r="T63" s="408">
        <f t="shared" si="51"/>
        <v>9.0271134209672308</v>
      </c>
      <c r="U63" s="408">
        <f t="shared" si="51"/>
        <v>9.3823826811682896</v>
      </c>
      <c r="V63" s="408">
        <f t="shared" si="51"/>
        <v>9.7454454177852874</v>
      </c>
      <c r="W63" s="408">
        <f t="shared" si="51"/>
        <v>10.116914687751292</v>
      </c>
      <c r="X63" s="408">
        <f t="shared" si="51"/>
        <v>10.497364178764668</v>
      </c>
      <c r="Y63" s="408">
        <f t="shared" si="51"/>
        <v>10.887333369385054</v>
      </c>
      <c r="Z63" s="408">
        <f t="shared" si="51"/>
        <v>11.287331799877672</v>
      </c>
      <c r="AA63" s="408">
        <f t="shared" si="51"/>
        <v>11.697842637342612</v>
      </c>
      <c r="AB63" s="408">
        <f t="shared" si="51"/>
        <v>12.119325675217761</v>
      </c>
      <c r="AC63" s="408">
        <f t="shared" si="51"/>
        <v>12.552219875284983</v>
      </c>
      <c r="AD63" s="408">
        <f t="shared" si="51"/>
        <v>12.996945536507102</v>
      </c>
      <c r="AE63" s="408">
        <f t="shared" si="51"/>
        <v>13.923490042522324</v>
      </c>
      <c r="AF63" s="408">
        <f t="shared" si="51"/>
        <v>14.902013066035321</v>
      </c>
      <c r="AG63" s="408">
        <f t="shared" si="51"/>
        <v>15.935366028292203</v>
      </c>
      <c r="AH63" s="408">
        <f t="shared" si="51"/>
        <v>17.026230390039572</v>
      </c>
      <c r="AI63" s="409">
        <f t="shared" si="51"/>
        <v>18.177143036528673</v>
      </c>
      <c r="AJ63" s="90"/>
      <c r="AK63" s="90"/>
      <c r="AL63" s="90"/>
      <c r="AM63" s="43"/>
      <c r="AN63" s="3"/>
      <c r="AO63" s="3"/>
      <c r="AQ63"/>
      <c r="AR63" s="13"/>
      <c r="AS63" s="12"/>
      <c r="AT63" s="3"/>
      <c r="AU63" s="3"/>
      <c r="AV63" s="3"/>
      <c r="AW63" s="3"/>
    </row>
    <row r="64" spans="2:49" ht="15.75" hidden="1" thickBot="1" x14ac:dyDescent="0.3">
      <c r="B64" s="242"/>
      <c r="C64" s="2"/>
      <c r="D64" s="43" t="s">
        <v>77</v>
      </c>
      <c r="E64" s="43"/>
      <c r="F64" s="410">
        <f>IF(($F$3*(F$16*10^-3)/SQRT($C$16*10^-3*$B$35*10^-3)*$F$4/$F$6^2*$F$8)&lt;(4*$F$13*$F$8),($F$3*(F$16*10^-3)/SQRT($C$16*10^-3*$B$35*10^-3)*$F$4/$F$6^2*$F$8),(4*$F$13*$F$8))</f>
        <v>9.4595466606773275</v>
      </c>
      <c r="G64" s="136"/>
      <c r="I64" s="267"/>
      <c r="J64" s="259"/>
      <c r="K64" s="259"/>
      <c r="L64" s="411">
        <f t="shared" ref="L64:AI64" si="52">IF(($F$3*(L$16*10^-3)/SQRT($C$16*10^-3*$B$35*10^-3)*$F$4/$F$6^2*$F$8)&lt;(4*L$57*$F$8),($F$3*(L$16*10^-3)/SQRT($C$16*10^-3*$B$35*10^-3)*$F$4/$F$6^2*$F$8),(4*L$57*$F$8))</f>
        <v>6.2808984331588293</v>
      </c>
      <c r="M64" s="412">
        <f t="shared" si="52"/>
        <v>6.8043066359220656</v>
      </c>
      <c r="N64" s="412">
        <f t="shared" si="52"/>
        <v>7.3277148386853028</v>
      </c>
      <c r="O64" s="412">
        <f t="shared" si="52"/>
        <v>7.8511230414485373</v>
      </c>
      <c r="P64" s="412">
        <f t="shared" si="52"/>
        <v>8.3745312442117719</v>
      </c>
      <c r="Q64" s="412">
        <f t="shared" si="52"/>
        <v>8.5599736159935116</v>
      </c>
      <c r="R64" s="412">
        <f t="shared" si="52"/>
        <v>8.6183463387847858</v>
      </c>
      <c r="S64" s="412">
        <f t="shared" si="52"/>
        <v>8.6767190615760601</v>
      </c>
      <c r="T64" s="412">
        <f t="shared" si="52"/>
        <v>8.7350917843673326</v>
      </c>
      <c r="U64" s="412">
        <f t="shared" si="52"/>
        <v>8.7934645071586068</v>
      </c>
      <c r="V64" s="412">
        <f t="shared" si="52"/>
        <v>8.8518372299498793</v>
      </c>
      <c r="W64" s="412">
        <f t="shared" si="52"/>
        <v>8.9102099527411553</v>
      </c>
      <c r="X64" s="412">
        <f t="shared" si="52"/>
        <v>8.9685826755324278</v>
      </c>
      <c r="Y64" s="412">
        <f t="shared" si="52"/>
        <v>9.0269553983237003</v>
      </c>
      <c r="Z64" s="412">
        <f t="shared" si="52"/>
        <v>9.0853281211149746</v>
      </c>
      <c r="AA64" s="412">
        <f t="shared" si="52"/>
        <v>9.143700843906247</v>
      </c>
      <c r="AB64" s="412">
        <f t="shared" si="52"/>
        <v>9.2020735666975213</v>
      </c>
      <c r="AC64" s="412">
        <f t="shared" si="52"/>
        <v>9.2604462894887938</v>
      </c>
      <c r="AD64" s="412">
        <f t="shared" si="52"/>
        <v>9.318819012280068</v>
      </c>
      <c r="AE64" s="412">
        <f t="shared" si="52"/>
        <v>9.4355644578626148</v>
      </c>
      <c r="AF64" s="412">
        <f t="shared" si="52"/>
        <v>9.5523099034451615</v>
      </c>
      <c r="AG64" s="412">
        <f t="shared" si="52"/>
        <v>9.66905534902771</v>
      </c>
      <c r="AH64" s="412">
        <f t="shared" si="52"/>
        <v>9.7858007946102568</v>
      </c>
      <c r="AI64" s="413">
        <f t="shared" si="52"/>
        <v>9.9025462401928035</v>
      </c>
      <c r="AJ64" s="90"/>
      <c r="AK64" s="90"/>
      <c r="AL64" s="90"/>
      <c r="AM64" s="43"/>
      <c r="AN64" s="3"/>
      <c r="AO64" s="3"/>
      <c r="AQ64"/>
      <c r="AR64" s="13"/>
      <c r="AS64" s="12"/>
      <c r="AT64" s="3"/>
      <c r="AU64" s="3"/>
      <c r="AV64" s="3"/>
      <c r="AW64" s="3"/>
    </row>
    <row r="65" spans="2:49" x14ac:dyDescent="0.25">
      <c r="B65" s="140"/>
      <c r="C65" s="243"/>
      <c r="D65" s="239" t="s">
        <v>56</v>
      </c>
      <c r="E65" s="239"/>
      <c r="F65" s="220">
        <f>F62</f>
        <v>4.4567931556026572</v>
      </c>
      <c r="G65" s="215" t="s">
        <v>32</v>
      </c>
      <c r="I65" s="15"/>
      <c r="J65"/>
      <c r="K65"/>
      <c r="L65" s="195">
        <f t="shared" ref="L65:AI65" si="53">L62</f>
        <v>3.4115526514638379</v>
      </c>
      <c r="M65" s="184">
        <f t="shared" si="53"/>
        <v>3.5536630168642391</v>
      </c>
      <c r="N65" s="184">
        <f t="shared" si="53"/>
        <v>3.6909630787364014</v>
      </c>
      <c r="O65" s="184">
        <f t="shared" si="53"/>
        <v>3.8240223863911433</v>
      </c>
      <c r="P65" s="184">
        <f t="shared" si="53"/>
        <v>3.9533191820896616</v>
      </c>
      <c r="Q65" s="184">
        <f t="shared" si="53"/>
        <v>4.079260046927609</v>
      </c>
      <c r="R65" s="184">
        <f t="shared" si="53"/>
        <v>4.2021944138864713</v>
      </c>
      <c r="S65" s="184">
        <f t="shared" si="53"/>
        <v>4.3224254986127395</v>
      </c>
      <c r="T65" s="184">
        <f t="shared" si="53"/>
        <v>4.4402186734498192</v>
      </c>
      <c r="U65" s="184">
        <f t="shared" si="53"/>
        <v>4.5558079802671338</v>
      </c>
      <c r="V65" s="184">
        <f t="shared" si="53"/>
        <v>4.669401264429462</v>
      </c>
      <c r="W65" s="184">
        <f t="shared" si="53"/>
        <v>4.7811842710855155</v>
      </c>
      <c r="X65" s="184">
        <f t="shared" si="53"/>
        <v>4.8913239494238629</v>
      </c>
      <c r="Y65" s="184">
        <f t="shared" si="53"/>
        <v>4.9999711446140935</v>
      </c>
      <c r="Z65" s="184">
        <f t="shared" si="53"/>
        <v>5.1072628108365281</v>
      </c>
      <c r="AA65" s="184">
        <f t="shared" si="53"/>
        <v>5.2133238457410194</v>
      </c>
      <c r="AB65" s="184">
        <f t="shared" si="53"/>
        <v>5.3182686227240419</v>
      </c>
      <c r="AC65" s="184">
        <f t="shared" si="53"/>
        <v>5.4222022798276894</v>
      </c>
      <c r="AD65" s="184">
        <f t="shared" si="53"/>
        <v>5.5252218109920035</v>
      </c>
      <c r="AE65" s="184">
        <f t="shared" si="53"/>
        <v>5.7288711944944763</v>
      </c>
      <c r="AF65" s="184">
        <f t="shared" si="53"/>
        <v>5.9298620085042124</v>
      </c>
      <c r="AG65" s="184">
        <f t="shared" si="53"/>
        <v>6.1287566325961711</v>
      </c>
      <c r="AH65" s="184">
        <f t="shared" si="53"/>
        <v>6.3260502231864866</v>
      </c>
      <c r="AI65" s="185">
        <f t="shared" si="53"/>
        <v>6.5221827066279854</v>
      </c>
      <c r="AN65"/>
      <c r="AO65" s="3"/>
      <c r="AP65" s="3"/>
      <c r="AQ65" s="3"/>
      <c r="AR65" s="3"/>
      <c r="AS65" s="129"/>
    </row>
    <row r="66" spans="2:49" x14ac:dyDescent="0.25">
      <c r="B66" s="254">
        <v>138</v>
      </c>
      <c r="C66" s="244" t="s">
        <v>58</v>
      </c>
      <c r="D66" s="253" t="s">
        <v>57</v>
      </c>
      <c r="E66" s="252"/>
      <c r="F66" s="224">
        <f t="shared" ref="F66" si="54">IF(F63&lt;F64,F63,F64)</f>
        <v>9.0271134209672308</v>
      </c>
      <c r="G66" s="216" t="s">
        <v>32</v>
      </c>
      <c r="I66" s="15"/>
      <c r="J66"/>
      <c r="K66"/>
      <c r="L66" s="189">
        <f t="shared" ref="L66:AI66" si="55">IF(L63&lt;L64,L63,L64)</f>
        <v>6.2808984331588293</v>
      </c>
      <c r="M66" s="176">
        <f t="shared" si="55"/>
        <v>6.6949192602182617</v>
      </c>
      <c r="N66" s="176">
        <f t="shared" si="55"/>
        <v>7.0179146745808918</v>
      </c>
      <c r="O66" s="176">
        <f t="shared" si="55"/>
        <v>7.3425232258030304</v>
      </c>
      <c r="P66" s="176">
        <f t="shared" si="55"/>
        <v>7.6699350728676796</v>
      </c>
      <c r="Q66" s="176">
        <f t="shared" si="55"/>
        <v>8.001202578493535</v>
      </c>
      <c r="R66" s="176">
        <f t="shared" si="55"/>
        <v>8.3372670395870614</v>
      </c>
      <c r="S66" s="176">
        <f t="shared" si="55"/>
        <v>8.6767190615760601</v>
      </c>
      <c r="T66" s="176">
        <f t="shared" si="55"/>
        <v>8.7350917843673326</v>
      </c>
      <c r="U66" s="176">
        <f t="shared" si="55"/>
        <v>8.7934645071586068</v>
      </c>
      <c r="V66" s="176">
        <f t="shared" si="55"/>
        <v>8.8518372299498793</v>
      </c>
      <c r="W66" s="176">
        <f t="shared" si="55"/>
        <v>8.9102099527411553</v>
      </c>
      <c r="X66" s="176">
        <f t="shared" si="55"/>
        <v>8.9685826755324278</v>
      </c>
      <c r="Y66" s="176">
        <f t="shared" si="55"/>
        <v>9.0269553983237003</v>
      </c>
      <c r="Z66" s="176">
        <f t="shared" si="55"/>
        <v>9.0853281211149746</v>
      </c>
      <c r="AA66" s="176">
        <f t="shared" si="55"/>
        <v>9.143700843906247</v>
      </c>
      <c r="AB66" s="176">
        <f t="shared" si="55"/>
        <v>9.2020735666975213</v>
      </c>
      <c r="AC66" s="176">
        <f t="shared" si="55"/>
        <v>9.2604462894887938</v>
      </c>
      <c r="AD66" s="176">
        <f t="shared" si="55"/>
        <v>9.318819012280068</v>
      </c>
      <c r="AE66" s="176">
        <f t="shared" si="55"/>
        <v>9.4355644578626148</v>
      </c>
      <c r="AF66" s="176">
        <f t="shared" si="55"/>
        <v>9.5523099034451615</v>
      </c>
      <c r="AG66" s="176">
        <f t="shared" si="55"/>
        <v>9.66905534902771</v>
      </c>
      <c r="AH66" s="176">
        <f t="shared" si="55"/>
        <v>9.7858007946102568</v>
      </c>
      <c r="AI66" s="177">
        <f t="shared" si="55"/>
        <v>9.9025462401928035</v>
      </c>
      <c r="AO66" s="3"/>
      <c r="AP66" s="3"/>
      <c r="AQ66" s="3"/>
      <c r="AR66" s="3"/>
      <c r="AS66" s="129"/>
    </row>
    <row r="67" spans="2:49" ht="13.15" customHeight="1" x14ac:dyDescent="0.25">
      <c r="B67" s="254" t="s">
        <v>40</v>
      </c>
      <c r="C67" s="243" t="s">
        <v>59</v>
      </c>
      <c r="D67" s="252" t="s">
        <v>60</v>
      </c>
      <c r="E67" s="252"/>
      <c r="F67" s="222">
        <f>F62</f>
        <v>4.4567931556026572</v>
      </c>
      <c r="G67" s="217" t="s">
        <v>32</v>
      </c>
      <c r="I67" s="15"/>
      <c r="J67"/>
      <c r="K67"/>
      <c r="L67" s="191">
        <f t="shared" ref="L67:AI67" si="56">L62</f>
        <v>3.4115526514638379</v>
      </c>
      <c r="M67" s="182">
        <f t="shared" si="56"/>
        <v>3.5536630168642391</v>
      </c>
      <c r="N67" s="182">
        <f t="shared" si="56"/>
        <v>3.6909630787364014</v>
      </c>
      <c r="O67" s="182">
        <f t="shared" si="56"/>
        <v>3.8240223863911433</v>
      </c>
      <c r="P67" s="182">
        <f t="shared" si="56"/>
        <v>3.9533191820896616</v>
      </c>
      <c r="Q67" s="182">
        <f t="shared" si="56"/>
        <v>4.079260046927609</v>
      </c>
      <c r="R67" s="182">
        <f t="shared" si="56"/>
        <v>4.2021944138864713</v>
      </c>
      <c r="S67" s="182">
        <f t="shared" si="56"/>
        <v>4.3224254986127395</v>
      </c>
      <c r="T67" s="182">
        <f t="shared" si="56"/>
        <v>4.4402186734498192</v>
      </c>
      <c r="U67" s="182">
        <f t="shared" si="56"/>
        <v>4.5558079802671338</v>
      </c>
      <c r="V67" s="182">
        <f t="shared" si="56"/>
        <v>4.669401264429462</v>
      </c>
      <c r="W67" s="182">
        <f t="shared" si="56"/>
        <v>4.7811842710855155</v>
      </c>
      <c r="X67" s="182">
        <f t="shared" si="56"/>
        <v>4.8913239494238629</v>
      </c>
      <c r="Y67" s="182">
        <f t="shared" si="56"/>
        <v>4.9999711446140935</v>
      </c>
      <c r="Z67" s="182">
        <f t="shared" si="56"/>
        <v>5.1072628108365281</v>
      </c>
      <c r="AA67" s="182">
        <f t="shared" si="56"/>
        <v>5.2133238457410194</v>
      </c>
      <c r="AB67" s="182">
        <f t="shared" si="56"/>
        <v>5.3182686227240419</v>
      </c>
      <c r="AC67" s="182">
        <f t="shared" si="56"/>
        <v>5.4222022798276894</v>
      </c>
      <c r="AD67" s="182">
        <f t="shared" si="56"/>
        <v>5.5252218109920035</v>
      </c>
      <c r="AE67" s="182">
        <f t="shared" si="56"/>
        <v>5.7288711944944763</v>
      </c>
      <c r="AF67" s="182">
        <f t="shared" si="56"/>
        <v>5.9298620085042124</v>
      </c>
      <c r="AG67" s="182">
        <f t="shared" si="56"/>
        <v>6.1287566325961711</v>
      </c>
      <c r="AH67" s="182">
        <f t="shared" si="56"/>
        <v>6.3260502231864866</v>
      </c>
      <c r="AI67" s="183">
        <f t="shared" si="56"/>
        <v>6.5221827066279854</v>
      </c>
      <c r="AN67" s="12"/>
      <c r="AO67" s="3"/>
      <c r="AP67" s="3"/>
      <c r="AQ67" s="3"/>
      <c r="AR67" s="3"/>
      <c r="AS67" s="129"/>
    </row>
    <row r="68" spans="2:49" ht="15.75" thickBot="1" x14ac:dyDescent="0.3">
      <c r="B68" s="141"/>
      <c r="C68" s="246"/>
      <c r="D68" s="238" t="s">
        <v>61</v>
      </c>
      <c r="E68" s="238"/>
      <c r="F68" s="223">
        <f t="shared" ref="F68" si="57">IF(F63&lt;F64,F63,F64)</f>
        <v>9.0271134209672308</v>
      </c>
      <c r="G68" s="214" t="s">
        <v>32</v>
      </c>
      <c r="I68" s="204"/>
      <c r="J68" s="135"/>
      <c r="K68" s="135"/>
      <c r="L68" s="192">
        <f t="shared" ref="L68:AI68" si="58">IF(L63&lt;L64,L63,L64)</f>
        <v>6.2808984331588293</v>
      </c>
      <c r="M68" s="193">
        <f t="shared" si="58"/>
        <v>6.6949192602182617</v>
      </c>
      <c r="N68" s="193">
        <f t="shared" si="58"/>
        <v>7.0179146745808918</v>
      </c>
      <c r="O68" s="193">
        <f t="shared" si="58"/>
        <v>7.3425232258030304</v>
      </c>
      <c r="P68" s="193">
        <f t="shared" si="58"/>
        <v>7.6699350728676796</v>
      </c>
      <c r="Q68" s="193">
        <f t="shared" si="58"/>
        <v>8.001202578493535</v>
      </c>
      <c r="R68" s="193">
        <f t="shared" si="58"/>
        <v>8.3372670395870614</v>
      </c>
      <c r="S68" s="193">
        <f t="shared" si="58"/>
        <v>8.6767190615760601</v>
      </c>
      <c r="T68" s="193">
        <f t="shared" si="58"/>
        <v>8.7350917843673326</v>
      </c>
      <c r="U68" s="193">
        <f t="shared" si="58"/>
        <v>8.7934645071586068</v>
      </c>
      <c r="V68" s="193">
        <f t="shared" si="58"/>
        <v>8.8518372299498793</v>
      </c>
      <c r="W68" s="193">
        <f t="shared" si="58"/>
        <v>8.9102099527411553</v>
      </c>
      <c r="X68" s="193">
        <f t="shared" si="58"/>
        <v>8.9685826755324278</v>
      </c>
      <c r="Y68" s="193">
        <f t="shared" si="58"/>
        <v>9.0269553983237003</v>
      </c>
      <c r="Z68" s="193">
        <f t="shared" si="58"/>
        <v>9.0853281211149746</v>
      </c>
      <c r="AA68" s="193">
        <f t="shared" si="58"/>
        <v>9.143700843906247</v>
      </c>
      <c r="AB68" s="193">
        <f t="shared" si="58"/>
        <v>9.2020735666975213</v>
      </c>
      <c r="AC68" s="193">
        <f t="shared" si="58"/>
        <v>9.2604462894887938</v>
      </c>
      <c r="AD68" s="193">
        <f t="shared" si="58"/>
        <v>9.318819012280068</v>
      </c>
      <c r="AE68" s="193">
        <f t="shared" si="58"/>
        <v>9.4355644578626148</v>
      </c>
      <c r="AF68" s="193">
        <f t="shared" si="58"/>
        <v>9.5523099034451615</v>
      </c>
      <c r="AG68" s="193">
        <f t="shared" si="58"/>
        <v>9.66905534902771</v>
      </c>
      <c r="AH68" s="193">
        <f t="shared" si="58"/>
        <v>9.7858007946102568</v>
      </c>
      <c r="AI68" s="194">
        <f t="shared" si="58"/>
        <v>9.9025462401928035</v>
      </c>
      <c r="AO68" s="3"/>
      <c r="AP68" s="3"/>
      <c r="AQ68" s="3"/>
      <c r="AR68" s="3"/>
      <c r="AS68" s="129"/>
    </row>
    <row r="69" spans="2:49" hidden="1" x14ac:dyDescent="0.25">
      <c r="B69" s="242"/>
      <c r="C69" s="2"/>
      <c r="D69" s="43" t="s">
        <v>71</v>
      </c>
      <c r="E69" s="43"/>
      <c r="F69" s="220">
        <f>1.07*1.22*F62</f>
        <v>5.8178977853237095</v>
      </c>
      <c r="G69" s="136"/>
      <c r="I69" s="275"/>
      <c r="J69" s="257"/>
      <c r="K69" s="257"/>
      <c r="L69" s="195">
        <f t="shared" ref="L69:AI69" si="59">1.07*1.22*L62</f>
        <v>4.4534408312208944</v>
      </c>
      <c r="M69" s="184">
        <f t="shared" si="59"/>
        <v>4.6389517022145785</v>
      </c>
      <c r="N69" s="184">
        <f t="shared" si="59"/>
        <v>4.8181832029824987</v>
      </c>
      <c r="O69" s="184">
        <f t="shared" si="59"/>
        <v>4.9918788231949991</v>
      </c>
      <c r="P69" s="184">
        <f t="shared" si="59"/>
        <v>5.160662860299845</v>
      </c>
      <c r="Q69" s="184">
        <f t="shared" si="59"/>
        <v>5.3250660652593016</v>
      </c>
      <c r="R69" s="184">
        <f t="shared" si="59"/>
        <v>5.4855445878874001</v>
      </c>
      <c r="S69" s="184">
        <f t="shared" si="59"/>
        <v>5.642494245889071</v>
      </c>
      <c r="T69" s="184">
        <f t="shared" si="59"/>
        <v>5.7962614563213943</v>
      </c>
      <c r="U69" s="184">
        <f t="shared" si="59"/>
        <v>5.9471517374407172</v>
      </c>
      <c r="V69" s="184">
        <f t="shared" si="59"/>
        <v>6.0954364105862204</v>
      </c>
      <c r="W69" s="184">
        <f t="shared" si="59"/>
        <v>6.2413579474750325</v>
      </c>
      <c r="X69" s="184">
        <f t="shared" si="59"/>
        <v>6.3851342835779112</v>
      </c>
      <c r="Y69" s="184">
        <f t="shared" si="59"/>
        <v>6.526962332179238</v>
      </c>
      <c r="Z69" s="184">
        <f t="shared" si="59"/>
        <v>6.6670208732660043</v>
      </c>
      <c r="AA69" s="184">
        <f t="shared" si="59"/>
        <v>6.8054729482303271</v>
      </c>
      <c r="AB69" s="184">
        <f t="shared" si="59"/>
        <v>6.9424678601039647</v>
      </c>
      <c r="AC69" s="184">
        <f t="shared" si="59"/>
        <v>7.0781428560870667</v>
      </c>
      <c r="AD69" s="184">
        <f t="shared" si="59"/>
        <v>7.212624552068962</v>
      </c>
      <c r="AE69" s="184">
        <f t="shared" si="59"/>
        <v>7.47846845729309</v>
      </c>
      <c r="AF69" s="184">
        <f t="shared" si="59"/>
        <v>7.7408418659014</v>
      </c>
      <c r="AG69" s="184">
        <f t="shared" si="59"/>
        <v>8.0004789081910417</v>
      </c>
      <c r="AH69" s="184">
        <f t="shared" si="59"/>
        <v>8.2580259613476397</v>
      </c>
      <c r="AI69" s="185">
        <f t="shared" si="59"/>
        <v>8.5140573052321731</v>
      </c>
      <c r="AJ69" s="90"/>
      <c r="AK69" s="90"/>
      <c r="AL69" s="90"/>
      <c r="AM69" s="43"/>
      <c r="AN69" s="3"/>
      <c r="AO69" s="3"/>
      <c r="AQ69"/>
      <c r="AR69" s="13"/>
      <c r="AS69" s="12"/>
      <c r="AT69" s="3"/>
      <c r="AU69" s="3"/>
      <c r="AV69" s="3"/>
      <c r="AW69" s="3"/>
    </row>
    <row r="70" spans="2:49" hidden="1" x14ac:dyDescent="0.25">
      <c r="B70" s="242"/>
      <c r="C70" s="2"/>
      <c r="D70" s="43" t="s">
        <v>72</v>
      </c>
      <c r="E70" s="43"/>
      <c r="F70" s="224">
        <f>1.07*1.22*F63</f>
        <v>11.783993859730623</v>
      </c>
      <c r="G70" s="136"/>
      <c r="I70" s="267"/>
      <c r="J70" s="259"/>
      <c r="K70" s="259"/>
      <c r="L70" s="189">
        <f t="shared" ref="L70:AI70" si="60">1.07*1.22*L63</f>
        <v>8.318234645936192</v>
      </c>
      <c r="M70" s="176">
        <f t="shared" si="60"/>
        <v>8.7395476022889191</v>
      </c>
      <c r="N70" s="176">
        <f t="shared" si="60"/>
        <v>9.1611858161978965</v>
      </c>
      <c r="O70" s="176">
        <f t="shared" si="60"/>
        <v>9.5849298189632766</v>
      </c>
      <c r="P70" s="176">
        <f t="shared" si="60"/>
        <v>10.01233324412147</v>
      </c>
      <c r="Q70" s="176">
        <f t="shared" si="60"/>
        <v>10.444769845965462</v>
      </c>
      <c r="R70" s="176">
        <f t="shared" si="60"/>
        <v>10.883468393476951</v>
      </c>
      <c r="S70" s="176">
        <f t="shared" si="60"/>
        <v>11.329539079895977</v>
      </c>
      <c r="T70" s="176">
        <f t="shared" si="60"/>
        <v>11.783993859730623</v>
      </c>
      <c r="U70" s="176">
        <f t="shared" si="60"/>
        <v>12.247762351997086</v>
      </c>
      <c r="V70" s="176">
        <f t="shared" si="60"/>
        <v>12.721704448376915</v>
      </c>
      <c r="W70" s="176">
        <f t="shared" si="60"/>
        <v>13.206620433390537</v>
      </c>
      <c r="X70" s="176">
        <f t="shared" si="60"/>
        <v>13.703259198959399</v>
      </c>
      <c r="Y70" s="176">
        <f t="shared" si="60"/>
        <v>14.21232498039525</v>
      </c>
      <c r="Z70" s="176">
        <f t="shared" si="60"/>
        <v>14.734482931560313</v>
      </c>
      <c r="AA70" s="176">
        <f t="shared" si="60"/>
        <v>15.270363778787047</v>
      </c>
      <c r="AB70" s="176">
        <f t="shared" si="60"/>
        <v>15.820567736429267</v>
      </c>
      <c r="AC70" s="176">
        <f t="shared" si="60"/>
        <v>16.385667825197018</v>
      </c>
      <c r="AD70" s="176">
        <f t="shared" si="60"/>
        <v>16.966212703356373</v>
      </c>
      <c r="AE70" s="176">
        <f t="shared" si="60"/>
        <v>18.175723901508643</v>
      </c>
      <c r="AF70" s="176">
        <f t="shared" si="60"/>
        <v>19.453087856402512</v>
      </c>
      <c r="AG70" s="176">
        <f t="shared" si="60"/>
        <v>20.802026813332642</v>
      </c>
      <c r="AH70" s="176">
        <f t="shared" si="60"/>
        <v>22.226041151157659</v>
      </c>
      <c r="AI70" s="177">
        <f t="shared" si="60"/>
        <v>23.728442519884531</v>
      </c>
      <c r="AJ70" s="90"/>
      <c r="AK70" s="90"/>
      <c r="AL70" s="90"/>
      <c r="AM70" s="43"/>
      <c r="AN70" s="3"/>
      <c r="AO70" s="3"/>
      <c r="AQ70"/>
      <c r="AR70" s="13"/>
      <c r="AS70" s="12"/>
      <c r="AT70" s="3"/>
      <c r="AU70" s="3"/>
      <c r="AV70" s="3"/>
      <c r="AW70" s="3"/>
    </row>
    <row r="71" spans="2:49" hidden="1" x14ac:dyDescent="0.25">
      <c r="B71" s="242"/>
      <c r="C71" s="2"/>
      <c r="D71" s="43" t="s">
        <v>79</v>
      </c>
      <c r="E71" s="43"/>
      <c r="F71" s="224">
        <f>1.07*1.22*F64</f>
        <v>12.348492210848184</v>
      </c>
      <c r="G71" s="136"/>
      <c r="I71" s="267"/>
      <c r="J71" s="259"/>
      <c r="K71" s="259"/>
      <c r="L71" s="189">
        <f t="shared" ref="L71:AI71" si="61">1.07*1.22*L64</f>
        <v>8.199084814645536</v>
      </c>
      <c r="M71" s="176">
        <f t="shared" si="61"/>
        <v>8.8823418825326659</v>
      </c>
      <c r="N71" s="176">
        <f t="shared" si="61"/>
        <v>9.5655989504197958</v>
      </c>
      <c r="O71" s="176">
        <f t="shared" si="61"/>
        <v>10.248856018306922</v>
      </c>
      <c r="P71" s="176">
        <f t="shared" si="61"/>
        <v>10.932113086194049</v>
      </c>
      <c r="Q71" s="176">
        <f t="shared" si="61"/>
        <v>11.174189558317931</v>
      </c>
      <c r="R71" s="176">
        <f t="shared" si="61"/>
        <v>11.250389310649661</v>
      </c>
      <c r="S71" s="176">
        <f t="shared" si="61"/>
        <v>11.326589062981389</v>
      </c>
      <c r="T71" s="176">
        <f t="shared" si="61"/>
        <v>11.402788815313118</v>
      </c>
      <c r="U71" s="176">
        <f t="shared" si="61"/>
        <v>11.478988567644846</v>
      </c>
      <c r="V71" s="176">
        <f t="shared" si="61"/>
        <v>11.555188319976574</v>
      </c>
      <c r="W71" s="176">
        <f t="shared" si="61"/>
        <v>11.631388072308305</v>
      </c>
      <c r="X71" s="176">
        <f t="shared" si="61"/>
        <v>11.707587824640033</v>
      </c>
      <c r="Y71" s="176">
        <f t="shared" si="61"/>
        <v>11.783787576971759</v>
      </c>
      <c r="Z71" s="176">
        <f t="shared" si="61"/>
        <v>11.85998732930349</v>
      </c>
      <c r="AA71" s="176">
        <f t="shared" si="61"/>
        <v>11.936187081635216</v>
      </c>
      <c r="AB71" s="176">
        <f t="shared" si="61"/>
        <v>12.012386833966945</v>
      </c>
      <c r="AC71" s="176">
        <f t="shared" si="61"/>
        <v>12.088586586298673</v>
      </c>
      <c r="AD71" s="176">
        <f t="shared" si="61"/>
        <v>12.164786338630401</v>
      </c>
      <c r="AE71" s="176">
        <f t="shared" si="61"/>
        <v>12.317185843293858</v>
      </c>
      <c r="AF71" s="176">
        <f t="shared" si="61"/>
        <v>12.469585347957315</v>
      </c>
      <c r="AG71" s="176">
        <f t="shared" si="61"/>
        <v>12.621984852620773</v>
      </c>
      <c r="AH71" s="176">
        <f t="shared" si="61"/>
        <v>12.77438435728423</v>
      </c>
      <c r="AI71" s="177">
        <f t="shared" si="61"/>
        <v>12.926783861947687</v>
      </c>
      <c r="AJ71" s="90"/>
      <c r="AK71" s="90"/>
      <c r="AL71" s="90"/>
      <c r="AM71" s="43"/>
      <c r="AN71" s="3"/>
      <c r="AO71" s="3"/>
      <c r="AQ71"/>
      <c r="AR71" s="13"/>
      <c r="AS71" s="12"/>
      <c r="AT71" s="3"/>
      <c r="AU71" s="3"/>
      <c r="AV71" s="3"/>
      <c r="AW71" s="3"/>
    </row>
    <row r="72" spans="2:49" hidden="1" x14ac:dyDescent="0.25">
      <c r="B72" s="242"/>
      <c r="C72" s="2"/>
      <c r="D72" s="43" t="s">
        <v>73</v>
      </c>
      <c r="E72" s="43"/>
      <c r="F72" s="224">
        <f>1.07*0.707*F62</f>
        <v>3.3715194542818541</v>
      </c>
      <c r="G72" s="136"/>
      <c r="I72" s="267"/>
      <c r="J72" s="259"/>
      <c r="K72" s="259"/>
      <c r="L72" s="189">
        <f t="shared" ref="L72:AI72" si="62">1.07*0.707*L62</f>
        <v>2.5808054653058785</v>
      </c>
      <c r="M72" s="176">
        <f t="shared" si="62"/>
        <v>2.6883105356276285</v>
      </c>
      <c r="N72" s="176">
        <f t="shared" si="62"/>
        <v>2.7921766594333004</v>
      </c>
      <c r="O72" s="176">
        <f t="shared" si="62"/>
        <v>2.892834695081036</v>
      </c>
      <c r="P72" s="176">
        <f t="shared" si="62"/>
        <v>2.9906464280590082</v>
      </c>
      <c r="Q72" s="176">
        <f t="shared" si="62"/>
        <v>3.0859194329002668</v>
      </c>
      <c r="R72" s="176">
        <f t="shared" si="62"/>
        <v>3.1789180521609768</v>
      </c>
      <c r="S72" s="176">
        <f t="shared" si="62"/>
        <v>3.2698716654455513</v>
      </c>
      <c r="T72" s="176">
        <f t="shared" si="62"/>
        <v>3.3589810242780538</v>
      </c>
      <c r="U72" s="176">
        <f t="shared" si="62"/>
        <v>3.4464231789922839</v>
      </c>
      <c r="V72" s="176">
        <f t="shared" si="62"/>
        <v>3.5323553625282438</v>
      </c>
      <c r="W72" s="176">
        <f t="shared" si="62"/>
        <v>3.6169180892334816</v>
      </c>
      <c r="X72" s="176">
        <f t="shared" si="62"/>
        <v>3.700237654499658</v>
      </c>
      <c r="Y72" s="176">
        <f t="shared" si="62"/>
        <v>3.7824281711891157</v>
      </c>
      <c r="Z72" s="176">
        <f t="shared" si="62"/>
        <v>3.8635932437697251</v>
      </c>
      <c r="AA72" s="176">
        <f t="shared" si="62"/>
        <v>3.9438273560646238</v>
      </c>
      <c r="AB72" s="176">
        <f t="shared" si="62"/>
        <v>4.0232170304045107</v>
      </c>
      <c r="AC72" s="176">
        <f t="shared" si="62"/>
        <v>4.1018418026668488</v>
      </c>
      <c r="AD72" s="176">
        <f t="shared" si="62"/>
        <v>4.1797750477973405</v>
      </c>
      <c r="AE72" s="176">
        <f t="shared" si="62"/>
        <v>4.3338337699231264</v>
      </c>
      <c r="AF72" s="176">
        <f t="shared" si="62"/>
        <v>4.485881310813352</v>
      </c>
      <c r="AG72" s="176">
        <f t="shared" si="62"/>
        <v>4.6363431049926778</v>
      </c>
      <c r="AH72" s="176">
        <f t="shared" si="62"/>
        <v>4.7855937333383451</v>
      </c>
      <c r="AI72" s="177">
        <f t="shared" si="62"/>
        <v>4.9339659957370046</v>
      </c>
      <c r="AJ72" s="90"/>
      <c r="AK72" s="90"/>
      <c r="AL72" s="90"/>
      <c r="AM72" s="43"/>
      <c r="AN72" s="3"/>
      <c r="AO72" s="3"/>
      <c r="AQ72"/>
      <c r="AR72" s="13"/>
      <c r="AS72" s="12"/>
      <c r="AT72" s="3"/>
      <c r="AU72" s="3"/>
      <c r="AV72" s="3"/>
      <c r="AW72" s="3"/>
    </row>
    <row r="73" spans="2:49" hidden="1" x14ac:dyDescent="0.25">
      <c r="B73" s="242"/>
      <c r="C73" s="2"/>
      <c r="D73" s="43" t="s">
        <v>74</v>
      </c>
      <c r="E73" s="43"/>
      <c r="F73" s="224">
        <f>1.07*0.707*F63</f>
        <v>6.8289210318275</v>
      </c>
      <c r="G73" s="136"/>
      <c r="I73" s="267"/>
      <c r="J73" s="259"/>
      <c r="K73" s="259"/>
      <c r="L73" s="189">
        <f t="shared" ref="L73:AI73" si="63">1.07*0.707*L63</f>
        <v>4.820485159571219</v>
      </c>
      <c r="M73" s="176">
        <f t="shared" si="63"/>
        <v>5.0646394711625131</v>
      </c>
      <c r="N73" s="176">
        <f t="shared" si="63"/>
        <v>5.308982272173699</v>
      </c>
      <c r="O73" s="176">
        <f t="shared" si="63"/>
        <v>5.5545453950877341</v>
      </c>
      <c r="P73" s="176">
        <f t="shared" si="63"/>
        <v>5.8022291832736705</v>
      </c>
      <c r="Q73" s="176">
        <f t="shared" si="63"/>
        <v>6.052829738604574</v>
      </c>
      <c r="R73" s="176">
        <f t="shared" si="63"/>
        <v>6.3070591427772165</v>
      </c>
      <c r="S73" s="176">
        <f t="shared" si="63"/>
        <v>6.5655607618741438</v>
      </c>
      <c r="T73" s="176">
        <f t="shared" si="63"/>
        <v>6.8289210318275</v>
      </c>
      <c r="U73" s="176">
        <f t="shared" si="63"/>
        <v>7.0976786744769997</v>
      </c>
      <c r="V73" s="176">
        <f t="shared" si="63"/>
        <v>7.3723320041003921</v>
      </c>
      <c r="W73" s="176">
        <f t="shared" si="63"/>
        <v>7.6533447921369744</v>
      </c>
      <c r="X73" s="176">
        <f t="shared" si="63"/>
        <v>7.9411510275936834</v>
      </c>
      <c r="Y73" s="176">
        <f t="shared" si="63"/>
        <v>8.2361588206061001</v>
      </c>
      <c r="Z73" s="176">
        <f t="shared" si="63"/>
        <v>8.5387536332894598</v>
      </c>
      <c r="AA73" s="176">
        <f t="shared" si="63"/>
        <v>8.8493009767233133</v>
      </c>
      <c r="AB73" s="176">
        <f t="shared" si="63"/>
        <v>9.1681486800454834</v>
      </c>
      <c r="AC73" s="176">
        <f t="shared" si="63"/>
        <v>9.4956288134543367</v>
      </c>
      <c r="AD73" s="176">
        <f t="shared" si="63"/>
        <v>9.8320593289122584</v>
      </c>
      <c r="AE73" s="176">
        <f t="shared" si="63"/>
        <v>10.532980982267713</v>
      </c>
      <c r="AF73" s="176">
        <f t="shared" si="63"/>
        <v>11.273223864325061</v>
      </c>
      <c r="AG73" s="176">
        <f t="shared" si="63"/>
        <v>12.054945046742768</v>
      </c>
      <c r="AH73" s="176">
        <f t="shared" si="63"/>
        <v>12.880173027761035</v>
      </c>
      <c r="AI73" s="177">
        <f t="shared" si="63"/>
        <v>13.750826935703575</v>
      </c>
      <c r="AJ73" s="90"/>
      <c r="AK73" s="90"/>
      <c r="AL73" s="90"/>
      <c r="AM73" s="43"/>
      <c r="AN73" s="3"/>
      <c r="AO73" s="3"/>
      <c r="AQ73"/>
      <c r="AR73" s="13"/>
      <c r="AS73" s="12"/>
      <c r="AT73" s="3"/>
      <c r="AU73" s="3"/>
      <c r="AV73" s="3"/>
      <c r="AW73" s="3"/>
    </row>
    <row r="74" spans="2:49" ht="15.75" hidden="1" thickBot="1" x14ac:dyDescent="0.3">
      <c r="B74" s="242"/>
      <c r="C74" s="2"/>
      <c r="D74" s="43" t="s">
        <v>80</v>
      </c>
      <c r="E74" s="43"/>
      <c r="F74" s="223">
        <f>1.07*0.707*F64</f>
        <v>7.1560524533357919</v>
      </c>
      <c r="G74" s="136"/>
      <c r="I74" s="267"/>
      <c r="J74" s="259"/>
      <c r="K74" s="259"/>
      <c r="L74" s="192">
        <f t="shared" ref="L74:AI74" si="64">1.07*0.707*L64</f>
        <v>4.751436855700323</v>
      </c>
      <c r="M74" s="193">
        <f t="shared" si="64"/>
        <v>5.1473899270086836</v>
      </c>
      <c r="N74" s="193">
        <f t="shared" si="64"/>
        <v>5.543342998317045</v>
      </c>
      <c r="O74" s="193">
        <f t="shared" si="64"/>
        <v>5.9392960696254038</v>
      </c>
      <c r="P74" s="193">
        <f t="shared" si="64"/>
        <v>6.3352491409337635</v>
      </c>
      <c r="Q74" s="193">
        <f t="shared" si="64"/>
        <v>6.4755344407629316</v>
      </c>
      <c r="R74" s="193">
        <f t="shared" si="64"/>
        <v>6.5196928218273023</v>
      </c>
      <c r="S74" s="193">
        <f t="shared" si="64"/>
        <v>6.5638512028916738</v>
      </c>
      <c r="T74" s="193">
        <f t="shared" si="64"/>
        <v>6.6080095839560435</v>
      </c>
      <c r="U74" s="193">
        <f t="shared" si="64"/>
        <v>6.6521679650204142</v>
      </c>
      <c r="V74" s="193">
        <f t="shared" si="64"/>
        <v>6.6963263460847839</v>
      </c>
      <c r="W74" s="193">
        <f t="shared" si="64"/>
        <v>6.7404847271491564</v>
      </c>
      <c r="X74" s="193">
        <f t="shared" si="64"/>
        <v>6.7846431082135261</v>
      </c>
      <c r="Y74" s="193">
        <f t="shared" si="64"/>
        <v>6.8288014892778959</v>
      </c>
      <c r="Z74" s="193">
        <f t="shared" si="64"/>
        <v>6.8729598703422674</v>
      </c>
      <c r="AA74" s="193">
        <f t="shared" si="64"/>
        <v>6.9171182514066372</v>
      </c>
      <c r="AB74" s="193">
        <f t="shared" si="64"/>
        <v>6.9612766324710078</v>
      </c>
      <c r="AC74" s="193">
        <f t="shared" si="64"/>
        <v>7.0054350135353776</v>
      </c>
      <c r="AD74" s="193">
        <f t="shared" si="64"/>
        <v>7.0495933945997482</v>
      </c>
      <c r="AE74" s="193">
        <f t="shared" si="64"/>
        <v>7.1379101567284895</v>
      </c>
      <c r="AF74" s="193">
        <f t="shared" si="64"/>
        <v>7.2262269188572299</v>
      </c>
      <c r="AG74" s="193">
        <f t="shared" si="64"/>
        <v>7.3145436809859721</v>
      </c>
      <c r="AH74" s="193">
        <f t="shared" si="64"/>
        <v>7.4028604431147134</v>
      </c>
      <c r="AI74" s="194">
        <f t="shared" si="64"/>
        <v>7.4911772052434538</v>
      </c>
      <c r="AJ74" s="90"/>
      <c r="AK74" s="90"/>
      <c r="AL74" s="90"/>
      <c r="AM74" s="43"/>
      <c r="AN74" s="3"/>
      <c r="AO74" s="3"/>
      <c r="AQ74"/>
      <c r="AR74" s="13"/>
      <c r="AS74" s="12"/>
      <c r="AT74" s="3"/>
      <c r="AU74" s="3"/>
      <c r="AV74" s="3"/>
      <c r="AW74" s="3"/>
    </row>
    <row r="75" spans="2:49" x14ac:dyDescent="0.25">
      <c r="B75" s="142"/>
      <c r="C75" s="243"/>
      <c r="D75" s="239" t="s">
        <v>56</v>
      </c>
      <c r="E75" s="239"/>
      <c r="F75" s="220">
        <f>F69</f>
        <v>5.8178977853237095</v>
      </c>
      <c r="G75" s="215" t="s">
        <v>32</v>
      </c>
      <c r="I75" s="15"/>
      <c r="J75"/>
      <c r="K75"/>
      <c r="L75" s="195">
        <f t="shared" ref="L75:AI75" si="65">L69</f>
        <v>4.4534408312208944</v>
      </c>
      <c r="M75" s="184">
        <f t="shared" si="65"/>
        <v>4.6389517022145785</v>
      </c>
      <c r="N75" s="184">
        <f t="shared" si="65"/>
        <v>4.8181832029824987</v>
      </c>
      <c r="O75" s="184">
        <f t="shared" si="65"/>
        <v>4.9918788231949991</v>
      </c>
      <c r="P75" s="184">
        <f t="shared" si="65"/>
        <v>5.160662860299845</v>
      </c>
      <c r="Q75" s="184">
        <f t="shared" si="65"/>
        <v>5.3250660652593016</v>
      </c>
      <c r="R75" s="184">
        <f t="shared" si="65"/>
        <v>5.4855445878874001</v>
      </c>
      <c r="S75" s="184">
        <f t="shared" si="65"/>
        <v>5.642494245889071</v>
      </c>
      <c r="T75" s="184">
        <f t="shared" si="65"/>
        <v>5.7962614563213943</v>
      </c>
      <c r="U75" s="184">
        <f t="shared" si="65"/>
        <v>5.9471517374407172</v>
      </c>
      <c r="V75" s="184">
        <f t="shared" si="65"/>
        <v>6.0954364105862204</v>
      </c>
      <c r="W75" s="184">
        <f t="shared" si="65"/>
        <v>6.2413579474750325</v>
      </c>
      <c r="X75" s="184">
        <f t="shared" si="65"/>
        <v>6.3851342835779112</v>
      </c>
      <c r="Y75" s="184">
        <f t="shared" si="65"/>
        <v>6.526962332179238</v>
      </c>
      <c r="Z75" s="184">
        <f t="shared" si="65"/>
        <v>6.6670208732660043</v>
      </c>
      <c r="AA75" s="184">
        <f t="shared" si="65"/>
        <v>6.8054729482303271</v>
      </c>
      <c r="AB75" s="184">
        <f t="shared" si="65"/>
        <v>6.9424678601039647</v>
      </c>
      <c r="AC75" s="184">
        <f t="shared" si="65"/>
        <v>7.0781428560870667</v>
      </c>
      <c r="AD75" s="184">
        <f t="shared" si="65"/>
        <v>7.212624552068962</v>
      </c>
      <c r="AE75" s="184">
        <f t="shared" si="65"/>
        <v>7.47846845729309</v>
      </c>
      <c r="AF75" s="184">
        <f t="shared" si="65"/>
        <v>7.7408418659014</v>
      </c>
      <c r="AG75" s="184">
        <f t="shared" si="65"/>
        <v>8.0004789081910417</v>
      </c>
      <c r="AH75" s="184">
        <f t="shared" si="65"/>
        <v>8.2580259613476397</v>
      </c>
      <c r="AI75" s="185">
        <f t="shared" si="65"/>
        <v>8.5140573052321731</v>
      </c>
      <c r="AN75" s="12"/>
      <c r="AO75" s="3"/>
      <c r="AP75" s="3"/>
      <c r="AQ75" s="3"/>
      <c r="AR75" s="3"/>
      <c r="AS75" s="129"/>
    </row>
    <row r="76" spans="2:49" x14ac:dyDescent="0.25">
      <c r="B76" s="141"/>
      <c r="C76" s="244" t="s">
        <v>67</v>
      </c>
      <c r="D76" s="253" t="s">
        <v>57</v>
      </c>
      <c r="E76" s="252"/>
      <c r="F76" s="224">
        <f>IF(F70&lt;F71,F70,F71)</f>
        <v>11.783993859730623</v>
      </c>
      <c r="G76" s="216" t="s">
        <v>32</v>
      </c>
      <c r="I76" s="15"/>
      <c r="J76"/>
      <c r="K76"/>
      <c r="L76" s="189">
        <f t="shared" ref="L76:AI76" si="66">IF(L70&lt;L71,L70,L71)</f>
        <v>8.199084814645536</v>
      </c>
      <c r="M76" s="176">
        <f t="shared" si="66"/>
        <v>8.7395476022889191</v>
      </c>
      <c r="N76" s="176">
        <f t="shared" si="66"/>
        <v>9.1611858161978965</v>
      </c>
      <c r="O76" s="176">
        <f t="shared" si="66"/>
        <v>9.5849298189632766</v>
      </c>
      <c r="P76" s="176">
        <f t="shared" si="66"/>
        <v>10.01233324412147</v>
      </c>
      <c r="Q76" s="176">
        <f t="shared" si="66"/>
        <v>10.444769845965462</v>
      </c>
      <c r="R76" s="176">
        <f t="shared" si="66"/>
        <v>10.883468393476951</v>
      </c>
      <c r="S76" s="176">
        <f t="shared" si="66"/>
        <v>11.326589062981389</v>
      </c>
      <c r="T76" s="176">
        <f t="shared" si="66"/>
        <v>11.402788815313118</v>
      </c>
      <c r="U76" s="176">
        <f t="shared" si="66"/>
        <v>11.478988567644846</v>
      </c>
      <c r="V76" s="176">
        <f t="shared" si="66"/>
        <v>11.555188319976574</v>
      </c>
      <c r="W76" s="176">
        <f t="shared" si="66"/>
        <v>11.631388072308305</v>
      </c>
      <c r="X76" s="176">
        <f t="shared" si="66"/>
        <v>11.707587824640033</v>
      </c>
      <c r="Y76" s="176">
        <f t="shared" si="66"/>
        <v>11.783787576971759</v>
      </c>
      <c r="Z76" s="176">
        <f t="shared" si="66"/>
        <v>11.85998732930349</v>
      </c>
      <c r="AA76" s="176">
        <f t="shared" si="66"/>
        <v>11.936187081635216</v>
      </c>
      <c r="AB76" s="176">
        <f t="shared" si="66"/>
        <v>12.012386833966945</v>
      </c>
      <c r="AC76" s="176">
        <f t="shared" si="66"/>
        <v>12.088586586298673</v>
      </c>
      <c r="AD76" s="176">
        <f t="shared" si="66"/>
        <v>12.164786338630401</v>
      </c>
      <c r="AE76" s="176">
        <f t="shared" si="66"/>
        <v>12.317185843293858</v>
      </c>
      <c r="AF76" s="176">
        <f t="shared" si="66"/>
        <v>12.469585347957315</v>
      </c>
      <c r="AG76" s="176">
        <f t="shared" si="66"/>
        <v>12.621984852620773</v>
      </c>
      <c r="AH76" s="176">
        <f t="shared" si="66"/>
        <v>12.77438435728423</v>
      </c>
      <c r="AI76" s="177">
        <f t="shared" si="66"/>
        <v>12.926783861947687</v>
      </c>
      <c r="AO76" s="3"/>
      <c r="AP76" s="3"/>
      <c r="AQ76" s="3"/>
      <c r="AR76" s="3"/>
      <c r="AS76" s="129"/>
    </row>
    <row r="77" spans="2:49" x14ac:dyDescent="0.25">
      <c r="B77" s="142"/>
      <c r="C77" s="243" t="s">
        <v>68</v>
      </c>
      <c r="D77" s="252" t="s">
        <v>60</v>
      </c>
      <c r="E77" s="252"/>
      <c r="F77" s="222">
        <f>F72</f>
        <v>3.3715194542818541</v>
      </c>
      <c r="G77" s="217" t="s">
        <v>32</v>
      </c>
      <c r="I77" s="15"/>
      <c r="J77"/>
      <c r="K77"/>
      <c r="L77" s="191">
        <f t="shared" ref="L77:AI77" si="67">L72</f>
        <v>2.5808054653058785</v>
      </c>
      <c r="M77" s="182">
        <f t="shared" si="67"/>
        <v>2.6883105356276285</v>
      </c>
      <c r="N77" s="182">
        <f t="shared" si="67"/>
        <v>2.7921766594333004</v>
      </c>
      <c r="O77" s="182">
        <f t="shared" si="67"/>
        <v>2.892834695081036</v>
      </c>
      <c r="P77" s="182">
        <f t="shared" si="67"/>
        <v>2.9906464280590082</v>
      </c>
      <c r="Q77" s="182">
        <f t="shared" si="67"/>
        <v>3.0859194329002668</v>
      </c>
      <c r="R77" s="182">
        <f t="shared" si="67"/>
        <v>3.1789180521609768</v>
      </c>
      <c r="S77" s="182">
        <f t="shared" si="67"/>
        <v>3.2698716654455513</v>
      </c>
      <c r="T77" s="182">
        <f t="shared" si="67"/>
        <v>3.3589810242780538</v>
      </c>
      <c r="U77" s="182">
        <f t="shared" si="67"/>
        <v>3.4464231789922839</v>
      </c>
      <c r="V77" s="182">
        <f t="shared" si="67"/>
        <v>3.5323553625282438</v>
      </c>
      <c r="W77" s="182">
        <f t="shared" si="67"/>
        <v>3.6169180892334816</v>
      </c>
      <c r="X77" s="182">
        <f t="shared" si="67"/>
        <v>3.700237654499658</v>
      </c>
      <c r="Y77" s="182">
        <f t="shared" si="67"/>
        <v>3.7824281711891157</v>
      </c>
      <c r="Z77" s="182">
        <f t="shared" si="67"/>
        <v>3.8635932437697251</v>
      </c>
      <c r="AA77" s="182">
        <f t="shared" si="67"/>
        <v>3.9438273560646238</v>
      </c>
      <c r="AB77" s="182">
        <f t="shared" si="67"/>
        <v>4.0232170304045107</v>
      </c>
      <c r="AC77" s="182">
        <f t="shared" si="67"/>
        <v>4.1018418026668488</v>
      </c>
      <c r="AD77" s="182">
        <f t="shared" si="67"/>
        <v>4.1797750477973405</v>
      </c>
      <c r="AE77" s="182">
        <f t="shared" si="67"/>
        <v>4.3338337699231264</v>
      </c>
      <c r="AF77" s="182">
        <f t="shared" si="67"/>
        <v>4.485881310813352</v>
      </c>
      <c r="AG77" s="182">
        <f t="shared" si="67"/>
        <v>4.6363431049926778</v>
      </c>
      <c r="AH77" s="182">
        <f t="shared" si="67"/>
        <v>4.7855937333383451</v>
      </c>
      <c r="AI77" s="183">
        <f t="shared" si="67"/>
        <v>4.9339659957370046</v>
      </c>
      <c r="AM77"/>
      <c r="AN77"/>
      <c r="AO77" s="3"/>
      <c r="AP77" s="3"/>
      <c r="AQ77" s="3"/>
      <c r="AR77" s="3"/>
      <c r="AS77" s="129"/>
    </row>
    <row r="78" spans="2:49" ht="15.75" thickBot="1" x14ac:dyDescent="0.3">
      <c r="B78" s="143"/>
      <c r="C78" s="248"/>
      <c r="D78" s="237" t="s">
        <v>61</v>
      </c>
      <c r="E78" s="252"/>
      <c r="F78" s="223">
        <f t="shared" ref="F78" si="68">IF(F73&lt;F74,F73,F74)</f>
        <v>6.8289210318275</v>
      </c>
      <c r="G78" s="136" t="s">
        <v>32</v>
      </c>
      <c r="I78" s="273"/>
      <c r="J78" s="121"/>
      <c r="K78" s="121"/>
      <c r="L78" s="196">
        <f t="shared" ref="L78:AI78" si="69">IF(L73&lt;L74,L73,L74)</f>
        <v>4.751436855700323</v>
      </c>
      <c r="M78" s="187">
        <f t="shared" si="69"/>
        <v>5.0646394711625131</v>
      </c>
      <c r="N78" s="187">
        <f t="shared" si="69"/>
        <v>5.308982272173699</v>
      </c>
      <c r="O78" s="187">
        <f t="shared" si="69"/>
        <v>5.5545453950877341</v>
      </c>
      <c r="P78" s="187">
        <f t="shared" si="69"/>
        <v>5.8022291832736705</v>
      </c>
      <c r="Q78" s="187">
        <f t="shared" si="69"/>
        <v>6.052829738604574</v>
      </c>
      <c r="R78" s="187">
        <f t="shared" si="69"/>
        <v>6.3070591427772165</v>
      </c>
      <c r="S78" s="187">
        <f t="shared" si="69"/>
        <v>6.5638512028916738</v>
      </c>
      <c r="T78" s="187">
        <f t="shared" si="69"/>
        <v>6.6080095839560435</v>
      </c>
      <c r="U78" s="187">
        <f t="shared" si="69"/>
        <v>6.6521679650204142</v>
      </c>
      <c r="V78" s="187">
        <f t="shared" si="69"/>
        <v>6.6963263460847839</v>
      </c>
      <c r="W78" s="187">
        <f t="shared" si="69"/>
        <v>6.7404847271491564</v>
      </c>
      <c r="X78" s="187">
        <f t="shared" si="69"/>
        <v>6.7846431082135261</v>
      </c>
      <c r="Y78" s="187">
        <f t="shared" si="69"/>
        <v>6.8288014892778959</v>
      </c>
      <c r="Z78" s="187">
        <f t="shared" si="69"/>
        <v>6.8729598703422674</v>
      </c>
      <c r="AA78" s="187">
        <f t="shared" si="69"/>
        <v>6.9171182514066372</v>
      </c>
      <c r="AB78" s="187">
        <f t="shared" si="69"/>
        <v>6.9612766324710078</v>
      </c>
      <c r="AC78" s="187">
        <f t="shared" si="69"/>
        <v>7.0054350135353776</v>
      </c>
      <c r="AD78" s="187">
        <f t="shared" si="69"/>
        <v>7.0495933945997482</v>
      </c>
      <c r="AE78" s="187">
        <f t="shared" si="69"/>
        <v>7.1379101567284895</v>
      </c>
      <c r="AF78" s="187">
        <f t="shared" si="69"/>
        <v>7.2262269188572299</v>
      </c>
      <c r="AG78" s="187">
        <f t="shared" si="69"/>
        <v>7.3145436809859721</v>
      </c>
      <c r="AH78" s="187">
        <f t="shared" si="69"/>
        <v>7.4028604431147134</v>
      </c>
      <c r="AI78" s="188">
        <f t="shared" si="69"/>
        <v>7.4911772052434538</v>
      </c>
      <c r="AM78" s="121"/>
      <c r="AN78" s="121"/>
      <c r="AO78" s="3"/>
      <c r="AP78" s="3"/>
      <c r="AQ78" s="3"/>
      <c r="AR78" s="3"/>
      <c r="AS78" s="129"/>
    </row>
    <row r="79" spans="2:49" ht="15.75" thickTop="1" x14ac:dyDescent="0.25">
      <c r="B79" s="139"/>
      <c r="C79" s="139"/>
      <c r="D79" s="125" t="s">
        <v>22</v>
      </c>
      <c r="E79" s="125"/>
      <c r="F79" s="218">
        <f>1.359*10^-3*(F$16/($C$16*10^-3*$B97*10^-3)*(0.507*0.171))^2.0302</f>
        <v>6.9956269453937319</v>
      </c>
      <c r="G79" s="149" t="s">
        <v>6</v>
      </c>
      <c r="I79" s="263"/>
      <c r="J79" s="75"/>
      <c r="K79" s="75"/>
      <c r="L79" s="75"/>
      <c r="M79" s="75"/>
      <c r="N79" s="75"/>
      <c r="O79" s="75"/>
      <c r="P79" s="205">
        <f t="shared" ref="P79:AN79" si="70">1.359*10^-3*(P$16/($C$16*10^-3*$B97*10^-3)*(0.507*0.171))^2.0302</f>
        <v>4.4471311099070556</v>
      </c>
      <c r="Q79" s="206">
        <f t="shared" si="70"/>
        <v>5.029594180733298</v>
      </c>
      <c r="R79" s="206">
        <f t="shared" si="70"/>
        <v>5.6484564483981785</v>
      </c>
      <c r="S79" s="206">
        <f t="shared" si="70"/>
        <v>6.3037808321840565</v>
      </c>
      <c r="T79" s="206">
        <f t="shared" si="70"/>
        <v>6.9956269453937319</v>
      </c>
      <c r="U79" s="206">
        <f t="shared" si="70"/>
        <v>7.7240514302634971</v>
      </c>
      <c r="V79" s="206">
        <f t="shared" si="70"/>
        <v>8.4891082441961796</v>
      </c>
      <c r="W79" s="206">
        <f t="shared" si="70"/>
        <v>9.2908489063357145</v>
      </c>
      <c r="X79" s="206">
        <f t="shared" si="70"/>
        <v>10.129322711504939</v>
      </c>
      <c r="Y79" s="206">
        <f t="shared" si="70"/>
        <v>11.004576917036665</v>
      </c>
      <c r="Z79" s="206">
        <f t="shared" si="70"/>
        <v>11.916656906903322</v>
      </c>
      <c r="AA79" s="206">
        <f t="shared" si="70"/>
        <v>12.865606336688819</v>
      </c>
      <c r="AB79" s="206">
        <f t="shared" si="70"/>
        <v>13.851467262279762</v>
      </c>
      <c r="AC79" s="206">
        <f t="shared" si="70"/>
        <v>14.874280254631463</v>
      </c>
      <c r="AD79" s="206">
        <f t="shared" si="70"/>
        <v>15.934084502553265</v>
      </c>
      <c r="AE79" s="206">
        <f t="shared" si="70"/>
        <v>18.164817155119703</v>
      </c>
      <c r="AF79" s="206">
        <f t="shared" si="70"/>
        <v>20.543954383072794</v>
      </c>
      <c r="AG79" s="206">
        <f t="shared" si="70"/>
        <v>23.071768305916695</v>
      </c>
      <c r="AH79" s="206">
        <f t="shared" si="70"/>
        <v>25.748515924677761</v>
      </c>
      <c r="AI79" s="280">
        <f t="shared" si="70"/>
        <v>28.574440736729606</v>
      </c>
      <c r="AJ79" s="206">
        <f t="shared" si="70"/>
        <v>31.549774103783868</v>
      </c>
      <c r="AK79" s="206">
        <f t="shared" si="70"/>
        <v>34.674736421041942</v>
      </c>
      <c r="AL79" s="206">
        <f t="shared" si="70"/>
        <v>37.949538124357048</v>
      </c>
      <c r="AM79" s="206">
        <f t="shared" si="70"/>
        <v>41.374380564087765</v>
      </c>
      <c r="AN79" s="207">
        <f t="shared" si="70"/>
        <v>44.94945676823091</v>
      </c>
      <c r="AO79" s="75"/>
      <c r="AP79" s="75"/>
      <c r="AQ79" s="75"/>
      <c r="AR79" s="75"/>
      <c r="AS79" s="127"/>
    </row>
    <row r="80" spans="2:49" x14ac:dyDescent="0.25">
      <c r="B80" s="147" t="s">
        <v>38</v>
      </c>
      <c r="C80" s="147" t="s">
        <v>117</v>
      </c>
      <c r="D80" s="132" t="s">
        <v>46</v>
      </c>
      <c r="E80" s="132"/>
      <c r="F80" s="229">
        <f>IF(-114.08+32.01*LN(F$16/($C$16*$B97)*(507*171))+10*LOG($C$16*$B97/(507*171))&lt;15,"&lt;15",-114.08+32.01*LN(F$16/($C$16*$B97)*(507*171))+10*LOG($C$16*$B97/(507*171)))</f>
        <v>25.3970101725257</v>
      </c>
      <c r="G80" s="136" t="s">
        <v>49</v>
      </c>
      <c r="I80" s="15"/>
      <c r="J80"/>
      <c r="K80"/>
      <c r="L80"/>
      <c r="M80"/>
      <c r="N80"/>
      <c r="O80"/>
      <c r="P80" s="236">
        <f t="shared" ref="P80:AN80" si="71">IF(-114.08+32.01*LN(P$16/($C$16*$B97)*(507*171))+10*LOG($C$16*$B97/(507*171))&lt;15,"&lt;15",-114.08+32.01*LN(P$16/($C$16*$B97)*(507*171))+10*LOG($C$16*$B97/(507*171)))</f>
        <v>18.254185094957837</v>
      </c>
      <c r="Q80" s="231">
        <f t="shared" si="71"/>
        <v>20.194779239301926</v>
      </c>
      <c r="R80" s="231">
        <f t="shared" si="71"/>
        <v>22.024420066318658</v>
      </c>
      <c r="S80" s="231">
        <f t="shared" si="71"/>
        <v>23.75511181918019</v>
      </c>
      <c r="T80" s="231">
        <f t="shared" si="71"/>
        <v>25.3970101725257</v>
      </c>
      <c r="U80" s="231">
        <f t="shared" si="71"/>
        <v>26.958783327589192</v>
      </c>
      <c r="V80" s="231">
        <f t="shared" si="71"/>
        <v>28.447889028062139</v>
      </c>
      <c r="W80" s="231">
        <f t="shared" si="71"/>
        <v>29.870789947954524</v>
      </c>
      <c r="X80" s="231">
        <f t="shared" si="71"/>
        <v>31.233123205500181</v>
      </c>
      <c r="Y80" s="231">
        <f t="shared" si="71"/>
        <v>32.53983525009356</v>
      </c>
      <c r="Z80" s="231">
        <f t="shared" si="71"/>
        <v>33.795290278130082</v>
      </c>
      <c r="AA80" s="231">
        <f t="shared" si="71"/>
        <v>35.003358176860999</v>
      </c>
      <c r="AB80" s="231">
        <f t="shared" si="71"/>
        <v>36.167486466770711</v>
      </c>
      <c r="AC80" s="231">
        <f t="shared" si="71"/>
        <v>37.290759613929467</v>
      </c>
      <c r="AD80" s="231">
        <f t="shared" si="71"/>
        <v>38.375948283068013</v>
      </c>
      <c r="AE80" s="231">
        <f t="shared" si="71"/>
        <v>40.441826344681701</v>
      </c>
      <c r="AF80" s="231">
        <f t="shared" si="71"/>
        <v>42.382420489025762</v>
      </c>
      <c r="AG80" s="231">
        <f t="shared" si="71"/>
        <v>44.212061316042522</v>
      </c>
      <c r="AH80" s="231">
        <f t="shared" si="71"/>
        <v>45.942753068904025</v>
      </c>
      <c r="AI80" s="270">
        <f t="shared" si="71"/>
        <v>47.584651422249536</v>
      </c>
      <c r="AJ80" s="231">
        <f t="shared" si="71"/>
        <v>49.146424577313056</v>
      </c>
      <c r="AK80" s="231">
        <f t="shared" si="71"/>
        <v>50.635530277785975</v>
      </c>
      <c r="AL80" s="231">
        <f t="shared" si="71"/>
        <v>52.05843119767836</v>
      </c>
      <c r="AM80" s="231">
        <f t="shared" si="71"/>
        <v>53.420764455224017</v>
      </c>
      <c r="AN80" s="232">
        <f t="shared" si="71"/>
        <v>54.727476499817399</v>
      </c>
      <c r="AO80"/>
      <c r="AP80"/>
      <c r="AQ80"/>
      <c r="AR80"/>
      <c r="AS80" s="129"/>
    </row>
    <row r="81" spans="2:49" x14ac:dyDescent="0.25">
      <c r="B81" s="242" t="s">
        <v>33</v>
      </c>
      <c r="C81" s="242" t="s">
        <v>35</v>
      </c>
      <c r="D81" s="132" t="s">
        <v>23</v>
      </c>
      <c r="E81" s="132"/>
      <c r="F81" s="229">
        <f>IF(-15-114.08+32.01*LN(F$16/($C$16*$B97)*(507*171))+10*LOG($C$16*$B97/(507*171))&lt;5,"&lt;5",-15-114.08+32.01*LN(F$16/($C$16*$B97)*(507*171))+10*LOG($C$16*$B97/(507*171)))</f>
        <v>10.397010172525714</v>
      </c>
      <c r="G81" s="136" t="s">
        <v>42</v>
      </c>
      <c r="I81" s="15"/>
      <c r="J81"/>
      <c r="K81"/>
      <c r="L81"/>
      <c r="M81"/>
      <c r="N81"/>
      <c r="O81"/>
      <c r="P81" s="236" t="str">
        <f t="shared" ref="P81:AN81" si="72">IF(-15-114.08+32.01*LN(P$16/($C$16*$B97)*(507*171))+10*LOG($C$16*$B97/(507*171))&lt;5,"&lt;5",-15-114.08+32.01*LN(P$16/($C$16*$B97)*(507*171))+10*LOG($C$16*$B97/(507*171)))</f>
        <v>&lt;5</v>
      </c>
      <c r="Q81" s="231">
        <f t="shared" si="72"/>
        <v>5.1947792393019405</v>
      </c>
      <c r="R81" s="231">
        <f t="shared" si="72"/>
        <v>7.0244200663186724</v>
      </c>
      <c r="S81" s="231">
        <f t="shared" si="72"/>
        <v>8.755111819180204</v>
      </c>
      <c r="T81" s="231">
        <f t="shared" si="72"/>
        <v>10.397010172525714</v>
      </c>
      <c r="U81" s="231">
        <f t="shared" si="72"/>
        <v>11.958783327589206</v>
      </c>
      <c r="V81" s="231">
        <f t="shared" si="72"/>
        <v>13.447889028062153</v>
      </c>
      <c r="W81" s="231">
        <f t="shared" si="72"/>
        <v>14.870789947954538</v>
      </c>
      <c r="X81" s="231">
        <f t="shared" si="72"/>
        <v>16.233123205500195</v>
      </c>
      <c r="Y81" s="231">
        <f t="shared" si="72"/>
        <v>17.539835250093578</v>
      </c>
      <c r="Z81" s="231">
        <f t="shared" si="72"/>
        <v>18.7952902781301</v>
      </c>
      <c r="AA81" s="231">
        <f t="shared" si="72"/>
        <v>20.003358176861017</v>
      </c>
      <c r="AB81" s="231">
        <f t="shared" si="72"/>
        <v>21.167486466770729</v>
      </c>
      <c r="AC81" s="231">
        <f t="shared" si="72"/>
        <v>22.290759613929485</v>
      </c>
      <c r="AD81" s="231">
        <f t="shared" si="72"/>
        <v>23.375948283068031</v>
      </c>
      <c r="AE81" s="231">
        <f t="shared" si="72"/>
        <v>25.441826344681719</v>
      </c>
      <c r="AF81" s="231">
        <f t="shared" si="72"/>
        <v>27.38242048902578</v>
      </c>
      <c r="AG81" s="231">
        <f t="shared" si="72"/>
        <v>29.21206131604254</v>
      </c>
      <c r="AH81" s="231">
        <f t="shared" si="72"/>
        <v>30.942753068904043</v>
      </c>
      <c r="AI81" s="270">
        <f t="shared" si="72"/>
        <v>32.58465142224955</v>
      </c>
      <c r="AJ81" s="231">
        <f t="shared" si="72"/>
        <v>34.14642457731307</v>
      </c>
      <c r="AK81" s="231">
        <f t="shared" si="72"/>
        <v>35.635530277785989</v>
      </c>
      <c r="AL81" s="231">
        <f t="shared" si="72"/>
        <v>37.058431197678374</v>
      </c>
      <c r="AM81" s="231">
        <f t="shared" si="72"/>
        <v>38.420764455224031</v>
      </c>
      <c r="AN81" s="232">
        <f t="shared" si="72"/>
        <v>39.727476499817413</v>
      </c>
      <c r="AO81"/>
      <c r="AP81"/>
      <c r="AQ81"/>
      <c r="AR81"/>
      <c r="AS81" s="129"/>
    </row>
    <row r="82" spans="2:49" hidden="1" x14ac:dyDescent="0.25">
      <c r="B82" s="242"/>
      <c r="C82" s="2"/>
      <c r="D82" s="43" t="s">
        <v>71</v>
      </c>
      <c r="E82" s="43"/>
      <c r="F82" s="106">
        <f>1.075*0.707*F93</f>
        <v>3.3704336134411839</v>
      </c>
      <c r="G82" s="136"/>
      <c r="I82" s="264"/>
      <c r="J82" s="259"/>
      <c r="K82" s="259"/>
      <c r="L82" s="259"/>
      <c r="M82" s="106"/>
      <c r="N82" s="106"/>
      <c r="O82" s="272"/>
      <c r="P82" s="106">
        <f t="shared" ref="P82:AN82" si="73">1.075*0.707*P93</f>
        <v>2.99508164264781</v>
      </c>
      <c r="Q82" s="106">
        <f t="shared" si="73"/>
        <v>3.0892183230423895</v>
      </c>
      <c r="R82" s="106">
        <f t="shared" si="73"/>
        <v>3.1809210094213496</v>
      </c>
      <c r="S82" s="106">
        <f t="shared" si="73"/>
        <v>3.2704155680432168</v>
      </c>
      <c r="T82" s="106">
        <f t="shared" si="73"/>
        <v>3.3578992215986809</v>
      </c>
      <c r="U82" s="106">
        <f t="shared" si="73"/>
        <v>3.4435454900661702</v>
      </c>
      <c r="V82" s="106">
        <f t="shared" si="73"/>
        <v>3.5275080847079945</v>
      </c>
      <c r="W82" s="106">
        <f t="shared" si="73"/>
        <v>3.6099240143299443</v>
      </c>
      <c r="X82" s="106">
        <f t="shared" si="73"/>
        <v>3.6909160903579714</v>
      </c>
      <c r="Y82" s="106">
        <f t="shared" si="73"/>
        <v>3.7705949672050285</v>
      </c>
      <c r="Z82" s="106">
        <f t="shared" si="73"/>
        <v>3.8490608192225082</v>
      </c>
      <c r="AA82" s="106">
        <f t="shared" si="73"/>
        <v>3.9264047304191347</v>
      </c>
      <c r="AB82" s="106">
        <f t="shared" si="73"/>
        <v>4.0027098549399982</v>
      </c>
      <c r="AC82" s="106">
        <f t="shared" si="73"/>
        <v>4.0780523929435679</v>
      </c>
      <c r="AD82" s="106">
        <f t="shared" si="73"/>
        <v>4.1525024165879945</v>
      </c>
      <c r="AE82" s="106">
        <f t="shared" si="73"/>
        <v>4.2989786884298749</v>
      </c>
      <c r="AF82" s="106">
        <f t="shared" si="73"/>
        <v>4.4426010226406891</v>
      </c>
      <c r="AG82" s="106">
        <f t="shared" si="73"/>
        <v>4.5837696118423557</v>
      </c>
      <c r="AH82" s="106">
        <f t="shared" si="73"/>
        <v>4.7228343007256619</v>
      </c>
      <c r="AI82" s="106">
        <f t="shared" si="73"/>
        <v>4.8601036410486573</v>
      </c>
      <c r="AJ82" s="281">
        <f t="shared" si="73"/>
        <v>4.9958519391546243</v>
      </c>
      <c r="AK82" s="106">
        <f t="shared" si="73"/>
        <v>5.1303248156528838</v>
      </c>
      <c r="AL82" s="106">
        <f t="shared" si="73"/>
        <v>5.2637436449230819</v>
      </c>
      <c r="AM82" s="106">
        <f t="shared" si="73"/>
        <v>5.3963091392319882</v>
      </c>
      <c r="AN82" s="106">
        <f t="shared" si="73"/>
        <v>5.5282042712414166</v>
      </c>
      <c r="AO82" s="3"/>
      <c r="AQ82"/>
      <c r="AR82" s="13"/>
      <c r="AS82" s="12"/>
      <c r="AT82" s="3"/>
      <c r="AU82" s="3"/>
      <c r="AV82" s="3"/>
      <c r="AW82" s="3"/>
    </row>
    <row r="83" spans="2:49" hidden="1" x14ac:dyDescent="0.25">
      <c r="B83" s="242"/>
      <c r="C83" s="2"/>
      <c r="D83" s="43" t="s">
        <v>72</v>
      </c>
      <c r="E83" s="43"/>
      <c r="F83" s="106">
        <f>1.075*0.707*F94</f>
        <v>6.4868757050829471</v>
      </c>
      <c r="G83" s="136"/>
      <c r="I83" s="264"/>
      <c r="J83" s="259"/>
      <c r="K83" s="259"/>
      <c r="L83" s="259"/>
      <c r="M83" s="106"/>
      <c r="N83" s="106"/>
      <c r="O83" s="272"/>
      <c r="P83" s="106">
        <f t="shared" ref="P83:AN83" si="74">1.075*0.707*P94</f>
        <v>5.6167151199453604</v>
      </c>
      <c r="Q83" s="106">
        <f t="shared" si="74"/>
        <v>5.8332368522927647</v>
      </c>
      <c r="R83" s="106">
        <f t="shared" si="74"/>
        <v>6.0500838373016617</v>
      </c>
      <c r="S83" s="106">
        <f t="shared" si="74"/>
        <v>6.2678002498423098</v>
      </c>
      <c r="T83" s="106">
        <f t="shared" si="74"/>
        <v>6.4868757050829471</v>
      </c>
      <c r="U83" s="106">
        <f t="shared" si="74"/>
        <v>6.7077543157382165</v>
      </c>
      <c r="V83" s="106">
        <f t="shared" si="74"/>
        <v>6.9308418555731413</v>
      </c>
      <c r="W83" s="106">
        <f t="shared" si="74"/>
        <v>7.1565114950189139</v>
      </c>
      <c r="X83" s="106">
        <f t="shared" si="74"/>
        <v>7.3851084447342039</v>
      </c>
      <c r="Y83" s="106">
        <f t="shared" si="74"/>
        <v>7.6169537531319866</v>
      </c>
      <c r="Z83" s="106">
        <f t="shared" si="74"/>
        <v>7.8523474407411484</v>
      </c>
      <c r="AA83" s="106">
        <f t="shared" si="74"/>
        <v>8.0915711091467966</v>
      </c>
      <c r="AB83" s="106">
        <f t="shared" si="74"/>
        <v>8.3348901295303239</v>
      </c>
      <c r="AC83" s="106">
        <f t="shared" si="74"/>
        <v>8.5825554917790541</v>
      </c>
      <c r="AD83" s="106">
        <f t="shared" si="74"/>
        <v>8.8348053772373643</v>
      </c>
      <c r="AE83" s="106">
        <f t="shared" si="74"/>
        <v>9.3539552889892281</v>
      </c>
      <c r="AF83" s="106">
        <f t="shared" si="74"/>
        <v>9.8940358528762697</v>
      </c>
      <c r="AG83" s="106">
        <f t="shared" si="74"/>
        <v>10.456607305956503</v>
      </c>
      <c r="AH83" s="106">
        <f t="shared" si="74"/>
        <v>11.043117279230698</v>
      </c>
      <c r="AI83" s="106">
        <f t="shared" si="74"/>
        <v>11.654918752365123</v>
      </c>
      <c r="AJ83" s="281">
        <f t="shared" si="74"/>
        <v>12.293284201959034</v>
      </c>
      <c r="AK83" s="106">
        <f t="shared" si="74"/>
        <v>12.959416907735319</v>
      </c>
      <c r="AL83" s="106">
        <f t="shared" si="74"/>
        <v>13.654460102344471</v>
      </c>
      <c r="AM83" s="106">
        <f t="shared" si="74"/>
        <v>14.379504461171678</v>
      </c>
      <c r="AN83" s="106">
        <f t="shared" si="74"/>
        <v>15.135594297380372</v>
      </c>
      <c r="AO83" s="3"/>
      <c r="AQ83"/>
      <c r="AR83" s="13"/>
      <c r="AS83" s="12"/>
      <c r="AT83" s="3"/>
      <c r="AU83" s="3"/>
      <c r="AV83" s="3"/>
      <c r="AW83" s="3"/>
    </row>
    <row r="84" spans="2:49" hidden="1" x14ac:dyDescent="0.25">
      <c r="B84" s="242"/>
      <c r="C84" s="2"/>
      <c r="D84" s="43" t="s">
        <v>79</v>
      </c>
      <c r="E84" s="43"/>
      <c r="F84" s="106">
        <f>1.075*0.707*F95</f>
        <v>7.1894919507812851</v>
      </c>
      <c r="G84" s="136"/>
      <c r="I84" s="264"/>
      <c r="J84" s="259"/>
      <c r="K84" s="259"/>
      <c r="L84" s="259"/>
      <c r="M84" s="106"/>
      <c r="N84" s="106"/>
      <c r="O84" s="272"/>
      <c r="P84" s="106">
        <f t="shared" ref="P84:AN84" si="75">1.075*0.707*P95</f>
        <v>6.3648531088820519</v>
      </c>
      <c r="Q84" s="106">
        <f t="shared" si="75"/>
        <v>6.5057939474954685</v>
      </c>
      <c r="R84" s="106">
        <f t="shared" si="75"/>
        <v>6.5501586761349069</v>
      </c>
      <c r="S84" s="106">
        <f t="shared" si="75"/>
        <v>6.5945234047743444</v>
      </c>
      <c r="T84" s="106">
        <f t="shared" si="75"/>
        <v>6.6388881334137819</v>
      </c>
      <c r="U84" s="106">
        <f t="shared" si="75"/>
        <v>6.6832528620532194</v>
      </c>
      <c r="V84" s="106">
        <f t="shared" si="75"/>
        <v>6.727617590692657</v>
      </c>
      <c r="W84" s="106">
        <f t="shared" si="75"/>
        <v>6.7719823193320963</v>
      </c>
      <c r="X84" s="106">
        <f t="shared" si="75"/>
        <v>6.8163470479715329</v>
      </c>
      <c r="Y84" s="106">
        <f t="shared" si="75"/>
        <v>6.8607117766109695</v>
      </c>
      <c r="Z84" s="106">
        <f t="shared" si="75"/>
        <v>6.9050765052504079</v>
      </c>
      <c r="AA84" s="106">
        <f t="shared" si="75"/>
        <v>6.9494412338898446</v>
      </c>
      <c r="AB84" s="106">
        <f t="shared" si="75"/>
        <v>6.993805962529283</v>
      </c>
      <c r="AC84" s="106">
        <f t="shared" si="75"/>
        <v>7.0381706911687196</v>
      </c>
      <c r="AD84" s="106">
        <f t="shared" si="75"/>
        <v>7.082535419808158</v>
      </c>
      <c r="AE84" s="106">
        <f t="shared" si="75"/>
        <v>7.1712648770870331</v>
      </c>
      <c r="AF84" s="106">
        <f t="shared" si="75"/>
        <v>7.2599943343659081</v>
      </c>
      <c r="AG84" s="106">
        <f t="shared" si="75"/>
        <v>7.348723791644785</v>
      </c>
      <c r="AH84" s="106">
        <f t="shared" si="75"/>
        <v>7.43745324892366</v>
      </c>
      <c r="AI84" s="106">
        <f t="shared" si="75"/>
        <v>7.526182706202535</v>
      </c>
      <c r="AJ84" s="281">
        <f t="shared" si="75"/>
        <v>7.6149121634814101</v>
      </c>
      <c r="AK84" s="106">
        <f t="shared" si="75"/>
        <v>7.7036416207602851</v>
      </c>
      <c r="AL84" s="106">
        <f t="shared" si="75"/>
        <v>7.792371078039162</v>
      </c>
      <c r="AM84" s="106">
        <f t="shared" si="75"/>
        <v>7.8811005353180352</v>
      </c>
      <c r="AN84" s="106">
        <f t="shared" si="75"/>
        <v>7.969829992596912</v>
      </c>
      <c r="AO84" s="3"/>
      <c r="AQ84"/>
      <c r="AR84" s="13"/>
      <c r="AS84" s="12"/>
      <c r="AT84" s="3"/>
      <c r="AU84" s="3"/>
      <c r="AV84" s="3"/>
      <c r="AW84" s="3"/>
    </row>
    <row r="85" spans="2:49" hidden="1" x14ac:dyDescent="0.25">
      <c r="B85" s="242"/>
      <c r="C85" s="2"/>
      <c r="D85" s="43" t="s">
        <v>73</v>
      </c>
      <c r="E85" s="43"/>
      <c r="F85" s="106">
        <f>1.075*1.225*F93</f>
        <v>5.8398602213089825</v>
      </c>
      <c r="G85" s="136"/>
      <c r="I85" s="264"/>
      <c r="J85" s="259"/>
      <c r="K85" s="259"/>
      <c r="L85" s="259"/>
      <c r="M85" s="106"/>
      <c r="N85" s="106"/>
      <c r="O85" s="272"/>
      <c r="P85" s="106">
        <f t="shared" ref="P85:AN85" si="76">1.075*1.225*P93</f>
        <v>5.1894978956768982</v>
      </c>
      <c r="Q85" s="106">
        <f t="shared" si="76"/>
        <v>5.3526060052714675</v>
      </c>
      <c r="R85" s="106">
        <f t="shared" si="76"/>
        <v>5.5114967985023391</v>
      </c>
      <c r="S85" s="106">
        <f t="shared" si="76"/>
        <v>5.6665616277976536</v>
      </c>
      <c r="T85" s="106">
        <f t="shared" si="76"/>
        <v>5.818142215641279</v>
      </c>
      <c r="U85" s="106">
        <f t="shared" si="76"/>
        <v>5.9665392154611858</v>
      </c>
      <c r="V85" s="106">
        <f t="shared" si="76"/>
        <v>6.1120189586524658</v>
      </c>
      <c r="W85" s="106">
        <f t="shared" si="76"/>
        <v>6.2548188367102995</v>
      </c>
      <c r="X85" s="106">
        <f t="shared" si="76"/>
        <v>6.3951516417093561</v>
      </c>
      <c r="Y85" s="106">
        <f t="shared" si="76"/>
        <v>6.5332091015928713</v>
      </c>
      <c r="Z85" s="106">
        <f t="shared" si="76"/>
        <v>6.6691647857815743</v>
      </c>
      <c r="AA85" s="106">
        <f t="shared" si="76"/>
        <v>6.8031765131024615</v>
      </c>
      <c r="AB85" s="106">
        <f t="shared" si="76"/>
        <v>6.9353883625197987</v>
      </c>
      <c r="AC85" s="106">
        <f t="shared" si="76"/>
        <v>7.0659323640111333</v>
      </c>
      <c r="AD85" s="106">
        <f t="shared" si="76"/>
        <v>7.194929929731674</v>
      </c>
      <c r="AE85" s="106">
        <f t="shared" si="76"/>
        <v>7.4487254502497837</v>
      </c>
      <c r="AF85" s="106">
        <f t="shared" si="76"/>
        <v>7.6975760293279265</v>
      </c>
      <c r="AG85" s="106">
        <f t="shared" si="76"/>
        <v>7.9421750700238842</v>
      </c>
      <c r="AH85" s="106">
        <f t="shared" si="76"/>
        <v>8.1831287388810985</v>
      </c>
      <c r="AI85" s="106">
        <f t="shared" si="76"/>
        <v>8.4209716552823277</v>
      </c>
      <c r="AJ85" s="281">
        <f t="shared" si="76"/>
        <v>8.6561791024956367</v>
      </c>
      <c r="AK85" s="106">
        <f t="shared" si="76"/>
        <v>8.8891766607847007</v>
      </c>
      <c r="AL85" s="106">
        <f t="shared" si="76"/>
        <v>9.1203478996192011</v>
      </c>
      <c r="AM85" s="106">
        <f t="shared" si="76"/>
        <v>9.3500405877781976</v>
      </c>
      <c r="AN85" s="106">
        <f t="shared" si="76"/>
        <v>9.5785717571014644</v>
      </c>
      <c r="AO85" s="3"/>
      <c r="AQ85"/>
      <c r="AR85" s="13"/>
      <c r="AS85" s="12"/>
      <c r="AT85" s="3"/>
      <c r="AU85" s="3"/>
      <c r="AV85" s="3"/>
      <c r="AW85" s="3"/>
    </row>
    <row r="86" spans="2:49" hidden="1" x14ac:dyDescent="0.25">
      <c r="B86" s="242"/>
      <c r="C86" s="2"/>
      <c r="D86" s="43" t="s">
        <v>74</v>
      </c>
      <c r="E86" s="43"/>
      <c r="F86" s="106">
        <f>1.075*1.225*F94</f>
        <v>11.239636122668474</v>
      </c>
      <c r="G86" s="136"/>
      <c r="I86" s="264"/>
      <c r="J86" s="259"/>
      <c r="K86" s="259"/>
      <c r="L86" s="259"/>
      <c r="M86" s="106"/>
      <c r="N86" s="106"/>
      <c r="O86" s="272"/>
      <c r="P86" s="106">
        <f t="shared" ref="P86:AN86" si="77">1.075*1.225*P94</f>
        <v>9.7319321385191895</v>
      </c>
      <c r="Q86" s="106">
        <f t="shared" si="77"/>
        <v>10.10709355595281</v>
      </c>
      <c r="R86" s="106">
        <f t="shared" si="77"/>
        <v>10.482818529978127</v>
      </c>
      <c r="S86" s="106">
        <f t="shared" si="77"/>
        <v>10.860049937845588</v>
      </c>
      <c r="T86" s="106">
        <f t="shared" si="77"/>
        <v>11.239636122668474</v>
      </c>
      <c r="U86" s="106">
        <f t="shared" si="77"/>
        <v>11.622346586675128</v>
      </c>
      <c r="V86" s="106">
        <f t="shared" si="77"/>
        <v>12.00888440322079</v>
      </c>
      <c r="W86" s="106">
        <f t="shared" si="77"/>
        <v>12.399896154735744</v>
      </c>
      <c r="X86" s="106">
        <f t="shared" si="77"/>
        <v>12.795979978499858</v>
      </c>
      <c r="Y86" s="106">
        <f t="shared" si="77"/>
        <v>13.19769214651582</v>
      </c>
      <c r="Z86" s="106">
        <f t="shared" si="77"/>
        <v>13.605552496333674</v>
      </c>
      <c r="AA86" s="106">
        <f t="shared" si="77"/>
        <v>14.020048951491976</v>
      </c>
      <c r="AB86" s="106">
        <f t="shared" si="77"/>
        <v>14.441641313542641</v>
      </c>
      <c r="AC86" s="106">
        <f t="shared" si="77"/>
        <v>14.870764465953808</v>
      </c>
      <c r="AD86" s="106">
        <f t="shared" si="77"/>
        <v>15.307831099173653</v>
      </c>
      <c r="AE86" s="106">
        <f t="shared" si="77"/>
        <v>16.207348273001138</v>
      </c>
      <c r="AF86" s="106">
        <f t="shared" si="77"/>
        <v>17.143131428250964</v>
      </c>
      <c r="AG86" s="106">
        <f t="shared" si="77"/>
        <v>18.117883945964241</v>
      </c>
      <c r="AH86" s="106">
        <f t="shared" si="77"/>
        <v>19.134114097676953</v>
      </c>
      <c r="AI86" s="106">
        <f t="shared" si="77"/>
        <v>20.194166155088087</v>
      </c>
      <c r="AJ86" s="281">
        <f t="shared" si="77"/>
        <v>21.300244904384467</v>
      </c>
      <c r="AK86" s="106">
        <f t="shared" si="77"/>
        <v>22.454435236175058</v>
      </c>
      <c r="AL86" s="106">
        <f t="shared" si="77"/>
        <v>23.658717999111708</v>
      </c>
      <c r="AM86" s="106">
        <f t="shared" si="77"/>
        <v>24.91498297727766</v>
      </c>
      <c r="AN86" s="106">
        <f t="shared" si="77"/>
        <v>26.225039624173917</v>
      </c>
      <c r="AO86" s="3"/>
      <c r="AQ86"/>
      <c r="AR86" s="13"/>
      <c r="AS86" s="12"/>
      <c r="AT86" s="3"/>
      <c r="AU86" s="3"/>
      <c r="AV86" s="3"/>
      <c r="AW86" s="3"/>
    </row>
    <row r="87" spans="2:49" hidden="1" x14ac:dyDescent="0.25">
      <c r="B87" s="242"/>
      <c r="C87" s="2"/>
      <c r="D87" s="43" t="s">
        <v>80</v>
      </c>
      <c r="E87" s="43"/>
      <c r="F87" s="106">
        <f>1.075*1.225*F95</f>
        <v>12.457040508779455</v>
      </c>
      <c r="G87" s="136"/>
      <c r="I87" s="264"/>
      <c r="J87" s="259"/>
      <c r="K87" s="259"/>
      <c r="L87" s="259"/>
      <c r="M87" s="106"/>
      <c r="N87" s="106"/>
      <c r="O87" s="272"/>
      <c r="P87" s="106">
        <f t="shared" ref="P87:AN87" si="78">1.075*1.225*P95</f>
        <v>11.028210832221378</v>
      </c>
      <c r="Q87" s="106">
        <f t="shared" si="78"/>
        <v>11.272415255561455</v>
      </c>
      <c r="R87" s="106">
        <f t="shared" si="78"/>
        <v>11.349284834887214</v>
      </c>
      <c r="S87" s="106">
        <f t="shared" si="78"/>
        <v>11.426154414212974</v>
      </c>
      <c r="T87" s="106">
        <f t="shared" si="78"/>
        <v>11.503023993538731</v>
      </c>
      <c r="U87" s="106">
        <f t="shared" si="78"/>
        <v>11.57989357286449</v>
      </c>
      <c r="V87" s="106">
        <f t="shared" si="78"/>
        <v>11.656763152190248</v>
      </c>
      <c r="W87" s="106">
        <f t="shared" si="78"/>
        <v>11.733632731516009</v>
      </c>
      <c r="X87" s="106">
        <f t="shared" si="78"/>
        <v>11.810502310841766</v>
      </c>
      <c r="Y87" s="106">
        <f t="shared" si="78"/>
        <v>11.887371890167524</v>
      </c>
      <c r="Z87" s="106">
        <f t="shared" si="78"/>
        <v>11.964241469493283</v>
      </c>
      <c r="AA87" s="106">
        <f t="shared" si="78"/>
        <v>12.041111048819038</v>
      </c>
      <c r="AB87" s="106">
        <f t="shared" si="78"/>
        <v>12.117980628144798</v>
      </c>
      <c r="AC87" s="106">
        <f t="shared" si="78"/>
        <v>12.194850207470555</v>
      </c>
      <c r="AD87" s="106">
        <f t="shared" si="78"/>
        <v>12.271719786796314</v>
      </c>
      <c r="AE87" s="106">
        <f t="shared" si="78"/>
        <v>12.425458945447831</v>
      </c>
      <c r="AF87" s="106">
        <f t="shared" si="78"/>
        <v>12.579198104099348</v>
      </c>
      <c r="AG87" s="106">
        <f t="shared" si="78"/>
        <v>12.732937262750866</v>
      </c>
      <c r="AH87" s="106">
        <f t="shared" si="78"/>
        <v>12.886676421402383</v>
      </c>
      <c r="AI87" s="106">
        <f t="shared" si="78"/>
        <v>13.040415580053898</v>
      </c>
      <c r="AJ87" s="281">
        <f t="shared" si="78"/>
        <v>13.194154738705414</v>
      </c>
      <c r="AK87" s="106">
        <f t="shared" si="78"/>
        <v>13.347893897356931</v>
      </c>
      <c r="AL87" s="106">
        <f t="shared" si="78"/>
        <v>13.501633056008449</v>
      </c>
      <c r="AM87" s="106">
        <f t="shared" si="78"/>
        <v>13.655372214659963</v>
      </c>
      <c r="AN87" s="106">
        <f t="shared" si="78"/>
        <v>13.809111373311481</v>
      </c>
      <c r="AO87" s="3"/>
      <c r="AQ87"/>
      <c r="AR87" s="13"/>
      <c r="AS87" s="12"/>
      <c r="AT87" s="3"/>
      <c r="AU87" s="3"/>
      <c r="AV87" s="3"/>
      <c r="AW87" s="3"/>
    </row>
    <row r="88" spans="2:49" ht="15.75" thickBot="1" x14ac:dyDescent="0.3">
      <c r="B88" s="151"/>
      <c r="C88" s="289"/>
      <c r="D88" s="145" t="s">
        <v>93</v>
      </c>
      <c r="E88" s="145"/>
      <c r="F88" s="283">
        <f>2+(F$16/$C$16*$F$10/$F$8^3)</f>
        <v>2.3085386905163481</v>
      </c>
      <c r="G88" s="214" t="s">
        <v>32</v>
      </c>
      <c r="I88" s="290"/>
      <c r="J88" s="291"/>
      <c r="K88" s="291"/>
      <c r="L88" s="291"/>
      <c r="M88" s="293"/>
      <c r="N88" s="293"/>
      <c r="O88" s="293"/>
      <c r="P88" s="297">
        <f t="shared" ref="P88:AN88" si="79">2+(P$16/$C$16*$F$10/$F$8^3)</f>
        <v>2.2468309524130783</v>
      </c>
      <c r="Q88" s="285">
        <f t="shared" si="79"/>
        <v>2.2622578869388956</v>
      </c>
      <c r="R88" s="285">
        <f t="shared" si="79"/>
        <v>2.2776848214647134</v>
      </c>
      <c r="S88" s="285">
        <f t="shared" si="79"/>
        <v>2.2931117559905307</v>
      </c>
      <c r="T88" s="285">
        <f t="shared" si="79"/>
        <v>2.3085386905163481</v>
      </c>
      <c r="U88" s="285">
        <f t="shared" si="79"/>
        <v>2.3239656250421654</v>
      </c>
      <c r="V88" s="285">
        <f t="shared" si="79"/>
        <v>2.3393925595679828</v>
      </c>
      <c r="W88" s="285">
        <f t="shared" si="79"/>
        <v>2.3548194940938005</v>
      </c>
      <c r="X88" s="285">
        <f t="shared" si="79"/>
        <v>2.3702464286196179</v>
      </c>
      <c r="Y88" s="285">
        <f t="shared" si="79"/>
        <v>2.3856733631454352</v>
      </c>
      <c r="Z88" s="285">
        <f t="shared" si="79"/>
        <v>2.4011002976712525</v>
      </c>
      <c r="AA88" s="285">
        <f t="shared" si="79"/>
        <v>2.4165272321970699</v>
      </c>
      <c r="AB88" s="285">
        <f t="shared" si="79"/>
        <v>2.4319541667228872</v>
      </c>
      <c r="AC88" s="285">
        <f t="shared" si="79"/>
        <v>2.4473811012487046</v>
      </c>
      <c r="AD88" s="285">
        <f t="shared" si="79"/>
        <v>2.4628080357745219</v>
      </c>
      <c r="AE88" s="285">
        <f t="shared" si="79"/>
        <v>2.493661904826157</v>
      </c>
      <c r="AF88" s="285">
        <f t="shared" si="79"/>
        <v>2.5245157738777917</v>
      </c>
      <c r="AG88" s="285">
        <f t="shared" si="79"/>
        <v>2.5553696429294268</v>
      </c>
      <c r="AH88" s="285">
        <f t="shared" si="79"/>
        <v>2.5862235119810615</v>
      </c>
      <c r="AI88" s="285">
        <f t="shared" si="79"/>
        <v>2.6170773810326962</v>
      </c>
      <c r="AJ88" s="285">
        <f t="shared" si="79"/>
        <v>2.6479312500843308</v>
      </c>
      <c r="AK88" s="285">
        <f t="shared" si="79"/>
        <v>2.6787851191359655</v>
      </c>
      <c r="AL88" s="285">
        <f t="shared" si="79"/>
        <v>2.7096389881876006</v>
      </c>
      <c r="AM88" s="285">
        <f t="shared" si="79"/>
        <v>2.7404928572392353</v>
      </c>
      <c r="AN88" s="286">
        <f t="shared" si="79"/>
        <v>2.7713467262908704</v>
      </c>
      <c r="AO88" s="3"/>
      <c r="AQ88"/>
      <c r="AR88" s="13"/>
      <c r="AS88" s="294"/>
      <c r="AT88" s="3"/>
      <c r="AU88" s="3"/>
      <c r="AV88" s="3"/>
      <c r="AW88" s="3"/>
    </row>
    <row r="89" spans="2:49" x14ac:dyDescent="0.25">
      <c r="B89" s="140"/>
      <c r="C89" s="243"/>
      <c r="D89" s="132" t="s">
        <v>56</v>
      </c>
      <c r="E89" s="132"/>
      <c r="F89" s="220">
        <f>F82</f>
        <v>3.3704336134411839</v>
      </c>
      <c r="G89" s="136" t="s">
        <v>32</v>
      </c>
      <c r="I89" s="15"/>
      <c r="J89"/>
      <c r="K89"/>
      <c r="L89"/>
      <c r="M89"/>
      <c r="N89"/>
      <c r="O89"/>
      <c r="P89" s="195">
        <f t="shared" ref="P89:AN89" si="80">P82</f>
        <v>2.99508164264781</v>
      </c>
      <c r="Q89" s="184">
        <f t="shared" si="80"/>
        <v>3.0892183230423895</v>
      </c>
      <c r="R89" s="184">
        <f t="shared" si="80"/>
        <v>3.1809210094213496</v>
      </c>
      <c r="S89" s="184">
        <f t="shared" si="80"/>
        <v>3.2704155680432168</v>
      </c>
      <c r="T89" s="184">
        <f t="shared" si="80"/>
        <v>3.3578992215986809</v>
      </c>
      <c r="U89" s="184">
        <f t="shared" si="80"/>
        <v>3.4435454900661702</v>
      </c>
      <c r="V89" s="184">
        <f t="shared" si="80"/>
        <v>3.5275080847079945</v>
      </c>
      <c r="W89" s="184">
        <f t="shared" si="80"/>
        <v>3.6099240143299443</v>
      </c>
      <c r="X89" s="184">
        <f t="shared" si="80"/>
        <v>3.6909160903579714</v>
      </c>
      <c r="Y89" s="184">
        <f t="shared" si="80"/>
        <v>3.7705949672050285</v>
      </c>
      <c r="Z89" s="184">
        <f t="shared" si="80"/>
        <v>3.8490608192225082</v>
      </c>
      <c r="AA89" s="184">
        <f t="shared" si="80"/>
        <v>3.9264047304191347</v>
      </c>
      <c r="AB89" s="184">
        <f t="shared" si="80"/>
        <v>4.0027098549399982</v>
      </c>
      <c r="AC89" s="184">
        <f t="shared" si="80"/>
        <v>4.0780523929435679</v>
      </c>
      <c r="AD89" s="184">
        <f t="shared" si="80"/>
        <v>4.1525024165879945</v>
      </c>
      <c r="AE89" s="184">
        <f t="shared" si="80"/>
        <v>4.2989786884298749</v>
      </c>
      <c r="AF89" s="184">
        <f t="shared" si="80"/>
        <v>4.4426010226406891</v>
      </c>
      <c r="AG89" s="184">
        <f t="shared" si="80"/>
        <v>4.5837696118423557</v>
      </c>
      <c r="AH89" s="184">
        <f t="shared" si="80"/>
        <v>4.7228343007256619</v>
      </c>
      <c r="AI89" s="184">
        <f t="shared" si="80"/>
        <v>4.8601036410486573</v>
      </c>
      <c r="AJ89" s="184">
        <f t="shared" si="80"/>
        <v>4.9958519391546243</v>
      </c>
      <c r="AK89" s="184">
        <f t="shared" si="80"/>
        <v>5.1303248156528838</v>
      </c>
      <c r="AL89" s="184">
        <f t="shared" si="80"/>
        <v>5.2637436449230819</v>
      </c>
      <c r="AM89" s="184">
        <f t="shared" si="80"/>
        <v>5.3963091392319882</v>
      </c>
      <c r="AN89" s="185">
        <f t="shared" si="80"/>
        <v>5.5282042712414166</v>
      </c>
      <c r="AO89"/>
      <c r="AP89"/>
      <c r="AQ89"/>
      <c r="AR89"/>
      <c r="AS89" s="129"/>
    </row>
    <row r="90" spans="2:49" x14ac:dyDescent="0.25">
      <c r="B90" s="140"/>
      <c r="C90" s="247" t="s">
        <v>65</v>
      </c>
      <c r="D90" s="253" t="s">
        <v>57</v>
      </c>
      <c r="E90" s="253"/>
      <c r="F90" s="221">
        <f>IF(F83&lt;F84,F83,F84)</f>
        <v>6.4868757050829471</v>
      </c>
      <c r="G90" s="216" t="s">
        <v>32</v>
      </c>
      <c r="I90" s="15"/>
      <c r="J90"/>
      <c r="K90"/>
      <c r="L90"/>
      <c r="M90"/>
      <c r="N90"/>
      <c r="O90"/>
      <c r="P90" s="190">
        <f t="shared" ref="P90:AN90" si="81">IF(P83&lt;P84,P83,P84)</f>
        <v>5.6167151199453604</v>
      </c>
      <c r="Q90" s="179">
        <f t="shared" si="81"/>
        <v>5.8332368522927647</v>
      </c>
      <c r="R90" s="179">
        <f t="shared" si="81"/>
        <v>6.0500838373016617</v>
      </c>
      <c r="S90" s="179">
        <f t="shared" si="81"/>
        <v>6.2678002498423098</v>
      </c>
      <c r="T90" s="179">
        <f t="shared" si="81"/>
        <v>6.4868757050829471</v>
      </c>
      <c r="U90" s="179">
        <f t="shared" si="81"/>
        <v>6.6832528620532194</v>
      </c>
      <c r="V90" s="179">
        <f t="shared" si="81"/>
        <v>6.727617590692657</v>
      </c>
      <c r="W90" s="179">
        <f t="shared" si="81"/>
        <v>6.7719823193320963</v>
      </c>
      <c r="X90" s="179">
        <f t="shared" si="81"/>
        <v>6.8163470479715329</v>
      </c>
      <c r="Y90" s="179">
        <f t="shared" si="81"/>
        <v>6.8607117766109695</v>
      </c>
      <c r="Z90" s="179">
        <f t="shared" si="81"/>
        <v>6.9050765052504079</v>
      </c>
      <c r="AA90" s="179">
        <f t="shared" si="81"/>
        <v>6.9494412338898446</v>
      </c>
      <c r="AB90" s="179">
        <f t="shared" si="81"/>
        <v>6.993805962529283</v>
      </c>
      <c r="AC90" s="179">
        <f t="shared" si="81"/>
        <v>7.0381706911687196</v>
      </c>
      <c r="AD90" s="179">
        <f t="shared" si="81"/>
        <v>7.082535419808158</v>
      </c>
      <c r="AE90" s="179">
        <f t="shared" si="81"/>
        <v>7.1712648770870331</v>
      </c>
      <c r="AF90" s="179">
        <f t="shared" si="81"/>
        <v>7.2599943343659081</v>
      </c>
      <c r="AG90" s="179">
        <f t="shared" si="81"/>
        <v>7.348723791644785</v>
      </c>
      <c r="AH90" s="179">
        <f t="shared" si="81"/>
        <v>7.43745324892366</v>
      </c>
      <c r="AI90" s="179">
        <f t="shared" si="81"/>
        <v>7.526182706202535</v>
      </c>
      <c r="AJ90" s="179">
        <f t="shared" si="81"/>
        <v>7.6149121634814101</v>
      </c>
      <c r="AK90" s="179">
        <f t="shared" si="81"/>
        <v>7.7036416207602851</v>
      </c>
      <c r="AL90" s="179">
        <f t="shared" si="81"/>
        <v>7.792371078039162</v>
      </c>
      <c r="AM90" s="179">
        <f t="shared" si="81"/>
        <v>7.8811005353180352</v>
      </c>
      <c r="AN90" s="180">
        <f t="shared" si="81"/>
        <v>7.969829992596912</v>
      </c>
      <c r="AO90"/>
      <c r="AP90"/>
      <c r="AQ90"/>
      <c r="AR90"/>
      <c r="AS90" s="129"/>
    </row>
    <row r="91" spans="2:49" x14ac:dyDescent="0.25">
      <c r="B91" s="140"/>
      <c r="C91" s="243" t="s">
        <v>66</v>
      </c>
      <c r="D91" s="252" t="s">
        <v>60</v>
      </c>
      <c r="E91" s="252"/>
      <c r="F91" s="222">
        <f>F85</f>
        <v>5.8398602213089825</v>
      </c>
      <c r="G91" s="217" t="s">
        <v>32</v>
      </c>
      <c r="I91" s="15"/>
      <c r="J91"/>
      <c r="K91"/>
      <c r="L91"/>
      <c r="M91"/>
      <c r="N91"/>
      <c r="O91"/>
      <c r="P91" s="191">
        <f t="shared" ref="P91:AN91" si="82">P85</f>
        <v>5.1894978956768982</v>
      </c>
      <c r="Q91" s="182">
        <f t="shared" si="82"/>
        <v>5.3526060052714675</v>
      </c>
      <c r="R91" s="182">
        <f t="shared" si="82"/>
        <v>5.5114967985023391</v>
      </c>
      <c r="S91" s="182">
        <f t="shared" si="82"/>
        <v>5.6665616277976536</v>
      </c>
      <c r="T91" s="182">
        <f t="shared" si="82"/>
        <v>5.818142215641279</v>
      </c>
      <c r="U91" s="182">
        <f t="shared" si="82"/>
        <v>5.9665392154611858</v>
      </c>
      <c r="V91" s="182">
        <f t="shared" si="82"/>
        <v>6.1120189586524658</v>
      </c>
      <c r="W91" s="182">
        <f t="shared" si="82"/>
        <v>6.2548188367102995</v>
      </c>
      <c r="X91" s="182">
        <f t="shared" si="82"/>
        <v>6.3951516417093561</v>
      </c>
      <c r="Y91" s="182">
        <f t="shared" si="82"/>
        <v>6.5332091015928713</v>
      </c>
      <c r="Z91" s="182">
        <f t="shared" si="82"/>
        <v>6.6691647857815743</v>
      </c>
      <c r="AA91" s="182">
        <f t="shared" si="82"/>
        <v>6.8031765131024615</v>
      </c>
      <c r="AB91" s="182">
        <f t="shared" si="82"/>
        <v>6.9353883625197987</v>
      </c>
      <c r="AC91" s="182">
        <f t="shared" si="82"/>
        <v>7.0659323640111333</v>
      </c>
      <c r="AD91" s="182">
        <f t="shared" si="82"/>
        <v>7.194929929731674</v>
      </c>
      <c r="AE91" s="182">
        <f t="shared" si="82"/>
        <v>7.4487254502497837</v>
      </c>
      <c r="AF91" s="182">
        <f t="shared" si="82"/>
        <v>7.6975760293279265</v>
      </c>
      <c r="AG91" s="182">
        <f t="shared" si="82"/>
        <v>7.9421750700238842</v>
      </c>
      <c r="AH91" s="182">
        <f t="shared" si="82"/>
        <v>8.1831287388810985</v>
      </c>
      <c r="AI91" s="182">
        <f t="shared" si="82"/>
        <v>8.4209716552823277</v>
      </c>
      <c r="AJ91" s="182">
        <f t="shared" si="82"/>
        <v>8.6561791024956367</v>
      </c>
      <c r="AK91" s="182">
        <f t="shared" si="82"/>
        <v>8.8891766607847007</v>
      </c>
      <c r="AL91" s="182">
        <f t="shared" si="82"/>
        <v>9.1203478996192011</v>
      </c>
      <c r="AM91" s="182">
        <f t="shared" si="82"/>
        <v>9.3500405877781976</v>
      </c>
      <c r="AN91" s="183">
        <f t="shared" si="82"/>
        <v>9.5785717571014644</v>
      </c>
      <c r="AO91" s="12"/>
      <c r="AP91" s="3"/>
      <c r="AQ91" s="3"/>
      <c r="AR91" s="3"/>
      <c r="AS91" s="129"/>
    </row>
    <row r="92" spans="2:49" ht="14.65" customHeight="1" thickBot="1" x14ac:dyDescent="0.3">
      <c r="B92" s="140"/>
      <c r="C92" s="246"/>
      <c r="D92" s="238" t="s">
        <v>61</v>
      </c>
      <c r="E92" s="238"/>
      <c r="F92" s="223">
        <f t="shared" ref="F92" si="83">IF(F86&lt;F87,F86,F87)</f>
        <v>11.239636122668474</v>
      </c>
      <c r="G92" s="214" t="s">
        <v>32</v>
      </c>
      <c r="I92" s="204"/>
      <c r="J92" s="135"/>
      <c r="K92" s="135"/>
      <c r="L92" s="135"/>
      <c r="M92" s="135"/>
      <c r="N92" s="135"/>
      <c r="O92" s="135"/>
      <c r="P92" s="192">
        <f t="shared" ref="P92:AN92" si="84">IF(P86&lt;P87,P86,P87)</f>
        <v>9.7319321385191895</v>
      </c>
      <c r="Q92" s="193">
        <f t="shared" si="84"/>
        <v>10.10709355595281</v>
      </c>
      <c r="R92" s="193">
        <f t="shared" si="84"/>
        <v>10.482818529978127</v>
      </c>
      <c r="S92" s="193">
        <f t="shared" si="84"/>
        <v>10.860049937845588</v>
      </c>
      <c r="T92" s="193">
        <f t="shared" si="84"/>
        <v>11.239636122668474</v>
      </c>
      <c r="U92" s="193">
        <f t="shared" si="84"/>
        <v>11.57989357286449</v>
      </c>
      <c r="V92" s="193">
        <f t="shared" si="84"/>
        <v>11.656763152190248</v>
      </c>
      <c r="W92" s="193">
        <f t="shared" si="84"/>
        <v>11.733632731516009</v>
      </c>
      <c r="X92" s="193">
        <f t="shared" si="84"/>
        <v>11.810502310841766</v>
      </c>
      <c r="Y92" s="193">
        <f t="shared" si="84"/>
        <v>11.887371890167524</v>
      </c>
      <c r="Z92" s="193">
        <f t="shared" si="84"/>
        <v>11.964241469493283</v>
      </c>
      <c r="AA92" s="193">
        <f t="shared" si="84"/>
        <v>12.041111048819038</v>
      </c>
      <c r="AB92" s="193">
        <f t="shared" si="84"/>
        <v>12.117980628144798</v>
      </c>
      <c r="AC92" s="193">
        <f t="shared" si="84"/>
        <v>12.194850207470555</v>
      </c>
      <c r="AD92" s="193">
        <f t="shared" si="84"/>
        <v>12.271719786796314</v>
      </c>
      <c r="AE92" s="193">
        <f t="shared" si="84"/>
        <v>12.425458945447831</v>
      </c>
      <c r="AF92" s="193">
        <f t="shared" si="84"/>
        <v>12.579198104099348</v>
      </c>
      <c r="AG92" s="193">
        <f t="shared" si="84"/>
        <v>12.732937262750866</v>
      </c>
      <c r="AH92" s="193">
        <f t="shared" si="84"/>
        <v>12.886676421402383</v>
      </c>
      <c r="AI92" s="193">
        <f t="shared" si="84"/>
        <v>13.040415580053898</v>
      </c>
      <c r="AJ92" s="193">
        <f t="shared" si="84"/>
        <v>13.194154738705414</v>
      </c>
      <c r="AK92" s="193">
        <f t="shared" si="84"/>
        <v>13.347893897356931</v>
      </c>
      <c r="AL92" s="193">
        <f t="shared" si="84"/>
        <v>13.501633056008449</v>
      </c>
      <c r="AM92" s="193">
        <f t="shared" si="84"/>
        <v>13.655372214659963</v>
      </c>
      <c r="AN92" s="194">
        <f t="shared" si="84"/>
        <v>13.809111373311481</v>
      </c>
      <c r="AS92" s="124"/>
    </row>
    <row r="93" spans="2:49" hidden="1" x14ac:dyDescent="0.25">
      <c r="B93" s="242"/>
      <c r="C93" s="256"/>
      <c r="D93" s="43" t="s">
        <v>75</v>
      </c>
      <c r="E93" s="43"/>
      <c r="F93" s="370">
        <f>(0.2529+2.7683*10^-4*F79)*SQRT(F$16)/$F$4*$F$5*$F$7/$F$8</f>
        <v>4.4346351941596449</v>
      </c>
      <c r="G93" s="136"/>
      <c r="I93" s="267"/>
      <c r="J93" s="259"/>
      <c r="K93" s="259"/>
      <c r="L93" s="257"/>
      <c r="M93" s="257"/>
      <c r="N93" s="259"/>
      <c r="O93" s="259"/>
      <c r="P93" s="269">
        <f t="shared" ref="P93" si="85">(0.2529+2.7683*10^-4*P79)*SQRT(P$16)*$F$7/$F$8</f>
        <v>3.940767267718575</v>
      </c>
      <c r="Q93" s="265">
        <f t="shared" ref="Q93:AN93" si="86">(0.2529+2.7683*10^-4*Q79)*SQRT(Q$16)*$F$7/$F$8</f>
        <v>4.0646272465279294</v>
      </c>
      <c r="R93" s="265">
        <f t="shared" si="86"/>
        <v>4.1852847069785204</v>
      </c>
      <c r="S93" s="265">
        <f t="shared" si="86"/>
        <v>4.3030368317400312</v>
      </c>
      <c r="T93" s="265">
        <f t="shared" si="86"/>
        <v>4.4181431158168234</v>
      </c>
      <c r="U93" s="265">
        <f t="shared" si="86"/>
        <v>4.5308318674598471</v>
      </c>
      <c r="V93" s="265">
        <f t="shared" si="86"/>
        <v>4.6413053316772404</v>
      </c>
      <c r="W93" s="265">
        <f t="shared" si="86"/>
        <v>4.7497437772835687</v>
      </c>
      <c r="X93" s="265">
        <f t="shared" si="86"/>
        <v>4.8563087929449313</v>
      </c>
      <c r="Y93" s="265">
        <f t="shared" si="86"/>
        <v>4.9611459717838606</v>
      </c>
      <c r="Z93" s="265">
        <f t="shared" si="86"/>
        <v>5.0643871178217932</v>
      </c>
      <c r="AA93" s="265">
        <f t="shared" si="86"/>
        <v>5.1661520744964111</v>
      </c>
      <c r="AB93" s="265">
        <f t="shared" si="86"/>
        <v>5.2665502515575122</v>
      </c>
      <c r="AC93" s="265">
        <f t="shared" si="86"/>
        <v>5.3656819090734755</v>
      </c>
      <c r="AD93" s="265">
        <f t="shared" si="86"/>
        <v>5.4636392442195909</v>
      </c>
      <c r="AE93" s="265">
        <f t="shared" si="86"/>
        <v>5.6563648411958489</v>
      </c>
      <c r="AF93" s="265">
        <f t="shared" si="86"/>
        <v>5.8453353806002291</v>
      </c>
      <c r="AG93" s="265">
        <f t="shared" si="86"/>
        <v>6.0310774143513122</v>
      </c>
      <c r="AH93" s="265">
        <f t="shared" si="86"/>
        <v>6.2140512492689872</v>
      </c>
      <c r="AI93" s="265">
        <f t="shared" si="86"/>
        <v>6.3946628611541163</v>
      </c>
      <c r="AJ93" s="265">
        <f t="shared" si="86"/>
        <v>6.5732731675334692</v>
      </c>
      <c r="AK93" s="265">
        <f t="shared" si="86"/>
        <v>6.750205342788572</v>
      </c>
      <c r="AL93" s="265">
        <f t="shared" si="86"/>
        <v>6.9257506594165745</v>
      </c>
      <c r="AM93" s="265">
        <f t="shared" si="86"/>
        <v>7.1001732038182803</v>
      </c>
      <c r="AN93" s="266">
        <f t="shared" si="86"/>
        <v>7.2737137215768124</v>
      </c>
      <c r="AO93" s="3"/>
      <c r="AQ93"/>
      <c r="AR93" s="13"/>
      <c r="AS93" s="12"/>
      <c r="AT93" s="3"/>
      <c r="AU93" s="3"/>
      <c r="AV93" s="3"/>
      <c r="AW93" s="3"/>
    </row>
    <row r="94" spans="2:49" hidden="1" x14ac:dyDescent="0.25">
      <c r="B94" s="242"/>
      <c r="C94" s="88"/>
      <c r="D94" s="43" t="s">
        <v>76</v>
      </c>
      <c r="E94" s="43"/>
      <c r="F94" s="229">
        <f>(0.675+9.273*10^-3*F79)*SQRT(F$16)*$F$4*$F$6/$F$7*$F$8</f>
        <v>8.5350820105693206</v>
      </c>
      <c r="G94" s="136"/>
      <c r="I94" s="267"/>
      <c r="J94" s="259"/>
      <c r="K94" s="259"/>
      <c r="L94" s="259"/>
      <c r="M94" s="106"/>
      <c r="N94" s="106"/>
      <c r="O94" s="106"/>
      <c r="P94" s="236">
        <f t="shared" ref="P94" si="87">(0.675+9.273*10^-3*P79)*SQRT(P$16)*$F$4/$F$7*$F$8</f>
        <v>7.3901715337592329</v>
      </c>
      <c r="Q94" s="231">
        <f t="shared" ref="Q94:AN94" si="88">(0.675+9.273*10^-3*Q79)*SQRT(Q$16)*$F$4/$F$7*$F$8</f>
        <v>7.6750591787017068</v>
      </c>
      <c r="R94" s="231">
        <f t="shared" si="88"/>
        <v>7.9603747735951611</v>
      </c>
      <c r="S94" s="231">
        <f t="shared" si="88"/>
        <v>8.2468343144532223</v>
      </c>
      <c r="T94" s="231">
        <f t="shared" si="88"/>
        <v>8.5350820105693206</v>
      </c>
      <c r="U94" s="231">
        <f t="shared" si="88"/>
        <v>8.8257022015568136</v>
      </c>
      <c r="V94" s="231">
        <f t="shared" si="88"/>
        <v>9.1192287827020717</v>
      </c>
      <c r="W94" s="231">
        <f t="shared" si="88"/>
        <v>9.4161527515791121</v>
      </c>
      <c r="X94" s="231">
        <f t="shared" si="88"/>
        <v>9.7169283177977093</v>
      </c>
      <c r="Y94" s="231">
        <f t="shared" si="88"/>
        <v>10.021977899584865</v>
      </c>
      <c r="Z94" s="231">
        <f t="shared" si="88"/>
        <v>10.33169624780915</v>
      </c>
      <c r="AA94" s="231">
        <f t="shared" si="88"/>
        <v>10.646453878683987</v>
      </c>
      <c r="AB94" s="231">
        <f t="shared" si="88"/>
        <v>10.96659995333091</v>
      </c>
      <c r="AC94" s="231">
        <f t="shared" si="88"/>
        <v>11.292464710738535</v>
      </c>
      <c r="AD94" s="231">
        <f t="shared" si="88"/>
        <v>11.624361537103866</v>
      </c>
      <c r="AE94" s="231">
        <f t="shared" si="88"/>
        <v>12.307431056858956</v>
      </c>
      <c r="AF94" s="231">
        <f t="shared" si="88"/>
        <v>13.018040002468696</v>
      </c>
      <c r="AG94" s="231">
        <f t="shared" si="88"/>
        <v>13.758241249901653</v>
      </c>
      <c r="AH94" s="231">
        <f t="shared" si="88"/>
        <v>14.529939514135322</v>
      </c>
      <c r="AI94" s="231">
        <f t="shared" si="88"/>
        <v>15.334914973014209</v>
      </c>
      <c r="AJ94" s="231">
        <f t="shared" si="88"/>
        <v>16.174841882778903</v>
      </c>
      <c r="AK94" s="231">
        <f t="shared" si="88"/>
        <v>17.051303454143376</v>
      </c>
      <c r="AL94" s="231">
        <f t="shared" si="88"/>
        <v>17.965803891114728</v>
      </c>
      <c r="AM94" s="231">
        <f t="shared" si="88"/>
        <v>18.919778245678337</v>
      </c>
      <c r="AN94" s="232">
        <f t="shared" si="88"/>
        <v>19.914600568902831</v>
      </c>
      <c r="AO94" s="3"/>
      <c r="AQ94"/>
      <c r="AR94" s="13"/>
      <c r="AS94" s="12"/>
      <c r="AT94" s="3"/>
      <c r="AU94" s="3"/>
      <c r="AV94" s="3"/>
      <c r="AW94" s="3"/>
    </row>
    <row r="95" spans="2:49" ht="15.75" hidden="1" thickBot="1" x14ac:dyDescent="0.3">
      <c r="B95" s="242"/>
      <c r="C95" s="282"/>
      <c r="D95" s="43" t="s">
        <v>77</v>
      </c>
      <c r="E95" s="43"/>
      <c r="F95" s="219">
        <f>IF(($F$3*(F$16*10^-3)/SQRT($C$16*10^-3*$B$35*10^-3)*$F$4/$F$6^2*$F$8)&lt;(4*$F$13*$F$8),($F$3*(F$16*10^-3)/SQRT($C$16*10^-3*$B$35*10^-3)*$F$4/$F$6^2*$F$8),(4*$F$13*$F$8))</f>
        <v>9.4595466606773275</v>
      </c>
      <c r="G95" s="136"/>
      <c r="I95" s="267"/>
      <c r="J95" s="259"/>
      <c r="K95" s="259"/>
      <c r="L95" s="259"/>
      <c r="M95" s="106"/>
      <c r="N95" s="106"/>
      <c r="O95" s="106"/>
      <c r="P95" s="208">
        <f t="shared" ref="P95:AN95" si="89">IF(($F$3*(P$16*10^-3)/SQRT($C$16*10^-3*$B$35*10^-3)*$F$4*$F$8)&lt;(4*P$88*$F$8),($F$3*(P$16*10^-3)/SQRT($C$16*10^-3*$B$35*10^-3)*$F$4*$F$8),(4*P$88*$F$8))</f>
        <v>8.3745312442117719</v>
      </c>
      <c r="Q95" s="209">
        <f t="shared" si="89"/>
        <v>8.5599736159935116</v>
      </c>
      <c r="R95" s="209">
        <f t="shared" si="89"/>
        <v>8.6183463387847858</v>
      </c>
      <c r="S95" s="209">
        <f t="shared" si="89"/>
        <v>8.6767190615760601</v>
      </c>
      <c r="T95" s="209">
        <f t="shared" si="89"/>
        <v>8.7350917843673326</v>
      </c>
      <c r="U95" s="209">
        <f t="shared" si="89"/>
        <v>8.7934645071586068</v>
      </c>
      <c r="V95" s="209">
        <f t="shared" si="89"/>
        <v>8.8518372299498793</v>
      </c>
      <c r="W95" s="209">
        <f t="shared" si="89"/>
        <v>8.9102099527411553</v>
      </c>
      <c r="X95" s="209">
        <f t="shared" si="89"/>
        <v>8.9685826755324278</v>
      </c>
      <c r="Y95" s="209">
        <f t="shared" si="89"/>
        <v>9.0269553983237003</v>
      </c>
      <c r="Z95" s="209">
        <f t="shared" si="89"/>
        <v>9.0853281211149746</v>
      </c>
      <c r="AA95" s="209">
        <f t="shared" si="89"/>
        <v>9.143700843906247</v>
      </c>
      <c r="AB95" s="209">
        <f t="shared" si="89"/>
        <v>9.2020735666975213</v>
      </c>
      <c r="AC95" s="209">
        <f t="shared" si="89"/>
        <v>9.2604462894887938</v>
      </c>
      <c r="AD95" s="209">
        <f t="shared" si="89"/>
        <v>9.318819012280068</v>
      </c>
      <c r="AE95" s="209">
        <f t="shared" si="89"/>
        <v>9.4355644578626148</v>
      </c>
      <c r="AF95" s="209">
        <f t="shared" si="89"/>
        <v>9.5523099034451615</v>
      </c>
      <c r="AG95" s="209">
        <f t="shared" si="89"/>
        <v>9.66905534902771</v>
      </c>
      <c r="AH95" s="209">
        <f t="shared" si="89"/>
        <v>9.7858007946102568</v>
      </c>
      <c r="AI95" s="209">
        <f t="shared" si="89"/>
        <v>9.9025462401928035</v>
      </c>
      <c r="AJ95" s="209">
        <f t="shared" si="89"/>
        <v>10.01929168577535</v>
      </c>
      <c r="AK95" s="209">
        <f t="shared" si="89"/>
        <v>10.136037131357897</v>
      </c>
      <c r="AL95" s="209">
        <f t="shared" si="89"/>
        <v>10.252782576940445</v>
      </c>
      <c r="AM95" s="209">
        <f t="shared" si="89"/>
        <v>10.36952802252299</v>
      </c>
      <c r="AN95" s="210">
        <f t="shared" si="89"/>
        <v>10.486273468105539</v>
      </c>
      <c r="AO95" s="3"/>
      <c r="AQ95"/>
      <c r="AR95" s="13"/>
      <c r="AS95" s="12"/>
      <c r="AT95" s="3"/>
      <c r="AU95" s="3"/>
      <c r="AV95" s="3"/>
      <c r="AW95" s="3"/>
    </row>
    <row r="96" spans="2:49" x14ac:dyDescent="0.25">
      <c r="B96" s="140"/>
      <c r="C96" s="245"/>
      <c r="D96" s="239" t="s">
        <v>56</v>
      </c>
      <c r="E96" s="239"/>
      <c r="F96" s="220">
        <f>F93</f>
        <v>4.4346351941596449</v>
      </c>
      <c r="G96" s="215" t="s">
        <v>32</v>
      </c>
      <c r="I96" s="15"/>
      <c r="J96"/>
      <c r="K96"/>
      <c r="L96"/>
      <c r="M96"/>
      <c r="N96"/>
      <c r="O96"/>
      <c r="P96" s="195">
        <f t="shared" ref="P96:AN96" si="90">P93</f>
        <v>3.940767267718575</v>
      </c>
      <c r="Q96" s="184">
        <f t="shared" si="90"/>
        <v>4.0646272465279294</v>
      </c>
      <c r="R96" s="184">
        <f t="shared" si="90"/>
        <v>4.1852847069785204</v>
      </c>
      <c r="S96" s="184">
        <f t="shared" si="90"/>
        <v>4.3030368317400312</v>
      </c>
      <c r="T96" s="184">
        <f t="shared" si="90"/>
        <v>4.4181431158168234</v>
      </c>
      <c r="U96" s="184">
        <f t="shared" si="90"/>
        <v>4.5308318674598471</v>
      </c>
      <c r="V96" s="184">
        <f t="shared" si="90"/>
        <v>4.6413053316772404</v>
      </c>
      <c r="W96" s="184">
        <f t="shared" si="90"/>
        <v>4.7497437772835687</v>
      </c>
      <c r="X96" s="184">
        <f t="shared" si="90"/>
        <v>4.8563087929449313</v>
      </c>
      <c r="Y96" s="184">
        <f t="shared" si="90"/>
        <v>4.9611459717838606</v>
      </c>
      <c r="Z96" s="184">
        <f t="shared" si="90"/>
        <v>5.0643871178217932</v>
      </c>
      <c r="AA96" s="184">
        <f t="shared" si="90"/>
        <v>5.1661520744964111</v>
      </c>
      <c r="AB96" s="184">
        <f t="shared" si="90"/>
        <v>5.2665502515575122</v>
      </c>
      <c r="AC96" s="184">
        <f t="shared" si="90"/>
        <v>5.3656819090734755</v>
      </c>
      <c r="AD96" s="184">
        <f t="shared" si="90"/>
        <v>5.4636392442195909</v>
      </c>
      <c r="AE96" s="184">
        <f t="shared" si="90"/>
        <v>5.6563648411958489</v>
      </c>
      <c r="AF96" s="184">
        <f t="shared" si="90"/>
        <v>5.8453353806002291</v>
      </c>
      <c r="AG96" s="184">
        <f t="shared" si="90"/>
        <v>6.0310774143513122</v>
      </c>
      <c r="AH96" s="184">
        <f t="shared" si="90"/>
        <v>6.2140512492689872</v>
      </c>
      <c r="AI96" s="184">
        <f t="shared" si="90"/>
        <v>6.3946628611541163</v>
      </c>
      <c r="AJ96" s="184">
        <f t="shared" si="90"/>
        <v>6.5732731675334692</v>
      </c>
      <c r="AK96" s="184">
        <f t="shared" si="90"/>
        <v>6.750205342788572</v>
      </c>
      <c r="AL96" s="184">
        <f t="shared" si="90"/>
        <v>6.9257506594165745</v>
      </c>
      <c r="AM96" s="184">
        <f t="shared" si="90"/>
        <v>7.1001732038182803</v>
      </c>
      <c r="AN96" s="185">
        <f t="shared" si="90"/>
        <v>7.2737137215768124</v>
      </c>
      <c r="AO96" s="12"/>
      <c r="AP96" s="3"/>
      <c r="AQ96" s="3"/>
      <c r="AR96" s="3"/>
      <c r="AS96" s="129"/>
    </row>
    <row r="97" spans="2:49" x14ac:dyDescent="0.25">
      <c r="B97" s="254">
        <v>177</v>
      </c>
      <c r="C97" s="244" t="s">
        <v>58</v>
      </c>
      <c r="D97" s="253" t="s">
        <v>57</v>
      </c>
      <c r="E97" s="253"/>
      <c r="F97" s="221">
        <f t="shared" ref="F97" si="91">IF(F94&lt;F95,F94,F95)</f>
        <v>8.5350820105693206</v>
      </c>
      <c r="G97" s="216" t="s">
        <v>32</v>
      </c>
      <c r="I97" s="15"/>
      <c r="J97"/>
      <c r="K97"/>
      <c r="L97"/>
      <c r="M97"/>
      <c r="N97"/>
      <c r="O97"/>
      <c r="P97" s="190">
        <f t="shared" ref="P97:AN97" si="92">IF(P94&lt;P95,P94,P95)</f>
        <v>7.3901715337592329</v>
      </c>
      <c r="Q97" s="179">
        <f t="shared" si="92"/>
        <v>7.6750591787017068</v>
      </c>
      <c r="R97" s="179">
        <f t="shared" si="92"/>
        <v>7.9603747735951611</v>
      </c>
      <c r="S97" s="179">
        <f t="shared" si="92"/>
        <v>8.2468343144532223</v>
      </c>
      <c r="T97" s="179">
        <f t="shared" si="92"/>
        <v>8.5350820105693206</v>
      </c>
      <c r="U97" s="179">
        <f t="shared" si="92"/>
        <v>8.7934645071586068</v>
      </c>
      <c r="V97" s="179">
        <f t="shared" si="92"/>
        <v>8.8518372299498793</v>
      </c>
      <c r="W97" s="179">
        <f t="shared" si="92"/>
        <v>8.9102099527411553</v>
      </c>
      <c r="X97" s="179">
        <f t="shared" si="92"/>
        <v>8.9685826755324278</v>
      </c>
      <c r="Y97" s="179">
        <f t="shared" si="92"/>
        <v>9.0269553983237003</v>
      </c>
      <c r="Z97" s="179">
        <f t="shared" si="92"/>
        <v>9.0853281211149746</v>
      </c>
      <c r="AA97" s="179">
        <f t="shared" si="92"/>
        <v>9.143700843906247</v>
      </c>
      <c r="AB97" s="179">
        <f t="shared" si="92"/>
        <v>9.2020735666975213</v>
      </c>
      <c r="AC97" s="179">
        <f t="shared" si="92"/>
        <v>9.2604462894887938</v>
      </c>
      <c r="AD97" s="179">
        <f t="shared" si="92"/>
        <v>9.318819012280068</v>
      </c>
      <c r="AE97" s="179">
        <f t="shared" si="92"/>
        <v>9.4355644578626148</v>
      </c>
      <c r="AF97" s="179">
        <f t="shared" si="92"/>
        <v>9.5523099034451615</v>
      </c>
      <c r="AG97" s="179">
        <f t="shared" si="92"/>
        <v>9.66905534902771</v>
      </c>
      <c r="AH97" s="179">
        <f t="shared" si="92"/>
        <v>9.7858007946102568</v>
      </c>
      <c r="AI97" s="179">
        <f t="shared" si="92"/>
        <v>9.9025462401928035</v>
      </c>
      <c r="AJ97" s="179">
        <f t="shared" si="92"/>
        <v>10.01929168577535</v>
      </c>
      <c r="AK97" s="179">
        <f t="shared" si="92"/>
        <v>10.136037131357897</v>
      </c>
      <c r="AL97" s="179">
        <f t="shared" si="92"/>
        <v>10.252782576940445</v>
      </c>
      <c r="AM97" s="179">
        <f t="shared" si="92"/>
        <v>10.36952802252299</v>
      </c>
      <c r="AN97" s="180">
        <f t="shared" si="92"/>
        <v>10.486273468105539</v>
      </c>
      <c r="AS97" s="124"/>
    </row>
    <row r="98" spans="2:49" x14ac:dyDescent="0.25">
      <c r="B98" s="254" t="s">
        <v>44</v>
      </c>
      <c r="C98" s="243" t="s">
        <v>59</v>
      </c>
      <c r="D98" s="252" t="s">
        <v>60</v>
      </c>
      <c r="E98" s="252"/>
      <c r="F98" s="222">
        <f>F93</f>
        <v>4.4346351941596449</v>
      </c>
      <c r="G98" s="217" t="s">
        <v>32</v>
      </c>
      <c r="I98" s="15"/>
      <c r="J98"/>
      <c r="K98"/>
      <c r="L98"/>
      <c r="M98"/>
      <c r="N98"/>
      <c r="O98"/>
      <c r="P98" s="191">
        <f t="shared" ref="P98:AN98" si="93">P93</f>
        <v>3.940767267718575</v>
      </c>
      <c r="Q98" s="182">
        <f t="shared" si="93"/>
        <v>4.0646272465279294</v>
      </c>
      <c r="R98" s="182">
        <f t="shared" si="93"/>
        <v>4.1852847069785204</v>
      </c>
      <c r="S98" s="182">
        <f t="shared" si="93"/>
        <v>4.3030368317400312</v>
      </c>
      <c r="T98" s="182">
        <f t="shared" si="93"/>
        <v>4.4181431158168234</v>
      </c>
      <c r="U98" s="182">
        <f t="shared" si="93"/>
        <v>4.5308318674598471</v>
      </c>
      <c r="V98" s="182">
        <f t="shared" si="93"/>
        <v>4.6413053316772404</v>
      </c>
      <c r="W98" s="182">
        <f t="shared" si="93"/>
        <v>4.7497437772835687</v>
      </c>
      <c r="X98" s="182">
        <f t="shared" si="93"/>
        <v>4.8563087929449313</v>
      </c>
      <c r="Y98" s="182">
        <f t="shared" si="93"/>
        <v>4.9611459717838606</v>
      </c>
      <c r="Z98" s="182">
        <f t="shared" si="93"/>
        <v>5.0643871178217932</v>
      </c>
      <c r="AA98" s="182">
        <f t="shared" si="93"/>
        <v>5.1661520744964111</v>
      </c>
      <c r="AB98" s="182">
        <f t="shared" si="93"/>
        <v>5.2665502515575122</v>
      </c>
      <c r="AC98" s="182">
        <f t="shared" si="93"/>
        <v>5.3656819090734755</v>
      </c>
      <c r="AD98" s="182">
        <f t="shared" si="93"/>
        <v>5.4636392442195909</v>
      </c>
      <c r="AE98" s="182">
        <f t="shared" si="93"/>
        <v>5.6563648411958489</v>
      </c>
      <c r="AF98" s="182">
        <f t="shared" si="93"/>
        <v>5.8453353806002291</v>
      </c>
      <c r="AG98" s="182">
        <f t="shared" si="93"/>
        <v>6.0310774143513122</v>
      </c>
      <c r="AH98" s="182">
        <f t="shared" si="93"/>
        <v>6.2140512492689872</v>
      </c>
      <c r="AI98" s="182">
        <f t="shared" si="93"/>
        <v>6.3946628611541163</v>
      </c>
      <c r="AJ98" s="182">
        <f t="shared" si="93"/>
        <v>6.5732731675334692</v>
      </c>
      <c r="AK98" s="182">
        <f t="shared" si="93"/>
        <v>6.750205342788572</v>
      </c>
      <c r="AL98" s="182">
        <f t="shared" si="93"/>
        <v>6.9257506594165745</v>
      </c>
      <c r="AM98" s="182">
        <f t="shared" si="93"/>
        <v>7.1001732038182803</v>
      </c>
      <c r="AN98" s="183">
        <f t="shared" si="93"/>
        <v>7.2737137215768124</v>
      </c>
      <c r="AO98" s="12"/>
      <c r="AP98" s="3"/>
      <c r="AQ98" s="3"/>
      <c r="AR98" s="3"/>
      <c r="AS98" s="129"/>
    </row>
    <row r="99" spans="2:49" ht="15.75" thickBot="1" x14ac:dyDescent="0.3">
      <c r="B99" s="141"/>
      <c r="C99" s="246"/>
      <c r="D99" s="238" t="s">
        <v>61</v>
      </c>
      <c r="E99" s="238"/>
      <c r="F99" s="223">
        <f t="shared" ref="F99" si="94">IF(F94&lt;F95,F94,F95)</f>
        <v>8.5350820105693206</v>
      </c>
      <c r="G99" s="214" t="s">
        <v>32</v>
      </c>
      <c r="I99" s="204"/>
      <c r="J99" s="135"/>
      <c r="K99" s="135"/>
      <c r="L99" s="135"/>
      <c r="M99" s="135"/>
      <c r="N99" s="135"/>
      <c r="O99" s="135"/>
      <c r="P99" s="192">
        <f t="shared" ref="P99:AN99" si="95">IF(P94&lt;P95,P94,P95)</f>
        <v>7.3901715337592329</v>
      </c>
      <c r="Q99" s="193">
        <f t="shared" si="95"/>
        <v>7.6750591787017068</v>
      </c>
      <c r="R99" s="193">
        <f t="shared" si="95"/>
        <v>7.9603747735951611</v>
      </c>
      <c r="S99" s="193">
        <f t="shared" si="95"/>
        <v>8.2468343144532223</v>
      </c>
      <c r="T99" s="193">
        <f t="shared" si="95"/>
        <v>8.5350820105693206</v>
      </c>
      <c r="U99" s="193">
        <f t="shared" si="95"/>
        <v>8.7934645071586068</v>
      </c>
      <c r="V99" s="193">
        <f t="shared" si="95"/>
        <v>8.8518372299498793</v>
      </c>
      <c r="W99" s="193">
        <f t="shared" si="95"/>
        <v>8.9102099527411553</v>
      </c>
      <c r="X99" s="193">
        <f t="shared" si="95"/>
        <v>8.9685826755324278</v>
      </c>
      <c r="Y99" s="193">
        <f t="shared" si="95"/>
        <v>9.0269553983237003</v>
      </c>
      <c r="Z99" s="193">
        <f t="shared" si="95"/>
        <v>9.0853281211149746</v>
      </c>
      <c r="AA99" s="193">
        <f t="shared" si="95"/>
        <v>9.143700843906247</v>
      </c>
      <c r="AB99" s="193">
        <f t="shared" si="95"/>
        <v>9.2020735666975213</v>
      </c>
      <c r="AC99" s="193">
        <f t="shared" si="95"/>
        <v>9.2604462894887938</v>
      </c>
      <c r="AD99" s="193">
        <f t="shared" si="95"/>
        <v>9.318819012280068</v>
      </c>
      <c r="AE99" s="193">
        <f t="shared" si="95"/>
        <v>9.4355644578626148</v>
      </c>
      <c r="AF99" s="193">
        <f t="shared" si="95"/>
        <v>9.5523099034451615</v>
      </c>
      <c r="AG99" s="193">
        <f t="shared" si="95"/>
        <v>9.66905534902771</v>
      </c>
      <c r="AH99" s="193">
        <f t="shared" si="95"/>
        <v>9.7858007946102568</v>
      </c>
      <c r="AI99" s="193">
        <f t="shared" si="95"/>
        <v>9.9025462401928035</v>
      </c>
      <c r="AJ99" s="193">
        <f t="shared" si="95"/>
        <v>10.01929168577535</v>
      </c>
      <c r="AK99" s="193">
        <f t="shared" si="95"/>
        <v>10.136037131357897</v>
      </c>
      <c r="AL99" s="193">
        <f t="shared" si="95"/>
        <v>10.252782576940445</v>
      </c>
      <c r="AM99" s="193">
        <f t="shared" si="95"/>
        <v>10.36952802252299</v>
      </c>
      <c r="AN99" s="194">
        <f t="shared" si="95"/>
        <v>10.486273468105539</v>
      </c>
      <c r="AS99" s="124"/>
    </row>
    <row r="100" spans="2:49" ht="15.75" hidden="1" thickBot="1" x14ac:dyDescent="0.3">
      <c r="B100" s="242"/>
      <c r="C100" s="2"/>
      <c r="D100" s="43" t="s">
        <v>71</v>
      </c>
      <c r="E100" s="43"/>
      <c r="F100" s="229">
        <f>1.07*1.22*F93</f>
        <v>5.7889727824560007</v>
      </c>
      <c r="G100" s="136"/>
      <c r="I100" s="267"/>
      <c r="J100" s="259"/>
      <c r="K100" s="259"/>
      <c r="L100" s="257"/>
      <c r="M100" s="274"/>
      <c r="N100" s="106"/>
      <c r="O100" s="106"/>
      <c r="P100" s="236">
        <f t="shared" ref="P100:AN100" si="96">1.07*1.22*P93</f>
        <v>5.1442775912798284</v>
      </c>
      <c r="Q100" s="231">
        <f t="shared" si="96"/>
        <v>5.3059644076175596</v>
      </c>
      <c r="R100" s="231">
        <f t="shared" si="96"/>
        <v>5.4634706564897613</v>
      </c>
      <c r="S100" s="231">
        <f t="shared" si="96"/>
        <v>5.6171842801534373</v>
      </c>
      <c r="T100" s="231">
        <f t="shared" si="96"/>
        <v>5.7674440233872817</v>
      </c>
      <c r="U100" s="231">
        <f t="shared" si="96"/>
        <v>5.9145479197820849</v>
      </c>
      <c r="V100" s="231">
        <f t="shared" si="96"/>
        <v>6.0587599799714704</v>
      </c>
      <c r="W100" s="231">
        <f t="shared" si="96"/>
        <v>6.2003155268659711</v>
      </c>
      <c r="X100" s="231">
        <f t="shared" si="96"/>
        <v>6.3394254983103142</v>
      </c>
      <c r="Y100" s="231">
        <f t="shared" si="96"/>
        <v>6.476279951566652</v>
      </c>
      <c r="Z100" s="231">
        <f t="shared" si="96"/>
        <v>6.6110509436045692</v>
      </c>
      <c r="AA100" s="231">
        <f t="shared" si="96"/>
        <v>6.7438949180476158</v>
      </c>
      <c r="AB100" s="231">
        <f t="shared" si="96"/>
        <v>6.8749546983831769</v>
      </c>
      <c r="AC100" s="231">
        <f t="shared" si="96"/>
        <v>7.0043611641045151</v>
      </c>
      <c r="AD100" s="231">
        <f t="shared" si="96"/>
        <v>7.1322346694042542</v>
      </c>
      <c r="AE100" s="231">
        <f t="shared" si="96"/>
        <v>7.3838186636970615</v>
      </c>
      <c r="AF100" s="231">
        <f t="shared" si="96"/>
        <v>7.6305008058355392</v>
      </c>
      <c r="AG100" s="231">
        <f t="shared" si="96"/>
        <v>7.8729684566942035</v>
      </c>
      <c r="AH100" s="231">
        <f t="shared" si="96"/>
        <v>8.1118225007957374</v>
      </c>
      <c r="AI100" s="231">
        <f t="shared" si="96"/>
        <v>8.3475928989505839</v>
      </c>
      <c r="AJ100" s="231">
        <f t="shared" si="96"/>
        <v>8.5807507928981916</v>
      </c>
      <c r="AK100" s="231">
        <f t="shared" si="96"/>
        <v>8.8117180544762022</v>
      </c>
      <c r="AL100" s="231">
        <f t="shared" si="96"/>
        <v>9.0408749108023976</v>
      </c>
      <c r="AM100" s="231">
        <f t="shared" si="96"/>
        <v>9.2685661002643833</v>
      </c>
      <c r="AN100" s="232">
        <f t="shared" si="96"/>
        <v>9.4951058921463716</v>
      </c>
      <c r="AO100" s="3"/>
      <c r="AQ100"/>
      <c r="AR100" s="13"/>
      <c r="AS100" s="12"/>
      <c r="AT100" s="3"/>
      <c r="AU100" s="3"/>
      <c r="AV100" s="3"/>
      <c r="AW100" s="3"/>
    </row>
    <row r="101" spans="2:49" ht="15.75" hidden="1" thickBot="1" x14ac:dyDescent="0.3">
      <c r="B101" s="242"/>
      <c r="C101" s="2"/>
      <c r="D101" s="43" t="s">
        <v>72</v>
      </c>
      <c r="E101" s="43"/>
      <c r="F101" s="229">
        <f>1.07*1.22*F94</f>
        <v>11.141696056597192</v>
      </c>
      <c r="G101" s="136"/>
      <c r="I101" s="267"/>
      <c r="J101" s="259"/>
      <c r="K101" s="259"/>
      <c r="L101" s="259"/>
      <c r="M101" s="106"/>
      <c r="N101" s="106"/>
      <c r="O101" s="106"/>
      <c r="P101" s="236">
        <f t="shared" ref="P101:AN101" si="97">1.07*1.22*P94</f>
        <v>9.6471299201693039</v>
      </c>
      <c r="Q101" s="231">
        <f t="shared" si="97"/>
        <v>10.019022251877209</v>
      </c>
      <c r="R101" s="231">
        <f t="shared" si="97"/>
        <v>10.391473229451124</v>
      </c>
      <c r="S101" s="231">
        <f t="shared" si="97"/>
        <v>10.765417514087238</v>
      </c>
      <c r="T101" s="231">
        <f t="shared" si="97"/>
        <v>11.141696056597192</v>
      </c>
      <c r="U101" s="231">
        <f t="shared" si="97"/>
        <v>11.521071653912266</v>
      </c>
      <c r="V101" s="231">
        <f t="shared" si="97"/>
        <v>11.904241252939286</v>
      </c>
      <c r="W101" s="231">
        <f t="shared" si="97"/>
        <v>12.291845801911373</v>
      </c>
      <c r="X101" s="231">
        <f t="shared" si="97"/>
        <v>12.68447822605313</v>
      </c>
      <c r="Y101" s="231">
        <f t="shared" si="97"/>
        <v>13.082689950118084</v>
      </c>
      <c r="Z101" s="231">
        <f t="shared" si="97"/>
        <v>13.486996281890066</v>
      </c>
      <c r="AA101" s="231">
        <f t="shared" si="97"/>
        <v>13.897880893234078</v>
      </c>
      <c r="AB101" s="231">
        <f t="shared" si="97"/>
        <v>14.31579957907817</v>
      </c>
      <c r="AC101" s="231">
        <f t="shared" si="97"/>
        <v>14.741183433398085</v>
      </c>
      <c r="AD101" s="231">
        <f t="shared" si="97"/>
        <v>15.174441550535388</v>
      </c>
      <c r="AE101" s="231">
        <f t="shared" si="97"/>
        <v>16.066120501623683</v>
      </c>
      <c r="AF101" s="231">
        <f t="shared" si="97"/>
        <v>16.993749419222638</v>
      </c>
      <c r="AG101" s="231">
        <f t="shared" si="97"/>
        <v>17.96000812762162</v>
      </c>
      <c r="AH101" s="231">
        <f t="shared" si="97"/>
        <v>18.96738304175225</v>
      </c>
      <c r="AI101" s="231">
        <f t="shared" si="97"/>
        <v>20.018198005772749</v>
      </c>
      <c r="AJ101" s="231">
        <f t="shared" si="97"/>
        <v>21.114638593779581</v>
      </c>
      <c r="AK101" s="231">
        <f t="shared" si="97"/>
        <v>22.258771529038764</v>
      </c>
      <c r="AL101" s="231">
        <f t="shared" si="97"/>
        <v>23.452560399461166</v>
      </c>
      <c r="AM101" s="231">
        <f t="shared" si="97"/>
        <v>24.697878521908503</v>
      </c>
      <c r="AN101" s="232">
        <f t="shared" si="97"/>
        <v>25.996519582645757</v>
      </c>
      <c r="AO101" s="3"/>
      <c r="AQ101"/>
      <c r="AR101" s="13"/>
      <c r="AS101" s="12"/>
      <c r="AT101" s="3"/>
      <c r="AU101" s="3"/>
      <c r="AV101" s="3"/>
      <c r="AW101" s="3"/>
    </row>
    <row r="102" spans="2:49" ht="15.75" hidden="1" thickBot="1" x14ac:dyDescent="0.3">
      <c r="B102" s="242"/>
      <c r="C102" s="2"/>
      <c r="D102" s="43" t="s">
        <v>79</v>
      </c>
      <c r="E102" s="43"/>
      <c r="F102" s="229">
        <f>1.07*1.22*F95</f>
        <v>12.348492210848184</v>
      </c>
      <c r="G102" s="136"/>
      <c r="I102" s="267"/>
      <c r="J102" s="259"/>
      <c r="K102" s="259"/>
      <c r="L102" s="259"/>
      <c r="M102" s="106"/>
      <c r="N102" s="106"/>
      <c r="O102" s="106"/>
      <c r="P102" s="236">
        <f t="shared" ref="P102:AN102" si="98">1.07*1.22*P95</f>
        <v>10.932113086194049</v>
      </c>
      <c r="Q102" s="231">
        <f t="shared" si="98"/>
        <v>11.174189558317931</v>
      </c>
      <c r="R102" s="231">
        <f t="shared" si="98"/>
        <v>11.250389310649661</v>
      </c>
      <c r="S102" s="231">
        <f t="shared" si="98"/>
        <v>11.326589062981389</v>
      </c>
      <c r="T102" s="231">
        <f t="shared" si="98"/>
        <v>11.402788815313118</v>
      </c>
      <c r="U102" s="231">
        <f t="shared" si="98"/>
        <v>11.478988567644846</v>
      </c>
      <c r="V102" s="231">
        <f t="shared" si="98"/>
        <v>11.555188319976574</v>
      </c>
      <c r="W102" s="231">
        <f t="shared" si="98"/>
        <v>11.631388072308305</v>
      </c>
      <c r="X102" s="231">
        <f t="shared" si="98"/>
        <v>11.707587824640033</v>
      </c>
      <c r="Y102" s="231">
        <f t="shared" si="98"/>
        <v>11.783787576971759</v>
      </c>
      <c r="Z102" s="231">
        <f t="shared" si="98"/>
        <v>11.85998732930349</v>
      </c>
      <c r="AA102" s="231">
        <f t="shared" si="98"/>
        <v>11.936187081635216</v>
      </c>
      <c r="AB102" s="231">
        <f t="shared" si="98"/>
        <v>12.012386833966945</v>
      </c>
      <c r="AC102" s="231">
        <f t="shared" si="98"/>
        <v>12.088586586298673</v>
      </c>
      <c r="AD102" s="231">
        <f t="shared" si="98"/>
        <v>12.164786338630401</v>
      </c>
      <c r="AE102" s="231">
        <f t="shared" si="98"/>
        <v>12.317185843293858</v>
      </c>
      <c r="AF102" s="231">
        <f t="shared" si="98"/>
        <v>12.469585347957315</v>
      </c>
      <c r="AG102" s="231">
        <f t="shared" si="98"/>
        <v>12.621984852620773</v>
      </c>
      <c r="AH102" s="231">
        <f t="shared" si="98"/>
        <v>12.77438435728423</v>
      </c>
      <c r="AI102" s="231">
        <f t="shared" si="98"/>
        <v>12.926783861947687</v>
      </c>
      <c r="AJ102" s="231">
        <f t="shared" si="98"/>
        <v>13.079183366611144</v>
      </c>
      <c r="AK102" s="231">
        <f t="shared" si="98"/>
        <v>13.2315828712746</v>
      </c>
      <c r="AL102" s="231">
        <f t="shared" si="98"/>
        <v>13.383982375938059</v>
      </c>
      <c r="AM102" s="231">
        <f t="shared" si="98"/>
        <v>13.536381880601512</v>
      </c>
      <c r="AN102" s="232">
        <f t="shared" si="98"/>
        <v>13.688781385264972</v>
      </c>
      <c r="AO102" s="3"/>
      <c r="AQ102"/>
      <c r="AR102" s="13"/>
      <c r="AS102" s="12"/>
      <c r="AT102" s="3"/>
      <c r="AU102" s="3"/>
      <c r="AV102" s="3"/>
      <c r="AW102" s="3"/>
    </row>
    <row r="103" spans="2:49" ht="15.75" hidden="1" thickBot="1" x14ac:dyDescent="0.3">
      <c r="B103" s="242"/>
      <c r="C103" s="2"/>
      <c r="D103" s="43" t="s">
        <v>73</v>
      </c>
      <c r="E103" s="43"/>
      <c r="F103" s="229">
        <f>1.07*0.707*F93</f>
        <v>3.3547571780298298</v>
      </c>
      <c r="G103" s="136"/>
      <c r="I103" s="267"/>
      <c r="J103" s="259"/>
      <c r="K103" s="259"/>
      <c r="L103" s="259"/>
      <c r="M103" s="106"/>
      <c r="N103" s="106"/>
      <c r="O103" s="106"/>
      <c r="P103" s="236">
        <f t="shared" ref="P103:AN103" si="99">1.07*0.707*P93</f>
        <v>2.9811510303564246</v>
      </c>
      <c r="Q103" s="231">
        <f t="shared" si="99"/>
        <v>3.0748498657259131</v>
      </c>
      <c r="R103" s="231">
        <f t="shared" si="99"/>
        <v>3.1661260279821808</v>
      </c>
      <c r="S103" s="231">
        <f t="shared" si="99"/>
        <v>3.2552043328430162</v>
      </c>
      <c r="T103" s="231">
        <f t="shared" si="99"/>
        <v>3.3422810856842688</v>
      </c>
      <c r="U103" s="231">
        <f t="shared" si="99"/>
        <v>3.4275289994146996</v>
      </c>
      <c r="V103" s="231">
        <f t="shared" si="99"/>
        <v>3.5111010703605157</v>
      </c>
      <c r="W103" s="231">
        <f t="shared" si="99"/>
        <v>3.5931336700772469</v>
      </c>
      <c r="X103" s="231">
        <f t="shared" si="99"/>
        <v>3.6737490387749112</v>
      </c>
      <c r="Y103" s="231">
        <f t="shared" si="99"/>
        <v>3.7530573161947727</v>
      </c>
      <c r="Z103" s="231">
        <f t="shared" si="99"/>
        <v>3.8311582107610085</v>
      </c>
      <c r="AA103" s="231">
        <f t="shared" si="99"/>
        <v>3.90814238283579</v>
      </c>
      <c r="AB103" s="231">
        <f t="shared" si="99"/>
        <v>3.9840925998007424</v>
      </c>
      <c r="AC103" s="231">
        <f t="shared" si="99"/>
        <v>4.0590847073949936</v>
      </c>
      <c r="AD103" s="231">
        <f t="shared" si="99"/>
        <v>4.1331884518596782</v>
      </c>
      <c r="AE103" s="231">
        <f t="shared" si="99"/>
        <v>4.2789834387162475</v>
      </c>
      <c r="AF103" s="231">
        <f t="shared" si="99"/>
        <v>4.4219377620702671</v>
      </c>
      <c r="AG103" s="231">
        <f t="shared" si="99"/>
        <v>4.5624497531826238</v>
      </c>
      <c r="AH103" s="231">
        <f t="shared" si="99"/>
        <v>4.7008676295594958</v>
      </c>
      <c r="AI103" s="231">
        <f t="shared" si="99"/>
        <v>4.8374985078344777</v>
      </c>
      <c r="AJ103" s="231">
        <f t="shared" si="99"/>
        <v>4.9726154185073943</v>
      </c>
      <c r="AK103" s="231">
        <f t="shared" si="99"/>
        <v>5.1064628397661265</v>
      </c>
      <c r="AL103" s="231">
        <f t="shared" si="99"/>
        <v>5.2392611163420444</v>
      </c>
      <c r="AM103" s="231">
        <f t="shared" si="99"/>
        <v>5.3712100269564909</v>
      </c>
      <c r="AN103" s="232">
        <f t="shared" si="99"/>
        <v>5.5024916932356431</v>
      </c>
      <c r="AO103" s="3"/>
      <c r="AQ103"/>
      <c r="AR103" s="13"/>
      <c r="AS103" s="12"/>
      <c r="AT103" s="3"/>
      <c r="AU103" s="3"/>
      <c r="AV103" s="3"/>
      <c r="AW103" s="3"/>
    </row>
    <row r="104" spans="2:49" ht="15.75" hidden="1" thickBot="1" x14ac:dyDescent="0.3">
      <c r="B104" s="242"/>
      <c r="C104" s="2"/>
      <c r="D104" s="43" t="s">
        <v>74</v>
      </c>
      <c r="E104" s="43"/>
      <c r="F104" s="229">
        <f>1.07*0.707*F94</f>
        <v>6.4567041901755857</v>
      </c>
      <c r="G104" s="136"/>
      <c r="I104" s="267"/>
      <c r="J104" s="259"/>
      <c r="K104" s="259"/>
      <c r="L104" s="259"/>
      <c r="M104" s="106"/>
      <c r="N104" s="106"/>
      <c r="O104" s="106"/>
      <c r="P104" s="236">
        <f t="shared" ref="P104:AN104" si="100">1.07*0.707*P94</f>
        <v>5.5905908635735218</v>
      </c>
      <c r="Q104" s="231">
        <f t="shared" si="100"/>
        <v>5.8061055180960546</v>
      </c>
      <c r="R104" s="231">
        <f t="shared" si="100"/>
        <v>6.0219439124770036</v>
      </c>
      <c r="S104" s="231">
        <f t="shared" si="100"/>
        <v>6.2386476905407182</v>
      </c>
      <c r="T104" s="231">
        <f t="shared" si="100"/>
        <v>6.4567041901755857</v>
      </c>
      <c r="U104" s="231">
        <f t="shared" si="100"/>
        <v>6.6765554584557139</v>
      </c>
      <c r="V104" s="231">
        <f t="shared" si="100"/>
        <v>6.8986053818262905</v>
      </c>
      <c r="W104" s="231">
        <f t="shared" si="100"/>
        <v>7.1232253950420823</v>
      </c>
      <c r="X104" s="231">
        <f t="shared" si="100"/>
        <v>7.3507591031307893</v>
      </c>
      <c r="Y104" s="231">
        <f t="shared" si="100"/>
        <v>7.5815260612569544</v>
      </c>
      <c r="Z104" s="231">
        <f t="shared" si="100"/>
        <v>7.8158248945051438</v>
      </c>
      <c r="AA104" s="231">
        <f t="shared" si="100"/>
        <v>8.0539358946856492</v>
      </c>
      <c r="AB104" s="231">
        <f t="shared" si="100"/>
        <v>8.2961231986952999</v>
      </c>
      <c r="AC104" s="231">
        <f t="shared" si="100"/>
        <v>8.5426366290265943</v>
      </c>
      <c r="AD104" s="231">
        <f t="shared" si="100"/>
        <v>8.7937132592037042</v>
      </c>
      <c r="AE104" s="231">
        <f t="shared" si="100"/>
        <v>9.3104485202032308</v>
      </c>
      <c r="AF104" s="231">
        <f t="shared" si="100"/>
        <v>9.8480170814675443</v>
      </c>
      <c r="AG104" s="231">
        <f t="shared" si="100"/>
        <v>10.407971923138101</v>
      </c>
      <c r="AH104" s="231">
        <f t="shared" si="100"/>
        <v>10.991753943048229</v>
      </c>
      <c r="AI104" s="231">
        <f t="shared" si="100"/>
        <v>11.600709827935519</v>
      </c>
      <c r="AJ104" s="231">
        <f t="shared" si="100"/>
        <v>12.236106135903412</v>
      </c>
      <c r="AK104" s="231">
        <f t="shared" si="100"/>
        <v>12.899140550024923</v>
      </c>
      <c r="AL104" s="231">
        <f t="shared" si="100"/>
        <v>13.59095098558938</v>
      </c>
      <c r="AM104" s="231">
        <f t="shared" si="100"/>
        <v>14.312623045073206</v>
      </c>
      <c r="AN104" s="232">
        <f t="shared" si="100"/>
        <v>15.065196184369302</v>
      </c>
      <c r="AO104" s="3"/>
      <c r="AQ104"/>
      <c r="AR104" s="13"/>
      <c r="AS104" s="12"/>
      <c r="AT104" s="3"/>
      <c r="AU104" s="3"/>
      <c r="AV104" s="3"/>
      <c r="AW104" s="3"/>
    </row>
    <row r="105" spans="2:49" ht="15.75" hidden="1" thickBot="1" x14ac:dyDescent="0.3">
      <c r="B105" s="242"/>
      <c r="C105" s="2"/>
      <c r="D105" s="43" t="s">
        <v>80</v>
      </c>
      <c r="E105" s="43"/>
      <c r="F105" s="229">
        <f>1.07*0.707*F95</f>
        <v>7.1560524533357919</v>
      </c>
      <c r="G105" s="136"/>
      <c r="I105" s="267"/>
      <c r="J105" s="259"/>
      <c r="K105" s="259"/>
      <c r="L105" s="259"/>
      <c r="M105" s="106"/>
      <c r="N105" s="106"/>
      <c r="O105" s="106"/>
      <c r="P105" s="236">
        <f t="shared" ref="P105:AN105" si="101">1.07*0.707*P95</f>
        <v>6.3352491409337635</v>
      </c>
      <c r="Q105" s="231">
        <f t="shared" si="101"/>
        <v>6.4755344407629316</v>
      </c>
      <c r="R105" s="231">
        <f t="shared" si="101"/>
        <v>6.5196928218273023</v>
      </c>
      <c r="S105" s="231">
        <f t="shared" si="101"/>
        <v>6.5638512028916738</v>
      </c>
      <c r="T105" s="231">
        <f t="shared" si="101"/>
        <v>6.6080095839560435</v>
      </c>
      <c r="U105" s="231">
        <f t="shared" si="101"/>
        <v>6.6521679650204142</v>
      </c>
      <c r="V105" s="231">
        <f t="shared" si="101"/>
        <v>6.6963263460847839</v>
      </c>
      <c r="W105" s="231">
        <f t="shared" si="101"/>
        <v>6.7404847271491564</v>
      </c>
      <c r="X105" s="231">
        <f t="shared" si="101"/>
        <v>6.7846431082135261</v>
      </c>
      <c r="Y105" s="231">
        <f t="shared" si="101"/>
        <v>6.8288014892778959</v>
      </c>
      <c r="Z105" s="231">
        <f t="shared" si="101"/>
        <v>6.8729598703422674</v>
      </c>
      <c r="AA105" s="231">
        <f t="shared" si="101"/>
        <v>6.9171182514066372</v>
      </c>
      <c r="AB105" s="231">
        <f t="shared" si="101"/>
        <v>6.9612766324710078</v>
      </c>
      <c r="AC105" s="231">
        <f t="shared" si="101"/>
        <v>7.0054350135353776</v>
      </c>
      <c r="AD105" s="231">
        <f t="shared" si="101"/>
        <v>7.0495933945997482</v>
      </c>
      <c r="AE105" s="231">
        <f t="shared" si="101"/>
        <v>7.1379101567284895</v>
      </c>
      <c r="AF105" s="231">
        <f t="shared" si="101"/>
        <v>7.2262269188572299</v>
      </c>
      <c r="AG105" s="231">
        <f t="shared" si="101"/>
        <v>7.3145436809859721</v>
      </c>
      <c r="AH105" s="231">
        <f t="shared" si="101"/>
        <v>7.4028604431147134</v>
      </c>
      <c r="AI105" s="231">
        <f t="shared" si="101"/>
        <v>7.4911772052434538</v>
      </c>
      <c r="AJ105" s="231">
        <f t="shared" si="101"/>
        <v>7.5794939673721951</v>
      </c>
      <c r="AK105" s="231">
        <f t="shared" si="101"/>
        <v>7.6678107295009355</v>
      </c>
      <c r="AL105" s="231">
        <f t="shared" si="101"/>
        <v>7.7561274916296776</v>
      </c>
      <c r="AM105" s="231">
        <f t="shared" si="101"/>
        <v>7.8444442537584171</v>
      </c>
      <c r="AN105" s="232">
        <f t="shared" si="101"/>
        <v>7.9327610158871593</v>
      </c>
      <c r="AO105" s="3"/>
      <c r="AQ105"/>
      <c r="AR105" s="13"/>
      <c r="AS105" s="12"/>
      <c r="AT105" s="3"/>
      <c r="AU105" s="3"/>
      <c r="AV105" s="3"/>
      <c r="AW105" s="3"/>
    </row>
    <row r="106" spans="2:49" x14ac:dyDescent="0.25">
      <c r="B106" s="142"/>
      <c r="C106" s="243"/>
      <c r="D106" s="239" t="s">
        <v>56</v>
      </c>
      <c r="E106" s="239"/>
      <c r="F106" s="220">
        <f>F100</f>
        <v>5.7889727824560007</v>
      </c>
      <c r="G106" s="215" t="s">
        <v>32</v>
      </c>
      <c r="I106" s="15"/>
      <c r="J106"/>
      <c r="K106"/>
      <c r="L106"/>
      <c r="M106"/>
      <c r="N106"/>
      <c r="O106"/>
      <c r="P106" s="195">
        <f t="shared" ref="P106:AN106" si="102">P100</f>
        <v>5.1442775912798284</v>
      </c>
      <c r="Q106" s="184">
        <f t="shared" si="102"/>
        <v>5.3059644076175596</v>
      </c>
      <c r="R106" s="184">
        <f t="shared" si="102"/>
        <v>5.4634706564897613</v>
      </c>
      <c r="S106" s="184">
        <f t="shared" si="102"/>
        <v>5.6171842801534373</v>
      </c>
      <c r="T106" s="184">
        <f t="shared" si="102"/>
        <v>5.7674440233872817</v>
      </c>
      <c r="U106" s="184">
        <f t="shared" si="102"/>
        <v>5.9145479197820849</v>
      </c>
      <c r="V106" s="184">
        <f t="shared" si="102"/>
        <v>6.0587599799714704</v>
      </c>
      <c r="W106" s="184">
        <f t="shared" si="102"/>
        <v>6.2003155268659711</v>
      </c>
      <c r="X106" s="184">
        <f t="shared" si="102"/>
        <v>6.3394254983103142</v>
      </c>
      <c r="Y106" s="184">
        <f t="shared" si="102"/>
        <v>6.476279951566652</v>
      </c>
      <c r="Z106" s="184">
        <f t="shared" si="102"/>
        <v>6.6110509436045692</v>
      </c>
      <c r="AA106" s="184">
        <f t="shared" si="102"/>
        <v>6.7438949180476158</v>
      </c>
      <c r="AB106" s="184">
        <f t="shared" si="102"/>
        <v>6.8749546983831769</v>
      </c>
      <c r="AC106" s="184">
        <f t="shared" si="102"/>
        <v>7.0043611641045151</v>
      </c>
      <c r="AD106" s="184">
        <f t="shared" si="102"/>
        <v>7.1322346694042542</v>
      </c>
      <c r="AE106" s="184">
        <f t="shared" si="102"/>
        <v>7.3838186636970615</v>
      </c>
      <c r="AF106" s="184">
        <f t="shared" si="102"/>
        <v>7.6305008058355392</v>
      </c>
      <c r="AG106" s="184">
        <f t="shared" si="102"/>
        <v>7.8729684566942035</v>
      </c>
      <c r="AH106" s="184">
        <f t="shared" si="102"/>
        <v>8.1118225007957374</v>
      </c>
      <c r="AI106" s="184">
        <f t="shared" si="102"/>
        <v>8.3475928989505839</v>
      </c>
      <c r="AJ106" s="184">
        <f t="shared" si="102"/>
        <v>8.5807507928981916</v>
      </c>
      <c r="AK106" s="184">
        <f t="shared" si="102"/>
        <v>8.8117180544762022</v>
      </c>
      <c r="AL106" s="184">
        <f t="shared" si="102"/>
        <v>9.0408749108023976</v>
      </c>
      <c r="AM106" s="184">
        <f t="shared" si="102"/>
        <v>9.2685661002643833</v>
      </c>
      <c r="AN106" s="185">
        <f t="shared" si="102"/>
        <v>9.4951058921463716</v>
      </c>
      <c r="AO106" s="12"/>
      <c r="AP106" s="3"/>
      <c r="AQ106" s="3"/>
      <c r="AR106" s="3"/>
      <c r="AS106" s="129"/>
    </row>
    <row r="107" spans="2:49" x14ac:dyDescent="0.25">
      <c r="B107" s="141"/>
      <c r="C107" s="244" t="s">
        <v>67</v>
      </c>
      <c r="D107" s="253" t="s">
        <v>57</v>
      </c>
      <c r="E107" s="253"/>
      <c r="F107" s="221">
        <f>IF(F101&lt;F102,F101,F102)</f>
        <v>11.141696056597192</v>
      </c>
      <c r="G107" s="216" t="s">
        <v>32</v>
      </c>
      <c r="I107" s="227"/>
      <c r="J107" s="131"/>
      <c r="K107" s="131"/>
      <c r="L107" s="131"/>
      <c r="M107" s="131"/>
      <c r="N107" s="131"/>
      <c r="O107" s="131"/>
      <c r="P107" s="190">
        <f t="shared" ref="P107:AN107" si="103">IF(P101&lt;P102,P101,P102)</f>
        <v>9.6471299201693039</v>
      </c>
      <c r="Q107" s="179">
        <f t="shared" si="103"/>
        <v>10.019022251877209</v>
      </c>
      <c r="R107" s="179">
        <f t="shared" si="103"/>
        <v>10.391473229451124</v>
      </c>
      <c r="S107" s="179">
        <f t="shared" si="103"/>
        <v>10.765417514087238</v>
      </c>
      <c r="T107" s="179">
        <f t="shared" si="103"/>
        <v>11.141696056597192</v>
      </c>
      <c r="U107" s="179">
        <f t="shared" si="103"/>
        <v>11.478988567644846</v>
      </c>
      <c r="V107" s="179">
        <f t="shared" si="103"/>
        <v>11.555188319976574</v>
      </c>
      <c r="W107" s="179">
        <f t="shared" si="103"/>
        <v>11.631388072308305</v>
      </c>
      <c r="X107" s="179">
        <f t="shared" si="103"/>
        <v>11.707587824640033</v>
      </c>
      <c r="Y107" s="179">
        <f t="shared" si="103"/>
        <v>11.783787576971759</v>
      </c>
      <c r="Z107" s="179">
        <f t="shared" si="103"/>
        <v>11.85998732930349</v>
      </c>
      <c r="AA107" s="179">
        <f t="shared" si="103"/>
        <v>11.936187081635216</v>
      </c>
      <c r="AB107" s="179">
        <f t="shared" si="103"/>
        <v>12.012386833966945</v>
      </c>
      <c r="AC107" s="179">
        <f t="shared" si="103"/>
        <v>12.088586586298673</v>
      </c>
      <c r="AD107" s="179">
        <f t="shared" si="103"/>
        <v>12.164786338630401</v>
      </c>
      <c r="AE107" s="179">
        <f t="shared" si="103"/>
        <v>12.317185843293858</v>
      </c>
      <c r="AF107" s="179">
        <f t="shared" si="103"/>
        <v>12.469585347957315</v>
      </c>
      <c r="AG107" s="179">
        <f t="shared" si="103"/>
        <v>12.621984852620773</v>
      </c>
      <c r="AH107" s="179">
        <f t="shared" si="103"/>
        <v>12.77438435728423</v>
      </c>
      <c r="AI107" s="179">
        <f t="shared" si="103"/>
        <v>12.926783861947687</v>
      </c>
      <c r="AJ107" s="179">
        <f t="shared" si="103"/>
        <v>13.079183366611144</v>
      </c>
      <c r="AK107" s="179">
        <f t="shared" si="103"/>
        <v>13.2315828712746</v>
      </c>
      <c r="AL107" s="179">
        <f t="shared" si="103"/>
        <v>13.383982375938059</v>
      </c>
      <c r="AM107" s="179">
        <f t="shared" si="103"/>
        <v>13.536381880601512</v>
      </c>
      <c r="AN107" s="180">
        <f t="shared" si="103"/>
        <v>13.688781385264972</v>
      </c>
      <c r="AS107" s="124"/>
    </row>
    <row r="108" spans="2:49" x14ac:dyDescent="0.25">
      <c r="B108" s="142"/>
      <c r="C108" s="243" t="s">
        <v>68</v>
      </c>
      <c r="D108" s="252" t="s">
        <v>60</v>
      </c>
      <c r="E108" s="252"/>
      <c r="F108" s="222">
        <f>F103</f>
        <v>3.3547571780298298</v>
      </c>
      <c r="G108" s="217" t="s">
        <v>32</v>
      </c>
      <c r="I108" s="228"/>
      <c r="J108" s="52"/>
      <c r="K108" s="52"/>
      <c r="L108" s="52"/>
      <c r="M108" s="52"/>
      <c r="N108" s="52"/>
      <c r="O108" s="52"/>
      <c r="P108" s="191">
        <f t="shared" ref="P108:AN108" si="104">P103</f>
        <v>2.9811510303564246</v>
      </c>
      <c r="Q108" s="182">
        <f t="shared" si="104"/>
        <v>3.0748498657259131</v>
      </c>
      <c r="R108" s="182">
        <f t="shared" si="104"/>
        <v>3.1661260279821808</v>
      </c>
      <c r="S108" s="182">
        <f t="shared" si="104"/>
        <v>3.2552043328430162</v>
      </c>
      <c r="T108" s="182">
        <f t="shared" si="104"/>
        <v>3.3422810856842688</v>
      </c>
      <c r="U108" s="182">
        <f t="shared" si="104"/>
        <v>3.4275289994146996</v>
      </c>
      <c r="V108" s="182">
        <f t="shared" si="104"/>
        <v>3.5111010703605157</v>
      </c>
      <c r="W108" s="182">
        <f t="shared" si="104"/>
        <v>3.5931336700772469</v>
      </c>
      <c r="X108" s="182">
        <f t="shared" si="104"/>
        <v>3.6737490387749112</v>
      </c>
      <c r="Y108" s="182">
        <f t="shared" si="104"/>
        <v>3.7530573161947727</v>
      </c>
      <c r="Z108" s="182">
        <f t="shared" si="104"/>
        <v>3.8311582107610085</v>
      </c>
      <c r="AA108" s="182">
        <f t="shared" si="104"/>
        <v>3.90814238283579</v>
      </c>
      <c r="AB108" s="182">
        <f t="shared" si="104"/>
        <v>3.9840925998007424</v>
      </c>
      <c r="AC108" s="182">
        <f t="shared" si="104"/>
        <v>4.0590847073949936</v>
      </c>
      <c r="AD108" s="182">
        <f t="shared" si="104"/>
        <v>4.1331884518596782</v>
      </c>
      <c r="AE108" s="182">
        <f t="shared" si="104"/>
        <v>4.2789834387162475</v>
      </c>
      <c r="AF108" s="182">
        <f t="shared" si="104"/>
        <v>4.4219377620702671</v>
      </c>
      <c r="AG108" s="182">
        <f t="shared" si="104"/>
        <v>4.5624497531826238</v>
      </c>
      <c r="AH108" s="182">
        <f t="shared" si="104"/>
        <v>4.7008676295594958</v>
      </c>
      <c r="AI108" s="182">
        <f t="shared" si="104"/>
        <v>4.8374985078344777</v>
      </c>
      <c r="AJ108" s="182">
        <f t="shared" si="104"/>
        <v>4.9726154185073943</v>
      </c>
      <c r="AK108" s="182">
        <f t="shared" si="104"/>
        <v>5.1064628397661265</v>
      </c>
      <c r="AL108" s="182">
        <f t="shared" si="104"/>
        <v>5.2392611163420444</v>
      </c>
      <c r="AM108" s="182">
        <f t="shared" si="104"/>
        <v>5.3712100269564909</v>
      </c>
      <c r="AN108" s="183">
        <f t="shared" si="104"/>
        <v>5.5024916932356431</v>
      </c>
      <c r="AO108"/>
      <c r="AP108"/>
      <c r="AQ108"/>
      <c r="AR108"/>
      <c r="AS108" s="136"/>
    </row>
    <row r="109" spans="2:49" ht="15.75" thickBot="1" x14ac:dyDescent="0.3">
      <c r="B109" s="143"/>
      <c r="C109" s="248"/>
      <c r="D109" s="238" t="s">
        <v>61</v>
      </c>
      <c r="E109" s="238"/>
      <c r="F109" s="223">
        <f t="shared" ref="F109" si="105">IF(F104&lt;F105,F104,F105)</f>
        <v>6.4567041901755857</v>
      </c>
      <c r="G109" s="130" t="s">
        <v>32</v>
      </c>
      <c r="I109" s="15"/>
      <c r="J109"/>
      <c r="K109"/>
      <c r="L109"/>
      <c r="M109"/>
      <c r="N109"/>
      <c r="O109"/>
      <c r="P109" s="196">
        <f t="shared" ref="P109:AN109" si="106">IF(P104&lt;P105,P104,P105)</f>
        <v>5.5905908635735218</v>
      </c>
      <c r="Q109" s="187">
        <f t="shared" si="106"/>
        <v>5.8061055180960546</v>
      </c>
      <c r="R109" s="187">
        <f t="shared" si="106"/>
        <v>6.0219439124770036</v>
      </c>
      <c r="S109" s="187">
        <f t="shared" si="106"/>
        <v>6.2386476905407182</v>
      </c>
      <c r="T109" s="187">
        <f t="shared" si="106"/>
        <v>6.4567041901755857</v>
      </c>
      <c r="U109" s="187">
        <f t="shared" si="106"/>
        <v>6.6521679650204142</v>
      </c>
      <c r="V109" s="187">
        <f t="shared" si="106"/>
        <v>6.6963263460847839</v>
      </c>
      <c r="W109" s="187">
        <f t="shared" si="106"/>
        <v>6.7404847271491564</v>
      </c>
      <c r="X109" s="187">
        <f t="shared" si="106"/>
        <v>6.7846431082135261</v>
      </c>
      <c r="Y109" s="187">
        <f t="shared" si="106"/>
        <v>6.8288014892778959</v>
      </c>
      <c r="Z109" s="187">
        <f t="shared" si="106"/>
        <v>6.8729598703422674</v>
      </c>
      <c r="AA109" s="187">
        <f t="shared" si="106"/>
        <v>6.9171182514066372</v>
      </c>
      <c r="AB109" s="187">
        <f t="shared" si="106"/>
        <v>6.9612766324710078</v>
      </c>
      <c r="AC109" s="187">
        <f t="shared" si="106"/>
        <v>7.0054350135353776</v>
      </c>
      <c r="AD109" s="187">
        <f t="shared" si="106"/>
        <v>7.0495933945997482</v>
      </c>
      <c r="AE109" s="187">
        <f t="shared" si="106"/>
        <v>7.1379101567284895</v>
      </c>
      <c r="AF109" s="187">
        <f t="shared" si="106"/>
        <v>7.2262269188572299</v>
      </c>
      <c r="AG109" s="187">
        <f t="shared" si="106"/>
        <v>7.3145436809859721</v>
      </c>
      <c r="AH109" s="187">
        <f t="shared" si="106"/>
        <v>7.4028604431147134</v>
      </c>
      <c r="AI109" s="187">
        <f t="shared" si="106"/>
        <v>7.4911772052434538</v>
      </c>
      <c r="AJ109" s="187">
        <f t="shared" si="106"/>
        <v>7.5794939673721951</v>
      </c>
      <c r="AK109" s="187">
        <f t="shared" si="106"/>
        <v>7.6678107295009355</v>
      </c>
      <c r="AL109" s="187">
        <f t="shared" si="106"/>
        <v>7.7561274916296776</v>
      </c>
      <c r="AM109" s="187">
        <f t="shared" si="106"/>
        <v>7.8444442537584171</v>
      </c>
      <c r="AN109" s="188">
        <f t="shared" si="106"/>
        <v>7.9327610158871593</v>
      </c>
      <c r="AO109" s="121"/>
      <c r="AP109" s="121"/>
      <c r="AQ109" s="121"/>
      <c r="AR109" s="121"/>
      <c r="AS109" s="130"/>
    </row>
    <row r="110" spans="2:49" ht="15.75" thickTop="1" x14ac:dyDescent="0.25">
      <c r="B110" s="139"/>
      <c r="C110" s="139"/>
      <c r="D110" s="125" t="s">
        <v>22</v>
      </c>
      <c r="E110" s="125"/>
      <c r="F110" s="218">
        <f>1.359*10^-3*(F$16/($C$16*10^-3*$B128*10^-3)*(0.507*0.171))^2.0302</f>
        <v>4.6693234774274881</v>
      </c>
      <c r="G110" s="149" t="s">
        <v>6</v>
      </c>
      <c r="I110" s="263"/>
      <c r="J110" s="75"/>
      <c r="K110" s="75"/>
      <c r="L110" s="75"/>
      <c r="M110" s="75"/>
      <c r="N110" s="75"/>
      <c r="O110" s="75"/>
      <c r="P110" s="75"/>
      <c r="Q110" s="75"/>
      <c r="R110" s="170"/>
      <c r="S110" s="205">
        <f t="shared" ref="S110:AS110" si="107">1.359*10^-3*(S$16/($C$16*10^-3*$B128*10^-3)*(0.507*0.171))^2.0302</f>
        <v>4.2075416636754079</v>
      </c>
      <c r="T110" s="206">
        <f t="shared" si="107"/>
        <v>4.6693234774274881</v>
      </c>
      <c r="U110" s="206">
        <f t="shared" si="107"/>
        <v>5.1555200078149515</v>
      </c>
      <c r="V110" s="206">
        <f t="shared" si="107"/>
        <v>5.6661672694179828</v>
      </c>
      <c r="W110" s="206">
        <f t="shared" si="107"/>
        <v>6.201299649368778</v>
      </c>
      <c r="X110" s="206">
        <f t="shared" si="107"/>
        <v>6.7609500501470148</v>
      </c>
      <c r="Y110" s="206">
        <f t="shared" si="107"/>
        <v>7.3451500142828001</v>
      </c>
      <c r="Z110" s="206">
        <f t="shared" si="107"/>
        <v>7.953929833907174</v>
      </c>
      <c r="AA110" s="206">
        <f t="shared" si="107"/>
        <v>8.5873186475154402</v>
      </c>
      <c r="AB110" s="206">
        <f t="shared" si="107"/>
        <v>9.2453445258637874</v>
      </c>
      <c r="AC110" s="206">
        <f t="shared" si="107"/>
        <v>9.9280345485715191</v>
      </c>
      <c r="AD110" s="206">
        <f t="shared" si="107"/>
        <v>10.635414872726335</v>
      </c>
      <c r="AE110" s="206">
        <f t="shared" si="107"/>
        <v>12.124346805174628</v>
      </c>
      <c r="AF110" s="206">
        <f t="shared" si="107"/>
        <v>13.712333328929727</v>
      </c>
      <c r="AG110" s="206">
        <f t="shared" si="107"/>
        <v>15.39955607374389</v>
      </c>
      <c r="AH110" s="206">
        <f t="shared" si="107"/>
        <v>17.186186578342035</v>
      </c>
      <c r="AI110" s="206">
        <f t="shared" si="107"/>
        <v>19.072387368257893</v>
      </c>
      <c r="AJ110" s="206">
        <f t="shared" si="107"/>
        <v>21.058312868917678</v>
      </c>
      <c r="AK110" s="206">
        <f t="shared" si="107"/>
        <v>23.144110186005435</v>
      </c>
      <c r="AL110" s="206">
        <f t="shared" si="107"/>
        <v>25.329919777707222</v>
      </c>
      <c r="AM110" s="280">
        <f t="shared" si="107"/>
        <v>27.615876037975561</v>
      </c>
      <c r="AN110" s="206">
        <f t="shared" si="107"/>
        <v>30.002107805892972</v>
      </c>
      <c r="AO110" s="206">
        <f t="shared" si="107"/>
        <v>32.488738813143534</v>
      </c>
      <c r="AP110" s="206">
        <f t="shared" si="107"/>
        <v>35.075888079253843</v>
      </c>
      <c r="AQ110" s="206">
        <f t="shared" si="107"/>
        <v>37.763670262447576</v>
      </c>
      <c r="AR110" s="206">
        <f t="shared" si="107"/>
        <v>40.552195972536133</v>
      </c>
      <c r="AS110" s="212">
        <f t="shared" si="107"/>
        <v>43.441572051144725</v>
      </c>
    </row>
    <row r="111" spans="2:49" x14ac:dyDescent="0.25">
      <c r="B111" s="147" t="s">
        <v>38</v>
      </c>
      <c r="C111" s="147" t="s">
        <v>117</v>
      </c>
      <c r="D111" s="132" t="s">
        <v>46</v>
      </c>
      <c r="E111" s="132"/>
      <c r="F111" s="229">
        <f>IF(-114.08+32.01*LN(F$16/($C$16*$B128)*(507*171))+10*LOG($C$16*$B128/(507*171))&lt;15,"&lt;15",-114.08+32.01*LN(F$16/($C$16*$B128)*(507*171))+10*LOG($C$16*$B128/(507*171)))</f>
        <v>19.887706130135083</v>
      </c>
      <c r="G111" s="136" t="s">
        <v>49</v>
      </c>
      <c r="I111" s="15"/>
      <c r="J111"/>
      <c r="K111"/>
      <c r="L111"/>
      <c r="M111"/>
      <c r="N111"/>
      <c r="O111"/>
      <c r="P111"/>
      <c r="Q111"/>
      <c r="R111" s="171"/>
      <c r="S111" s="236">
        <f t="shared" ref="S111:AS111" si="108">IF(-114.08+32.01*LN(S$16/($C$16*$B128)*(507*171))+10*LOG($C$16*$B128/(507*171))&lt;15,"&lt;15",-114.08+32.01*LN(S$16/($C$16*$B128)*(507*171))+10*LOG($C$16*$B128/(507*171)))</f>
        <v>18.245807776789587</v>
      </c>
      <c r="T111" s="231">
        <f t="shared" si="108"/>
        <v>19.887706130135083</v>
      </c>
      <c r="U111" s="231">
        <f t="shared" si="108"/>
        <v>21.449479285198603</v>
      </c>
      <c r="V111" s="231">
        <f t="shared" si="108"/>
        <v>22.93858498567155</v>
      </c>
      <c r="W111" s="231">
        <f t="shared" si="108"/>
        <v>24.361485905563907</v>
      </c>
      <c r="X111" s="231">
        <f t="shared" si="108"/>
        <v>25.723819163109564</v>
      </c>
      <c r="Y111" s="231">
        <f t="shared" si="108"/>
        <v>27.030531207702946</v>
      </c>
      <c r="Z111" s="231">
        <f t="shared" si="108"/>
        <v>28.285986235739468</v>
      </c>
      <c r="AA111" s="231">
        <f t="shared" si="108"/>
        <v>29.494054134470414</v>
      </c>
      <c r="AB111" s="231">
        <f t="shared" si="108"/>
        <v>30.658182424380097</v>
      </c>
      <c r="AC111" s="231">
        <f t="shared" si="108"/>
        <v>31.781455571538853</v>
      </c>
      <c r="AD111" s="231">
        <f t="shared" si="108"/>
        <v>32.866644240677431</v>
      </c>
      <c r="AE111" s="231">
        <f t="shared" si="108"/>
        <v>34.932522302291062</v>
      </c>
      <c r="AF111" s="231">
        <f t="shared" si="108"/>
        <v>36.87311644663518</v>
      </c>
      <c r="AG111" s="231">
        <f t="shared" si="108"/>
        <v>38.702757273651912</v>
      </c>
      <c r="AH111" s="231">
        <f t="shared" si="108"/>
        <v>40.433449026513443</v>
      </c>
      <c r="AI111" s="231">
        <f t="shared" si="108"/>
        <v>42.075347379858925</v>
      </c>
      <c r="AJ111" s="231">
        <f t="shared" si="108"/>
        <v>43.637120534922445</v>
      </c>
      <c r="AK111" s="231">
        <f t="shared" si="108"/>
        <v>45.126226235395364</v>
      </c>
      <c r="AL111" s="231">
        <f t="shared" si="108"/>
        <v>46.549127155287778</v>
      </c>
      <c r="AM111" s="270">
        <f t="shared" si="108"/>
        <v>47.911460412833435</v>
      </c>
      <c r="AN111" s="231">
        <f t="shared" si="108"/>
        <v>49.218172457426817</v>
      </c>
      <c r="AO111" s="231">
        <f t="shared" si="108"/>
        <v>50.473627485463311</v>
      </c>
      <c r="AP111" s="231">
        <f t="shared" si="108"/>
        <v>51.681695384194256</v>
      </c>
      <c r="AQ111" s="231">
        <f t="shared" si="108"/>
        <v>52.84582367410394</v>
      </c>
      <c r="AR111" s="231">
        <f t="shared" si="108"/>
        <v>53.969096821262724</v>
      </c>
      <c r="AS111" s="233">
        <f t="shared" si="108"/>
        <v>55.05428549040127</v>
      </c>
    </row>
    <row r="112" spans="2:49" x14ac:dyDescent="0.25">
      <c r="B112" s="242" t="s">
        <v>33</v>
      </c>
      <c r="C112" s="242" t="s">
        <v>35</v>
      </c>
      <c r="D112" s="132" t="s">
        <v>23</v>
      </c>
      <c r="E112" s="132"/>
      <c r="F112" s="229" t="str">
        <f>IF(-15-114.08+32.01*LN(F$16/($C$16*$B128)*(507*171))+10*LOG($C$16*$B128/(507*171))&lt;5,"&lt;5",-15-114.08+32.01*LN(F$16/($C$16*$B128)*(507*171))+10*LOG($C$16*$B128/(507*171)))</f>
        <v>&lt;5</v>
      </c>
      <c r="G112" s="136" t="s">
        <v>42</v>
      </c>
      <c r="I112" s="15"/>
      <c r="J112"/>
      <c r="K112"/>
      <c r="L112"/>
      <c r="M112"/>
      <c r="N112"/>
      <c r="O112"/>
      <c r="P112"/>
      <c r="Q112"/>
      <c r="R112" s="171"/>
      <c r="S112" s="236" t="str">
        <f t="shared" ref="S112:AS112" si="109">IF(-15-114.08+32.01*LN(S$16/($C$16*$B128)*(507*171))+10*LOG($C$16*$B128/(507*171))&lt;5,"&lt;5",-15-114.08+32.01*LN(S$16/($C$16*$B128)*(507*171))+10*LOG($C$16*$B128/(507*171)))</f>
        <v>&lt;5</v>
      </c>
      <c r="T112" s="231" t="str">
        <f t="shared" si="109"/>
        <v>&lt;5</v>
      </c>
      <c r="U112" s="231">
        <f t="shared" si="109"/>
        <v>6.4494792851986169</v>
      </c>
      <c r="V112" s="231">
        <f t="shared" si="109"/>
        <v>7.9385849856715645</v>
      </c>
      <c r="W112" s="231">
        <f t="shared" si="109"/>
        <v>9.3614859055639208</v>
      </c>
      <c r="X112" s="231">
        <f t="shared" si="109"/>
        <v>10.723819163109578</v>
      </c>
      <c r="Y112" s="231">
        <f t="shared" si="109"/>
        <v>12.03053120770296</v>
      </c>
      <c r="Z112" s="231">
        <f t="shared" si="109"/>
        <v>13.285986235739482</v>
      </c>
      <c r="AA112" s="231">
        <f t="shared" si="109"/>
        <v>14.494054134470428</v>
      </c>
      <c r="AB112" s="231">
        <f t="shared" si="109"/>
        <v>15.658182424380112</v>
      </c>
      <c r="AC112" s="231">
        <f t="shared" si="109"/>
        <v>16.781455571538867</v>
      </c>
      <c r="AD112" s="231">
        <f t="shared" si="109"/>
        <v>17.866644240677442</v>
      </c>
      <c r="AE112" s="231">
        <f t="shared" si="109"/>
        <v>19.932522302291073</v>
      </c>
      <c r="AF112" s="231">
        <f t="shared" si="109"/>
        <v>21.873116446635191</v>
      </c>
      <c r="AG112" s="231">
        <f t="shared" si="109"/>
        <v>23.702757273651923</v>
      </c>
      <c r="AH112" s="231">
        <f t="shared" si="109"/>
        <v>25.433449026513454</v>
      </c>
      <c r="AI112" s="231">
        <f t="shared" si="109"/>
        <v>27.075347379858936</v>
      </c>
      <c r="AJ112" s="231">
        <f t="shared" si="109"/>
        <v>28.637120534922456</v>
      </c>
      <c r="AK112" s="231">
        <f t="shared" si="109"/>
        <v>30.126226235395375</v>
      </c>
      <c r="AL112" s="231">
        <f t="shared" si="109"/>
        <v>31.549127155287788</v>
      </c>
      <c r="AM112" s="270">
        <f t="shared" si="109"/>
        <v>32.911460412833449</v>
      </c>
      <c r="AN112" s="231">
        <f t="shared" si="109"/>
        <v>34.218172457426832</v>
      </c>
      <c r="AO112" s="231">
        <f t="shared" si="109"/>
        <v>35.473627485463325</v>
      </c>
      <c r="AP112" s="231">
        <f t="shared" si="109"/>
        <v>36.681695384194271</v>
      </c>
      <c r="AQ112" s="231">
        <f t="shared" si="109"/>
        <v>37.845823674103954</v>
      </c>
      <c r="AR112" s="231">
        <f t="shared" si="109"/>
        <v>38.969096821262738</v>
      </c>
      <c r="AS112" s="233">
        <f t="shared" si="109"/>
        <v>40.054285490401284</v>
      </c>
    </row>
    <row r="113" spans="2:49" hidden="1" x14ac:dyDescent="0.25">
      <c r="B113" s="242"/>
      <c r="C113" s="2"/>
      <c r="D113" s="43" t="s">
        <v>71</v>
      </c>
      <c r="E113" s="43"/>
      <c r="F113" s="106">
        <f>1.075*0.707*F124</f>
        <v>3.361916282990697</v>
      </c>
      <c r="G113" s="136"/>
      <c r="I113" s="264"/>
      <c r="J113" s="259"/>
      <c r="K113" s="259"/>
      <c r="L113" s="259"/>
      <c r="M113" s="259"/>
      <c r="N113" s="106"/>
      <c r="O113" s="106"/>
      <c r="P113" s="106"/>
      <c r="Q113" s="106"/>
      <c r="R113" s="106"/>
      <c r="S113" s="106">
        <f t="shared" ref="S113:AS113" si="110">1.075*0.707*S124</f>
        <v>3.2751427428730513</v>
      </c>
      <c r="T113" s="106">
        <f t="shared" si="110"/>
        <v>3.361916282990697</v>
      </c>
      <c r="U113" s="106">
        <f t="shared" si="110"/>
        <v>3.4467631420676166</v>
      </c>
      <c r="V113" s="106">
        <f t="shared" si="110"/>
        <v>3.5298354443758884</v>
      </c>
      <c r="W113" s="106">
        <f t="shared" si="110"/>
        <v>3.6112685972351364</v>
      </c>
      <c r="X113" s="106">
        <f t="shared" si="110"/>
        <v>3.6911838022722585</v>
      </c>
      <c r="Y113" s="106">
        <f t="shared" si="110"/>
        <v>3.7696901005740302</v>
      </c>
      <c r="Z113" s="106">
        <f t="shared" si="110"/>
        <v>3.8468860533567377</v>
      </c>
      <c r="AA113" s="106">
        <f t="shared" si="110"/>
        <v>3.9228611345802733</v>
      </c>
      <c r="AB113" s="106">
        <f t="shared" si="110"/>
        <v>3.9976968936827846</v>
      </c>
      <c r="AC113" s="106">
        <f t="shared" si="110"/>
        <v>4.0714679332127783</v>
      </c>
      <c r="AD113" s="106">
        <f t="shared" si="110"/>
        <v>4.1442427361763619</v>
      </c>
      <c r="AE113" s="106">
        <f t="shared" si="110"/>
        <v>4.2870510917606515</v>
      </c>
      <c r="AF113" s="106">
        <f t="shared" si="110"/>
        <v>4.4265718025886187</v>
      </c>
      <c r="AG113" s="106">
        <f t="shared" si="110"/>
        <v>4.5631927318725989</v>
      </c>
      <c r="AH113" s="106">
        <f t="shared" si="110"/>
        <v>4.6972515843159641</v>
      </c>
      <c r="AI113" s="106">
        <f t="shared" si="110"/>
        <v>4.8290449644256901</v>
      </c>
      <c r="AJ113" s="106">
        <f t="shared" si="110"/>
        <v>4.9588354237771171</v>
      </c>
      <c r="AK113" s="106">
        <f t="shared" si="110"/>
        <v>5.0868570181382555</v>
      </c>
      <c r="AL113" s="106">
        <f t="shared" si="110"/>
        <v>5.2133197429538587</v>
      </c>
      <c r="AM113" s="106">
        <f t="shared" si="110"/>
        <v>5.3384131125413479</v>
      </c>
      <c r="AN113" s="281">
        <f t="shared" si="110"/>
        <v>5.4623090771573128</v>
      </c>
      <c r="AO113" s="106">
        <f t="shared" si="110"/>
        <v>5.5851644220768701</v>
      </c>
      <c r="AP113" s="106">
        <f t="shared" si="110"/>
        <v>5.7071227571192331</v>
      </c>
      <c r="AQ113" s="106">
        <f t="shared" si="110"/>
        <v>5.8283161791821305</v>
      </c>
      <c r="AR113" s="106">
        <f t="shared" si="110"/>
        <v>5.9488666713507081</v>
      </c>
      <c r="AS113" s="295">
        <f t="shared" si="110"/>
        <v>6.0688872880237961</v>
      </c>
      <c r="AT113" s="3"/>
      <c r="AU113" s="3"/>
      <c r="AV113" s="3"/>
      <c r="AW113" s="3"/>
    </row>
    <row r="114" spans="2:49" hidden="1" x14ac:dyDescent="0.25">
      <c r="B114" s="242"/>
      <c r="C114" s="2"/>
      <c r="D114" s="43" t="s">
        <v>72</v>
      </c>
      <c r="E114" s="43"/>
      <c r="F114" s="106">
        <f>1.075*0.707*F125</f>
        <v>6.2977430484007648</v>
      </c>
      <c r="G114" s="136"/>
      <c r="I114" s="264"/>
      <c r="J114" s="259"/>
      <c r="K114" s="259"/>
      <c r="L114" s="259"/>
      <c r="M114" s="259"/>
      <c r="N114" s="106"/>
      <c r="O114" s="106"/>
      <c r="P114" s="106"/>
      <c r="Q114" s="106"/>
      <c r="R114" s="106"/>
      <c r="S114" s="106">
        <f t="shared" ref="S114:AS114" si="111">1.075*0.707*S125</f>
        <v>6.1016875682908305</v>
      </c>
      <c r="T114" s="106">
        <f t="shared" si="111"/>
        <v>6.2977430484007648</v>
      </c>
      <c r="U114" s="106">
        <f t="shared" si="111"/>
        <v>6.4937711109934559</v>
      </c>
      <c r="V114" s="106">
        <f t="shared" si="111"/>
        <v>6.6901295486980938</v>
      </c>
      <c r="W114" s="106">
        <f t="shared" si="111"/>
        <v>6.8871446133744865</v>
      </c>
      <c r="X114" s="106">
        <f t="shared" si="111"/>
        <v>7.0851155893281694</v>
      </c>
      <c r="Y114" s="106">
        <f t="shared" si="111"/>
        <v>7.2843185279836398</v>
      </c>
      <c r="Z114" s="106">
        <f t="shared" si="111"/>
        <v>7.4850093258096324</v>
      </c>
      <c r="AA114" s="106">
        <f t="shared" si="111"/>
        <v>7.6874262823560162</v>
      </c>
      <c r="AB114" s="106">
        <f t="shared" si="111"/>
        <v>7.8917922426900624</v>
      </c>
      <c r="AC114" s="106">
        <f t="shared" si="111"/>
        <v>8.0983164045893012</v>
      </c>
      <c r="AD114" s="106">
        <f t="shared" si="111"/>
        <v>8.3071958530473395</v>
      </c>
      <c r="AE114" s="106">
        <f t="shared" si="111"/>
        <v>8.7327560670402757</v>
      </c>
      <c r="AF114" s="106">
        <f t="shared" si="111"/>
        <v>9.1698527558218252</v>
      </c>
      <c r="AG114" s="106">
        <f t="shared" si="111"/>
        <v>9.6197392024900719</v>
      </c>
      <c r="AH114" s="106">
        <f t="shared" si="111"/>
        <v>10.083564463630072</v>
      </c>
      <c r="AI114" s="106">
        <f t="shared" si="111"/>
        <v>10.562390647067085</v>
      </c>
      <c r="AJ114" s="106">
        <f t="shared" si="111"/>
        <v>11.057206470347394</v>
      </c>
      <c r="AK114" s="106">
        <f t="shared" si="111"/>
        <v>11.568938049322016</v>
      </c>
      <c r="AL114" s="106">
        <f t="shared" si="111"/>
        <v>12.09845759069176</v>
      </c>
      <c r="AM114" s="106">
        <f t="shared" si="111"/>
        <v>12.646590475458186</v>
      </c>
      <c r="AN114" s="281">
        <f t="shared" si="111"/>
        <v>13.214121090892354</v>
      </c>
      <c r="AO114" s="106">
        <f t="shared" si="111"/>
        <v>13.801797677532438</v>
      </c>
      <c r="AP114" s="106">
        <f t="shared" si="111"/>
        <v>14.410336392502249</v>
      </c>
      <c r="AQ114" s="106">
        <f t="shared" si="111"/>
        <v>15.040424743056318</v>
      </c>
      <c r="AR114" s="106">
        <f t="shared" si="111"/>
        <v>15.692724509358273</v>
      </c>
      <c r="AS114" s="295">
        <f t="shared" si="111"/>
        <v>16.367874249473669</v>
      </c>
      <c r="AT114" s="3"/>
      <c r="AU114" s="3"/>
      <c r="AV114" s="3"/>
      <c r="AW114" s="3"/>
    </row>
    <row r="115" spans="2:49" hidden="1" x14ac:dyDescent="0.25">
      <c r="B115" s="242"/>
      <c r="C115" s="2"/>
      <c r="D115" s="43" t="s">
        <v>79</v>
      </c>
      <c r="E115" s="43"/>
      <c r="F115" s="106">
        <f>1.075*0.707*F126</f>
        <v>5.38628240587754</v>
      </c>
      <c r="G115" s="136"/>
      <c r="I115" s="264"/>
      <c r="J115" s="259"/>
      <c r="K115" s="259"/>
      <c r="L115" s="259"/>
      <c r="M115" s="259"/>
      <c r="N115" s="106"/>
      <c r="O115" s="106"/>
      <c r="P115" s="106"/>
      <c r="Q115" s="106"/>
      <c r="R115" s="106"/>
      <c r="S115" s="106">
        <f t="shared" ref="S115:AS115" si="112">1.075*0.707*S126</f>
        <v>5.1169682855836633</v>
      </c>
      <c r="T115" s="106">
        <f t="shared" si="112"/>
        <v>5.38628240587754</v>
      </c>
      <c r="U115" s="106">
        <f t="shared" si="112"/>
        <v>5.6555965261714167</v>
      </c>
      <c r="V115" s="106">
        <f t="shared" si="112"/>
        <v>5.9249106464652925</v>
      </c>
      <c r="W115" s="106">
        <f t="shared" si="112"/>
        <v>6.1942247667591701</v>
      </c>
      <c r="X115" s="106">
        <f t="shared" si="112"/>
        <v>6.4635388870530477</v>
      </c>
      <c r="Y115" s="106">
        <f t="shared" si="112"/>
        <v>6.7328530073469253</v>
      </c>
      <c r="Z115" s="106">
        <f t="shared" si="112"/>
        <v>7.0021671276408011</v>
      </c>
      <c r="AA115" s="106">
        <f t="shared" si="112"/>
        <v>7.1894919507812851</v>
      </c>
      <c r="AB115" s="106">
        <f t="shared" si="112"/>
        <v>7.1894919507812851</v>
      </c>
      <c r="AC115" s="106">
        <f t="shared" si="112"/>
        <v>7.1894919507812851</v>
      </c>
      <c r="AD115" s="106">
        <f t="shared" si="112"/>
        <v>7.1894919507812851</v>
      </c>
      <c r="AE115" s="106">
        <f t="shared" si="112"/>
        <v>7.1894919507812851</v>
      </c>
      <c r="AF115" s="106">
        <f t="shared" si="112"/>
        <v>7.1894919507812851</v>
      </c>
      <c r="AG115" s="106">
        <f t="shared" si="112"/>
        <v>7.1894919507812851</v>
      </c>
      <c r="AH115" s="106">
        <f t="shared" si="112"/>
        <v>7.1894919507812851</v>
      </c>
      <c r="AI115" s="106">
        <f t="shared" si="112"/>
        <v>7.1894919507812851</v>
      </c>
      <c r="AJ115" s="106">
        <f t="shared" si="112"/>
        <v>7.1894919507812851</v>
      </c>
      <c r="AK115" s="106">
        <f t="shared" si="112"/>
        <v>7.1894919507812851</v>
      </c>
      <c r="AL115" s="106">
        <f t="shared" si="112"/>
        <v>7.1894919507812851</v>
      </c>
      <c r="AM115" s="106">
        <f t="shared" si="112"/>
        <v>7.1894919507812851</v>
      </c>
      <c r="AN115" s="281">
        <f t="shared" si="112"/>
        <v>7.1894919507812851</v>
      </c>
      <c r="AO115" s="106">
        <f t="shared" si="112"/>
        <v>7.1894919507812851</v>
      </c>
      <c r="AP115" s="106">
        <f t="shared" si="112"/>
        <v>7.1894919507812851</v>
      </c>
      <c r="AQ115" s="106">
        <f t="shared" si="112"/>
        <v>7.1894919507812851</v>
      </c>
      <c r="AR115" s="106">
        <f t="shared" si="112"/>
        <v>7.1894919507812851</v>
      </c>
      <c r="AS115" s="295">
        <f t="shared" si="112"/>
        <v>7.1894919507812851</v>
      </c>
      <c r="AT115" s="3"/>
      <c r="AU115" s="3"/>
      <c r="AV115" s="3"/>
      <c r="AW115" s="3"/>
    </row>
    <row r="116" spans="2:49" hidden="1" x14ac:dyDescent="0.25">
      <c r="B116" s="242"/>
      <c r="C116" s="2"/>
      <c r="D116" s="43" t="s">
        <v>73</v>
      </c>
      <c r="E116" s="43"/>
      <c r="F116" s="106">
        <f>1.075*1.225*F124</f>
        <v>5.825102470528436</v>
      </c>
      <c r="G116" s="136"/>
      <c r="I116" s="264"/>
      <c r="J116" s="259"/>
      <c r="K116" s="259"/>
      <c r="L116" s="259"/>
      <c r="M116" s="259"/>
      <c r="N116" s="106"/>
      <c r="O116" s="106"/>
      <c r="P116" s="106"/>
      <c r="Q116" s="106"/>
      <c r="R116" s="106"/>
      <c r="S116" s="106">
        <f t="shared" ref="S116:AS116" si="113">1.075*1.225*S124</f>
        <v>5.6747522772552879</v>
      </c>
      <c r="T116" s="106">
        <f t="shared" si="113"/>
        <v>5.825102470528436</v>
      </c>
      <c r="U116" s="106">
        <f t="shared" si="113"/>
        <v>5.972114355067653</v>
      </c>
      <c r="V116" s="106">
        <f t="shared" si="113"/>
        <v>6.1160515125324801</v>
      </c>
      <c r="W116" s="106">
        <f t="shared" si="113"/>
        <v>6.2571485595658309</v>
      </c>
      <c r="X116" s="106">
        <f t="shared" si="113"/>
        <v>6.3956154989865874</v>
      </c>
      <c r="Y116" s="106">
        <f t="shared" si="113"/>
        <v>6.5316412633708447</v>
      </c>
      <c r="Z116" s="106">
        <f t="shared" si="113"/>
        <v>6.6653966271032585</v>
      </c>
      <c r="AA116" s="106">
        <f t="shared" si="113"/>
        <v>6.797036619322256</v>
      </c>
      <c r="AB116" s="106">
        <f t="shared" si="113"/>
        <v>6.9267025385592804</v>
      </c>
      <c r="AC116" s="106">
        <f t="shared" si="113"/>
        <v>7.054523646655805</v>
      </c>
      <c r="AD116" s="106">
        <f t="shared" si="113"/>
        <v>7.1806186022857759</v>
      </c>
      <c r="AE116" s="106">
        <f t="shared" si="113"/>
        <v>7.4280588223575652</v>
      </c>
      <c r="AF116" s="106">
        <f t="shared" si="113"/>
        <v>7.6698026282476075</v>
      </c>
      <c r="AG116" s="106">
        <f t="shared" si="113"/>
        <v>7.9065220601752957</v>
      </c>
      <c r="AH116" s="106">
        <f t="shared" si="113"/>
        <v>8.1388022500524144</v>
      </c>
      <c r="AI116" s="106">
        <f t="shared" si="113"/>
        <v>8.3671571165791665</v>
      </c>
      <c r="AJ116" s="106">
        <f t="shared" si="113"/>
        <v>8.5920415758514412</v>
      </c>
      <c r="AK116" s="106">
        <f t="shared" si="113"/>
        <v>8.8138611700415339</v>
      </c>
      <c r="AL116" s="106">
        <f t="shared" si="113"/>
        <v>9.0329797526428255</v>
      </c>
      <c r="AM116" s="106">
        <f t="shared" si="113"/>
        <v>9.2497256900468905</v>
      </c>
      <c r="AN116" s="281">
        <f t="shared" si="113"/>
        <v>9.4643969158666312</v>
      </c>
      <c r="AO116" s="106">
        <f t="shared" si="113"/>
        <v>9.6772650877569539</v>
      </c>
      <c r="AP116" s="106">
        <f t="shared" si="113"/>
        <v>9.8885790346125333</v>
      </c>
      <c r="AQ116" s="106">
        <f t="shared" si="113"/>
        <v>10.09856763719676</v>
      </c>
      <c r="AR116" s="106">
        <f t="shared" si="113"/>
        <v>10.307442252340337</v>
      </c>
      <c r="AS116" s="295">
        <f t="shared" si="113"/>
        <v>10.515398766377865</v>
      </c>
      <c r="AT116" s="3"/>
      <c r="AU116" s="3"/>
      <c r="AV116" s="3"/>
      <c r="AW116" s="3"/>
    </row>
    <row r="117" spans="2:49" hidden="1" x14ac:dyDescent="0.25">
      <c r="B117" s="242"/>
      <c r="C117" s="2"/>
      <c r="D117" s="43" t="s">
        <v>74</v>
      </c>
      <c r="E117" s="43"/>
      <c r="F117" s="106">
        <f>1.075*1.225*F125</f>
        <v>10.911931024456772</v>
      </c>
      <c r="G117" s="136"/>
      <c r="I117" s="264"/>
      <c r="J117" s="259"/>
      <c r="K117" s="259"/>
      <c r="L117" s="259"/>
      <c r="M117" s="259"/>
      <c r="N117" s="106"/>
      <c r="O117" s="106"/>
      <c r="P117" s="106"/>
      <c r="Q117" s="106"/>
      <c r="R117" s="106"/>
      <c r="S117" s="106">
        <f t="shared" ref="S117:AS117" si="114">1.075*1.225*S125</f>
        <v>10.57223093515738</v>
      </c>
      <c r="T117" s="106">
        <f t="shared" si="114"/>
        <v>10.911931024456772</v>
      </c>
      <c r="U117" s="106">
        <f t="shared" si="114"/>
        <v>11.251583608156979</v>
      </c>
      <c r="V117" s="106">
        <f t="shared" si="114"/>
        <v>11.591808623981848</v>
      </c>
      <c r="W117" s="106">
        <f t="shared" si="114"/>
        <v>11.933171359807279</v>
      </c>
      <c r="X117" s="106">
        <f t="shared" si="114"/>
        <v>12.27619037754881</v>
      </c>
      <c r="Y117" s="106">
        <f t="shared" si="114"/>
        <v>12.621343984130069</v>
      </c>
      <c r="Z117" s="106">
        <f t="shared" si="114"/>
        <v>12.96907556452164</v>
      </c>
      <c r="AA117" s="106">
        <f t="shared" si="114"/>
        <v>13.319798013983197</v>
      </c>
      <c r="AB117" s="106">
        <f t="shared" si="114"/>
        <v>13.673897450205555</v>
      </c>
      <c r="AC117" s="106">
        <f t="shared" si="114"/>
        <v>14.031736344585424</v>
      </c>
      <c r="AD117" s="106">
        <f t="shared" si="114"/>
        <v>14.393656181022619</v>
      </c>
      <c r="AE117" s="106">
        <f t="shared" si="114"/>
        <v>15.131012987446022</v>
      </c>
      <c r="AF117" s="106">
        <f t="shared" si="114"/>
        <v>15.888358735334847</v>
      </c>
      <c r="AG117" s="106">
        <f t="shared" si="114"/>
        <v>16.667864954809531</v>
      </c>
      <c r="AH117" s="106">
        <f t="shared" si="114"/>
        <v>17.471522585497649</v>
      </c>
      <c r="AI117" s="106">
        <f t="shared" si="114"/>
        <v>18.301171913235049</v>
      </c>
      <c r="AJ117" s="106">
        <f t="shared" si="114"/>
        <v>19.158526062483112</v>
      </c>
      <c r="AK117" s="106">
        <f t="shared" si="114"/>
        <v>20.045189689419338</v>
      </c>
      <c r="AL117" s="106">
        <f t="shared" si="114"/>
        <v>20.962674043277804</v>
      </c>
      <c r="AM117" s="106">
        <f t="shared" si="114"/>
        <v>21.912409239655275</v>
      </c>
      <c r="AN117" s="281">
        <f t="shared" si="114"/>
        <v>22.895754365407544</v>
      </c>
      <c r="AO117" s="106">
        <f t="shared" si="114"/>
        <v>23.914005876912643</v>
      </c>
      <c r="AP117" s="106">
        <f t="shared" si="114"/>
        <v>24.968404640474194</v>
      </c>
      <c r="AQ117" s="106">
        <f t="shared" si="114"/>
        <v>26.060141881533227</v>
      </c>
      <c r="AR117" s="106">
        <f t="shared" si="114"/>
        <v>27.190364248888098</v>
      </c>
      <c r="AS117" s="295">
        <f t="shared" si="114"/>
        <v>28.360178155028635</v>
      </c>
      <c r="AT117" s="3"/>
      <c r="AU117" s="3"/>
      <c r="AV117" s="3"/>
      <c r="AW117" s="3"/>
    </row>
    <row r="118" spans="2:49" hidden="1" x14ac:dyDescent="0.25">
      <c r="B118" s="242"/>
      <c r="C118" s="2"/>
      <c r="D118" s="43" t="s">
        <v>80</v>
      </c>
      <c r="E118" s="43"/>
      <c r="F118" s="106">
        <f>1.075*1.225*F126</f>
        <v>9.3326675349363324</v>
      </c>
      <c r="G118" s="136"/>
      <c r="I118" s="264"/>
      <c r="J118" s="259"/>
      <c r="K118" s="259"/>
      <c r="L118" s="259"/>
      <c r="M118" s="259"/>
      <c r="N118" s="106"/>
      <c r="O118" s="106"/>
      <c r="P118" s="106"/>
      <c r="Q118" s="106"/>
      <c r="R118" s="106"/>
      <c r="S118" s="106">
        <f t="shared" ref="S118:AS118" si="115">1.075*1.225*S126</f>
        <v>8.8660341581895157</v>
      </c>
      <c r="T118" s="106">
        <f t="shared" si="115"/>
        <v>9.3326675349363324</v>
      </c>
      <c r="U118" s="106">
        <f t="shared" si="115"/>
        <v>9.7993009116831473</v>
      </c>
      <c r="V118" s="106">
        <f t="shared" si="115"/>
        <v>10.265934288429964</v>
      </c>
      <c r="W118" s="106">
        <f t="shared" si="115"/>
        <v>10.732567665176781</v>
      </c>
      <c r="X118" s="106">
        <f t="shared" si="115"/>
        <v>11.199201041923597</v>
      </c>
      <c r="Y118" s="106">
        <f t="shared" si="115"/>
        <v>11.665834418670416</v>
      </c>
      <c r="Z118" s="106">
        <f t="shared" si="115"/>
        <v>12.132467795417231</v>
      </c>
      <c r="AA118" s="106">
        <f t="shared" si="115"/>
        <v>12.457040508779455</v>
      </c>
      <c r="AB118" s="106">
        <f t="shared" si="115"/>
        <v>12.457040508779455</v>
      </c>
      <c r="AC118" s="106">
        <f t="shared" si="115"/>
        <v>12.457040508779455</v>
      </c>
      <c r="AD118" s="106">
        <f t="shared" si="115"/>
        <v>12.457040508779455</v>
      </c>
      <c r="AE118" s="106">
        <f t="shared" si="115"/>
        <v>12.457040508779455</v>
      </c>
      <c r="AF118" s="106">
        <f t="shared" si="115"/>
        <v>12.457040508779455</v>
      </c>
      <c r="AG118" s="106">
        <f t="shared" si="115"/>
        <v>12.457040508779455</v>
      </c>
      <c r="AH118" s="106">
        <f t="shared" si="115"/>
        <v>12.457040508779455</v>
      </c>
      <c r="AI118" s="106">
        <f t="shared" si="115"/>
        <v>12.457040508779455</v>
      </c>
      <c r="AJ118" s="106">
        <f t="shared" si="115"/>
        <v>12.457040508779455</v>
      </c>
      <c r="AK118" s="106">
        <f t="shared" si="115"/>
        <v>12.457040508779455</v>
      </c>
      <c r="AL118" s="106">
        <f t="shared" si="115"/>
        <v>12.457040508779455</v>
      </c>
      <c r="AM118" s="106">
        <f t="shared" si="115"/>
        <v>12.457040508779455</v>
      </c>
      <c r="AN118" s="281">
        <f t="shared" si="115"/>
        <v>12.457040508779455</v>
      </c>
      <c r="AO118" s="106">
        <f t="shared" si="115"/>
        <v>12.457040508779455</v>
      </c>
      <c r="AP118" s="106">
        <f t="shared" si="115"/>
        <v>12.457040508779455</v>
      </c>
      <c r="AQ118" s="106">
        <f t="shared" si="115"/>
        <v>12.457040508779455</v>
      </c>
      <c r="AR118" s="106">
        <f t="shared" si="115"/>
        <v>12.457040508779455</v>
      </c>
      <c r="AS118" s="295">
        <f t="shared" si="115"/>
        <v>12.457040508779455</v>
      </c>
      <c r="AT118" s="3"/>
      <c r="AU118" s="3"/>
      <c r="AV118" s="3"/>
      <c r="AW118" s="3"/>
    </row>
    <row r="119" spans="2:49" ht="13.9" customHeight="1" thickBot="1" x14ac:dyDescent="0.3">
      <c r="B119" s="151"/>
      <c r="C119" s="289"/>
      <c r="D119" s="145" t="s">
        <v>93</v>
      </c>
      <c r="E119" s="145"/>
      <c r="F119" s="283">
        <f>2+(F$16/$C$16*$F$10/$F$8^3)</f>
        <v>2.3085386905163481</v>
      </c>
      <c r="G119" s="214" t="s">
        <v>32</v>
      </c>
      <c r="I119" s="290"/>
      <c r="J119" s="291"/>
      <c r="K119" s="291"/>
      <c r="L119" s="291"/>
      <c r="M119" s="291"/>
      <c r="N119" s="291"/>
      <c r="O119" s="293"/>
      <c r="P119" s="293"/>
      <c r="Q119" s="293"/>
      <c r="R119" s="293"/>
      <c r="S119" s="297">
        <f t="shared" ref="S119:AS119" si="116">2+(S$16/$C$16*$F$10/$F$8^3)</f>
        <v>2.2931117559905307</v>
      </c>
      <c r="T119" s="285">
        <f t="shared" si="116"/>
        <v>2.3085386905163481</v>
      </c>
      <c r="U119" s="285">
        <f t="shared" si="116"/>
        <v>2.3239656250421654</v>
      </c>
      <c r="V119" s="285">
        <f t="shared" si="116"/>
        <v>2.3393925595679828</v>
      </c>
      <c r="W119" s="285">
        <f t="shared" si="116"/>
        <v>2.3548194940938005</v>
      </c>
      <c r="X119" s="285">
        <f t="shared" si="116"/>
        <v>2.3702464286196179</v>
      </c>
      <c r="Y119" s="285">
        <f t="shared" si="116"/>
        <v>2.3856733631454352</v>
      </c>
      <c r="Z119" s="285">
        <f t="shared" si="116"/>
        <v>2.4011002976712525</v>
      </c>
      <c r="AA119" s="285">
        <f t="shared" si="116"/>
        <v>2.4165272321970699</v>
      </c>
      <c r="AB119" s="285">
        <f t="shared" si="116"/>
        <v>2.4319541667228872</v>
      </c>
      <c r="AC119" s="285">
        <f t="shared" si="116"/>
        <v>2.4473811012487046</v>
      </c>
      <c r="AD119" s="285">
        <f t="shared" si="116"/>
        <v>2.4628080357745219</v>
      </c>
      <c r="AE119" s="285">
        <f t="shared" si="116"/>
        <v>2.493661904826157</v>
      </c>
      <c r="AF119" s="285">
        <f t="shared" si="116"/>
        <v>2.5245157738777917</v>
      </c>
      <c r="AG119" s="285">
        <f t="shared" si="116"/>
        <v>2.5553696429294268</v>
      </c>
      <c r="AH119" s="285">
        <f t="shared" si="116"/>
        <v>2.5862235119810615</v>
      </c>
      <c r="AI119" s="285">
        <f t="shared" si="116"/>
        <v>2.6170773810326962</v>
      </c>
      <c r="AJ119" s="285">
        <f t="shared" si="116"/>
        <v>2.6479312500843308</v>
      </c>
      <c r="AK119" s="285">
        <f t="shared" si="116"/>
        <v>2.6787851191359655</v>
      </c>
      <c r="AL119" s="285">
        <f t="shared" si="116"/>
        <v>2.7096389881876006</v>
      </c>
      <c r="AM119" s="285">
        <f t="shared" si="116"/>
        <v>2.7404928572392353</v>
      </c>
      <c r="AN119" s="285">
        <f t="shared" si="116"/>
        <v>2.7713467262908704</v>
      </c>
      <c r="AO119" s="285">
        <f t="shared" si="116"/>
        <v>2.8022005953425051</v>
      </c>
      <c r="AP119" s="285">
        <f t="shared" si="116"/>
        <v>2.8330544643941398</v>
      </c>
      <c r="AQ119" s="285">
        <f t="shared" si="116"/>
        <v>2.8639083334457744</v>
      </c>
      <c r="AR119" s="285">
        <f t="shared" si="116"/>
        <v>2.8947622024974096</v>
      </c>
      <c r="AS119" s="296">
        <f t="shared" si="116"/>
        <v>2.9256160715490442</v>
      </c>
      <c r="AT119" s="3"/>
      <c r="AU119" s="3"/>
      <c r="AV119" s="3"/>
      <c r="AW119" s="3"/>
    </row>
    <row r="120" spans="2:49" x14ac:dyDescent="0.25">
      <c r="B120" s="140"/>
      <c r="C120" s="243"/>
      <c r="D120" s="132" t="s">
        <v>56</v>
      </c>
      <c r="E120" s="132"/>
      <c r="F120" s="220">
        <f>F113</f>
        <v>3.361916282990697</v>
      </c>
      <c r="G120" s="136" t="s">
        <v>32</v>
      </c>
      <c r="I120" s="15"/>
      <c r="J120"/>
      <c r="K120"/>
      <c r="L120"/>
      <c r="M120"/>
      <c r="N120"/>
      <c r="O120"/>
      <c r="P120"/>
      <c r="Q120"/>
      <c r="R120"/>
      <c r="S120" s="195">
        <f t="shared" ref="S120:AS120" si="117">S113</f>
        <v>3.2751427428730513</v>
      </c>
      <c r="T120" s="184">
        <f t="shared" si="117"/>
        <v>3.361916282990697</v>
      </c>
      <c r="U120" s="184">
        <f t="shared" si="117"/>
        <v>3.4467631420676166</v>
      </c>
      <c r="V120" s="184">
        <f t="shared" si="117"/>
        <v>3.5298354443758884</v>
      </c>
      <c r="W120" s="184">
        <f t="shared" si="117"/>
        <v>3.6112685972351364</v>
      </c>
      <c r="X120" s="184">
        <f t="shared" si="117"/>
        <v>3.6911838022722585</v>
      </c>
      <c r="Y120" s="184">
        <f t="shared" si="117"/>
        <v>3.7696901005740302</v>
      </c>
      <c r="Z120" s="184">
        <f t="shared" si="117"/>
        <v>3.8468860533567377</v>
      </c>
      <c r="AA120" s="184">
        <f t="shared" si="117"/>
        <v>3.9228611345802733</v>
      </c>
      <c r="AB120" s="184">
        <f t="shared" si="117"/>
        <v>3.9976968936827846</v>
      </c>
      <c r="AC120" s="184">
        <f t="shared" si="117"/>
        <v>4.0714679332127783</v>
      </c>
      <c r="AD120" s="184">
        <f t="shared" si="117"/>
        <v>4.1442427361763619</v>
      </c>
      <c r="AE120" s="184">
        <f t="shared" si="117"/>
        <v>4.2870510917606515</v>
      </c>
      <c r="AF120" s="184">
        <f t="shared" si="117"/>
        <v>4.4265718025886187</v>
      </c>
      <c r="AG120" s="184">
        <f t="shared" si="117"/>
        <v>4.5631927318725989</v>
      </c>
      <c r="AH120" s="184">
        <f t="shared" si="117"/>
        <v>4.6972515843159641</v>
      </c>
      <c r="AI120" s="184">
        <f t="shared" si="117"/>
        <v>4.8290449644256901</v>
      </c>
      <c r="AJ120" s="184">
        <f t="shared" si="117"/>
        <v>4.9588354237771171</v>
      </c>
      <c r="AK120" s="184">
        <f t="shared" si="117"/>
        <v>5.0868570181382555</v>
      </c>
      <c r="AL120" s="184">
        <f t="shared" si="117"/>
        <v>5.2133197429538587</v>
      </c>
      <c r="AM120" s="184">
        <f t="shared" si="117"/>
        <v>5.3384131125413479</v>
      </c>
      <c r="AN120" s="184">
        <f t="shared" si="117"/>
        <v>5.4623090771573128</v>
      </c>
      <c r="AO120" s="184">
        <f t="shared" si="117"/>
        <v>5.5851644220768701</v>
      </c>
      <c r="AP120" s="184">
        <f t="shared" si="117"/>
        <v>5.7071227571192331</v>
      </c>
      <c r="AQ120" s="184">
        <f t="shared" si="117"/>
        <v>5.8283161791821305</v>
      </c>
      <c r="AR120" s="184">
        <f t="shared" si="117"/>
        <v>5.9488666713507081</v>
      </c>
      <c r="AS120" s="200">
        <f t="shared" si="117"/>
        <v>6.0688872880237961</v>
      </c>
    </row>
    <row r="121" spans="2:49" x14ac:dyDescent="0.25">
      <c r="B121" s="140"/>
      <c r="C121" s="247" t="s">
        <v>65</v>
      </c>
      <c r="D121" s="253" t="s">
        <v>57</v>
      </c>
      <c r="E121" s="253"/>
      <c r="F121" s="221">
        <f>IF(F114&lt;F115,F114,F115)</f>
        <v>5.38628240587754</v>
      </c>
      <c r="G121" s="216" t="s">
        <v>32</v>
      </c>
      <c r="I121" s="15"/>
      <c r="J121"/>
      <c r="K121"/>
      <c r="L121"/>
      <c r="M121"/>
      <c r="N121"/>
      <c r="O121"/>
      <c r="P121"/>
      <c r="Q121"/>
      <c r="R121"/>
      <c r="S121" s="190">
        <f t="shared" ref="S121:AS121" si="118">IF(S114&lt;S115,S114,S115)</f>
        <v>5.1169682855836633</v>
      </c>
      <c r="T121" s="179">
        <f t="shared" si="118"/>
        <v>5.38628240587754</v>
      </c>
      <c r="U121" s="179">
        <f t="shared" si="118"/>
        <v>5.6555965261714167</v>
      </c>
      <c r="V121" s="179">
        <f t="shared" si="118"/>
        <v>5.9249106464652925</v>
      </c>
      <c r="W121" s="179">
        <f t="shared" si="118"/>
        <v>6.1942247667591701</v>
      </c>
      <c r="X121" s="179">
        <f t="shared" si="118"/>
        <v>6.4635388870530477</v>
      </c>
      <c r="Y121" s="179">
        <f t="shared" si="118"/>
        <v>6.7328530073469253</v>
      </c>
      <c r="Z121" s="179">
        <f t="shared" si="118"/>
        <v>7.0021671276408011</v>
      </c>
      <c r="AA121" s="179">
        <f t="shared" si="118"/>
        <v>7.1894919507812851</v>
      </c>
      <c r="AB121" s="179">
        <f t="shared" si="118"/>
        <v>7.1894919507812851</v>
      </c>
      <c r="AC121" s="179">
        <f t="shared" si="118"/>
        <v>7.1894919507812851</v>
      </c>
      <c r="AD121" s="179">
        <f t="shared" si="118"/>
        <v>7.1894919507812851</v>
      </c>
      <c r="AE121" s="179">
        <f t="shared" si="118"/>
        <v>7.1894919507812851</v>
      </c>
      <c r="AF121" s="179">
        <f t="shared" si="118"/>
        <v>7.1894919507812851</v>
      </c>
      <c r="AG121" s="179">
        <f t="shared" si="118"/>
        <v>7.1894919507812851</v>
      </c>
      <c r="AH121" s="179">
        <f t="shared" si="118"/>
        <v>7.1894919507812851</v>
      </c>
      <c r="AI121" s="179">
        <f t="shared" si="118"/>
        <v>7.1894919507812851</v>
      </c>
      <c r="AJ121" s="179">
        <f t="shared" si="118"/>
        <v>7.1894919507812851</v>
      </c>
      <c r="AK121" s="179">
        <f t="shared" si="118"/>
        <v>7.1894919507812851</v>
      </c>
      <c r="AL121" s="179">
        <f t="shared" si="118"/>
        <v>7.1894919507812851</v>
      </c>
      <c r="AM121" s="179">
        <f t="shared" si="118"/>
        <v>7.1894919507812851</v>
      </c>
      <c r="AN121" s="179">
        <f t="shared" si="118"/>
        <v>7.1894919507812851</v>
      </c>
      <c r="AO121" s="179">
        <f t="shared" si="118"/>
        <v>7.1894919507812851</v>
      </c>
      <c r="AP121" s="179">
        <f t="shared" si="118"/>
        <v>7.1894919507812851</v>
      </c>
      <c r="AQ121" s="179">
        <f t="shared" si="118"/>
        <v>7.1894919507812851</v>
      </c>
      <c r="AR121" s="179">
        <f t="shared" si="118"/>
        <v>7.1894919507812851</v>
      </c>
      <c r="AS121" s="197">
        <f t="shared" si="118"/>
        <v>7.1894919507812851</v>
      </c>
    </row>
    <row r="122" spans="2:49" x14ac:dyDescent="0.25">
      <c r="B122" s="140"/>
      <c r="C122" s="243" t="s">
        <v>66</v>
      </c>
      <c r="D122" s="252" t="s">
        <v>60</v>
      </c>
      <c r="E122" s="252"/>
      <c r="F122" s="222">
        <f>F116</f>
        <v>5.825102470528436</v>
      </c>
      <c r="G122" s="217" t="s">
        <v>32</v>
      </c>
      <c r="I122" s="15"/>
      <c r="J122"/>
      <c r="K122"/>
      <c r="L122"/>
      <c r="M122"/>
      <c r="N122"/>
      <c r="O122"/>
      <c r="P122"/>
      <c r="Q122"/>
      <c r="R122"/>
      <c r="S122" s="191">
        <f t="shared" ref="S122:AS122" si="119">S116</f>
        <v>5.6747522772552879</v>
      </c>
      <c r="T122" s="182">
        <f t="shared" si="119"/>
        <v>5.825102470528436</v>
      </c>
      <c r="U122" s="182">
        <f t="shared" si="119"/>
        <v>5.972114355067653</v>
      </c>
      <c r="V122" s="182">
        <f t="shared" si="119"/>
        <v>6.1160515125324801</v>
      </c>
      <c r="W122" s="182">
        <f t="shared" si="119"/>
        <v>6.2571485595658309</v>
      </c>
      <c r="X122" s="182">
        <f t="shared" si="119"/>
        <v>6.3956154989865874</v>
      </c>
      <c r="Y122" s="182">
        <f t="shared" si="119"/>
        <v>6.5316412633708447</v>
      </c>
      <c r="Z122" s="182">
        <f t="shared" si="119"/>
        <v>6.6653966271032585</v>
      </c>
      <c r="AA122" s="182">
        <f t="shared" si="119"/>
        <v>6.797036619322256</v>
      </c>
      <c r="AB122" s="182">
        <f t="shared" si="119"/>
        <v>6.9267025385592804</v>
      </c>
      <c r="AC122" s="182">
        <f t="shared" si="119"/>
        <v>7.054523646655805</v>
      </c>
      <c r="AD122" s="182">
        <f t="shared" si="119"/>
        <v>7.1806186022857759</v>
      </c>
      <c r="AE122" s="182">
        <f t="shared" si="119"/>
        <v>7.4280588223575652</v>
      </c>
      <c r="AF122" s="182">
        <f t="shared" si="119"/>
        <v>7.6698026282476075</v>
      </c>
      <c r="AG122" s="182">
        <f t="shared" si="119"/>
        <v>7.9065220601752957</v>
      </c>
      <c r="AH122" s="182">
        <f t="shared" si="119"/>
        <v>8.1388022500524144</v>
      </c>
      <c r="AI122" s="182">
        <f t="shared" si="119"/>
        <v>8.3671571165791665</v>
      </c>
      <c r="AJ122" s="182">
        <f t="shared" si="119"/>
        <v>8.5920415758514412</v>
      </c>
      <c r="AK122" s="182">
        <f t="shared" si="119"/>
        <v>8.8138611700415339</v>
      </c>
      <c r="AL122" s="182">
        <f t="shared" si="119"/>
        <v>9.0329797526428255</v>
      </c>
      <c r="AM122" s="182">
        <f t="shared" si="119"/>
        <v>9.2497256900468905</v>
      </c>
      <c r="AN122" s="182">
        <f t="shared" si="119"/>
        <v>9.4643969158666312</v>
      </c>
      <c r="AO122" s="182">
        <f t="shared" si="119"/>
        <v>9.6772650877569539</v>
      </c>
      <c r="AP122" s="182">
        <f t="shared" si="119"/>
        <v>9.8885790346125333</v>
      </c>
      <c r="AQ122" s="182">
        <f t="shared" si="119"/>
        <v>10.09856763719676</v>
      </c>
      <c r="AR122" s="182">
        <f t="shared" si="119"/>
        <v>10.307442252340337</v>
      </c>
      <c r="AS122" s="198">
        <f t="shared" si="119"/>
        <v>10.515398766377865</v>
      </c>
    </row>
    <row r="123" spans="2:49" ht="15.75" thickBot="1" x14ac:dyDescent="0.3">
      <c r="B123" s="140"/>
      <c r="C123" s="246"/>
      <c r="D123" s="238" t="s">
        <v>61</v>
      </c>
      <c r="E123" s="238"/>
      <c r="F123" s="223">
        <f t="shared" ref="F123" si="120">IF(F117&lt;F118,F117,F118)</f>
        <v>9.3326675349363324</v>
      </c>
      <c r="G123" s="214" t="s">
        <v>32</v>
      </c>
      <c r="I123" s="204"/>
      <c r="J123" s="135"/>
      <c r="K123" s="135"/>
      <c r="L123" s="135"/>
      <c r="M123" s="135"/>
      <c r="N123" s="135"/>
      <c r="O123" s="135"/>
      <c r="P123" s="135"/>
      <c r="Q123" s="135"/>
      <c r="R123" s="135"/>
      <c r="S123" s="192">
        <f t="shared" ref="S123:AS123" si="121">IF(S117&lt;S118,S117,S118)</f>
        <v>8.8660341581895157</v>
      </c>
      <c r="T123" s="193">
        <f t="shared" si="121"/>
        <v>9.3326675349363324</v>
      </c>
      <c r="U123" s="193">
        <f t="shared" si="121"/>
        <v>9.7993009116831473</v>
      </c>
      <c r="V123" s="193">
        <f t="shared" si="121"/>
        <v>10.265934288429964</v>
      </c>
      <c r="W123" s="193">
        <f t="shared" si="121"/>
        <v>10.732567665176781</v>
      </c>
      <c r="X123" s="193">
        <f t="shared" si="121"/>
        <v>11.199201041923597</v>
      </c>
      <c r="Y123" s="193">
        <f t="shared" si="121"/>
        <v>11.665834418670416</v>
      </c>
      <c r="Z123" s="193">
        <f t="shared" si="121"/>
        <v>12.132467795417231</v>
      </c>
      <c r="AA123" s="193">
        <f t="shared" si="121"/>
        <v>12.457040508779455</v>
      </c>
      <c r="AB123" s="193">
        <f t="shared" si="121"/>
        <v>12.457040508779455</v>
      </c>
      <c r="AC123" s="193">
        <f t="shared" si="121"/>
        <v>12.457040508779455</v>
      </c>
      <c r="AD123" s="193">
        <f t="shared" si="121"/>
        <v>12.457040508779455</v>
      </c>
      <c r="AE123" s="193">
        <f t="shared" si="121"/>
        <v>12.457040508779455</v>
      </c>
      <c r="AF123" s="193">
        <f t="shared" si="121"/>
        <v>12.457040508779455</v>
      </c>
      <c r="AG123" s="193">
        <f t="shared" si="121"/>
        <v>12.457040508779455</v>
      </c>
      <c r="AH123" s="193">
        <f t="shared" si="121"/>
        <v>12.457040508779455</v>
      </c>
      <c r="AI123" s="193">
        <f t="shared" si="121"/>
        <v>12.457040508779455</v>
      </c>
      <c r="AJ123" s="193">
        <f t="shared" si="121"/>
        <v>12.457040508779455</v>
      </c>
      <c r="AK123" s="193">
        <f t="shared" si="121"/>
        <v>12.457040508779455</v>
      </c>
      <c r="AL123" s="193">
        <f t="shared" si="121"/>
        <v>12.457040508779455</v>
      </c>
      <c r="AM123" s="193">
        <f t="shared" si="121"/>
        <v>12.457040508779455</v>
      </c>
      <c r="AN123" s="193">
        <f t="shared" si="121"/>
        <v>12.457040508779455</v>
      </c>
      <c r="AO123" s="193">
        <f t="shared" si="121"/>
        <v>12.457040508779455</v>
      </c>
      <c r="AP123" s="193">
        <f t="shared" si="121"/>
        <v>12.457040508779455</v>
      </c>
      <c r="AQ123" s="193">
        <f t="shared" si="121"/>
        <v>12.457040508779455</v>
      </c>
      <c r="AR123" s="193">
        <f t="shared" si="121"/>
        <v>12.457040508779455</v>
      </c>
      <c r="AS123" s="199">
        <f t="shared" si="121"/>
        <v>12.457040508779455</v>
      </c>
    </row>
    <row r="124" spans="2:49" hidden="1" x14ac:dyDescent="0.25">
      <c r="B124" s="242"/>
      <c r="C124" s="88"/>
      <c r="D124" s="43" t="s">
        <v>75</v>
      </c>
      <c r="E124" s="43"/>
      <c r="F124" s="370">
        <f>(0.2529+2.7683*10^-4*F110)*SQRT(F$16)/$F$4*$F$5*$F$7/$F$8</f>
        <v>4.423428549048646</v>
      </c>
      <c r="G124" s="136"/>
      <c r="I124" s="275"/>
      <c r="J124" s="257"/>
      <c r="K124" s="257"/>
      <c r="L124" s="257"/>
      <c r="M124" s="257"/>
      <c r="N124" s="257"/>
      <c r="O124" s="259"/>
      <c r="P124" s="259"/>
      <c r="Q124" s="259"/>
      <c r="R124" s="259"/>
      <c r="S124" s="269">
        <f t="shared" ref="S124:AS124" si="122">(0.2529+2.7683*10^-4*S110)*SQRT(S$16)/$F$4*$F$5*$F$7/$F$8</f>
        <v>4.3092565940239487</v>
      </c>
      <c r="T124" s="265">
        <f t="shared" si="122"/>
        <v>4.423428549048646</v>
      </c>
      <c r="U124" s="265">
        <f t="shared" si="122"/>
        <v>4.5350654808297319</v>
      </c>
      <c r="V124" s="265">
        <f t="shared" si="122"/>
        <v>4.6443675462989882</v>
      </c>
      <c r="W124" s="265">
        <f t="shared" si="122"/>
        <v>4.751512907121656</v>
      </c>
      <c r="X124" s="265">
        <f t="shared" si="122"/>
        <v>4.8566610338768577</v>
      </c>
      <c r="Y124" s="265">
        <f t="shared" si="122"/>
        <v>4.9599553969593506</v>
      </c>
      <c r="Z124" s="265">
        <f t="shared" si="122"/>
        <v>5.0615256779141973</v>
      </c>
      <c r="AA124" s="265">
        <f t="shared" si="122"/>
        <v>5.1614896017634599</v>
      </c>
      <c r="AB124" s="265">
        <f t="shared" si="122"/>
        <v>5.2599544668698854</v>
      </c>
      <c r="AC124" s="265">
        <f t="shared" si="122"/>
        <v>5.3570184312526283</v>
      </c>
      <c r="AD124" s="265">
        <f t="shared" si="122"/>
        <v>5.4527716011662273</v>
      </c>
      <c r="AE124" s="265">
        <f t="shared" si="122"/>
        <v>5.6406711512919339</v>
      </c>
      <c r="AF124" s="265">
        <f t="shared" si="122"/>
        <v>5.8242449953470201</v>
      </c>
      <c r="AG124" s="265">
        <f t="shared" si="122"/>
        <v>6.0040034628763514</v>
      </c>
      <c r="AH124" s="265">
        <f t="shared" si="122"/>
        <v>6.1803908875575999</v>
      </c>
      <c r="AI124" s="265">
        <f t="shared" si="122"/>
        <v>6.3537975256415127</v>
      </c>
      <c r="AJ124" s="265">
        <f t="shared" si="122"/>
        <v>6.5245688283636953</v>
      </c>
      <c r="AK124" s="265">
        <f t="shared" si="122"/>
        <v>6.6930127537097546</v>
      </c>
      <c r="AL124" s="265">
        <f t="shared" si="122"/>
        <v>6.8594056023865786</v>
      </c>
      <c r="AM124" s="265">
        <f t="shared" si="122"/>
        <v>7.0239967271357493</v>
      </c>
      <c r="AN124" s="265">
        <f t="shared" si="122"/>
        <v>7.1870123708526865</v>
      </c>
      <c r="AO124" s="265">
        <f t="shared" si="122"/>
        <v>7.3486588231661729</v>
      </c>
      <c r="AP124" s="265">
        <f t="shared" si="122"/>
        <v>7.509125038149052</v>
      </c>
      <c r="AQ124" s="265">
        <f t="shared" si="122"/>
        <v>7.6685848217915602</v>
      </c>
      <c r="AR124" s="265">
        <f t="shared" si="122"/>
        <v>7.8271986728735357</v>
      </c>
      <c r="AS124" s="369">
        <f t="shared" si="122"/>
        <v>7.985115342289788</v>
      </c>
      <c r="AT124" s="3"/>
      <c r="AU124" s="3"/>
      <c r="AV124" s="3"/>
      <c r="AW124" s="3"/>
    </row>
    <row r="125" spans="2:49" hidden="1" x14ac:dyDescent="0.25">
      <c r="B125" s="242"/>
      <c r="C125" s="88"/>
      <c r="D125" s="43" t="s">
        <v>76</v>
      </c>
      <c r="E125" s="43"/>
      <c r="F125" s="229">
        <f>(0.675+9.273*10^-3*F110)*SQRT(F$16)*$F$4*$F$6/$F$7*$F$8</f>
        <v>8.2862314376510842</v>
      </c>
      <c r="G125" s="136"/>
      <c r="I125" s="267"/>
      <c r="J125" s="259"/>
      <c r="K125" s="259"/>
      <c r="L125" s="259"/>
      <c r="M125" s="259"/>
      <c r="N125" s="106"/>
      <c r="O125" s="106"/>
      <c r="P125" s="106"/>
      <c r="Q125" s="106"/>
      <c r="R125" s="106"/>
      <c r="S125" s="236">
        <f t="shared" ref="S125:AS125" si="123">(0.675+9.273*10^-3*S110)*SQRT(S$16)*$F$4*$F$6/$F$7*$F$8</f>
        <v>8.0282721861660225</v>
      </c>
      <c r="T125" s="231">
        <f t="shared" si="123"/>
        <v>8.2862314376510842</v>
      </c>
      <c r="U125" s="231">
        <f t="shared" si="123"/>
        <v>8.544154614642224</v>
      </c>
      <c r="V125" s="231">
        <f t="shared" si="123"/>
        <v>8.8025124814290248</v>
      </c>
      <c r="W125" s="231">
        <f t="shared" si="123"/>
        <v>9.0617343026538428</v>
      </c>
      <c r="X125" s="231">
        <f t="shared" si="123"/>
        <v>9.3222138605021811</v>
      </c>
      <c r="Y125" s="231">
        <f t="shared" si="123"/>
        <v>9.5843143685847707</v>
      </c>
      <c r="Z125" s="231">
        <f t="shared" si="123"/>
        <v>9.8483725217060396</v>
      </c>
      <c r="AA125" s="231">
        <f t="shared" si="123"/>
        <v>10.114701861591417</v>
      </c>
      <c r="AB125" s="231">
        <f t="shared" si="123"/>
        <v>10.383595595789695</v>
      </c>
      <c r="AC125" s="231">
        <f t="shared" si="123"/>
        <v>10.655328975480151</v>
      </c>
      <c r="AD125" s="231">
        <f t="shared" si="123"/>
        <v>10.930161314492734</v>
      </c>
      <c r="AE125" s="231">
        <f t="shared" si="123"/>
        <v>11.490090545758726</v>
      </c>
      <c r="AF125" s="231">
        <f t="shared" si="123"/>
        <v>12.065198849803396</v>
      </c>
      <c r="AG125" s="231">
        <f t="shared" si="123"/>
        <v>12.657135229091244</v>
      </c>
      <c r="AH125" s="231">
        <f t="shared" si="123"/>
        <v>13.267411550449093</v>
      </c>
      <c r="AI125" s="231">
        <f t="shared" si="123"/>
        <v>13.897425278204119</v>
      </c>
      <c r="AJ125" s="231">
        <f t="shared" si="123"/>
        <v>14.548477313703359</v>
      </c>
      <c r="AK125" s="231">
        <f t="shared" si="123"/>
        <v>15.221786190351656</v>
      </c>
      <c r="AL125" s="231">
        <f t="shared" si="123"/>
        <v>15.918499510794724</v>
      </c>
      <c r="AM125" s="231">
        <f t="shared" si="123"/>
        <v>16.639703266942782</v>
      </c>
      <c r="AN125" s="231">
        <f t="shared" si="123"/>
        <v>17.386429513361211</v>
      </c>
      <c r="AO125" s="231">
        <f t="shared" si="123"/>
        <v>18.159662744689239</v>
      </c>
      <c r="AP125" s="231">
        <f t="shared" si="123"/>
        <v>18.960345241935791</v>
      </c>
      <c r="AQ125" s="231">
        <f t="shared" si="123"/>
        <v>19.789381590153376</v>
      </c>
      <c r="AR125" s="231">
        <f t="shared" si="123"/>
        <v>20.647642524072594</v>
      </c>
      <c r="AS125" s="233">
        <f t="shared" si="123"/>
        <v>21.535968224036932</v>
      </c>
      <c r="AT125" s="3"/>
      <c r="AU125" s="3"/>
      <c r="AV125" s="3"/>
      <c r="AW125" s="3"/>
    </row>
    <row r="126" spans="2:49" ht="15.75" hidden="1" thickBot="1" x14ac:dyDescent="0.3">
      <c r="B126" s="242"/>
      <c r="C126" s="88"/>
      <c r="D126" s="43" t="s">
        <v>77</v>
      </c>
      <c r="E126" s="43"/>
      <c r="F126" s="219">
        <f>IF(($F$3*(F$16*10^-3)/SQRT($C$16*10^-3*$B$128*10^-3)*$F$4/$F$6^2*$F$8)&lt;(4*$F$13*$F$8),($F$3*(F$16*10^-3)/SQRT($C$16*10^-3*$B$128*10^-3)*$F$4/$F$6^2*$F$8),(4*$F$13*$F$8))</f>
        <v>7.0869805675833559</v>
      </c>
      <c r="G126" s="136"/>
      <c r="I126" s="267"/>
      <c r="J126" s="259"/>
      <c r="K126" s="259"/>
      <c r="L126" s="259"/>
      <c r="M126" s="259"/>
      <c r="N126" s="106"/>
      <c r="O126" s="106"/>
      <c r="P126" s="106"/>
      <c r="Q126" s="106"/>
      <c r="R126" s="106"/>
      <c r="S126" s="208">
        <f t="shared" ref="S126:AS126" si="124">IF(($F$3*(S$16*10^-3)/SQRT($C$16*10^-3*$B$128*10^-3)*$F$4/$F$6^2*$F$8)&lt;(4*$F$13*$F$8),($F$3*(S$16*10^-3)/SQRT($C$16*10^-3*$B$128*10^-3)*$F$4/$F$6^2*$F$8),(4*$F$13*$F$8))</f>
        <v>6.7326315392041884</v>
      </c>
      <c r="T126" s="209">
        <f t="shared" si="124"/>
        <v>7.0869805675833559</v>
      </c>
      <c r="U126" s="209">
        <f t="shared" si="124"/>
        <v>7.4413295959625234</v>
      </c>
      <c r="V126" s="209">
        <f t="shared" si="124"/>
        <v>7.79567862434169</v>
      </c>
      <c r="W126" s="209">
        <f t="shared" si="124"/>
        <v>8.1500276527208584</v>
      </c>
      <c r="X126" s="209">
        <f t="shared" si="124"/>
        <v>8.5043766811000268</v>
      </c>
      <c r="Y126" s="209">
        <f t="shared" si="124"/>
        <v>8.8587257094791951</v>
      </c>
      <c r="Z126" s="209">
        <f t="shared" si="124"/>
        <v>9.2130747378583617</v>
      </c>
      <c r="AA126" s="209">
        <f t="shared" si="124"/>
        <v>9.4595466606773275</v>
      </c>
      <c r="AB126" s="209">
        <f t="shared" si="124"/>
        <v>9.4595466606773275</v>
      </c>
      <c r="AC126" s="209">
        <f t="shared" si="124"/>
        <v>9.4595466606773275</v>
      </c>
      <c r="AD126" s="209">
        <f t="shared" si="124"/>
        <v>9.4595466606773275</v>
      </c>
      <c r="AE126" s="209">
        <f t="shared" si="124"/>
        <v>9.4595466606773275</v>
      </c>
      <c r="AF126" s="209">
        <f t="shared" si="124"/>
        <v>9.4595466606773275</v>
      </c>
      <c r="AG126" s="209">
        <f t="shared" si="124"/>
        <v>9.4595466606773275</v>
      </c>
      <c r="AH126" s="209">
        <f t="shared" si="124"/>
        <v>9.4595466606773275</v>
      </c>
      <c r="AI126" s="209">
        <f t="shared" si="124"/>
        <v>9.4595466606773275</v>
      </c>
      <c r="AJ126" s="209">
        <f t="shared" si="124"/>
        <v>9.4595466606773275</v>
      </c>
      <c r="AK126" s="209">
        <f t="shared" si="124"/>
        <v>9.4595466606773275</v>
      </c>
      <c r="AL126" s="209">
        <f t="shared" si="124"/>
        <v>9.4595466606773275</v>
      </c>
      <c r="AM126" s="209">
        <f t="shared" si="124"/>
        <v>9.4595466606773275</v>
      </c>
      <c r="AN126" s="209">
        <f t="shared" si="124"/>
        <v>9.4595466606773275</v>
      </c>
      <c r="AO126" s="209">
        <f t="shared" si="124"/>
        <v>9.4595466606773275</v>
      </c>
      <c r="AP126" s="209">
        <f t="shared" si="124"/>
        <v>9.4595466606773275</v>
      </c>
      <c r="AQ126" s="209">
        <f t="shared" si="124"/>
        <v>9.4595466606773275</v>
      </c>
      <c r="AR126" s="209">
        <f t="shared" si="124"/>
        <v>9.4595466606773275</v>
      </c>
      <c r="AS126" s="213">
        <f t="shared" si="124"/>
        <v>9.4595466606773275</v>
      </c>
      <c r="AT126" s="3"/>
      <c r="AU126" s="3"/>
      <c r="AV126" s="3"/>
      <c r="AW126" s="3"/>
    </row>
    <row r="127" spans="2:49" x14ac:dyDescent="0.25">
      <c r="B127" s="140"/>
      <c r="C127" s="243"/>
      <c r="D127" s="239" t="s">
        <v>56</v>
      </c>
      <c r="E127" s="239"/>
      <c r="F127" s="220">
        <f>F124</f>
        <v>4.423428549048646</v>
      </c>
      <c r="G127" s="215" t="s">
        <v>32</v>
      </c>
      <c r="I127" s="15"/>
      <c r="J127"/>
      <c r="K127"/>
      <c r="L127"/>
      <c r="M127"/>
      <c r="N127"/>
      <c r="O127"/>
      <c r="P127"/>
      <c r="Q127"/>
      <c r="R127"/>
      <c r="S127" s="195">
        <f t="shared" ref="S127:AS127" si="125">S124</f>
        <v>4.3092565940239487</v>
      </c>
      <c r="T127" s="184">
        <f t="shared" si="125"/>
        <v>4.423428549048646</v>
      </c>
      <c r="U127" s="184">
        <f t="shared" si="125"/>
        <v>4.5350654808297319</v>
      </c>
      <c r="V127" s="184">
        <f t="shared" si="125"/>
        <v>4.6443675462989882</v>
      </c>
      <c r="W127" s="184">
        <f t="shared" si="125"/>
        <v>4.751512907121656</v>
      </c>
      <c r="X127" s="184">
        <f t="shared" si="125"/>
        <v>4.8566610338768577</v>
      </c>
      <c r="Y127" s="184">
        <f t="shared" si="125"/>
        <v>4.9599553969593506</v>
      </c>
      <c r="Z127" s="184">
        <f t="shared" si="125"/>
        <v>5.0615256779141973</v>
      </c>
      <c r="AA127" s="184">
        <f t="shared" si="125"/>
        <v>5.1614896017634599</v>
      </c>
      <c r="AB127" s="184">
        <f t="shared" si="125"/>
        <v>5.2599544668698854</v>
      </c>
      <c r="AC127" s="184">
        <f t="shared" si="125"/>
        <v>5.3570184312526283</v>
      </c>
      <c r="AD127" s="184">
        <f t="shared" si="125"/>
        <v>5.4527716011662273</v>
      </c>
      <c r="AE127" s="184">
        <f t="shared" si="125"/>
        <v>5.6406711512919339</v>
      </c>
      <c r="AF127" s="184">
        <f t="shared" si="125"/>
        <v>5.8242449953470201</v>
      </c>
      <c r="AG127" s="184">
        <f t="shared" si="125"/>
        <v>6.0040034628763514</v>
      </c>
      <c r="AH127" s="184">
        <f t="shared" si="125"/>
        <v>6.1803908875575999</v>
      </c>
      <c r="AI127" s="184">
        <f t="shared" si="125"/>
        <v>6.3537975256415127</v>
      </c>
      <c r="AJ127" s="184">
        <f t="shared" si="125"/>
        <v>6.5245688283636953</v>
      </c>
      <c r="AK127" s="184">
        <f t="shared" si="125"/>
        <v>6.6930127537097546</v>
      </c>
      <c r="AL127" s="184">
        <f t="shared" si="125"/>
        <v>6.8594056023865786</v>
      </c>
      <c r="AM127" s="184">
        <f t="shared" si="125"/>
        <v>7.0239967271357493</v>
      </c>
      <c r="AN127" s="184">
        <f t="shared" si="125"/>
        <v>7.1870123708526865</v>
      </c>
      <c r="AO127" s="184">
        <f t="shared" si="125"/>
        <v>7.3486588231661729</v>
      </c>
      <c r="AP127" s="184">
        <f t="shared" si="125"/>
        <v>7.509125038149052</v>
      </c>
      <c r="AQ127" s="184">
        <f t="shared" si="125"/>
        <v>7.6685848217915602</v>
      </c>
      <c r="AR127" s="184">
        <f t="shared" si="125"/>
        <v>7.8271986728735357</v>
      </c>
      <c r="AS127" s="200">
        <f t="shared" si="125"/>
        <v>7.985115342289788</v>
      </c>
    </row>
    <row r="128" spans="2:49" x14ac:dyDescent="0.25">
      <c r="B128" s="254">
        <v>216</v>
      </c>
      <c r="C128" s="244" t="s">
        <v>58</v>
      </c>
      <c r="D128" s="253" t="s">
        <v>57</v>
      </c>
      <c r="E128" s="253"/>
      <c r="F128" s="221">
        <f t="shared" ref="F128" si="126">IF(F125&lt;F126,F125,F126)</f>
        <v>7.0869805675833559</v>
      </c>
      <c r="G128" s="216" t="s">
        <v>32</v>
      </c>
      <c r="I128" s="15"/>
      <c r="J128"/>
      <c r="K128"/>
      <c r="L128"/>
      <c r="M128"/>
      <c r="N128"/>
      <c r="O128"/>
      <c r="P128"/>
      <c r="Q128"/>
      <c r="R128"/>
      <c r="S128" s="190">
        <f t="shared" ref="S128:AS128" si="127">IF(S125&lt;S126,S125,S126)</f>
        <v>6.7326315392041884</v>
      </c>
      <c r="T128" s="179">
        <f t="shared" si="127"/>
        <v>7.0869805675833559</v>
      </c>
      <c r="U128" s="179">
        <f t="shared" si="127"/>
        <v>7.4413295959625234</v>
      </c>
      <c r="V128" s="179">
        <f t="shared" si="127"/>
        <v>7.79567862434169</v>
      </c>
      <c r="W128" s="179">
        <f t="shared" si="127"/>
        <v>8.1500276527208584</v>
      </c>
      <c r="X128" s="179">
        <f t="shared" si="127"/>
        <v>8.5043766811000268</v>
      </c>
      <c r="Y128" s="179">
        <f t="shared" si="127"/>
        <v>8.8587257094791951</v>
      </c>
      <c r="Z128" s="179">
        <f t="shared" si="127"/>
        <v>9.2130747378583617</v>
      </c>
      <c r="AA128" s="179">
        <f t="shared" si="127"/>
        <v>9.4595466606773275</v>
      </c>
      <c r="AB128" s="179">
        <f t="shared" si="127"/>
        <v>9.4595466606773275</v>
      </c>
      <c r="AC128" s="179">
        <f t="shared" si="127"/>
        <v>9.4595466606773275</v>
      </c>
      <c r="AD128" s="179">
        <f t="shared" si="127"/>
        <v>9.4595466606773275</v>
      </c>
      <c r="AE128" s="179">
        <f t="shared" si="127"/>
        <v>9.4595466606773275</v>
      </c>
      <c r="AF128" s="179">
        <f t="shared" si="127"/>
        <v>9.4595466606773275</v>
      </c>
      <c r="AG128" s="179">
        <f t="shared" si="127"/>
        <v>9.4595466606773275</v>
      </c>
      <c r="AH128" s="179">
        <f t="shared" si="127"/>
        <v>9.4595466606773275</v>
      </c>
      <c r="AI128" s="179">
        <f t="shared" si="127"/>
        <v>9.4595466606773275</v>
      </c>
      <c r="AJ128" s="179">
        <f t="shared" si="127"/>
        <v>9.4595466606773275</v>
      </c>
      <c r="AK128" s="179">
        <f t="shared" si="127"/>
        <v>9.4595466606773275</v>
      </c>
      <c r="AL128" s="179">
        <f t="shared" si="127"/>
        <v>9.4595466606773275</v>
      </c>
      <c r="AM128" s="179">
        <f t="shared" si="127"/>
        <v>9.4595466606773275</v>
      </c>
      <c r="AN128" s="179">
        <f t="shared" si="127"/>
        <v>9.4595466606773275</v>
      </c>
      <c r="AO128" s="179">
        <f t="shared" si="127"/>
        <v>9.4595466606773275</v>
      </c>
      <c r="AP128" s="179">
        <f t="shared" si="127"/>
        <v>9.4595466606773275</v>
      </c>
      <c r="AQ128" s="179">
        <f t="shared" si="127"/>
        <v>9.4595466606773275</v>
      </c>
      <c r="AR128" s="179">
        <f t="shared" si="127"/>
        <v>9.4595466606773275</v>
      </c>
      <c r="AS128" s="197">
        <f t="shared" si="127"/>
        <v>9.4595466606773275</v>
      </c>
    </row>
    <row r="129" spans="2:49" x14ac:dyDescent="0.25">
      <c r="B129" s="254" t="s">
        <v>45</v>
      </c>
      <c r="C129" s="243" t="s">
        <v>59</v>
      </c>
      <c r="D129" s="252" t="s">
        <v>60</v>
      </c>
      <c r="E129" s="252"/>
      <c r="F129" s="222">
        <f>F124</f>
        <v>4.423428549048646</v>
      </c>
      <c r="G129" s="217" t="s">
        <v>32</v>
      </c>
      <c r="I129" s="15"/>
      <c r="J129"/>
      <c r="K129"/>
      <c r="L129"/>
      <c r="M129"/>
      <c r="N129"/>
      <c r="O129"/>
      <c r="P129"/>
      <c r="Q129"/>
      <c r="R129"/>
      <c r="S129" s="191">
        <f t="shared" ref="S129:AS129" si="128">S124</f>
        <v>4.3092565940239487</v>
      </c>
      <c r="T129" s="182">
        <f t="shared" si="128"/>
        <v>4.423428549048646</v>
      </c>
      <c r="U129" s="182">
        <f t="shared" si="128"/>
        <v>4.5350654808297319</v>
      </c>
      <c r="V129" s="182">
        <f t="shared" si="128"/>
        <v>4.6443675462989882</v>
      </c>
      <c r="W129" s="182">
        <f t="shared" si="128"/>
        <v>4.751512907121656</v>
      </c>
      <c r="X129" s="182">
        <f t="shared" si="128"/>
        <v>4.8566610338768577</v>
      </c>
      <c r="Y129" s="182">
        <f t="shared" si="128"/>
        <v>4.9599553969593506</v>
      </c>
      <c r="Z129" s="182">
        <f t="shared" si="128"/>
        <v>5.0615256779141973</v>
      </c>
      <c r="AA129" s="182">
        <f t="shared" si="128"/>
        <v>5.1614896017634599</v>
      </c>
      <c r="AB129" s="182">
        <f t="shared" si="128"/>
        <v>5.2599544668698854</v>
      </c>
      <c r="AC129" s="182">
        <f t="shared" si="128"/>
        <v>5.3570184312526283</v>
      </c>
      <c r="AD129" s="182">
        <f t="shared" si="128"/>
        <v>5.4527716011662273</v>
      </c>
      <c r="AE129" s="182">
        <f t="shared" si="128"/>
        <v>5.6406711512919339</v>
      </c>
      <c r="AF129" s="182">
        <f t="shared" si="128"/>
        <v>5.8242449953470201</v>
      </c>
      <c r="AG129" s="182">
        <f t="shared" si="128"/>
        <v>6.0040034628763514</v>
      </c>
      <c r="AH129" s="182">
        <f t="shared" si="128"/>
        <v>6.1803908875575999</v>
      </c>
      <c r="AI129" s="182">
        <f t="shared" si="128"/>
        <v>6.3537975256415127</v>
      </c>
      <c r="AJ129" s="182">
        <f t="shared" si="128"/>
        <v>6.5245688283636953</v>
      </c>
      <c r="AK129" s="182">
        <f t="shared" si="128"/>
        <v>6.6930127537097546</v>
      </c>
      <c r="AL129" s="182">
        <f t="shared" si="128"/>
        <v>6.8594056023865786</v>
      </c>
      <c r="AM129" s="182">
        <f t="shared" si="128"/>
        <v>7.0239967271357493</v>
      </c>
      <c r="AN129" s="182">
        <f t="shared" si="128"/>
        <v>7.1870123708526865</v>
      </c>
      <c r="AO129" s="182">
        <f t="shared" si="128"/>
        <v>7.3486588231661729</v>
      </c>
      <c r="AP129" s="182">
        <f t="shared" si="128"/>
        <v>7.509125038149052</v>
      </c>
      <c r="AQ129" s="182">
        <f t="shared" si="128"/>
        <v>7.6685848217915602</v>
      </c>
      <c r="AR129" s="182">
        <f t="shared" si="128"/>
        <v>7.8271986728735357</v>
      </c>
      <c r="AS129" s="198">
        <f t="shared" si="128"/>
        <v>7.985115342289788</v>
      </c>
    </row>
    <row r="130" spans="2:49" ht="15.75" thickBot="1" x14ac:dyDescent="0.3">
      <c r="B130" s="141"/>
      <c r="C130" s="246"/>
      <c r="D130" s="238" t="s">
        <v>61</v>
      </c>
      <c r="E130" s="238"/>
      <c r="F130" s="223">
        <f t="shared" ref="F130" si="129">IF(F125&lt;F126,F125,F126)</f>
        <v>7.0869805675833559</v>
      </c>
      <c r="G130" s="214" t="s">
        <v>32</v>
      </c>
      <c r="I130" s="204"/>
      <c r="J130" s="135"/>
      <c r="K130" s="135"/>
      <c r="L130" s="135"/>
      <c r="M130" s="135"/>
      <c r="N130" s="135"/>
      <c r="O130" s="135"/>
      <c r="P130" s="135"/>
      <c r="Q130" s="135"/>
      <c r="R130" s="135"/>
      <c r="S130" s="192">
        <f t="shared" ref="S130:AS130" si="130">IF(S125&lt;S126,S125,S126)</f>
        <v>6.7326315392041884</v>
      </c>
      <c r="T130" s="193">
        <f t="shared" si="130"/>
        <v>7.0869805675833559</v>
      </c>
      <c r="U130" s="193">
        <f t="shared" si="130"/>
        <v>7.4413295959625234</v>
      </c>
      <c r="V130" s="193">
        <f t="shared" si="130"/>
        <v>7.79567862434169</v>
      </c>
      <c r="W130" s="193">
        <f t="shared" si="130"/>
        <v>8.1500276527208584</v>
      </c>
      <c r="X130" s="193">
        <f t="shared" si="130"/>
        <v>8.5043766811000268</v>
      </c>
      <c r="Y130" s="193">
        <f t="shared" si="130"/>
        <v>8.8587257094791951</v>
      </c>
      <c r="Z130" s="193">
        <f t="shared" si="130"/>
        <v>9.2130747378583617</v>
      </c>
      <c r="AA130" s="193">
        <f t="shared" si="130"/>
        <v>9.4595466606773275</v>
      </c>
      <c r="AB130" s="193">
        <f t="shared" si="130"/>
        <v>9.4595466606773275</v>
      </c>
      <c r="AC130" s="193">
        <f t="shared" si="130"/>
        <v>9.4595466606773275</v>
      </c>
      <c r="AD130" s="193">
        <f t="shared" si="130"/>
        <v>9.4595466606773275</v>
      </c>
      <c r="AE130" s="193">
        <f t="shared" si="130"/>
        <v>9.4595466606773275</v>
      </c>
      <c r="AF130" s="193">
        <f t="shared" si="130"/>
        <v>9.4595466606773275</v>
      </c>
      <c r="AG130" s="193">
        <f t="shared" si="130"/>
        <v>9.4595466606773275</v>
      </c>
      <c r="AH130" s="193">
        <f t="shared" si="130"/>
        <v>9.4595466606773275</v>
      </c>
      <c r="AI130" s="193">
        <f t="shared" si="130"/>
        <v>9.4595466606773275</v>
      </c>
      <c r="AJ130" s="193">
        <f t="shared" si="130"/>
        <v>9.4595466606773275</v>
      </c>
      <c r="AK130" s="193">
        <f t="shared" si="130"/>
        <v>9.4595466606773275</v>
      </c>
      <c r="AL130" s="193">
        <f t="shared" si="130"/>
        <v>9.4595466606773275</v>
      </c>
      <c r="AM130" s="193">
        <f t="shared" si="130"/>
        <v>9.4595466606773275</v>
      </c>
      <c r="AN130" s="193">
        <f t="shared" si="130"/>
        <v>9.4595466606773275</v>
      </c>
      <c r="AO130" s="193">
        <f t="shared" si="130"/>
        <v>9.4595466606773275</v>
      </c>
      <c r="AP130" s="193">
        <f t="shared" si="130"/>
        <v>9.4595466606773275</v>
      </c>
      <c r="AQ130" s="193">
        <f t="shared" si="130"/>
        <v>9.4595466606773275</v>
      </c>
      <c r="AR130" s="193">
        <f t="shared" si="130"/>
        <v>9.4595466606773275</v>
      </c>
      <c r="AS130" s="199">
        <f t="shared" si="130"/>
        <v>9.4595466606773275</v>
      </c>
    </row>
    <row r="131" spans="2:49" ht="15.75" hidden="1" thickBot="1" x14ac:dyDescent="0.3">
      <c r="B131" s="242"/>
      <c r="C131" s="2"/>
      <c r="D131" s="43" t="s">
        <v>71</v>
      </c>
      <c r="E131" s="43"/>
      <c r="F131" s="229">
        <f>1.07*1.22*F124</f>
        <v>5.7743436279281033</v>
      </c>
      <c r="G131" s="136"/>
      <c r="I131" s="275"/>
      <c r="J131" s="257"/>
      <c r="K131" s="257"/>
      <c r="L131" s="257"/>
      <c r="M131" s="257"/>
      <c r="N131" s="257"/>
      <c r="O131" s="274"/>
      <c r="P131" s="274"/>
      <c r="Q131" s="274"/>
      <c r="R131" s="274"/>
      <c r="S131" s="236">
        <f t="shared" ref="S131:AS131" si="131">1.07*1.22*S124</f>
        <v>5.6253035578388628</v>
      </c>
      <c r="T131" s="231">
        <f t="shared" si="131"/>
        <v>5.7743436279281033</v>
      </c>
      <c r="U131" s="231">
        <f t="shared" si="131"/>
        <v>5.9200744786751329</v>
      </c>
      <c r="V131" s="231">
        <f t="shared" si="131"/>
        <v>6.0627573949386999</v>
      </c>
      <c r="W131" s="231">
        <f t="shared" si="131"/>
        <v>6.2026249489566103</v>
      </c>
      <c r="X131" s="231">
        <f t="shared" si="131"/>
        <v>6.3398853136228501</v>
      </c>
      <c r="Y131" s="231">
        <f t="shared" si="131"/>
        <v>6.4747257751907368</v>
      </c>
      <c r="Z131" s="231">
        <f t="shared" si="131"/>
        <v>6.607315619949194</v>
      </c>
      <c r="AA131" s="231">
        <f t="shared" si="131"/>
        <v>6.7378085261420209</v>
      </c>
      <c r="AB131" s="231">
        <f t="shared" si="131"/>
        <v>6.8663445610519487</v>
      </c>
      <c r="AC131" s="231">
        <f t="shared" si="131"/>
        <v>6.9930518601571814</v>
      </c>
      <c r="AD131" s="231">
        <f t="shared" si="131"/>
        <v>7.118048048162394</v>
      </c>
      <c r="AE131" s="231">
        <f t="shared" si="131"/>
        <v>7.3633321208964908</v>
      </c>
      <c r="AF131" s="231">
        <f t="shared" si="131"/>
        <v>7.6029694169260011</v>
      </c>
      <c r="AG131" s="231">
        <f t="shared" si="131"/>
        <v>7.8376261204387898</v>
      </c>
      <c r="AH131" s="231">
        <f t="shared" si="131"/>
        <v>8.0678822646176922</v>
      </c>
      <c r="AI131" s="231">
        <f t="shared" si="131"/>
        <v>8.2942472899724322</v>
      </c>
      <c r="AJ131" s="231">
        <f t="shared" si="131"/>
        <v>8.5171721485459688</v>
      </c>
      <c r="AK131" s="231">
        <f t="shared" si="131"/>
        <v>8.7370588486927137</v>
      </c>
      <c r="AL131" s="231">
        <f t="shared" si="131"/>
        <v>8.9542680733554398</v>
      </c>
      <c r="AM131" s="231">
        <f t="shared" si="131"/>
        <v>9.1691253276030071</v>
      </c>
      <c r="AN131" s="231">
        <f t="shared" si="131"/>
        <v>9.381925948911098</v>
      </c>
      <c r="AO131" s="231">
        <f t="shared" si="131"/>
        <v>9.5929392277611232</v>
      </c>
      <c r="AP131" s="231">
        <f t="shared" si="131"/>
        <v>9.8024118247997727</v>
      </c>
      <c r="AQ131" s="231">
        <f t="shared" si="131"/>
        <v>10.010570626366704</v>
      </c>
      <c r="AR131" s="231">
        <f t="shared" si="131"/>
        <v>10.217625147569114</v>
      </c>
      <c r="AS131" s="233">
        <f t="shared" si="131"/>
        <v>10.42376956782509</v>
      </c>
      <c r="AT131" s="3"/>
      <c r="AU131" s="3"/>
      <c r="AV131" s="3"/>
      <c r="AW131" s="3"/>
    </row>
    <row r="132" spans="2:49" ht="15.75" hidden="1" thickBot="1" x14ac:dyDescent="0.3">
      <c r="B132" s="242"/>
      <c r="C132" s="2"/>
      <c r="D132" s="43" t="s">
        <v>72</v>
      </c>
      <c r="E132" s="43"/>
      <c r="F132" s="229">
        <f>1.07*1.22*F125</f>
        <v>10.816846518709726</v>
      </c>
      <c r="G132" s="136"/>
      <c r="I132" s="267"/>
      <c r="J132" s="259"/>
      <c r="K132" s="259"/>
      <c r="L132" s="259"/>
      <c r="M132" s="259"/>
      <c r="N132" s="259"/>
      <c r="O132" s="106"/>
      <c r="P132" s="106"/>
      <c r="Q132" s="106"/>
      <c r="R132" s="106"/>
      <c r="S132" s="236">
        <f t="shared" ref="S132:AS132" si="132">1.07*1.22*S125</f>
        <v>10.480106511821127</v>
      </c>
      <c r="T132" s="231">
        <f t="shared" si="132"/>
        <v>10.816846518709726</v>
      </c>
      <c r="U132" s="231">
        <f t="shared" si="132"/>
        <v>11.153539433953961</v>
      </c>
      <c r="V132" s="231">
        <f t="shared" si="132"/>
        <v>11.49079979325745</v>
      </c>
      <c r="W132" s="231">
        <f t="shared" si="132"/>
        <v>11.829187958684328</v>
      </c>
      <c r="X132" s="231">
        <f t="shared" si="132"/>
        <v>12.169217973499549</v>
      </c>
      <c r="Y132" s="231">
        <f t="shared" si="132"/>
        <v>12.511363976750561</v>
      </c>
      <c r="Z132" s="231">
        <f t="shared" si="132"/>
        <v>12.856065489835066</v>
      </c>
      <c r="AA132" s="231">
        <f t="shared" si="132"/>
        <v>13.203731810121438</v>
      </c>
      <c r="AB132" s="231">
        <f t="shared" si="132"/>
        <v>13.554745690743868</v>
      </c>
      <c r="AC132" s="231">
        <f t="shared" si="132"/>
        <v>13.909466444591789</v>
      </c>
      <c r="AD132" s="231">
        <f t="shared" si="132"/>
        <v>14.268232579938816</v>
      </c>
      <c r="AE132" s="231">
        <f t="shared" si="132"/>
        <v>14.999164198433443</v>
      </c>
      <c r="AF132" s="231">
        <f t="shared" si="132"/>
        <v>15.749910578533354</v>
      </c>
      <c r="AG132" s="231">
        <f t="shared" si="132"/>
        <v>16.522624328055713</v>
      </c>
      <c r="AH132" s="231">
        <f t="shared" si="132"/>
        <v>17.31927903795625</v>
      </c>
      <c r="AI132" s="231">
        <f t="shared" si="132"/>
        <v>18.141698958167659</v>
      </c>
      <c r="AJ132" s="231">
        <f t="shared" si="132"/>
        <v>18.991582285308365</v>
      </c>
      <c r="AK132" s="231">
        <f t="shared" si="132"/>
        <v>19.870519692885054</v>
      </c>
      <c r="AL132" s="231">
        <f t="shared" si="132"/>
        <v>20.780009261391434</v>
      </c>
      <c r="AM132" s="231">
        <f t="shared" si="132"/>
        <v>21.721468644667109</v>
      </c>
      <c r="AN132" s="231">
        <f t="shared" si="132"/>
        <v>22.696245086741726</v>
      </c>
      <c r="AO132" s="231">
        <f t="shared" si="132"/>
        <v>23.705623746917336</v>
      </c>
      <c r="AP132" s="231">
        <f t="shared" si="132"/>
        <v>24.750834678822983</v>
      </c>
      <c r="AQ132" s="231">
        <f t="shared" si="132"/>
        <v>25.83305872778622</v>
      </c>
      <c r="AR132" s="231">
        <f t="shared" si="132"/>
        <v>26.953432550924369</v>
      </c>
      <c r="AS132" s="233">
        <f t="shared" si="132"/>
        <v>28.113052919657814</v>
      </c>
      <c r="AT132" s="3"/>
      <c r="AU132" s="3"/>
      <c r="AV132" s="3"/>
      <c r="AW132" s="3"/>
    </row>
    <row r="133" spans="2:49" ht="15.75" hidden="1" thickBot="1" x14ac:dyDescent="0.3">
      <c r="B133" s="242"/>
      <c r="C133" s="2"/>
      <c r="D133" s="43" t="s">
        <v>79</v>
      </c>
      <c r="E133" s="43"/>
      <c r="F133" s="229">
        <f>1.07*1.22*F126</f>
        <v>9.2513444329233128</v>
      </c>
      <c r="G133" s="136"/>
      <c r="I133" s="267"/>
      <c r="J133" s="259"/>
      <c r="K133" s="259"/>
      <c r="L133" s="259"/>
      <c r="M133" s="259"/>
      <c r="N133" s="259"/>
      <c r="O133" s="106"/>
      <c r="P133" s="106"/>
      <c r="Q133" s="106"/>
      <c r="R133" s="106"/>
      <c r="S133" s="236">
        <f t="shared" ref="S133:AS133" si="133">1.07*1.22*S126</f>
        <v>8.7887772112771483</v>
      </c>
      <c r="T133" s="231">
        <f t="shared" si="133"/>
        <v>9.2513444329233128</v>
      </c>
      <c r="U133" s="231">
        <f t="shared" si="133"/>
        <v>9.713911654569479</v>
      </c>
      <c r="V133" s="231">
        <f t="shared" si="133"/>
        <v>10.176478876215644</v>
      </c>
      <c r="W133" s="231">
        <f t="shared" si="133"/>
        <v>10.63904609786181</v>
      </c>
      <c r="X133" s="231">
        <f t="shared" si="133"/>
        <v>11.101613319507976</v>
      </c>
      <c r="Y133" s="231">
        <f t="shared" si="133"/>
        <v>11.564180541154142</v>
      </c>
      <c r="Z133" s="231">
        <f t="shared" si="133"/>
        <v>12.026747762800307</v>
      </c>
      <c r="AA133" s="231">
        <f t="shared" si="133"/>
        <v>12.348492210848184</v>
      </c>
      <c r="AB133" s="231">
        <f t="shared" si="133"/>
        <v>12.348492210848184</v>
      </c>
      <c r="AC133" s="231">
        <f t="shared" si="133"/>
        <v>12.348492210848184</v>
      </c>
      <c r="AD133" s="231">
        <f t="shared" si="133"/>
        <v>12.348492210848184</v>
      </c>
      <c r="AE133" s="231">
        <f t="shared" si="133"/>
        <v>12.348492210848184</v>
      </c>
      <c r="AF133" s="231">
        <f t="shared" si="133"/>
        <v>12.348492210848184</v>
      </c>
      <c r="AG133" s="231">
        <f t="shared" si="133"/>
        <v>12.348492210848184</v>
      </c>
      <c r="AH133" s="231">
        <f t="shared" si="133"/>
        <v>12.348492210848184</v>
      </c>
      <c r="AI133" s="231">
        <f t="shared" si="133"/>
        <v>12.348492210848184</v>
      </c>
      <c r="AJ133" s="231">
        <f t="shared" si="133"/>
        <v>12.348492210848184</v>
      </c>
      <c r="AK133" s="231">
        <f t="shared" si="133"/>
        <v>12.348492210848184</v>
      </c>
      <c r="AL133" s="231">
        <f t="shared" si="133"/>
        <v>12.348492210848184</v>
      </c>
      <c r="AM133" s="231">
        <f t="shared" si="133"/>
        <v>12.348492210848184</v>
      </c>
      <c r="AN133" s="231">
        <f t="shared" si="133"/>
        <v>12.348492210848184</v>
      </c>
      <c r="AO133" s="231">
        <f t="shared" si="133"/>
        <v>12.348492210848184</v>
      </c>
      <c r="AP133" s="231">
        <f t="shared" si="133"/>
        <v>12.348492210848184</v>
      </c>
      <c r="AQ133" s="231">
        <f t="shared" si="133"/>
        <v>12.348492210848184</v>
      </c>
      <c r="AR133" s="231">
        <f t="shared" si="133"/>
        <v>12.348492210848184</v>
      </c>
      <c r="AS133" s="233">
        <f t="shared" si="133"/>
        <v>12.348492210848184</v>
      </c>
      <c r="AT133" s="3"/>
      <c r="AU133" s="3"/>
      <c r="AV133" s="3"/>
      <c r="AW133" s="3"/>
    </row>
    <row r="134" spans="2:49" ht="15.75" hidden="1" thickBot="1" x14ac:dyDescent="0.3">
      <c r="B134" s="242"/>
      <c r="C134" s="2"/>
      <c r="D134" s="43" t="s">
        <v>73</v>
      </c>
      <c r="E134" s="43"/>
      <c r="F134" s="229">
        <f>1.07*0.707*F124</f>
        <v>3.3462794630698101</v>
      </c>
      <c r="G134" s="136"/>
      <c r="I134" s="267"/>
      <c r="J134" s="259"/>
      <c r="K134" s="259"/>
      <c r="L134" s="259"/>
      <c r="M134" s="259"/>
      <c r="N134" s="259"/>
      <c r="O134" s="106"/>
      <c r="P134" s="106"/>
      <c r="Q134" s="106"/>
      <c r="R134" s="106"/>
      <c r="S134" s="236">
        <f t="shared" ref="S134:AS134" si="134">1.07*0.707*S124</f>
        <v>3.259909520813177</v>
      </c>
      <c r="T134" s="231">
        <f t="shared" si="134"/>
        <v>3.3462794630698101</v>
      </c>
      <c r="U134" s="231">
        <f t="shared" si="134"/>
        <v>3.430731685592884</v>
      </c>
      <c r="V134" s="231">
        <f t="shared" si="134"/>
        <v>3.5134176050997215</v>
      </c>
      <c r="W134" s="231">
        <f t="shared" si="134"/>
        <v>3.5944719991084617</v>
      </c>
      <c r="X134" s="231">
        <f t="shared" si="134"/>
        <v>3.6740155055175041</v>
      </c>
      <c r="Y134" s="231">
        <f t="shared" si="134"/>
        <v>3.752156658245779</v>
      </c>
      <c r="Z134" s="231">
        <f t="shared" si="134"/>
        <v>3.8289935600853111</v>
      </c>
      <c r="AA134" s="231">
        <f t="shared" si="134"/>
        <v>3.90461526883804</v>
      </c>
      <c r="AB134" s="231">
        <f t="shared" si="134"/>
        <v>3.9791029546423995</v>
      </c>
      <c r="AC134" s="231">
        <f t="shared" si="134"/>
        <v>4.0525308730583012</v>
      </c>
      <c r="AD134" s="231">
        <f t="shared" si="134"/>
        <v>4.1249671885662389</v>
      </c>
      <c r="AE134" s="231">
        <f t="shared" si="134"/>
        <v>4.2671113192408354</v>
      </c>
      <c r="AF134" s="231">
        <f t="shared" si="134"/>
        <v>4.4059830965300675</v>
      </c>
      <c r="AG134" s="231">
        <f t="shared" si="134"/>
        <v>4.5419685796313312</v>
      </c>
      <c r="AH134" s="231">
        <f t="shared" si="134"/>
        <v>4.6754039025284486</v>
      </c>
      <c r="AI134" s="231">
        <f t="shared" si="134"/>
        <v>4.8065842901725482</v>
      </c>
      <c r="AJ134" s="231">
        <f t="shared" si="134"/>
        <v>4.9357710729688522</v>
      </c>
      <c r="AK134" s="231">
        <f t="shared" si="134"/>
        <v>5.063197218053892</v>
      </c>
      <c r="AL134" s="231">
        <f t="shared" si="134"/>
        <v>5.1890717441494232</v>
      </c>
      <c r="AM134" s="231">
        <f t="shared" si="134"/>
        <v>5.3135832841109227</v>
      </c>
      <c r="AN134" s="231">
        <f t="shared" si="134"/>
        <v>5.4369029884263487</v>
      </c>
      <c r="AO134" s="231">
        <f t="shared" si="134"/>
        <v>5.559186913136978</v>
      </c>
      <c r="AP134" s="231">
        <f t="shared" si="134"/>
        <v>5.6805780001093762</v>
      </c>
      <c r="AQ134" s="231">
        <f t="shared" si="134"/>
        <v>5.8012077318370974</v>
      </c>
      <c r="AR134" s="231">
        <f t="shared" si="134"/>
        <v>5.9211975240421006</v>
      </c>
      <c r="AS134" s="233">
        <f t="shared" si="134"/>
        <v>6.0406599052888019</v>
      </c>
      <c r="AT134" s="3"/>
      <c r="AU134" s="3"/>
      <c r="AV134" s="3"/>
      <c r="AW134" s="3"/>
    </row>
    <row r="135" spans="2:49" ht="15.75" hidden="1" thickBot="1" x14ac:dyDescent="0.3">
      <c r="B135" s="242"/>
      <c r="C135" s="2"/>
      <c r="D135" s="43" t="s">
        <v>74</v>
      </c>
      <c r="E135" s="43"/>
      <c r="F135" s="229">
        <f>1.07*0.707*F125</f>
        <v>6.2684512202686689</v>
      </c>
      <c r="G135" s="136"/>
      <c r="I135" s="267"/>
      <c r="J135" s="259"/>
      <c r="K135" s="259"/>
      <c r="L135" s="259"/>
      <c r="M135" s="259"/>
      <c r="N135" s="259"/>
      <c r="O135" s="106"/>
      <c r="P135" s="106"/>
      <c r="Q135" s="106"/>
      <c r="R135" s="106"/>
      <c r="S135" s="236">
        <f t="shared" ref="S135:AS135" si="135">1.07*0.707*S125</f>
        <v>6.0733076261127339</v>
      </c>
      <c r="T135" s="231">
        <f t="shared" si="135"/>
        <v>6.2684512202686689</v>
      </c>
      <c r="U135" s="231">
        <f t="shared" si="135"/>
        <v>6.4635675244306956</v>
      </c>
      <c r="V135" s="231">
        <f t="shared" si="135"/>
        <v>6.6590126670762428</v>
      </c>
      <c r="W135" s="231">
        <f t="shared" si="135"/>
        <v>6.8551113826146057</v>
      </c>
      <c r="X135" s="231">
        <f t="shared" si="135"/>
        <v>7.0521615633312953</v>
      </c>
      <c r="Y135" s="231">
        <f t="shared" si="135"/>
        <v>7.2504379766906935</v>
      </c>
      <c r="Z135" s="231">
        <f t="shared" si="135"/>
        <v>7.4501953289454015</v>
      </c>
      <c r="AA135" s="231">
        <f t="shared" si="135"/>
        <v>7.6516708112752907</v>
      </c>
      <c r="AB135" s="231">
        <f t="shared" si="135"/>
        <v>7.8550862322589463</v>
      </c>
      <c r="AC135" s="231">
        <f t="shared" si="135"/>
        <v>8.0606498166609786</v>
      </c>
      <c r="AD135" s="231">
        <f t="shared" si="135"/>
        <v>8.268557732800609</v>
      </c>
      <c r="AE135" s="231">
        <f t="shared" si="135"/>
        <v>8.6921385969610192</v>
      </c>
      <c r="AF135" s="231">
        <f t="shared" si="135"/>
        <v>9.1272022778877719</v>
      </c>
      <c r="AG135" s="231">
        <f t="shared" si="135"/>
        <v>9.5749962294552358</v>
      </c>
      <c r="AH135" s="231">
        <f t="shared" si="135"/>
        <v>10.036664163799236</v>
      </c>
      <c r="AI135" s="231">
        <f t="shared" si="135"/>
        <v>10.513263248708634</v>
      </c>
      <c r="AJ135" s="231">
        <f t="shared" si="135"/>
        <v>11.005777603043454</v>
      </c>
      <c r="AK135" s="231">
        <f t="shared" si="135"/>
        <v>11.515129035139124</v>
      </c>
      <c r="AL135" s="231">
        <f t="shared" si="135"/>
        <v>12.042185694921102</v>
      </c>
      <c r="AM135" s="231">
        <f t="shared" si="135"/>
        <v>12.587769124409546</v>
      </c>
      <c r="AN135" s="231">
        <f t="shared" si="135"/>
        <v>13.152660062562623</v>
      </c>
      <c r="AO135" s="231">
        <f t="shared" si="135"/>
        <v>13.737603269729963</v>
      </c>
      <c r="AP135" s="231">
        <f t="shared" si="135"/>
        <v>14.343311572072006</v>
      </c>
      <c r="AQ135" s="231">
        <f t="shared" si="135"/>
        <v>14.970469279135127</v>
      </c>
      <c r="AR135" s="231">
        <f t="shared" si="135"/>
        <v>15.619735093035677</v>
      </c>
      <c r="AS135" s="233">
        <f t="shared" si="135"/>
        <v>16.2917446018017</v>
      </c>
      <c r="AT135" s="3"/>
      <c r="AU135" s="3"/>
      <c r="AV135" s="3"/>
      <c r="AW135" s="3"/>
    </row>
    <row r="136" spans="2:49" ht="15.75" hidden="1" thickBot="1" x14ac:dyDescent="0.3">
      <c r="B136" s="242"/>
      <c r="C136" s="2"/>
      <c r="D136" s="43" t="s">
        <v>80</v>
      </c>
      <c r="E136" s="43"/>
      <c r="F136" s="229">
        <f>1.07*0.707*F126</f>
        <v>5.3612299295711328</v>
      </c>
      <c r="G136" s="136"/>
      <c r="I136" s="267"/>
      <c r="J136" s="259"/>
      <c r="K136" s="259"/>
      <c r="L136" s="259"/>
      <c r="M136" s="259"/>
      <c r="N136" s="259"/>
      <c r="O136" s="106"/>
      <c r="P136" s="106"/>
      <c r="Q136" s="106"/>
      <c r="R136" s="106"/>
      <c r="S136" s="236">
        <f t="shared" ref="S136:AS136" si="136">1.07*0.707*S126</f>
        <v>5.0931684330925764</v>
      </c>
      <c r="T136" s="231">
        <f t="shared" si="136"/>
        <v>5.3612299295711328</v>
      </c>
      <c r="U136" s="231">
        <f t="shared" si="136"/>
        <v>5.6292914260496891</v>
      </c>
      <c r="V136" s="231">
        <f t="shared" si="136"/>
        <v>5.8973529225282446</v>
      </c>
      <c r="W136" s="231">
        <f t="shared" si="136"/>
        <v>6.1654144190068019</v>
      </c>
      <c r="X136" s="231">
        <f t="shared" si="136"/>
        <v>6.4334759154853591</v>
      </c>
      <c r="Y136" s="231">
        <f t="shared" si="136"/>
        <v>6.7015374119639164</v>
      </c>
      <c r="Z136" s="231">
        <f t="shared" si="136"/>
        <v>6.9695989084424719</v>
      </c>
      <c r="AA136" s="231">
        <f t="shared" si="136"/>
        <v>7.1560524533357919</v>
      </c>
      <c r="AB136" s="231">
        <f t="shared" si="136"/>
        <v>7.1560524533357919</v>
      </c>
      <c r="AC136" s="231">
        <f t="shared" si="136"/>
        <v>7.1560524533357919</v>
      </c>
      <c r="AD136" s="231">
        <f t="shared" si="136"/>
        <v>7.1560524533357919</v>
      </c>
      <c r="AE136" s="231">
        <f t="shared" si="136"/>
        <v>7.1560524533357919</v>
      </c>
      <c r="AF136" s="231">
        <f t="shared" si="136"/>
        <v>7.1560524533357919</v>
      </c>
      <c r="AG136" s="231">
        <f t="shared" si="136"/>
        <v>7.1560524533357919</v>
      </c>
      <c r="AH136" s="231">
        <f t="shared" si="136"/>
        <v>7.1560524533357919</v>
      </c>
      <c r="AI136" s="231">
        <f t="shared" si="136"/>
        <v>7.1560524533357919</v>
      </c>
      <c r="AJ136" s="231">
        <f t="shared" si="136"/>
        <v>7.1560524533357919</v>
      </c>
      <c r="AK136" s="231">
        <f t="shared" si="136"/>
        <v>7.1560524533357919</v>
      </c>
      <c r="AL136" s="231">
        <f t="shared" si="136"/>
        <v>7.1560524533357919</v>
      </c>
      <c r="AM136" s="231">
        <f t="shared" si="136"/>
        <v>7.1560524533357919</v>
      </c>
      <c r="AN136" s="231">
        <f t="shared" si="136"/>
        <v>7.1560524533357919</v>
      </c>
      <c r="AO136" s="231">
        <f t="shared" si="136"/>
        <v>7.1560524533357919</v>
      </c>
      <c r="AP136" s="231">
        <f t="shared" si="136"/>
        <v>7.1560524533357919</v>
      </c>
      <c r="AQ136" s="231">
        <f t="shared" si="136"/>
        <v>7.1560524533357919</v>
      </c>
      <c r="AR136" s="231">
        <f t="shared" si="136"/>
        <v>7.1560524533357919</v>
      </c>
      <c r="AS136" s="233">
        <f t="shared" si="136"/>
        <v>7.1560524533357919</v>
      </c>
      <c r="AT136" s="3"/>
      <c r="AU136" s="3"/>
      <c r="AV136" s="3"/>
      <c r="AW136" s="3"/>
    </row>
    <row r="137" spans="2:49" x14ac:dyDescent="0.25">
      <c r="B137" s="142"/>
      <c r="C137" s="243"/>
      <c r="D137" s="239" t="s">
        <v>56</v>
      </c>
      <c r="E137" s="239"/>
      <c r="F137" s="220">
        <f>F131</f>
        <v>5.7743436279281033</v>
      </c>
      <c r="G137" s="215" t="s">
        <v>32</v>
      </c>
      <c r="I137" s="15"/>
      <c r="J137"/>
      <c r="K137"/>
      <c r="L137"/>
      <c r="M137"/>
      <c r="N137"/>
      <c r="O137"/>
      <c r="P137"/>
      <c r="Q137"/>
      <c r="R137"/>
      <c r="S137" s="195">
        <f t="shared" ref="S137:AS137" si="137">S131</f>
        <v>5.6253035578388628</v>
      </c>
      <c r="T137" s="184">
        <f t="shared" si="137"/>
        <v>5.7743436279281033</v>
      </c>
      <c r="U137" s="184">
        <f t="shared" si="137"/>
        <v>5.9200744786751329</v>
      </c>
      <c r="V137" s="184">
        <f t="shared" si="137"/>
        <v>6.0627573949386999</v>
      </c>
      <c r="W137" s="184">
        <f t="shared" si="137"/>
        <v>6.2026249489566103</v>
      </c>
      <c r="X137" s="184">
        <f t="shared" si="137"/>
        <v>6.3398853136228501</v>
      </c>
      <c r="Y137" s="184">
        <f t="shared" si="137"/>
        <v>6.4747257751907368</v>
      </c>
      <c r="Z137" s="184">
        <f t="shared" si="137"/>
        <v>6.607315619949194</v>
      </c>
      <c r="AA137" s="184">
        <f t="shared" si="137"/>
        <v>6.7378085261420209</v>
      </c>
      <c r="AB137" s="184">
        <f t="shared" si="137"/>
        <v>6.8663445610519487</v>
      </c>
      <c r="AC137" s="184">
        <f t="shared" si="137"/>
        <v>6.9930518601571814</v>
      </c>
      <c r="AD137" s="184">
        <f t="shared" si="137"/>
        <v>7.118048048162394</v>
      </c>
      <c r="AE137" s="184">
        <f t="shared" si="137"/>
        <v>7.3633321208964908</v>
      </c>
      <c r="AF137" s="184">
        <f t="shared" si="137"/>
        <v>7.6029694169260011</v>
      </c>
      <c r="AG137" s="184">
        <f t="shared" si="137"/>
        <v>7.8376261204387898</v>
      </c>
      <c r="AH137" s="184">
        <f t="shared" si="137"/>
        <v>8.0678822646176922</v>
      </c>
      <c r="AI137" s="184">
        <f t="shared" si="137"/>
        <v>8.2942472899724322</v>
      </c>
      <c r="AJ137" s="184">
        <f t="shared" si="137"/>
        <v>8.5171721485459688</v>
      </c>
      <c r="AK137" s="184">
        <f t="shared" si="137"/>
        <v>8.7370588486927137</v>
      </c>
      <c r="AL137" s="184">
        <f t="shared" si="137"/>
        <v>8.9542680733554398</v>
      </c>
      <c r="AM137" s="184">
        <f t="shared" si="137"/>
        <v>9.1691253276030071</v>
      </c>
      <c r="AN137" s="184">
        <f t="shared" si="137"/>
        <v>9.381925948911098</v>
      </c>
      <c r="AO137" s="184">
        <f t="shared" si="137"/>
        <v>9.5929392277611232</v>
      </c>
      <c r="AP137" s="184">
        <f t="shared" si="137"/>
        <v>9.8024118247997727</v>
      </c>
      <c r="AQ137" s="184">
        <f t="shared" si="137"/>
        <v>10.010570626366704</v>
      </c>
      <c r="AR137" s="184">
        <f t="shared" si="137"/>
        <v>10.217625147569114</v>
      </c>
      <c r="AS137" s="200">
        <f t="shared" si="137"/>
        <v>10.42376956782509</v>
      </c>
    </row>
    <row r="138" spans="2:49" x14ac:dyDescent="0.25">
      <c r="B138" s="141"/>
      <c r="C138" s="244" t="s">
        <v>67</v>
      </c>
      <c r="D138" s="253" t="s">
        <v>57</v>
      </c>
      <c r="E138" s="253"/>
      <c r="F138" s="221">
        <f>IF(F132&lt;F133,F132,F133)</f>
        <v>9.2513444329233128</v>
      </c>
      <c r="G138" s="216" t="s">
        <v>32</v>
      </c>
      <c r="I138" s="15"/>
      <c r="J138"/>
      <c r="K138"/>
      <c r="L138"/>
      <c r="M138"/>
      <c r="N138"/>
      <c r="O138"/>
      <c r="P138"/>
      <c r="Q138"/>
      <c r="R138"/>
      <c r="S138" s="190">
        <f t="shared" ref="S138:AS138" si="138">IF(S132&lt;S133,S132,S133)</f>
        <v>8.7887772112771483</v>
      </c>
      <c r="T138" s="179">
        <f t="shared" si="138"/>
        <v>9.2513444329233128</v>
      </c>
      <c r="U138" s="179">
        <f t="shared" si="138"/>
        <v>9.713911654569479</v>
      </c>
      <c r="V138" s="179">
        <f t="shared" si="138"/>
        <v>10.176478876215644</v>
      </c>
      <c r="W138" s="179">
        <f t="shared" si="138"/>
        <v>10.63904609786181</v>
      </c>
      <c r="X138" s="179">
        <f t="shared" si="138"/>
        <v>11.101613319507976</v>
      </c>
      <c r="Y138" s="179">
        <f t="shared" si="138"/>
        <v>11.564180541154142</v>
      </c>
      <c r="Z138" s="179">
        <f t="shared" si="138"/>
        <v>12.026747762800307</v>
      </c>
      <c r="AA138" s="179">
        <f t="shared" si="138"/>
        <v>12.348492210848184</v>
      </c>
      <c r="AB138" s="179">
        <f t="shared" si="138"/>
        <v>12.348492210848184</v>
      </c>
      <c r="AC138" s="179">
        <f t="shared" si="138"/>
        <v>12.348492210848184</v>
      </c>
      <c r="AD138" s="179">
        <f t="shared" si="138"/>
        <v>12.348492210848184</v>
      </c>
      <c r="AE138" s="179">
        <f t="shared" si="138"/>
        <v>12.348492210848184</v>
      </c>
      <c r="AF138" s="179">
        <f t="shared" si="138"/>
        <v>12.348492210848184</v>
      </c>
      <c r="AG138" s="179">
        <f t="shared" si="138"/>
        <v>12.348492210848184</v>
      </c>
      <c r="AH138" s="179">
        <f t="shared" si="138"/>
        <v>12.348492210848184</v>
      </c>
      <c r="AI138" s="179">
        <f t="shared" si="138"/>
        <v>12.348492210848184</v>
      </c>
      <c r="AJ138" s="179">
        <f t="shared" si="138"/>
        <v>12.348492210848184</v>
      </c>
      <c r="AK138" s="179">
        <f t="shared" si="138"/>
        <v>12.348492210848184</v>
      </c>
      <c r="AL138" s="179">
        <f t="shared" si="138"/>
        <v>12.348492210848184</v>
      </c>
      <c r="AM138" s="179">
        <f t="shared" si="138"/>
        <v>12.348492210848184</v>
      </c>
      <c r="AN138" s="179">
        <f t="shared" si="138"/>
        <v>12.348492210848184</v>
      </c>
      <c r="AO138" s="179">
        <f t="shared" si="138"/>
        <v>12.348492210848184</v>
      </c>
      <c r="AP138" s="179">
        <f t="shared" si="138"/>
        <v>12.348492210848184</v>
      </c>
      <c r="AQ138" s="179">
        <f t="shared" si="138"/>
        <v>12.348492210848184</v>
      </c>
      <c r="AR138" s="179">
        <f t="shared" si="138"/>
        <v>12.348492210848184</v>
      </c>
      <c r="AS138" s="197">
        <f t="shared" si="138"/>
        <v>12.348492210848184</v>
      </c>
    </row>
    <row r="139" spans="2:49" x14ac:dyDescent="0.25">
      <c r="B139" s="142"/>
      <c r="C139" s="243" t="s">
        <v>68</v>
      </c>
      <c r="D139" s="252" t="s">
        <v>60</v>
      </c>
      <c r="E139" s="252"/>
      <c r="F139" s="222">
        <f>F134</f>
        <v>3.3462794630698101</v>
      </c>
      <c r="G139" s="217" t="s">
        <v>32</v>
      </c>
      <c r="I139" s="15"/>
      <c r="J139"/>
      <c r="K139"/>
      <c r="L139"/>
      <c r="M139"/>
      <c r="N139"/>
      <c r="O139"/>
      <c r="P139"/>
      <c r="Q139"/>
      <c r="R139"/>
      <c r="S139" s="191">
        <f t="shared" ref="S139:AS139" si="139">S134</f>
        <v>3.259909520813177</v>
      </c>
      <c r="T139" s="182">
        <f t="shared" si="139"/>
        <v>3.3462794630698101</v>
      </c>
      <c r="U139" s="182">
        <f t="shared" si="139"/>
        <v>3.430731685592884</v>
      </c>
      <c r="V139" s="182">
        <f t="shared" si="139"/>
        <v>3.5134176050997215</v>
      </c>
      <c r="W139" s="182">
        <f t="shared" si="139"/>
        <v>3.5944719991084617</v>
      </c>
      <c r="X139" s="182">
        <f t="shared" si="139"/>
        <v>3.6740155055175041</v>
      </c>
      <c r="Y139" s="182">
        <f t="shared" si="139"/>
        <v>3.752156658245779</v>
      </c>
      <c r="Z139" s="182">
        <f t="shared" si="139"/>
        <v>3.8289935600853111</v>
      </c>
      <c r="AA139" s="182">
        <f t="shared" si="139"/>
        <v>3.90461526883804</v>
      </c>
      <c r="AB139" s="182">
        <f t="shared" si="139"/>
        <v>3.9791029546423995</v>
      </c>
      <c r="AC139" s="182">
        <f t="shared" si="139"/>
        <v>4.0525308730583012</v>
      </c>
      <c r="AD139" s="182">
        <f t="shared" si="139"/>
        <v>4.1249671885662389</v>
      </c>
      <c r="AE139" s="182">
        <f t="shared" si="139"/>
        <v>4.2671113192408354</v>
      </c>
      <c r="AF139" s="182">
        <f t="shared" si="139"/>
        <v>4.4059830965300675</v>
      </c>
      <c r="AG139" s="182">
        <f t="shared" si="139"/>
        <v>4.5419685796313312</v>
      </c>
      <c r="AH139" s="182">
        <f t="shared" si="139"/>
        <v>4.6754039025284486</v>
      </c>
      <c r="AI139" s="182">
        <f t="shared" si="139"/>
        <v>4.8065842901725482</v>
      </c>
      <c r="AJ139" s="182">
        <f t="shared" si="139"/>
        <v>4.9357710729688522</v>
      </c>
      <c r="AK139" s="182">
        <f t="shared" si="139"/>
        <v>5.063197218053892</v>
      </c>
      <c r="AL139" s="182">
        <f t="shared" si="139"/>
        <v>5.1890717441494232</v>
      </c>
      <c r="AM139" s="182">
        <f t="shared" si="139"/>
        <v>5.3135832841109227</v>
      </c>
      <c r="AN139" s="182">
        <f t="shared" si="139"/>
        <v>5.4369029884263487</v>
      </c>
      <c r="AO139" s="182">
        <f t="shared" si="139"/>
        <v>5.559186913136978</v>
      </c>
      <c r="AP139" s="182">
        <f t="shared" si="139"/>
        <v>5.6805780001093762</v>
      </c>
      <c r="AQ139" s="182">
        <f t="shared" si="139"/>
        <v>5.8012077318370974</v>
      </c>
      <c r="AR139" s="182">
        <f t="shared" si="139"/>
        <v>5.9211975240421006</v>
      </c>
      <c r="AS139" s="198">
        <f t="shared" si="139"/>
        <v>6.0406599052888019</v>
      </c>
    </row>
    <row r="140" spans="2:49" ht="15.75" thickBot="1" x14ac:dyDescent="0.3">
      <c r="B140" s="143"/>
      <c r="C140" s="249"/>
      <c r="D140" s="237" t="s">
        <v>61</v>
      </c>
      <c r="E140" s="252"/>
      <c r="F140" s="223">
        <f t="shared" ref="F140" si="140">IF(F135&lt;F136,F135,F136)</f>
        <v>5.3612299295711328</v>
      </c>
      <c r="G140" s="130" t="s">
        <v>32</v>
      </c>
      <c r="I140" s="273"/>
      <c r="J140" s="121"/>
      <c r="K140" s="121"/>
      <c r="L140" s="121"/>
      <c r="M140" s="121"/>
      <c r="N140" s="121"/>
      <c r="O140" s="121"/>
      <c r="P140" s="121"/>
      <c r="Q140" s="121"/>
      <c r="R140" s="121"/>
      <c r="S140" s="196">
        <f t="shared" ref="S140:AS140" si="141">IF(S135&lt;S136,S135,S136)</f>
        <v>5.0931684330925764</v>
      </c>
      <c r="T140" s="187">
        <f t="shared" si="141"/>
        <v>5.3612299295711328</v>
      </c>
      <c r="U140" s="187">
        <f t="shared" si="141"/>
        <v>5.6292914260496891</v>
      </c>
      <c r="V140" s="187">
        <f t="shared" si="141"/>
        <v>5.8973529225282446</v>
      </c>
      <c r="W140" s="187">
        <f t="shared" si="141"/>
        <v>6.1654144190068019</v>
      </c>
      <c r="X140" s="187">
        <f t="shared" si="141"/>
        <v>6.4334759154853591</v>
      </c>
      <c r="Y140" s="187">
        <f t="shared" si="141"/>
        <v>6.7015374119639164</v>
      </c>
      <c r="Z140" s="187">
        <f t="shared" si="141"/>
        <v>6.9695989084424719</v>
      </c>
      <c r="AA140" s="187">
        <f t="shared" si="141"/>
        <v>7.1560524533357919</v>
      </c>
      <c r="AB140" s="187">
        <f t="shared" si="141"/>
        <v>7.1560524533357919</v>
      </c>
      <c r="AC140" s="187">
        <f t="shared" si="141"/>
        <v>7.1560524533357919</v>
      </c>
      <c r="AD140" s="187">
        <f t="shared" si="141"/>
        <v>7.1560524533357919</v>
      </c>
      <c r="AE140" s="187">
        <f t="shared" si="141"/>
        <v>7.1560524533357919</v>
      </c>
      <c r="AF140" s="187">
        <f t="shared" si="141"/>
        <v>7.1560524533357919</v>
      </c>
      <c r="AG140" s="187">
        <f t="shared" si="141"/>
        <v>7.1560524533357919</v>
      </c>
      <c r="AH140" s="187">
        <f t="shared" si="141"/>
        <v>7.1560524533357919</v>
      </c>
      <c r="AI140" s="187">
        <f t="shared" si="141"/>
        <v>7.1560524533357919</v>
      </c>
      <c r="AJ140" s="187">
        <f t="shared" si="141"/>
        <v>7.1560524533357919</v>
      </c>
      <c r="AK140" s="187">
        <f t="shared" si="141"/>
        <v>7.1560524533357919</v>
      </c>
      <c r="AL140" s="187">
        <f t="shared" si="141"/>
        <v>7.1560524533357919</v>
      </c>
      <c r="AM140" s="187">
        <f t="shared" si="141"/>
        <v>7.1560524533357919</v>
      </c>
      <c r="AN140" s="187">
        <f t="shared" si="141"/>
        <v>7.1560524533357919</v>
      </c>
      <c r="AO140" s="187">
        <f t="shared" si="141"/>
        <v>7.1560524533357919</v>
      </c>
      <c r="AP140" s="187">
        <f t="shared" si="141"/>
        <v>7.1560524533357919</v>
      </c>
      <c r="AQ140" s="187">
        <f t="shared" si="141"/>
        <v>7.1560524533357919</v>
      </c>
      <c r="AR140" s="187">
        <f t="shared" si="141"/>
        <v>7.1560524533357919</v>
      </c>
      <c r="AS140" s="201">
        <f t="shared" si="141"/>
        <v>7.1560524533357919</v>
      </c>
    </row>
    <row r="141" spans="2:49" ht="16.5" thickTop="1" thickBot="1" x14ac:dyDescent="0.3">
      <c r="I141" s="235">
        <v>90</v>
      </c>
      <c r="J141" s="202">
        <v>100</v>
      </c>
      <c r="K141" s="202">
        <v>110</v>
      </c>
      <c r="L141" s="202">
        <v>120</v>
      </c>
      <c r="M141" s="202">
        <v>130</v>
      </c>
      <c r="N141" s="202">
        <v>140</v>
      </c>
      <c r="O141" s="202">
        <v>150</v>
      </c>
      <c r="P141" s="202">
        <v>160</v>
      </c>
      <c r="Q141" s="202">
        <v>170</v>
      </c>
      <c r="R141" s="202">
        <v>180</v>
      </c>
      <c r="S141" s="202">
        <v>190</v>
      </c>
      <c r="T141" s="202">
        <v>200</v>
      </c>
      <c r="U141" s="202">
        <v>210</v>
      </c>
      <c r="V141" s="202">
        <v>220</v>
      </c>
      <c r="W141" s="202">
        <v>230</v>
      </c>
      <c r="X141" s="202">
        <v>240</v>
      </c>
      <c r="Y141" s="202">
        <v>250</v>
      </c>
      <c r="Z141" s="202">
        <v>260</v>
      </c>
      <c r="AA141" s="202">
        <v>270</v>
      </c>
      <c r="AB141" s="202">
        <v>280</v>
      </c>
      <c r="AC141" s="202">
        <v>290</v>
      </c>
      <c r="AD141" s="202">
        <v>300</v>
      </c>
      <c r="AE141" s="202">
        <v>320</v>
      </c>
      <c r="AF141" s="202">
        <v>340</v>
      </c>
      <c r="AG141" s="202">
        <v>360</v>
      </c>
      <c r="AH141" s="202">
        <v>380</v>
      </c>
      <c r="AI141" s="172">
        <v>400</v>
      </c>
      <c r="AJ141" s="202">
        <v>420</v>
      </c>
      <c r="AK141" s="202">
        <v>440</v>
      </c>
      <c r="AL141" s="202">
        <v>460</v>
      </c>
      <c r="AM141" s="202">
        <v>480</v>
      </c>
      <c r="AN141" s="202">
        <v>500</v>
      </c>
      <c r="AO141" s="202">
        <v>520</v>
      </c>
      <c r="AP141" s="202">
        <v>540</v>
      </c>
      <c r="AQ141" s="202">
        <v>560</v>
      </c>
      <c r="AR141" s="202">
        <v>580</v>
      </c>
      <c r="AS141" s="203">
        <v>600</v>
      </c>
    </row>
    <row r="142" spans="2:49" ht="15.75" thickTop="1" x14ac:dyDescent="0.25"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</row>
    <row r="143" spans="2:49" x14ac:dyDescent="0.25"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</row>
    <row r="144" spans="2:49" x14ac:dyDescent="0.25"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</row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</sheetData>
  <sheetProtection algorithmName="SHA-512" hashValue="iig0FQGCh6Oukj5eUJzW9ghnpv4D8KAmZArtO02ItKrxjy9QPeQZ2ryly/L4wI2ZxC/yt189WJsCi/AW7Efcbg==" saltValue="/ut9ExXOJgaU7zKDPGf+bg==" spinCount="100000" sheet="1" objects="1" scenarios="1" selectLockedCells="1"/>
  <conditionalFormatting sqref="F13">
    <cfRule type="expression" dxfId="172" priority="7" stopIfTrue="1">
      <formula>IF(F13&lt;2,TRUE,FALSE)</formula>
    </cfRule>
    <cfRule type="expression" dxfId="171" priority="8">
      <formula>IF(F13&gt;4.5,TRUE,FALSE)</formula>
    </cfRule>
  </conditionalFormatting>
  <conditionalFormatting sqref="F14">
    <cfRule type="expression" dxfId="170" priority="5" stopIfTrue="1">
      <formula>IF(ABS(F14)&gt;12,TRUE,FALSE)</formula>
    </cfRule>
    <cfRule type="expression" dxfId="169" priority="6">
      <formula>IF(ABS(F14)&lt;8,TRUE,FALSE)</formula>
    </cfRule>
  </conditionalFormatting>
  <conditionalFormatting sqref="F15">
    <cfRule type="expression" dxfId="168" priority="3" stopIfTrue="1">
      <formula>IF(F15&gt;95,TRUE,FALSE)</formula>
    </cfRule>
    <cfRule type="expression" dxfId="167" priority="4">
      <formula>IF(F15&lt;70,TRUE,FALSE)</formula>
    </cfRule>
  </conditionalFormatting>
  <conditionalFormatting sqref="F16">
    <cfRule type="expression" dxfId="166" priority="1" stopIfTrue="1">
      <formula>IF(F16&gt;600,TRUE,FALSE)</formula>
    </cfRule>
    <cfRule type="expression" dxfId="165" priority="2">
      <formula>IF(F16&lt;90,TRUE,FALSE)</formula>
    </cfRule>
  </conditionalFormatting>
  <conditionalFormatting sqref="F17">
    <cfRule type="cellIs" dxfId="164" priority="132" operator="lessThan">
      <formula>3</formula>
    </cfRule>
    <cfRule type="cellIs" dxfId="163" priority="133" operator="lessThanOrEqual">
      <formula>20</formula>
    </cfRule>
    <cfRule type="cellIs" dxfId="162" priority="134" operator="lessThanOrEqual">
      <formula>30</formula>
    </cfRule>
    <cfRule type="cellIs" dxfId="161" priority="135" operator="lessThanOrEqual">
      <formula>40</formula>
    </cfRule>
    <cfRule type="cellIs" dxfId="160" priority="136" operator="greaterThan">
      <formula>40</formula>
    </cfRule>
  </conditionalFormatting>
  <conditionalFormatting sqref="F18">
    <cfRule type="cellIs" dxfId="159" priority="122" operator="equal">
      <formula>"&lt;15"</formula>
    </cfRule>
    <cfRule type="cellIs" dxfId="158" priority="123" operator="lessThanOrEqual">
      <formula>40</formula>
    </cfRule>
    <cfRule type="cellIs" dxfId="157" priority="124" operator="lessThanOrEqual">
      <formula>45</formula>
    </cfRule>
    <cfRule type="cellIs" dxfId="156" priority="125" operator="lessThanOrEqual">
      <formula>50</formula>
    </cfRule>
    <cfRule type="cellIs" dxfId="155" priority="126" operator="greaterThan">
      <formula>50</formula>
    </cfRule>
  </conditionalFormatting>
  <conditionalFormatting sqref="F19">
    <cfRule type="cellIs" dxfId="154" priority="127" operator="equal">
      <formula>"&lt;5"</formula>
    </cfRule>
    <cfRule type="cellIs" dxfId="153" priority="128" operator="lessThanOrEqual">
      <formula>25</formula>
    </cfRule>
    <cfRule type="cellIs" dxfId="152" priority="129" operator="lessThanOrEqual">
      <formula>30</formula>
    </cfRule>
    <cfRule type="cellIs" dxfId="151" priority="130" operator="lessThanOrEqual">
      <formula>35</formula>
    </cfRule>
    <cfRule type="cellIs" dxfId="150" priority="131" operator="greaterThan">
      <formula>35</formula>
    </cfRule>
  </conditionalFormatting>
  <conditionalFormatting sqref="F26">
    <cfRule type="expression" dxfId="149" priority="43">
      <formula>IF(F26&gt;$F$13,TRUE,FALSE)</formula>
    </cfRule>
  </conditionalFormatting>
  <conditionalFormatting sqref="F27:F30">
    <cfRule type="expression" dxfId="148" priority="71">
      <formula>$F$17&gt;50</formula>
    </cfRule>
    <cfRule type="expression" dxfId="147" priority="72">
      <formula>$F$17&lt;3</formula>
    </cfRule>
  </conditionalFormatting>
  <conditionalFormatting sqref="F34:F37">
    <cfRule type="expression" dxfId="146" priority="61">
      <formula>$F$17&gt;50</formula>
    </cfRule>
    <cfRule type="expression" dxfId="145" priority="62">
      <formula>$F$17&lt;3</formula>
    </cfRule>
  </conditionalFormatting>
  <conditionalFormatting sqref="F44:F47">
    <cfRule type="expression" dxfId="144" priority="63">
      <formula>$F$17&gt;50</formula>
    </cfRule>
    <cfRule type="expression" dxfId="143" priority="64">
      <formula>$F$17&lt;3</formula>
    </cfRule>
  </conditionalFormatting>
  <conditionalFormatting sqref="F48">
    <cfRule type="cellIs" dxfId="142" priority="117" operator="lessThan">
      <formula>3</formula>
    </cfRule>
    <cfRule type="cellIs" dxfId="141" priority="118" operator="lessThanOrEqual">
      <formula>20</formula>
    </cfRule>
    <cfRule type="cellIs" dxfId="140" priority="119" operator="lessThanOrEqual">
      <formula>30</formula>
    </cfRule>
    <cfRule type="cellIs" dxfId="139" priority="120" operator="lessThanOrEqual">
      <formula>40</formula>
    </cfRule>
    <cfRule type="cellIs" dxfId="138" priority="121" operator="greaterThan">
      <formula>40</formula>
    </cfRule>
  </conditionalFormatting>
  <conditionalFormatting sqref="F49">
    <cfRule type="cellIs" dxfId="137" priority="87" operator="equal">
      <formula>"&lt;15"</formula>
    </cfRule>
    <cfRule type="cellIs" dxfId="136" priority="88" operator="lessThanOrEqual">
      <formula>40</formula>
    </cfRule>
    <cfRule type="cellIs" dxfId="135" priority="89" operator="lessThanOrEqual">
      <formula>45</formula>
    </cfRule>
    <cfRule type="cellIs" dxfId="134" priority="90" operator="lessThanOrEqual">
      <formula>50</formula>
    </cfRule>
    <cfRule type="cellIs" dxfId="133" priority="91" operator="greaterThan">
      <formula>50</formula>
    </cfRule>
  </conditionalFormatting>
  <conditionalFormatting sqref="F50">
    <cfRule type="cellIs" dxfId="132" priority="112" operator="equal">
      <formula>"&lt;5"</formula>
    </cfRule>
    <cfRule type="cellIs" dxfId="131" priority="113" operator="lessThanOrEqual">
      <formula>25</formula>
    </cfRule>
    <cfRule type="cellIs" dxfId="130" priority="114" operator="lessThanOrEqual">
      <formula>30</formula>
    </cfRule>
    <cfRule type="cellIs" dxfId="129" priority="115" operator="lessThanOrEqual">
      <formula>35</formula>
    </cfRule>
    <cfRule type="cellIs" dxfId="128" priority="116" operator="greaterThan">
      <formula>35</formula>
    </cfRule>
  </conditionalFormatting>
  <conditionalFormatting sqref="F57">
    <cfRule type="expression" dxfId="127" priority="44">
      <formula>IF(F57&gt;$F$13,TRUE,FALSE)</formula>
    </cfRule>
  </conditionalFormatting>
  <conditionalFormatting sqref="F58:F78">
    <cfRule type="expression" dxfId="126" priority="59">
      <formula>$F$48&gt;50</formula>
    </cfRule>
    <cfRule type="expression" dxfId="125" priority="60">
      <formula>$F$48&lt;3</formula>
    </cfRule>
  </conditionalFormatting>
  <conditionalFormatting sqref="F79">
    <cfRule type="cellIs" dxfId="124" priority="107" operator="lessThan">
      <formula>3</formula>
    </cfRule>
    <cfRule type="cellIs" dxfId="123" priority="108" operator="lessThanOrEqual">
      <formula>20</formula>
    </cfRule>
    <cfRule type="cellIs" dxfId="122" priority="109" operator="lessThanOrEqual">
      <formula>30</formula>
    </cfRule>
    <cfRule type="cellIs" dxfId="121" priority="110" operator="lessThanOrEqual">
      <formula>40</formula>
    </cfRule>
    <cfRule type="cellIs" dxfId="120" priority="111" operator="greaterThan">
      <formula>40</formula>
    </cfRule>
  </conditionalFormatting>
  <conditionalFormatting sqref="F80">
    <cfRule type="cellIs" dxfId="119" priority="82" operator="equal">
      <formula>"&lt;15"</formula>
    </cfRule>
    <cfRule type="cellIs" dxfId="118" priority="83" operator="lessThanOrEqual">
      <formula>40</formula>
    </cfRule>
    <cfRule type="cellIs" dxfId="117" priority="84" operator="lessThanOrEqual">
      <formula>45</formula>
    </cfRule>
    <cfRule type="cellIs" dxfId="116" priority="85" operator="lessThanOrEqual">
      <formula>50</formula>
    </cfRule>
    <cfRule type="cellIs" dxfId="115" priority="86" operator="greaterThan">
      <formula>50</formula>
    </cfRule>
  </conditionalFormatting>
  <conditionalFormatting sqref="F81">
    <cfRule type="cellIs" dxfId="114" priority="102" operator="equal">
      <formula>"&lt;5"</formula>
    </cfRule>
    <cfRule type="cellIs" dxfId="113" priority="103" operator="lessThanOrEqual">
      <formula>25</formula>
    </cfRule>
    <cfRule type="cellIs" dxfId="112" priority="104" operator="lessThanOrEqual">
      <formula>30</formula>
    </cfRule>
    <cfRule type="cellIs" dxfId="111" priority="105" operator="lessThanOrEqual">
      <formula>35</formula>
    </cfRule>
    <cfRule type="cellIs" dxfId="110" priority="106" operator="greaterThan">
      <formula>35</formula>
    </cfRule>
  </conditionalFormatting>
  <conditionalFormatting sqref="F88">
    <cfRule type="expression" dxfId="109" priority="46">
      <formula>IF(F88&gt;$F$13,TRUE,FALSE)</formula>
    </cfRule>
  </conditionalFormatting>
  <conditionalFormatting sqref="F89:F92">
    <cfRule type="expression" dxfId="108" priority="57">
      <formula>$F$79&gt;50</formula>
    </cfRule>
    <cfRule type="expression" dxfId="107" priority="58">
      <formula>$F$79&lt;3</formula>
    </cfRule>
  </conditionalFormatting>
  <conditionalFormatting sqref="F96:F99">
    <cfRule type="expression" dxfId="106" priority="55">
      <formula>$F$79&gt;50</formula>
    </cfRule>
    <cfRule type="expression" dxfId="105" priority="56">
      <formula>$F$79&lt;3</formula>
    </cfRule>
  </conditionalFormatting>
  <conditionalFormatting sqref="F106:F109">
    <cfRule type="expression" dxfId="104" priority="53">
      <formula>$F$79&gt;50</formula>
    </cfRule>
    <cfRule type="expression" dxfId="103" priority="54">
      <formula>$F$79&lt;3</formula>
    </cfRule>
  </conditionalFormatting>
  <conditionalFormatting sqref="F110">
    <cfRule type="cellIs" dxfId="102" priority="97" operator="lessThan">
      <formula>3</formula>
    </cfRule>
    <cfRule type="cellIs" dxfId="101" priority="98" operator="lessThanOrEqual">
      <formula>20</formula>
    </cfRule>
    <cfRule type="cellIs" dxfId="100" priority="99" operator="lessThanOrEqual">
      <formula>30</formula>
    </cfRule>
    <cfRule type="cellIs" dxfId="99" priority="100" operator="lessThanOrEqual">
      <formula>40</formula>
    </cfRule>
    <cfRule type="cellIs" dxfId="98" priority="101" operator="greaterThan">
      <formula>40</formula>
    </cfRule>
  </conditionalFormatting>
  <conditionalFormatting sqref="F111">
    <cfRule type="cellIs" dxfId="97" priority="77" operator="equal">
      <formula>"&lt;15"</formula>
    </cfRule>
    <cfRule type="cellIs" dxfId="96" priority="78" operator="lessThanOrEqual">
      <formula>40</formula>
    </cfRule>
    <cfRule type="cellIs" dxfId="95" priority="79" operator="lessThanOrEqual">
      <formula>45</formula>
    </cfRule>
    <cfRule type="cellIs" dxfId="94" priority="80" operator="lessThanOrEqual">
      <formula>50</formula>
    </cfRule>
    <cfRule type="cellIs" dxfId="93" priority="81" operator="greaterThan">
      <formula>50</formula>
    </cfRule>
  </conditionalFormatting>
  <conditionalFormatting sqref="F112">
    <cfRule type="cellIs" dxfId="92" priority="92" operator="equal">
      <formula>"&lt;5"</formula>
    </cfRule>
    <cfRule type="cellIs" dxfId="91" priority="93" operator="lessThanOrEqual">
      <formula>25</formula>
    </cfRule>
    <cfRule type="cellIs" dxfId="90" priority="94" operator="lessThanOrEqual">
      <formula>30</formula>
    </cfRule>
    <cfRule type="cellIs" dxfId="89" priority="95" operator="lessThanOrEqual">
      <formula>35</formula>
    </cfRule>
    <cfRule type="cellIs" dxfId="88" priority="96" operator="greaterThan">
      <formula>35</formula>
    </cfRule>
  </conditionalFormatting>
  <conditionalFormatting sqref="F119">
    <cfRule type="expression" dxfId="87" priority="45">
      <formula>IF(F119&gt;$F$13,TRUE,FALSE)</formula>
    </cfRule>
  </conditionalFormatting>
  <conditionalFormatting sqref="F120:F123">
    <cfRule type="expression" dxfId="86" priority="51">
      <formula>$F$110&gt;50</formula>
    </cfRule>
    <cfRule type="expression" dxfId="85" priority="52">
      <formula>$F$110&lt;3</formula>
    </cfRule>
  </conditionalFormatting>
  <conditionalFormatting sqref="F127:F130">
    <cfRule type="expression" dxfId="84" priority="49">
      <formula>$F$110&gt;50</formula>
    </cfRule>
    <cfRule type="expression" dxfId="83" priority="50">
      <formula>$F$110&lt;3</formula>
    </cfRule>
  </conditionalFormatting>
  <conditionalFormatting sqref="F137:F140">
    <cfRule type="expression" dxfId="82" priority="47">
      <formula>$F$110&gt;50</formula>
    </cfRule>
    <cfRule type="expression" dxfId="81" priority="48">
      <formula>$F$110&lt;3</formula>
    </cfRule>
  </conditionalFormatting>
  <conditionalFormatting sqref="I17:AC17">
    <cfRule type="cellIs" dxfId="80" priority="485" operator="lessThan">
      <formula>3</formula>
    </cfRule>
    <cfRule type="cellIs" dxfId="79" priority="486" operator="lessThanOrEqual">
      <formula>20</formula>
    </cfRule>
    <cfRule type="cellIs" dxfId="78" priority="487" operator="lessThanOrEqual">
      <formula>30</formula>
    </cfRule>
    <cfRule type="cellIs" dxfId="77" priority="488" operator="lessThanOrEqual">
      <formula>40</formula>
    </cfRule>
    <cfRule type="cellIs" dxfId="76" priority="489" operator="greaterThan">
      <formula>40</formula>
    </cfRule>
  </conditionalFormatting>
  <conditionalFormatting sqref="I18:AC18">
    <cfRule type="cellIs" dxfId="75" priority="475" operator="equal">
      <formula>"&lt;15"</formula>
    </cfRule>
    <cfRule type="cellIs" dxfId="74" priority="476" operator="lessThanOrEqual">
      <formula>40</formula>
    </cfRule>
    <cfRule type="cellIs" dxfId="73" priority="477" operator="lessThanOrEqual">
      <formula>45</formula>
    </cfRule>
    <cfRule type="cellIs" dxfId="72" priority="478" operator="lessThanOrEqual">
      <formula>50</formula>
    </cfRule>
    <cfRule type="cellIs" dxfId="71" priority="479" operator="greaterThan">
      <formula>50</formula>
    </cfRule>
  </conditionalFormatting>
  <conditionalFormatting sqref="I19:AC19">
    <cfRule type="cellIs" dxfId="70" priority="480" operator="equal">
      <formula>"&lt;5"</formula>
    </cfRule>
    <cfRule type="cellIs" dxfId="69" priority="481" operator="lessThanOrEqual">
      <formula>25</formula>
    </cfRule>
    <cfRule type="cellIs" dxfId="68" priority="482" operator="lessThanOrEqual">
      <formula>30</formula>
    </cfRule>
    <cfRule type="cellIs" dxfId="67" priority="483" operator="lessThanOrEqual">
      <formula>35</formula>
    </cfRule>
    <cfRule type="cellIs" dxfId="66" priority="484" operator="greaterThan">
      <formula>35</formula>
    </cfRule>
  </conditionalFormatting>
  <conditionalFormatting sqref="I27:AC30">
    <cfRule type="expression" dxfId="65" priority="37">
      <formula>$F$17&gt;50</formula>
    </cfRule>
    <cfRule type="expression" dxfId="64" priority="38">
      <formula>$F$17&lt;3</formula>
    </cfRule>
  </conditionalFormatting>
  <conditionalFormatting sqref="I34:AC37">
    <cfRule type="expression" dxfId="63" priority="27">
      <formula>$F$17&gt;50</formula>
    </cfRule>
    <cfRule type="expression" dxfId="62" priority="28">
      <formula>$F$17&lt;3</formula>
    </cfRule>
  </conditionalFormatting>
  <conditionalFormatting sqref="I44:AC47">
    <cfRule type="expression" dxfId="61" priority="29">
      <formula>$F$17&gt;50</formula>
    </cfRule>
    <cfRule type="expression" dxfId="60" priority="30">
      <formula>$F$17&lt;3</formula>
    </cfRule>
  </conditionalFormatting>
  <conditionalFormatting sqref="L48:AI48">
    <cfRule type="cellIs" dxfId="58" priority="353" operator="lessThan">
      <formula>3</formula>
    </cfRule>
    <cfRule type="cellIs" dxfId="57" priority="354" operator="lessThanOrEqual">
      <formula>20</formula>
    </cfRule>
    <cfRule type="cellIs" dxfId="56" priority="355" operator="lessThanOrEqual">
      <formula>30</formula>
    </cfRule>
    <cfRule type="cellIs" dxfId="55" priority="356" operator="lessThanOrEqual">
      <formula>40</formula>
    </cfRule>
    <cfRule type="cellIs" dxfId="54" priority="357" operator="greaterThan">
      <formula>40</formula>
    </cfRule>
  </conditionalFormatting>
  <conditionalFormatting sqref="L49:AI49">
    <cfRule type="cellIs" dxfId="53" priority="343" operator="equal">
      <formula>"&lt;15"</formula>
    </cfRule>
    <cfRule type="cellIs" dxfId="52" priority="344" operator="lessThanOrEqual">
      <formula>40</formula>
    </cfRule>
    <cfRule type="cellIs" dxfId="51" priority="345" operator="lessThanOrEqual">
      <formula>45</formula>
    </cfRule>
    <cfRule type="cellIs" dxfId="50" priority="346" operator="lessThanOrEqual">
      <formula>50</formula>
    </cfRule>
    <cfRule type="cellIs" dxfId="49" priority="347" operator="greaterThan">
      <formula>50</formula>
    </cfRule>
  </conditionalFormatting>
  <conditionalFormatting sqref="L50:AI50">
    <cfRule type="cellIs" dxfId="48" priority="348" operator="equal">
      <formula>"&lt;5"</formula>
    </cfRule>
    <cfRule type="cellIs" dxfId="47" priority="349" operator="lessThanOrEqual">
      <formula>25</formula>
    </cfRule>
    <cfRule type="cellIs" dxfId="46" priority="350" operator="lessThanOrEqual">
      <formula>30</formula>
    </cfRule>
    <cfRule type="cellIs" dxfId="45" priority="351" operator="lessThanOrEqual">
      <formula>35</formula>
    </cfRule>
    <cfRule type="cellIs" dxfId="44" priority="352" operator="greaterThan">
      <formula>35</formula>
    </cfRule>
  </conditionalFormatting>
  <conditionalFormatting sqref="L58:AI78">
    <cfRule type="expression" dxfId="43" priority="24">
      <formula>$F$48&gt;50</formula>
    </cfRule>
    <cfRule type="expression" dxfId="42" priority="25">
      <formula>$F$48&lt;3</formula>
    </cfRule>
  </conditionalFormatting>
  <conditionalFormatting sqref="P79:AN79">
    <cfRule type="cellIs" dxfId="41" priority="255" operator="lessThan">
      <formula>3</formula>
    </cfRule>
    <cfRule type="cellIs" dxfId="40" priority="256" operator="lessThanOrEqual">
      <formula>20</formula>
    </cfRule>
    <cfRule type="cellIs" dxfId="39" priority="257" operator="lessThanOrEqual">
      <formula>30</formula>
    </cfRule>
    <cfRule type="cellIs" dxfId="38" priority="258" operator="lessThanOrEqual">
      <formula>40</formula>
    </cfRule>
    <cfRule type="cellIs" dxfId="37" priority="259" operator="greaterThan">
      <formula>40</formula>
    </cfRule>
  </conditionalFormatting>
  <conditionalFormatting sqref="P80:AN80">
    <cfRule type="cellIs" dxfId="36" priority="245" operator="equal">
      <formula>"&lt;15"</formula>
    </cfRule>
    <cfRule type="cellIs" dxfId="35" priority="246" operator="lessThanOrEqual">
      <formula>40</formula>
    </cfRule>
    <cfRule type="cellIs" dxfId="34" priority="247" operator="lessThanOrEqual">
      <formula>45</formula>
    </cfRule>
    <cfRule type="cellIs" dxfId="33" priority="248" operator="lessThanOrEqual">
      <formula>50</formula>
    </cfRule>
    <cfRule type="cellIs" dxfId="32" priority="249" operator="greaterThan">
      <formula>50</formula>
    </cfRule>
  </conditionalFormatting>
  <conditionalFormatting sqref="P81:AN81">
    <cfRule type="cellIs" dxfId="31" priority="250" operator="equal">
      <formula>"&lt;5"</formula>
    </cfRule>
    <cfRule type="cellIs" dxfId="30" priority="251" operator="lessThanOrEqual">
      <formula>25</formula>
    </cfRule>
    <cfRule type="cellIs" dxfId="29" priority="252" operator="lessThanOrEqual">
      <formula>30</formula>
    </cfRule>
    <cfRule type="cellIs" dxfId="28" priority="253" operator="lessThanOrEqual">
      <formula>35</formula>
    </cfRule>
    <cfRule type="cellIs" dxfId="27" priority="254" operator="greaterThan">
      <formula>35</formula>
    </cfRule>
  </conditionalFormatting>
  <conditionalFormatting sqref="P89:AN92">
    <cfRule type="expression" dxfId="26" priority="21">
      <formula>$F$79&gt;50</formula>
    </cfRule>
    <cfRule type="expression" dxfId="25" priority="22">
      <formula>$F$79&lt;3</formula>
    </cfRule>
  </conditionalFormatting>
  <conditionalFormatting sqref="P96:AN99">
    <cfRule type="expression" dxfId="24" priority="19">
      <formula>$F$79&gt;50</formula>
    </cfRule>
    <cfRule type="expression" dxfId="23" priority="20">
      <formula>$F$79&lt;3</formula>
    </cfRule>
  </conditionalFormatting>
  <conditionalFormatting sqref="P106:AN109">
    <cfRule type="expression" dxfId="22" priority="17">
      <formula>$F$79&gt;50</formula>
    </cfRule>
    <cfRule type="expression" dxfId="21" priority="18">
      <formula>$F$79&lt;3</formula>
    </cfRule>
  </conditionalFormatting>
  <conditionalFormatting sqref="S110:AS110">
    <cfRule type="cellIs" dxfId="20" priority="153" operator="lessThan">
      <formula>3</formula>
    </cfRule>
    <cfRule type="cellIs" dxfId="19" priority="154" operator="lessThanOrEqual">
      <formula>20</formula>
    </cfRule>
    <cfRule type="cellIs" dxfId="18" priority="155" operator="lessThanOrEqual">
      <formula>30</formula>
    </cfRule>
    <cfRule type="cellIs" dxfId="17" priority="156" operator="lessThanOrEqual">
      <formula>40</formula>
    </cfRule>
    <cfRule type="cellIs" dxfId="16" priority="157" operator="greaterThan">
      <formula>40</formula>
    </cfRule>
  </conditionalFormatting>
  <conditionalFormatting sqref="S111:AS111">
    <cfRule type="cellIs" dxfId="15" priority="143" operator="equal">
      <formula>"&lt;15"</formula>
    </cfRule>
    <cfRule type="cellIs" dxfId="14" priority="144" operator="lessThanOrEqual">
      <formula>40</formula>
    </cfRule>
    <cfRule type="cellIs" dxfId="13" priority="145" operator="lessThanOrEqual">
      <formula>45</formula>
    </cfRule>
    <cfRule type="cellIs" dxfId="12" priority="146" operator="lessThanOrEqual">
      <formula>50</formula>
    </cfRule>
    <cfRule type="cellIs" dxfId="11" priority="147" operator="greaterThan">
      <formula>50</formula>
    </cfRule>
  </conditionalFormatting>
  <conditionalFormatting sqref="S112:AS112">
    <cfRule type="cellIs" dxfId="10" priority="148" operator="equal">
      <formula>"&lt;5"</formula>
    </cfRule>
    <cfRule type="cellIs" dxfId="9" priority="149" operator="lessThanOrEqual">
      <formula>25</formula>
    </cfRule>
    <cfRule type="cellIs" dxfId="8" priority="150" operator="lessThanOrEqual">
      <formula>30</formula>
    </cfRule>
    <cfRule type="cellIs" dxfId="7" priority="151" operator="lessThanOrEqual">
      <formula>35</formula>
    </cfRule>
    <cfRule type="cellIs" dxfId="6" priority="152" operator="greaterThan">
      <formula>35</formula>
    </cfRule>
  </conditionalFormatting>
  <conditionalFormatting sqref="S120:AS123">
    <cfRule type="expression" dxfId="5" priority="14">
      <formula>$F$110&gt;50</formula>
    </cfRule>
    <cfRule type="expression" dxfId="4" priority="15">
      <formula>$F$110&lt;3</formula>
    </cfRule>
  </conditionalFormatting>
  <conditionalFormatting sqref="S127:AS130">
    <cfRule type="expression" dxfId="3" priority="12">
      <formula>$F$110&gt;50</formula>
    </cfRule>
    <cfRule type="expression" dxfId="2" priority="13">
      <formula>$F$110&lt;3</formula>
    </cfRule>
  </conditionalFormatting>
  <conditionalFormatting sqref="S137:AS140">
    <cfRule type="expression" dxfId="1" priority="10">
      <formula>$F$110&gt;50</formula>
    </cfRule>
    <cfRule type="expression" dxfId="0" priority="11">
      <formula>$F$110&lt;3</formula>
    </cfRule>
  </conditionalFormatting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8194" r:id="rId4">
          <objectPr defaultSize="0" r:id="rId5">
            <anchor moveWithCells="1">
              <from>
                <xdr:col>4</xdr:col>
                <xdr:colOff>0</xdr:colOff>
                <xdr:row>155</xdr:row>
                <xdr:rowOff>19050</xdr:rowOff>
              </from>
              <to>
                <xdr:col>8</xdr:col>
                <xdr:colOff>142875</xdr:colOff>
                <xdr:row>156</xdr:row>
                <xdr:rowOff>19050</xdr:rowOff>
              </to>
            </anchor>
          </objectPr>
        </oleObject>
      </mc:Choice>
      <mc:Fallback>
        <oleObject progId="Equation.3" shapeId="8194" r:id="rId4"/>
      </mc:Fallback>
    </mc:AlternateContent>
    <mc:AlternateContent xmlns:mc="http://schemas.openxmlformats.org/markup-compatibility/2006">
      <mc:Choice Requires="x14">
        <oleObject progId="Equation.3" shapeId="8201" r:id="rId6">
          <objectPr defaultSize="0" autoPict="0" r:id="rId5">
            <anchor moveWithCells="1">
              <from>
                <xdr:col>3</xdr:col>
                <xdr:colOff>28575</xdr:colOff>
                <xdr:row>15</xdr:row>
                <xdr:rowOff>19050</xdr:rowOff>
              </from>
              <to>
                <xdr:col>3</xdr:col>
                <xdr:colOff>152400</xdr:colOff>
                <xdr:row>15</xdr:row>
                <xdr:rowOff>180975</xdr:rowOff>
              </to>
            </anchor>
          </objectPr>
        </oleObject>
      </mc:Choice>
      <mc:Fallback>
        <oleObject progId="Equation.3" shapeId="8201" r:id="rId6"/>
      </mc:Fallback>
    </mc:AlternateContent>
    <mc:AlternateContent xmlns:mc="http://schemas.openxmlformats.org/markup-compatibility/2006">
      <mc:Choice Requires="x14">
        <oleObject progId="Equation.3" shapeId="8202" r:id="rId7">
          <objectPr defaultSize="0" autoPict="0" r:id="rId5">
            <anchor moveWithCells="1">
              <from>
                <xdr:col>3</xdr:col>
                <xdr:colOff>28575</xdr:colOff>
                <xdr:row>15</xdr:row>
                <xdr:rowOff>19050</xdr:rowOff>
              </from>
              <to>
                <xdr:col>3</xdr:col>
                <xdr:colOff>152400</xdr:colOff>
                <xdr:row>15</xdr:row>
                <xdr:rowOff>180975</xdr:rowOff>
              </to>
            </anchor>
          </objectPr>
        </oleObject>
      </mc:Choice>
      <mc:Fallback>
        <oleObject progId="Equation.3" shapeId="8202" r:id="rId7"/>
      </mc:Fallback>
    </mc:AlternateContent>
    <mc:AlternateContent xmlns:mc="http://schemas.openxmlformats.org/markup-compatibility/2006">
      <mc:Choice Requires="x14">
        <oleObject progId="Equation.3" shapeId="8203" r:id="rId8">
          <objectPr defaultSize="0" autoPict="0" r:id="rId5">
            <anchor moveWithCells="1">
              <from>
                <xdr:col>3</xdr:col>
                <xdr:colOff>28575</xdr:colOff>
                <xdr:row>15</xdr:row>
                <xdr:rowOff>19050</xdr:rowOff>
              </from>
              <to>
                <xdr:col>3</xdr:col>
                <xdr:colOff>152400</xdr:colOff>
                <xdr:row>15</xdr:row>
                <xdr:rowOff>180975</xdr:rowOff>
              </to>
            </anchor>
          </objectPr>
        </oleObject>
      </mc:Choice>
      <mc:Fallback>
        <oleObject progId="Equation.3" shapeId="8203" r:id="rId8"/>
      </mc:Fallback>
    </mc:AlternateContent>
  </oleObjec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26" id="{825DA075-400B-43BC-AE7A-7B87F240051A}">
            <xm:f>IF('DN 950'!K57&gt;'DN 950'!$F$13,TRUE,FALSE)</xm:f>
            <x14:dxf>
              <font>
                <color rgb="FFFF0000"/>
              </font>
            </x14:dxf>
          </x14:cfRule>
          <xm:sqref>K57 M88:O88 O119:R119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bbb3e3-3c65-4cbd-bb41-bc965094d10a">
      <Terms xmlns="http://schemas.microsoft.com/office/infopath/2007/PartnerControls"/>
    </lcf76f155ced4ddcb4097134ff3c332f>
    <TaxCatchAll xmlns="376dd4ba-df4a-4846-a89c-1b53ce3cc70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504A946ECCA4C952722432686889E" ma:contentTypeVersion="18" ma:contentTypeDescription="Create a new document." ma:contentTypeScope="" ma:versionID="24da48cf75f9bf0b3e5df95da4e49eef">
  <xsd:schema xmlns:xsd="http://www.w3.org/2001/XMLSchema" xmlns:xs="http://www.w3.org/2001/XMLSchema" xmlns:p="http://schemas.microsoft.com/office/2006/metadata/properties" xmlns:ns2="14bbb3e3-3c65-4cbd-bb41-bc965094d10a" xmlns:ns3="376dd4ba-df4a-4846-a89c-1b53ce3cc703" targetNamespace="http://schemas.microsoft.com/office/2006/metadata/properties" ma:root="true" ma:fieldsID="642a4977956073b86c85c9bb1891e1f6" ns2:_="" ns3:_="">
    <xsd:import namespace="14bbb3e3-3c65-4cbd-bb41-bc965094d10a"/>
    <xsd:import namespace="376dd4ba-df4a-4846-a89c-1b53ce3cc7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bb3e3-3c65-4cbd-bb41-bc965094d1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5099de3-f43e-464c-81e1-892210f71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6dd4ba-df4a-4846-a89c-1b53ce3cc7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a1b3306-80d9-4625-86be-7037c69e3b39}" ma:internalName="TaxCatchAll" ma:showField="CatchAllData" ma:web="376dd4ba-df4a-4846-a89c-1b53ce3cc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CA5BA9-C15A-4C13-AC5A-8272E47E39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446D7F-6AAA-4E3C-8383-763BD70B11C1}">
  <ds:schemaRefs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14bbb3e3-3c65-4cbd-bb41-bc965094d10a"/>
    <ds:schemaRef ds:uri="http://www.w3.org/XML/1998/namespace"/>
    <ds:schemaRef ds:uri="http://schemas.microsoft.com/office/infopath/2007/PartnerControls"/>
    <ds:schemaRef ds:uri="http://purl.org/dc/terms/"/>
    <ds:schemaRef ds:uri="376dd4ba-df4a-4846-a89c-1b53ce3cc70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9128654-2DFF-4A39-9686-027FBAE206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bbb3e3-3c65-4cbd-bb41-bc965094d10a"/>
    <ds:schemaRef ds:uri="376dd4ba-df4a-4846-a89c-1b53ce3cc7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BMW-AD-Std Size Calculator</vt:lpstr>
      <vt:lpstr>BMW_Std_Eqn</vt:lpstr>
      <vt:lpstr>BMW-Std-selection</vt:lpstr>
      <vt:lpstr>BMW-AD Std Summary</vt:lpstr>
      <vt:lpstr>BMW-AD Bespoke Calculator</vt:lpstr>
      <vt:lpstr>BMW_Be_Eqn</vt:lpstr>
      <vt:lpstr>BMW-Be-Selection</vt:lpstr>
      <vt:lpstr>BMW-AD Bespoke Summary</vt:lpstr>
      <vt:lpstr>Tables Old</vt:lpstr>
      <vt:lpstr>DN600, DN950, DN1500 Calculator</vt:lpstr>
      <vt:lpstr>old Bespoke Calculator</vt:lpstr>
      <vt:lpstr>DN 600</vt:lpstr>
      <vt:lpstr>DN 950</vt:lpstr>
      <vt:lpstr>DN 1500</vt:lpstr>
      <vt:lpstr>adpi.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peter.tran@smartair.asia</dc:creator>
  <cp:lastModifiedBy>Peter Tran</cp:lastModifiedBy>
  <cp:lastPrinted>2021-03-17T14:16:45Z</cp:lastPrinted>
  <dcterms:created xsi:type="dcterms:W3CDTF">2011-12-02T03:21:01Z</dcterms:created>
  <dcterms:modified xsi:type="dcterms:W3CDTF">2026-01-07T10:50:39Z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0x010100E34504A946ECCA4C952722432686889E</vt:lpwstr>
  </property>
  <property fmtid="{D5CDD505-2E9C-101B-9397-08002B2CF9AE}" pid="3" name="Order">
    <vt:r8>4913600</vt:r8>
  </property>
  <property fmtid="{D5CDD505-2E9C-101B-9397-08002B2CF9AE}" pid="4" name="MediaServiceImageTags">
    <vt:lpwstr/>
  </property>
</Properties>
</file>