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8369f42e4cf940/Documents/Work/Smartair/BAW-FD/"/>
    </mc:Choice>
  </mc:AlternateContent>
  <xr:revisionPtr revIDLastSave="1044" documentId="13_ncr:1_{24AE46EE-9B61-4A0E-B7D8-5DD5E46531B8}" xr6:coauthVersionLast="47" xr6:coauthVersionMax="47" xr10:uidLastSave="{0F684C71-31EC-4DF7-B2A6-CEE17217C337}"/>
  <workbookProtection workbookAlgorithmName="SHA-512" workbookHashValue="1RvTngIIZWoagUQBPu04120PkKuYj+tIe+/dHzJESD6uYKYlCxklDEZYivfv1wtohQ+t27yW1E/MpWiNsMIg0w==" workbookSaltValue="suP1pSWZXY9KQRdh0vPJpA==" workbookSpinCount="100000" lockStructure="1"/>
  <bookViews>
    <workbookView xWindow="0" yWindow="0" windowWidth="28275" windowHeight="24000" tabRatio="701" xr2:uid="{00000000-000D-0000-FFFF-FFFF00000000}"/>
  </bookViews>
  <sheets>
    <sheet name="BAW-FD" sheetId="1" r:id="rId1"/>
    <sheet name="BAW-FD equations" sheetId="3" state="hidden" r:id="rId2"/>
    <sheet name="data" sheetId="2" state="hidden" r:id="rId3"/>
    <sheet name="Dimensions" sheetId="5" state="hidden" r:id="rId4"/>
    <sheet name="Selection Summary" sheetId="6" state="hidden" r:id="rId5"/>
  </sheets>
  <definedNames>
    <definedName name="adpi.">data!$A$2:$A$5</definedName>
    <definedName name="getImage">IF('BAW-FD'!$Z$14&lt;0.4,#REF!,IF('BAW-FD'!$Z$14&lt;0.65,#REF!,IF('BAW-FD'!$Z$14&lt;1,#REF!,#REF!)))</definedName>
    <definedName name="getLayout">IF('BAW-FD equations'!$B$14=2,#REF!,#REF!)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" i="3" l="1"/>
  <c r="B58" i="3"/>
  <c r="N29" i="1" l="1"/>
  <c r="B169" i="3"/>
  <c r="I169" i="3"/>
  <c r="P169" i="3"/>
  <c r="W169" i="3"/>
  <c r="AD169" i="3"/>
  <c r="AK169" i="3"/>
  <c r="AR169" i="3"/>
  <c r="AY169" i="3"/>
  <c r="G29" i="1" l="1"/>
  <c r="H29" i="1"/>
  <c r="I29" i="1"/>
  <c r="J29" i="1"/>
  <c r="K29" i="1"/>
  <c r="L29" i="1"/>
  <c r="M29" i="1"/>
  <c r="I262" i="3" l="1"/>
  <c r="H262" i="3"/>
  <c r="G262" i="3"/>
  <c r="I240" i="3"/>
  <c r="H240" i="3"/>
  <c r="G240" i="3"/>
  <c r="F240" i="3"/>
  <c r="E240" i="3"/>
  <c r="D240" i="3"/>
  <c r="C240" i="3"/>
  <c r="B240" i="3"/>
  <c r="AY146" i="3"/>
  <c r="AR146" i="3"/>
  <c r="AK146" i="3"/>
  <c r="AK189" i="3" s="1"/>
  <c r="AD146" i="3"/>
  <c r="C88" i="3"/>
  <c r="C89" i="3" s="1"/>
  <c r="D88" i="3"/>
  <c r="D89" i="3" s="1"/>
  <c r="B88" i="3"/>
  <c r="G269" i="3" l="1"/>
  <c r="G296" i="3" s="1"/>
  <c r="L28" i="1" s="1"/>
  <c r="G289" i="3"/>
  <c r="G316" i="3" s="1"/>
  <c r="L45" i="1" s="1"/>
  <c r="E269" i="3"/>
  <c r="E296" i="3" s="1"/>
  <c r="J28" i="1" s="1"/>
  <c r="F269" i="3"/>
  <c r="F296" i="3" s="1"/>
  <c r="K28" i="1" s="1"/>
  <c r="H269" i="3"/>
  <c r="H296" i="3" s="1"/>
  <c r="M28" i="1" s="1"/>
  <c r="I269" i="3"/>
  <c r="I296" i="3" s="1"/>
  <c r="N28" i="1" s="1"/>
  <c r="B269" i="3"/>
  <c r="B296" i="3" s="1"/>
  <c r="G28" i="1" s="1"/>
  <c r="C269" i="3"/>
  <c r="C296" i="3" s="1"/>
  <c r="H28" i="1" s="1"/>
  <c r="H289" i="3"/>
  <c r="H316" i="3" s="1"/>
  <c r="M45" i="1" s="1"/>
  <c r="D269" i="3"/>
  <c r="D296" i="3" s="1"/>
  <c r="I28" i="1" s="1"/>
  <c r="I289" i="3"/>
  <c r="I316" i="3" s="1"/>
  <c r="N45" i="1" s="1"/>
  <c r="AY189" i="3"/>
  <c r="AR189" i="3"/>
  <c r="B89" i="3"/>
  <c r="B137" i="3" l="1"/>
  <c r="C68" i="3" l="1"/>
  <c r="C69" i="3" s="1"/>
  <c r="D68" i="3"/>
  <c r="D69" i="3" s="1"/>
  <c r="B68" i="3"/>
  <c r="B69" i="3" s="1"/>
  <c r="P189" i="3" l="1"/>
  <c r="I189" i="3"/>
  <c r="B189" i="3"/>
  <c r="C50" i="3" l="1"/>
  <c r="C51" i="3"/>
  <c r="C52" i="3"/>
  <c r="C53" i="3"/>
  <c r="C49" i="3"/>
  <c r="D50" i="3"/>
  <c r="D51" i="3"/>
  <c r="D52" i="3"/>
  <c r="D53" i="3"/>
  <c r="D49" i="3"/>
  <c r="J94" i="3" l="1"/>
  <c r="J95" i="3"/>
  <c r="J96" i="3"/>
  <c r="J97" i="3"/>
  <c r="I95" i="3"/>
  <c r="I96" i="3"/>
  <c r="I97" i="3"/>
  <c r="I94" i="3"/>
  <c r="W146" i="3" l="1"/>
  <c r="W189" i="3" s="1"/>
  <c r="AD189" i="3"/>
  <c r="D3" i="3" l="1"/>
  <c r="C3" i="3"/>
  <c r="B16" i="3"/>
  <c r="B17" i="3"/>
  <c r="A60" i="3" s="1"/>
  <c r="B60" i="3" s="1"/>
  <c r="B8" i="3"/>
  <c r="F194" i="3" s="1"/>
  <c r="B138" i="3" l="1"/>
  <c r="AR149" i="3"/>
  <c r="AY149" i="3"/>
  <c r="AK149" i="3"/>
  <c r="G87" i="3"/>
  <c r="G67" i="3"/>
  <c r="G69" i="3" s="1"/>
  <c r="AD149" i="3"/>
  <c r="W149" i="3"/>
  <c r="P149" i="3"/>
  <c r="I149" i="3"/>
  <c r="B46" i="3"/>
  <c r="E51" i="3" s="1"/>
  <c r="B149" i="3"/>
  <c r="B142" i="3"/>
  <c r="AY168" i="3" l="1"/>
  <c r="B168" i="3"/>
  <c r="I168" i="3"/>
  <c r="P168" i="3"/>
  <c r="W168" i="3"/>
  <c r="AD168" i="3"/>
  <c r="AK168" i="3"/>
  <c r="AR168" i="3"/>
  <c r="B139" i="3"/>
  <c r="W147" i="3" s="1"/>
  <c r="G68" i="3"/>
  <c r="G88" i="3"/>
  <c r="G89" i="3"/>
  <c r="E52" i="3"/>
  <c r="F52" i="3" s="1"/>
  <c r="I52" i="3" s="1"/>
  <c r="E53" i="3"/>
  <c r="F53" i="3" s="1"/>
  <c r="I53" i="3" s="1"/>
  <c r="E49" i="3"/>
  <c r="H49" i="3" s="1"/>
  <c r="E50" i="3"/>
  <c r="G50" i="3" s="1"/>
  <c r="F51" i="3"/>
  <c r="I51" i="3" s="1"/>
  <c r="H51" i="3"/>
  <c r="G51" i="3"/>
  <c r="W150" i="3" l="1"/>
  <c r="AK147" i="3"/>
  <c r="AR147" i="3"/>
  <c r="P147" i="3"/>
  <c r="AD147" i="3"/>
  <c r="B147" i="3"/>
  <c r="I147" i="3"/>
  <c r="AY147" i="3"/>
  <c r="G49" i="3"/>
  <c r="AS178" i="3"/>
  <c r="AZ178" i="3"/>
  <c r="AL178" i="3"/>
  <c r="AZ180" i="3"/>
  <c r="AS180" i="3"/>
  <c r="AL180" i="3"/>
  <c r="H50" i="3"/>
  <c r="X179" i="3" s="1"/>
  <c r="F50" i="3"/>
  <c r="I50" i="3" s="1"/>
  <c r="F49" i="3"/>
  <c r="I49" i="3" s="1"/>
  <c r="H52" i="3"/>
  <c r="Q181" i="3" s="1"/>
  <c r="G52" i="3"/>
  <c r="G53" i="3"/>
  <c r="H53" i="3"/>
  <c r="Q180" i="3"/>
  <c r="J180" i="3"/>
  <c r="I180" i="3" s="1"/>
  <c r="X180" i="3"/>
  <c r="C180" i="3"/>
  <c r="B180" i="3" s="1"/>
  <c r="AE180" i="3"/>
  <c r="C178" i="3"/>
  <c r="Q178" i="3"/>
  <c r="AE178" i="3"/>
  <c r="J178" i="3"/>
  <c r="X178" i="3"/>
  <c r="W196" i="3"/>
  <c r="W151" i="3"/>
  <c r="B196" i="3" l="1"/>
  <c r="B197" i="3" s="1"/>
  <c r="AD150" i="3"/>
  <c r="AD151" i="3" s="1"/>
  <c r="AR196" i="3"/>
  <c r="AR197" i="3" s="1"/>
  <c r="I150" i="3"/>
  <c r="I151" i="3" s="1"/>
  <c r="AK196" i="3"/>
  <c r="AK197" i="3" s="1"/>
  <c r="P150" i="3"/>
  <c r="P151" i="3" s="1"/>
  <c r="AY150" i="3"/>
  <c r="AY151" i="3" s="1"/>
  <c r="AK150" i="3"/>
  <c r="AK151" i="3" s="1"/>
  <c r="AR150" i="3"/>
  <c r="AR151" i="3" s="1"/>
  <c r="AY196" i="3"/>
  <c r="AY197" i="3" s="1"/>
  <c r="B150" i="3"/>
  <c r="B151" i="3" s="1"/>
  <c r="P196" i="3"/>
  <c r="P197" i="3" s="1"/>
  <c r="I196" i="3"/>
  <c r="I197" i="3" s="1"/>
  <c r="AD196" i="3"/>
  <c r="AD197" i="3" s="1"/>
  <c r="W197" i="3"/>
  <c r="J181" i="3"/>
  <c r="I181" i="3" s="1"/>
  <c r="C181" i="3"/>
  <c r="B181" i="3" s="1"/>
  <c r="X181" i="3"/>
  <c r="C179" i="3"/>
  <c r="B179" i="3" s="1"/>
  <c r="J179" i="3"/>
  <c r="AE182" i="3"/>
  <c r="AS182" i="3"/>
  <c r="AZ182" i="3"/>
  <c r="AL182" i="3"/>
  <c r="AE181" i="3"/>
  <c r="AZ181" i="3"/>
  <c r="AS181" i="3"/>
  <c r="AL181" i="3"/>
  <c r="Q179" i="3"/>
  <c r="AZ179" i="3"/>
  <c r="AL179" i="3"/>
  <c r="AS179" i="3"/>
  <c r="AE179" i="3"/>
  <c r="X182" i="3"/>
  <c r="C182" i="3"/>
  <c r="B182" i="3" s="1"/>
  <c r="Q182" i="3"/>
  <c r="P182" i="3" s="1"/>
  <c r="J182" i="3"/>
  <c r="I182" i="3" s="1"/>
  <c r="B8" i="2"/>
  <c r="B3" i="6" l="1"/>
  <c r="E16" i="2" l="1"/>
  <c r="C91" i="2" s="1"/>
  <c r="D16" i="2"/>
  <c r="C16" i="2"/>
  <c r="C100" i="2" l="1"/>
  <c r="B12" i="3"/>
  <c r="B32" i="3" s="1"/>
  <c r="B34" i="3"/>
  <c r="B127" i="2"/>
  <c r="B10" i="3"/>
  <c r="B9" i="3"/>
  <c r="B28" i="3" s="1"/>
  <c r="B11" i="3"/>
  <c r="B31" i="3" s="1"/>
  <c r="B36" i="3"/>
  <c r="B13" i="3"/>
  <c r="B18" i="3"/>
  <c r="B38" i="3" s="1"/>
  <c r="B4" i="3"/>
  <c r="C4" i="3" s="1"/>
  <c r="B39" i="3"/>
  <c r="C39" i="3" s="1"/>
  <c r="B53" i="2"/>
  <c r="C96" i="2" s="1"/>
  <c r="D96" i="2"/>
  <c r="D60" i="2"/>
  <c r="B66" i="2"/>
  <c r="C66" i="2" s="1"/>
  <c r="D37" i="2"/>
  <c r="B93" i="2" s="1"/>
  <c r="D46" i="2"/>
  <c r="B94" i="2" s="1"/>
  <c r="D51" i="2"/>
  <c r="B95" i="2" s="1"/>
  <c r="C37" i="2"/>
  <c r="E72" i="2" s="1"/>
  <c r="B54" i="2"/>
  <c r="I72" i="2" s="1"/>
  <c r="C60" i="2"/>
  <c r="C51" i="2"/>
  <c r="G72" i="2" s="1"/>
  <c r="C46" i="2"/>
  <c r="F72" i="2" s="1"/>
  <c r="C72" i="2"/>
  <c r="B131" i="2"/>
  <c r="B130" i="2"/>
  <c r="B170" i="2" s="1"/>
  <c r="B129" i="2"/>
  <c r="B160" i="2" s="1"/>
  <c r="D4" i="3"/>
  <c r="B128" i="2"/>
  <c r="B21" i="3"/>
  <c r="B20" i="3"/>
  <c r="B87" i="2"/>
  <c r="B10" i="6" s="1"/>
  <c r="D53" i="2"/>
  <c r="W156" i="3" l="1"/>
  <c r="AK156" i="3"/>
  <c r="AD156" i="3"/>
  <c r="AY156" i="3"/>
  <c r="B156" i="3"/>
  <c r="P156" i="3"/>
  <c r="AR156" i="3"/>
  <c r="I156" i="3"/>
  <c r="I98" i="3"/>
  <c r="B99" i="3"/>
  <c r="B98" i="3"/>
  <c r="C103" i="3" s="1"/>
  <c r="G245" i="3"/>
  <c r="H245" i="3"/>
  <c r="I245" i="3"/>
  <c r="G249" i="3"/>
  <c r="I249" i="3"/>
  <c r="H249" i="3"/>
  <c r="A77" i="3"/>
  <c r="AR231" i="3"/>
  <c r="AK231" i="3"/>
  <c r="AY231" i="3"/>
  <c r="I99" i="3"/>
  <c r="B15" i="3"/>
  <c r="B27" i="3"/>
  <c r="B40" i="3"/>
  <c r="B41" i="3"/>
  <c r="B47" i="6"/>
  <c r="B46" i="6"/>
  <c r="B48" i="6"/>
  <c r="B43" i="3"/>
  <c r="AU98" i="3"/>
  <c r="B33" i="3"/>
  <c r="B84" i="2"/>
  <c r="B96" i="2"/>
  <c r="C67" i="2"/>
  <c r="J72" i="2" s="1"/>
  <c r="D66" i="2"/>
  <c r="D67" i="2" s="1"/>
  <c r="B97" i="2" s="1"/>
  <c r="B50" i="6" s="1"/>
  <c r="A297" i="3"/>
  <c r="F31" i="1"/>
  <c r="F32" i="1"/>
  <c r="F33" i="1"/>
  <c r="F30" i="1"/>
  <c r="AU100" i="3"/>
  <c r="AU99" i="3"/>
  <c r="F249" i="3"/>
  <c r="A300" i="3"/>
  <c r="D33" i="1" s="1"/>
  <c r="A299" i="3"/>
  <c r="A298" i="3"/>
  <c r="B72" i="2"/>
  <c r="C249" i="3"/>
  <c r="C278" i="3" s="1"/>
  <c r="C305" i="3" s="1"/>
  <c r="B249" i="3"/>
  <c r="B278" i="3" s="1"/>
  <c r="B305" i="3" s="1"/>
  <c r="D249" i="3"/>
  <c r="E249" i="3"/>
  <c r="B30" i="3"/>
  <c r="B155" i="3" s="1"/>
  <c r="D245" i="3"/>
  <c r="B245" i="3"/>
  <c r="B274" i="3" s="1"/>
  <c r="B301" i="3" s="1"/>
  <c r="E245" i="3"/>
  <c r="B42" i="3"/>
  <c r="I231" i="3"/>
  <c r="AD231" i="3"/>
  <c r="B231" i="3"/>
  <c r="P231" i="3"/>
  <c r="W231" i="3"/>
  <c r="D91" i="2"/>
  <c r="B85" i="2"/>
  <c r="E99" i="3"/>
  <c r="E98" i="3"/>
  <c r="B146" i="2"/>
  <c r="B26" i="6" s="1"/>
  <c r="B37" i="3"/>
  <c r="F245" i="3"/>
  <c r="C245" i="3"/>
  <c r="C274" i="3" s="1"/>
  <c r="C301" i="3" s="1"/>
  <c r="H72" i="2"/>
  <c r="B157" i="3" l="1"/>
  <c r="B246" i="3" s="1"/>
  <c r="B275" i="3" s="1"/>
  <c r="D278" i="3"/>
  <c r="D305" i="3" s="1"/>
  <c r="I38" i="1" s="1"/>
  <c r="E274" i="3"/>
  <c r="E301" i="3" s="1"/>
  <c r="J34" i="1" s="1"/>
  <c r="I278" i="3"/>
  <c r="I305" i="3" s="1"/>
  <c r="N38" i="1" s="1"/>
  <c r="G278" i="3"/>
  <c r="G305" i="3" s="1"/>
  <c r="L38" i="1" s="1"/>
  <c r="H274" i="3"/>
  <c r="H301" i="3" s="1"/>
  <c r="M34" i="1" s="1"/>
  <c r="D274" i="3"/>
  <c r="D301" i="3" s="1"/>
  <c r="I34" i="1" s="1"/>
  <c r="I274" i="3"/>
  <c r="I301" i="3" s="1"/>
  <c r="N34" i="1" s="1"/>
  <c r="F274" i="3"/>
  <c r="F301" i="3" s="1"/>
  <c r="K34" i="1" s="1"/>
  <c r="E278" i="3"/>
  <c r="E305" i="3" s="1"/>
  <c r="J38" i="1" s="1"/>
  <c r="F278" i="3"/>
  <c r="F305" i="3" s="1"/>
  <c r="K38" i="1" s="1"/>
  <c r="G274" i="3"/>
  <c r="G301" i="3" s="1"/>
  <c r="L34" i="1" s="1"/>
  <c r="H278" i="3"/>
  <c r="H305" i="3" s="1"/>
  <c r="M38" i="1" s="1"/>
  <c r="C241" i="3"/>
  <c r="C270" i="3" s="1"/>
  <c r="C297" i="3" s="1"/>
  <c r="H30" i="1" s="1"/>
  <c r="J50" i="3"/>
  <c r="L50" i="3" s="1"/>
  <c r="W186" i="3"/>
  <c r="E264" i="3" s="1"/>
  <c r="D241" i="3"/>
  <c r="J51" i="3"/>
  <c r="L51" i="3" s="1"/>
  <c r="AD186" i="3"/>
  <c r="F264" i="3" s="1"/>
  <c r="B241" i="3"/>
  <c r="B270" i="3" s="1"/>
  <c r="B297" i="3" s="1"/>
  <c r="E241" i="3"/>
  <c r="J52" i="3"/>
  <c r="L52" i="3" s="1"/>
  <c r="AK186" i="3"/>
  <c r="G264" i="3" s="1"/>
  <c r="B186" i="3"/>
  <c r="B264" i="3" s="1"/>
  <c r="F241" i="3"/>
  <c r="F270" i="3" s="1"/>
  <c r="F297" i="3" s="1"/>
  <c r="J53" i="3"/>
  <c r="L53" i="3" s="1"/>
  <c r="AR186" i="3"/>
  <c r="H264" i="3" s="1"/>
  <c r="P186" i="3"/>
  <c r="D264" i="3" s="1"/>
  <c r="G241" i="3"/>
  <c r="G270" i="3" s="1"/>
  <c r="G297" i="3" s="1"/>
  <c r="J49" i="3"/>
  <c r="L49" i="3" s="1"/>
  <c r="AY186" i="3"/>
  <c r="I264" i="3" s="1"/>
  <c r="H241" i="3"/>
  <c r="H270" i="3" s="1"/>
  <c r="H297" i="3" s="1"/>
  <c r="I241" i="3"/>
  <c r="I270" i="3" s="1"/>
  <c r="I297" i="3" s="1"/>
  <c r="I186" i="3"/>
  <c r="C264" i="3" s="1"/>
  <c r="I155" i="3"/>
  <c r="C242" i="3" s="1"/>
  <c r="I153" i="3"/>
  <c r="E209" i="3"/>
  <c r="C104" i="3"/>
  <c r="E208" i="3"/>
  <c r="W157" i="3"/>
  <c r="E246" i="3" s="1"/>
  <c r="C244" i="3"/>
  <c r="C273" i="3" s="1"/>
  <c r="AD157" i="3"/>
  <c r="F246" i="3" s="1"/>
  <c r="D244" i="3"/>
  <c r="D273" i="3" s="1"/>
  <c r="AR155" i="3"/>
  <c r="H242" i="3" s="1"/>
  <c r="AK155" i="3"/>
  <c r="G242" i="3" s="1"/>
  <c r="AY155" i="3"/>
  <c r="I242" i="3" s="1"/>
  <c r="B153" i="3"/>
  <c r="AR230" i="3"/>
  <c r="AR232" i="3" s="1"/>
  <c r="AR233" i="3" s="1"/>
  <c r="AR235" i="3" s="1"/>
  <c r="AR236" i="3" s="1"/>
  <c r="AK230" i="3"/>
  <c r="AK232" i="3" s="1"/>
  <c r="AK233" i="3" s="1"/>
  <c r="AK235" i="3" s="1"/>
  <c r="AK236" i="3" s="1"/>
  <c r="AY230" i="3"/>
  <c r="AY232" i="3" s="1"/>
  <c r="AY233" i="3" s="1"/>
  <c r="AY235" i="3" s="1"/>
  <c r="AY236" i="3" s="1"/>
  <c r="AR154" i="3"/>
  <c r="H248" i="3" s="1"/>
  <c r="AY153" i="3"/>
  <c r="AY154" i="3"/>
  <c r="I248" i="3" s="1"/>
  <c r="AK154" i="3"/>
  <c r="G248" i="3" s="1"/>
  <c r="AR153" i="3"/>
  <c r="AK153" i="3"/>
  <c r="D73" i="3"/>
  <c r="B154" i="3"/>
  <c r="P155" i="3"/>
  <c r="D242" i="3" s="1"/>
  <c r="W155" i="3"/>
  <c r="E242" i="3" s="1"/>
  <c r="AD155" i="3"/>
  <c r="F242" i="3" s="1"/>
  <c r="AT121" i="3"/>
  <c r="I154" i="3"/>
  <c r="P153" i="3"/>
  <c r="P154" i="3"/>
  <c r="W153" i="3"/>
  <c r="AD154" i="3"/>
  <c r="W154" i="3"/>
  <c r="AD153" i="3"/>
  <c r="B29" i="3"/>
  <c r="W230" i="3"/>
  <c r="W232" i="3" s="1"/>
  <c r="W233" i="3" s="1"/>
  <c r="W235" i="3" s="1"/>
  <c r="G38" i="1"/>
  <c r="C109" i="2"/>
  <c r="G34" i="1"/>
  <c r="C105" i="2"/>
  <c r="D105" i="2" s="1"/>
  <c r="B49" i="6"/>
  <c r="B86" i="2"/>
  <c r="P230" i="3"/>
  <c r="P232" i="3" s="1"/>
  <c r="P233" i="3" s="1"/>
  <c r="P235" i="3" s="1"/>
  <c r="G30" i="1"/>
  <c r="C162" i="2"/>
  <c r="C131" i="2"/>
  <c r="I230" i="3"/>
  <c r="I232" i="3" s="1"/>
  <c r="B230" i="3"/>
  <c r="B232" i="3" s="1"/>
  <c r="B233" i="3" s="1"/>
  <c r="AD230" i="3"/>
  <c r="AD232" i="3" s="1"/>
  <c r="AD233" i="3" s="1"/>
  <c r="AD235" i="3" s="1"/>
  <c r="AD236" i="3" s="1"/>
  <c r="AD237" i="3" s="1"/>
  <c r="B110" i="3"/>
  <c r="C114" i="3" s="1"/>
  <c r="B91" i="2"/>
  <c r="H38" i="1"/>
  <c r="H34" i="1"/>
  <c r="D75" i="3"/>
  <c r="D74" i="3"/>
  <c r="B302" i="3" l="1"/>
  <c r="G35" i="1" s="1"/>
  <c r="D291" i="3"/>
  <c r="D318" i="3" s="1"/>
  <c r="I47" i="1" s="1"/>
  <c r="C271" i="3"/>
  <c r="C298" i="3" s="1"/>
  <c r="H31" i="1" s="1"/>
  <c r="H291" i="3"/>
  <c r="H318" i="3" s="1"/>
  <c r="M47" i="1" s="1"/>
  <c r="F291" i="3"/>
  <c r="F318" i="3" s="1"/>
  <c r="K47" i="1" s="1"/>
  <c r="E275" i="3"/>
  <c r="F271" i="3"/>
  <c r="F298" i="3" s="1"/>
  <c r="K31" i="1" s="1"/>
  <c r="I277" i="3"/>
  <c r="I304" i="3" s="1"/>
  <c r="N37" i="1" s="1"/>
  <c r="G271" i="3"/>
  <c r="G298" i="3" s="1"/>
  <c r="G331" i="3" s="1"/>
  <c r="D270" i="3"/>
  <c r="D297" i="3" s="1"/>
  <c r="I30" i="1" s="1"/>
  <c r="I271" i="3"/>
  <c r="I298" i="3" s="1"/>
  <c r="N31" i="1" s="1"/>
  <c r="E271" i="3"/>
  <c r="E298" i="3" s="1"/>
  <c r="J31" i="1" s="1"/>
  <c r="H271" i="3"/>
  <c r="H298" i="3" s="1"/>
  <c r="H331" i="3" s="1"/>
  <c r="B291" i="3"/>
  <c r="B318" i="3" s="1"/>
  <c r="G47" i="1" s="1"/>
  <c r="E291" i="3"/>
  <c r="E318" i="3" s="1"/>
  <c r="J47" i="1" s="1"/>
  <c r="E270" i="3"/>
  <c r="E297" i="3" s="1"/>
  <c r="G277" i="3"/>
  <c r="G304" i="3" s="1"/>
  <c r="L37" i="1" s="1"/>
  <c r="C291" i="3"/>
  <c r="C318" i="3" s="1"/>
  <c r="H47" i="1" s="1"/>
  <c r="D271" i="3"/>
  <c r="D298" i="3" s="1"/>
  <c r="I31" i="1" s="1"/>
  <c r="H277" i="3"/>
  <c r="H304" i="3" s="1"/>
  <c r="M37" i="1" s="1"/>
  <c r="I291" i="3"/>
  <c r="I318" i="3" s="1"/>
  <c r="N47" i="1" s="1"/>
  <c r="G291" i="3"/>
  <c r="G318" i="3" s="1"/>
  <c r="L47" i="1" s="1"/>
  <c r="F275" i="3"/>
  <c r="I233" i="3"/>
  <c r="B242" i="3"/>
  <c r="B271" i="3" s="1"/>
  <c r="B298" i="3" s="1"/>
  <c r="AK182" i="3"/>
  <c r="AR182" i="3"/>
  <c r="AD182" i="3"/>
  <c r="W182" i="3"/>
  <c r="AY182" i="3"/>
  <c r="AR180" i="3"/>
  <c r="AK180" i="3"/>
  <c r="W180" i="3"/>
  <c r="AY180" i="3"/>
  <c r="AD180" i="3"/>
  <c r="P180" i="3"/>
  <c r="W179" i="3"/>
  <c r="I179" i="3"/>
  <c r="AR179" i="3"/>
  <c r="AK179" i="3"/>
  <c r="AD179" i="3"/>
  <c r="P179" i="3"/>
  <c r="AY179" i="3"/>
  <c r="AY178" i="3"/>
  <c r="I178" i="3"/>
  <c r="AK178" i="3"/>
  <c r="AD178" i="3"/>
  <c r="P178" i="3"/>
  <c r="AR178" i="3"/>
  <c r="W178" i="3"/>
  <c r="B178" i="3"/>
  <c r="B183" i="3" s="1"/>
  <c r="P181" i="3"/>
  <c r="AK181" i="3"/>
  <c r="W181" i="3"/>
  <c r="AR181" i="3"/>
  <c r="AY181" i="3"/>
  <c r="AD181" i="3"/>
  <c r="K50" i="3"/>
  <c r="K51" i="3"/>
  <c r="K52" i="3"/>
  <c r="K53" i="3"/>
  <c r="K49" i="3"/>
  <c r="I331" i="3"/>
  <c r="N30" i="1"/>
  <c r="M30" i="1"/>
  <c r="L30" i="1"/>
  <c r="E207" i="3"/>
  <c r="AR219" i="3"/>
  <c r="AR220" i="3" s="1"/>
  <c r="AK237" i="3"/>
  <c r="G252" i="3" s="1"/>
  <c r="G253" i="3"/>
  <c r="AK157" i="3"/>
  <c r="G246" i="3" s="1"/>
  <c r="G244" i="3"/>
  <c r="G273" i="3" s="1"/>
  <c r="K30" i="1"/>
  <c r="AK219" i="3"/>
  <c r="AK220" i="3" s="1"/>
  <c r="I247" i="3"/>
  <c r="AY237" i="3"/>
  <c r="I252" i="3" s="1"/>
  <c r="I253" i="3"/>
  <c r="P219" i="3"/>
  <c r="P220" i="3" s="1"/>
  <c r="G243" i="3"/>
  <c r="F243" i="3"/>
  <c r="H243" i="3"/>
  <c r="I243" i="3"/>
  <c r="AY157" i="3"/>
  <c r="I246" i="3" s="1"/>
  <c r="I275" i="3" s="1"/>
  <c r="I244" i="3"/>
  <c r="I273" i="3" s="1"/>
  <c r="AR157" i="3"/>
  <c r="H246" i="3" s="1"/>
  <c r="H244" i="3"/>
  <c r="H273" i="3" s="1"/>
  <c r="AY219" i="3"/>
  <c r="AY220" i="3" s="1"/>
  <c r="AR237" i="3"/>
  <c r="H252" i="3" s="1"/>
  <c r="H253" i="3"/>
  <c r="G247" i="3"/>
  <c r="H247" i="3"/>
  <c r="AD219" i="3"/>
  <c r="AD220" i="3" s="1"/>
  <c r="I219" i="3"/>
  <c r="I220" i="3" s="1"/>
  <c r="W219" i="3"/>
  <c r="W220" i="3" s="1"/>
  <c r="I157" i="3"/>
  <c r="C246" i="3" s="1"/>
  <c r="B219" i="3"/>
  <c r="B220" i="3" s="1"/>
  <c r="W236" i="3"/>
  <c r="W237" i="3" s="1"/>
  <c r="E252" i="3" s="1"/>
  <c r="P236" i="3"/>
  <c r="P237" i="3" s="1"/>
  <c r="D252" i="3" s="1"/>
  <c r="E244" i="3"/>
  <c r="E273" i="3" s="1"/>
  <c r="C106" i="2"/>
  <c r="C101" i="2"/>
  <c r="B44" i="6"/>
  <c r="P157" i="3"/>
  <c r="D246" i="3" s="1"/>
  <c r="B244" i="3"/>
  <c r="B273" i="3" s="1"/>
  <c r="B300" i="3" s="1"/>
  <c r="B247" i="3"/>
  <c r="F244" i="3"/>
  <c r="F273" i="3" s="1"/>
  <c r="C247" i="3"/>
  <c r="D247" i="3"/>
  <c r="C243" i="3"/>
  <c r="F247" i="3"/>
  <c r="E243" i="3"/>
  <c r="D243" i="3"/>
  <c r="E247" i="3"/>
  <c r="B243" i="3"/>
  <c r="B272" i="3" s="1"/>
  <c r="F253" i="3"/>
  <c r="F252" i="3"/>
  <c r="D331" i="3"/>
  <c r="C331" i="3"/>
  <c r="C116" i="3"/>
  <c r="C117" i="3" s="1"/>
  <c r="C113" i="3"/>
  <c r="B77" i="3"/>
  <c r="C77" i="3"/>
  <c r="E331" i="3" l="1"/>
  <c r="F300" i="3"/>
  <c r="K33" i="1" s="1"/>
  <c r="F302" i="3"/>
  <c r="K35" i="1" s="1"/>
  <c r="E300" i="3"/>
  <c r="J33" i="1" s="1"/>
  <c r="E302" i="3"/>
  <c r="J35" i="1" s="1"/>
  <c r="B299" i="3"/>
  <c r="G32" i="1" s="1"/>
  <c r="B332" i="3"/>
  <c r="I300" i="3"/>
  <c r="N33" i="1" s="1"/>
  <c r="I302" i="3"/>
  <c r="N35" i="1" s="1"/>
  <c r="F276" i="3"/>
  <c r="F303" i="3" s="1"/>
  <c r="F326" i="3" s="1"/>
  <c r="C276" i="3"/>
  <c r="C303" i="3" s="1"/>
  <c r="C325" i="3" s="1"/>
  <c r="J30" i="1"/>
  <c r="C272" i="3"/>
  <c r="D276" i="3"/>
  <c r="D303" i="3" s="1"/>
  <c r="D326" i="3" s="1"/>
  <c r="H276" i="3"/>
  <c r="H303" i="3" s="1"/>
  <c r="H326" i="3" s="1"/>
  <c r="I276" i="3"/>
  <c r="I303" i="3" s="1"/>
  <c r="N36" i="1" s="1"/>
  <c r="G275" i="3"/>
  <c r="L31" i="1"/>
  <c r="C275" i="3"/>
  <c r="G272" i="3"/>
  <c r="H275" i="3"/>
  <c r="E276" i="3"/>
  <c r="E303" i="3" s="1"/>
  <c r="E326" i="3" s="1"/>
  <c r="B276" i="3"/>
  <c r="B303" i="3" s="1"/>
  <c r="B325" i="3" s="1"/>
  <c r="G276" i="3"/>
  <c r="G303" i="3" s="1"/>
  <c r="G325" i="3" s="1"/>
  <c r="I272" i="3"/>
  <c r="D272" i="3"/>
  <c r="H272" i="3"/>
  <c r="M31" i="1"/>
  <c r="E272" i="3"/>
  <c r="D275" i="3"/>
  <c r="F272" i="3"/>
  <c r="E281" i="3"/>
  <c r="E308" i="3" s="1"/>
  <c r="H282" i="3"/>
  <c r="H309" i="3" s="1"/>
  <c r="D281" i="3"/>
  <c r="D308" i="3" s="1"/>
  <c r="H281" i="3"/>
  <c r="H308" i="3" s="1"/>
  <c r="G282" i="3"/>
  <c r="G309" i="3" s="1"/>
  <c r="I282" i="3"/>
  <c r="I309" i="3" s="1"/>
  <c r="G281" i="3"/>
  <c r="G308" i="3" s="1"/>
  <c r="F281" i="3"/>
  <c r="F308" i="3" s="1"/>
  <c r="F282" i="3"/>
  <c r="F309" i="3" s="1"/>
  <c r="I281" i="3"/>
  <c r="I308" i="3" s="1"/>
  <c r="I235" i="3"/>
  <c r="I183" i="3"/>
  <c r="I188" i="3" s="1"/>
  <c r="B331" i="3"/>
  <c r="G31" i="1"/>
  <c r="C102" i="2"/>
  <c r="AR183" i="3"/>
  <c r="AR188" i="3" s="1"/>
  <c r="P183" i="3"/>
  <c r="P184" i="3" s="1"/>
  <c r="D263" i="3" s="1"/>
  <c r="AD183" i="3"/>
  <c r="AD185" i="3" s="1"/>
  <c r="AD211" i="3" s="1"/>
  <c r="AD212" i="3" s="1"/>
  <c r="AD213" i="3" s="1"/>
  <c r="AD214" i="3" s="1"/>
  <c r="AK183" i="3"/>
  <c r="AK185" i="3" s="1"/>
  <c r="AK211" i="3" s="1"/>
  <c r="AK212" i="3" s="1"/>
  <c r="AK213" i="3" s="1"/>
  <c r="AK214" i="3" s="1"/>
  <c r="AY183" i="3"/>
  <c r="AY185" i="3" s="1"/>
  <c r="AY211" i="3" s="1"/>
  <c r="AY212" i="3" s="1"/>
  <c r="AY213" i="3" s="1"/>
  <c r="AY214" i="3" s="1"/>
  <c r="B184" i="3"/>
  <c r="B263" i="3" s="1"/>
  <c r="B290" i="3" s="1"/>
  <c r="B317" i="3" s="1"/>
  <c r="B265" i="3"/>
  <c r="B292" i="3" s="1"/>
  <c r="B319" i="3" s="1"/>
  <c r="B188" i="3"/>
  <c r="W183" i="3"/>
  <c r="W185" i="3" s="1"/>
  <c r="W211" i="3" s="1"/>
  <c r="W212" i="3" s="1"/>
  <c r="W213" i="3" s="1"/>
  <c r="W214" i="3" s="1"/>
  <c r="B185" i="3"/>
  <c r="B211" i="3" s="1"/>
  <c r="B212" i="3" s="1"/>
  <c r="F331" i="3"/>
  <c r="K36" i="1"/>
  <c r="F325" i="3"/>
  <c r="B262" i="3"/>
  <c r="B289" i="3" s="1"/>
  <c r="B316" i="3" s="1"/>
  <c r="E262" i="3"/>
  <c r="C262" i="3"/>
  <c r="D262" i="3"/>
  <c r="F262" i="3"/>
  <c r="D253" i="3"/>
  <c r="E253" i="3"/>
  <c r="G33" i="1"/>
  <c r="C104" i="2"/>
  <c r="C115" i="3"/>
  <c r="D77" i="3"/>
  <c r="B78" i="3" s="1"/>
  <c r="H299" i="3" l="1"/>
  <c r="M32" i="1" s="1"/>
  <c r="H332" i="3"/>
  <c r="C300" i="3"/>
  <c r="H33" i="1" s="1"/>
  <c r="C302" i="3"/>
  <c r="H35" i="1" s="1"/>
  <c r="D299" i="3"/>
  <c r="I32" i="1" s="1"/>
  <c r="D332" i="3"/>
  <c r="D300" i="3"/>
  <c r="I33" i="1" s="1"/>
  <c r="D302" i="3"/>
  <c r="I35" i="1" s="1"/>
  <c r="C299" i="3"/>
  <c r="H32" i="1" s="1"/>
  <c r="C332" i="3"/>
  <c r="C103" i="2"/>
  <c r="B136" i="2" s="1"/>
  <c r="B15" i="6" s="1"/>
  <c r="I299" i="3"/>
  <c r="N32" i="1" s="1"/>
  <c r="I332" i="3"/>
  <c r="G302" i="3"/>
  <c r="L35" i="1" s="1"/>
  <c r="G300" i="3"/>
  <c r="L33" i="1" s="1"/>
  <c r="E299" i="3"/>
  <c r="J32" i="1" s="1"/>
  <c r="E332" i="3"/>
  <c r="G299" i="3"/>
  <c r="L32" i="1" s="1"/>
  <c r="G332" i="3"/>
  <c r="H300" i="3"/>
  <c r="M33" i="1" s="1"/>
  <c r="H302" i="3"/>
  <c r="M35" i="1" s="1"/>
  <c r="F299" i="3"/>
  <c r="K32" i="1" s="1"/>
  <c r="F332" i="3"/>
  <c r="I36" i="1"/>
  <c r="L36" i="1"/>
  <c r="E325" i="3"/>
  <c r="J36" i="1"/>
  <c r="G36" i="1"/>
  <c r="C107" i="2"/>
  <c r="H325" i="3"/>
  <c r="H327" i="3" s="1"/>
  <c r="M36" i="1"/>
  <c r="D325" i="3"/>
  <c r="D327" i="3" s="1"/>
  <c r="G326" i="3"/>
  <c r="G327" i="3" s="1"/>
  <c r="C289" i="3"/>
  <c r="C316" i="3" s="1"/>
  <c r="H45" i="1" s="1"/>
  <c r="I326" i="3"/>
  <c r="D289" i="3"/>
  <c r="D316" i="3" s="1"/>
  <c r="I45" i="1" s="1"/>
  <c r="D290" i="3"/>
  <c r="D317" i="3" s="1"/>
  <c r="D336" i="3" s="1"/>
  <c r="D337" i="3" s="1"/>
  <c r="B326" i="3"/>
  <c r="B327" i="3" s="1"/>
  <c r="C326" i="3"/>
  <c r="C327" i="3" s="1"/>
  <c r="H36" i="1"/>
  <c r="F289" i="3"/>
  <c r="F316" i="3" s="1"/>
  <c r="K45" i="1" s="1"/>
  <c r="E289" i="3"/>
  <c r="E316" i="3" s="1"/>
  <c r="J45" i="1" s="1"/>
  <c r="I325" i="3"/>
  <c r="E282" i="3"/>
  <c r="E309" i="3" s="1"/>
  <c r="D282" i="3"/>
  <c r="D309" i="3" s="1"/>
  <c r="I236" i="3"/>
  <c r="AR185" i="3"/>
  <c r="AR211" i="3" s="1"/>
  <c r="AR212" i="3" s="1"/>
  <c r="AR213" i="3" s="1"/>
  <c r="AR214" i="3" s="1"/>
  <c r="AR184" i="3"/>
  <c r="H263" i="3" s="1"/>
  <c r="H290" i="3" s="1"/>
  <c r="H317" i="3" s="1"/>
  <c r="C265" i="3"/>
  <c r="I184" i="3"/>
  <c r="C263" i="3" s="1"/>
  <c r="H265" i="3"/>
  <c r="P185" i="3"/>
  <c r="P211" i="3" s="1"/>
  <c r="P212" i="3" s="1"/>
  <c r="P213" i="3" s="1"/>
  <c r="P214" i="3" s="1"/>
  <c r="I185" i="3"/>
  <c r="I211" i="3" s="1"/>
  <c r="I212" i="3" s="1"/>
  <c r="I213" i="3" s="1"/>
  <c r="I214" i="3" s="1"/>
  <c r="P188" i="3"/>
  <c r="P190" i="3" s="1"/>
  <c r="D265" i="3"/>
  <c r="W184" i="3"/>
  <c r="E263" i="3" s="1"/>
  <c r="E265" i="3"/>
  <c r="W188" i="3"/>
  <c r="AK184" i="3"/>
  <c r="G263" i="3" s="1"/>
  <c r="AK188" i="3"/>
  <c r="G265" i="3"/>
  <c r="B254" i="3"/>
  <c r="B190" i="3"/>
  <c r="B160" i="3"/>
  <c r="B161" i="3" s="1"/>
  <c r="B164" i="3" s="1"/>
  <c r="B167" i="3" s="1"/>
  <c r="B170" i="3" s="1"/>
  <c r="B172" i="3" s="1"/>
  <c r="AD188" i="3"/>
  <c r="F265" i="3"/>
  <c r="AD184" i="3"/>
  <c r="F263" i="3" s="1"/>
  <c r="AY188" i="3"/>
  <c r="AY184" i="3"/>
  <c r="I263" i="3" s="1"/>
  <c r="I265" i="3"/>
  <c r="AR160" i="3"/>
  <c r="AR161" i="3" s="1"/>
  <c r="AR164" i="3" s="1"/>
  <c r="AR167" i="3" s="1"/>
  <c r="AR170" i="3" s="1"/>
  <c r="AR172" i="3" s="1"/>
  <c r="AR190" i="3"/>
  <c r="H254" i="3"/>
  <c r="C254" i="3"/>
  <c r="I160" i="3"/>
  <c r="I161" i="3" s="1"/>
  <c r="I164" i="3" s="1"/>
  <c r="I167" i="3" s="1"/>
  <c r="I170" i="3" s="1"/>
  <c r="I172" i="3" s="1"/>
  <c r="I190" i="3"/>
  <c r="B213" i="3"/>
  <c r="B214" i="3" s="1"/>
  <c r="E196" i="3"/>
  <c r="F196" i="3" s="1"/>
  <c r="F327" i="3"/>
  <c r="E327" i="3"/>
  <c r="G45" i="1"/>
  <c r="C248" i="3"/>
  <c r="C277" i="3" s="1"/>
  <c r="C304" i="3" s="1"/>
  <c r="E248" i="3"/>
  <c r="E277" i="3" s="1"/>
  <c r="E304" i="3" s="1"/>
  <c r="F248" i="3"/>
  <c r="F277" i="3" s="1"/>
  <c r="F304" i="3" s="1"/>
  <c r="D248" i="3"/>
  <c r="D277" i="3" s="1"/>
  <c r="D304" i="3" s="1"/>
  <c r="B248" i="3"/>
  <c r="B277" i="3" s="1"/>
  <c r="B304" i="3" s="1"/>
  <c r="B79" i="3"/>
  <c r="I327" i="3" l="1"/>
  <c r="I46" i="1"/>
  <c r="I292" i="3"/>
  <c r="I319" i="3" s="1"/>
  <c r="N48" i="1" s="1"/>
  <c r="C290" i="3"/>
  <c r="C317" i="3" s="1"/>
  <c r="H46" i="1" s="1"/>
  <c r="E292" i="3"/>
  <c r="E319" i="3" s="1"/>
  <c r="J48" i="1" s="1"/>
  <c r="I290" i="3"/>
  <c r="I317" i="3" s="1"/>
  <c r="N46" i="1" s="1"/>
  <c r="G292" i="3"/>
  <c r="G319" i="3" s="1"/>
  <c r="L48" i="1" s="1"/>
  <c r="F292" i="3"/>
  <c r="F319" i="3" s="1"/>
  <c r="K48" i="1" s="1"/>
  <c r="E290" i="3"/>
  <c r="E317" i="3" s="1"/>
  <c r="E336" i="3" s="1"/>
  <c r="E337" i="3" s="1"/>
  <c r="D292" i="3"/>
  <c r="D319" i="3" s="1"/>
  <c r="I48" i="1" s="1"/>
  <c r="C292" i="3"/>
  <c r="C319" i="3" s="1"/>
  <c r="H48" i="1" s="1"/>
  <c r="F290" i="3"/>
  <c r="F317" i="3" s="1"/>
  <c r="F336" i="3" s="1"/>
  <c r="F337" i="3" s="1"/>
  <c r="G290" i="3"/>
  <c r="G317" i="3" s="1"/>
  <c r="G336" i="3" s="1"/>
  <c r="G337" i="3" s="1"/>
  <c r="H292" i="3"/>
  <c r="H319" i="3" s="1"/>
  <c r="M48" i="1" s="1"/>
  <c r="I237" i="3"/>
  <c r="C253" i="3"/>
  <c r="H336" i="3"/>
  <c r="H337" i="3" s="1"/>
  <c r="M46" i="1"/>
  <c r="D254" i="3"/>
  <c r="P160" i="3"/>
  <c r="P161" i="3" s="1"/>
  <c r="P164" i="3" s="1"/>
  <c r="P167" i="3" s="1"/>
  <c r="P170" i="3" s="1"/>
  <c r="P172" i="3" s="1"/>
  <c r="P173" i="3" s="1"/>
  <c r="D251" i="3" s="1"/>
  <c r="AR173" i="3"/>
  <c r="H251" i="3" s="1"/>
  <c r="H250" i="3"/>
  <c r="H279" i="3" s="1"/>
  <c r="H306" i="3" s="1"/>
  <c r="I215" i="3"/>
  <c r="I216" i="3" s="1"/>
  <c r="I217" i="3" s="1"/>
  <c r="I222" i="3" s="1"/>
  <c r="I223" i="3" s="1"/>
  <c r="C257" i="3" s="1"/>
  <c r="I204" i="3"/>
  <c r="C255" i="3"/>
  <c r="I173" i="3"/>
  <c r="C251" i="3" s="1"/>
  <c r="C250" i="3"/>
  <c r="C279" i="3" s="1"/>
  <c r="C306" i="3" s="1"/>
  <c r="AY160" i="3"/>
  <c r="AY161" i="3" s="1"/>
  <c r="AY164" i="3" s="1"/>
  <c r="AY167" i="3" s="1"/>
  <c r="AY170" i="3" s="1"/>
  <c r="AY172" i="3" s="1"/>
  <c r="I254" i="3"/>
  <c r="AY190" i="3"/>
  <c r="G254" i="3"/>
  <c r="AK190" i="3"/>
  <c r="AK160" i="3"/>
  <c r="AK161" i="3" s="1"/>
  <c r="AK164" i="3" s="1"/>
  <c r="AK167" i="3" s="1"/>
  <c r="AK170" i="3" s="1"/>
  <c r="AK172" i="3" s="1"/>
  <c r="F254" i="3"/>
  <c r="AD190" i="3"/>
  <c r="AD160" i="3"/>
  <c r="AD161" i="3" s="1"/>
  <c r="AD164" i="3" s="1"/>
  <c r="AD167" i="3" s="1"/>
  <c r="AD170" i="3" s="1"/>
  <c r="AD172" i="3" s="1"/>
  <c r="E254" i="3"/>
  <c r="W160" i="3"/>
  <c r="W161" i="3" s="1"/>
  <c r="W164" i="3" s="1"/>
  <c r="W167" i="3" s="1"/>
  <c r="W170" i="3" s="1"/>
  <c r="W172" i="3" s="1"/>
  <c r="W190" i="3"/>
  <c r="B173" i="3"/>
  <c r="B251" i="3" s="1"/>
  <c r="B280" i="3" s="1"/>
  <c r="B307" i="3" s="1"/>
  <c r="B250" i="3"/>
  <c r="B279" i="3" s="1"/>
  <c r="B306" i="3" s="1"/>
  <c r="P204" i="3"/>
  <c r="D255" i="3"/>
  <c r="P215" i="3"/>
  <c r="P216" i="3" s="1"/>
  <c r="P217" i="3" s="1"/>
  <c r="P222" i="3" s="1"/>
  <c r="P223" i="3" s="1"/>
  <c r="P224" i="3" s="1"/>
  <c r="D259" i="3" s="1"/>
  <c r="B204" i="3"/>
  <c r="B215" i="3"/>
  <c r="B216" i="3" s="1"/>
  <c r="B217" i="3" s="1"/>
  <c r="B222" i="3" s="1"/>
  <c r="B223" i="3" s="1"/>
  <c r="B255" i="3"/>
  <c r="H255" i="3"/>
  <c r="AR204" i="3"/>
  <c r="AR215" i="3"/>
  <c r="AR216" i="3" s="1"/>
  <c r="AR217" i="3" s="1"/>
  <c r="AR222" i="3" s="1"/>
  <c r="AR223" i="3" s="1"/>
  <c r="W201" i="3"/>
  <c r="E197" i="3"/>
  <c r="F197" i="3" s="1"/>
  <c r="AR201" i="3"/>
  <c r="AR202" i="3" s="1"/>
  <c r="AR203" i="3" s="1"/>
  <c r="AK201" i="3"/>
  <c r="AK202" i="3" s="1"/>
  <c r="AK203" i="3" s="1"/>
  <c r="AY201" i="3"/>
  <c r="AY202" i="3" s="1"/>
  <c r="AY203" i="3" s="1"/>
  <c r="K37" i="1"/>
  <c r="H37" i="1"/>
  <c r="I37" i="1"/>
  <c r="J37" i="1"/>
  <c r="B201" i="3"/>
  <c r="B202" i="3" s="1"/>
  <c r="I201" i="3"/>
  <c r="I202" i="3" s="1"/>
  <c r="I203" i="3" s="1"/>
  <c r="G48" i="1"/>
  <c r="G37" i="1"/>
  <c r="C108" i="2"/>
  <c r="B135" i="2" s="1"/>
  <c r="B14" i="6" s="1"/>
  <c r="AD201" i="3"/>
  <c r="AD202" i="3" s="1"/>
  <c r="AD203" i="3" s="1"/>
  <c r="P201" i="3"/>
  <c r="P202" i="3" s="1"/>
  <c r="P203" i="3" s="1"/>
  <c r="L46" i="1" l="1"/>
  <c r="K46" i="1"/>
  <c r="J46" i="1"/>
  <c r="I336" i="3"/>
  <c r="I337" i="3" s="1"/>
  <c r="C280" i="3"/>
  <c r="C307" i="3" s="1"/>
  <c r="H40" i="1" s="1"/>
  <c r="D280" i="3"/>
  <c r="D307" i="3" s="1"/>
  <c r="I40" i="1" s="1"/>
  <c r="H280" i="3"/>
  <c r="H307" i="3" s="1"/>
  <c r="M40" i="1" s="1"/>
  <c r="C336" i="3"/>
  <c r="C337" i="3" s="1"/>
  <c r="C282" i="3"/>
  <c r="C309" i="3" s="1"/>
  <c r="C252" i="3"/>
  <c r="D250" i="3"/>
  <c r="I224" i="3"/>
  <c r="C259" i="3" s="1"/>
  <c r="C261" i="3" s="1"/>
  <c r="C288" i="3" s="1"/>
  <c r="C315" i="3" s="1"/>
  <c r="D257" i="3"/>
  <c r="D261" i="3" s="1"/>
  <c r="D288" i="3" s="1"/>
  <c r="D315" i="3" s="1"/>
  <c r="G40" i="1"/>
  <c r="C111" i="2"/>
  <c r="B142" i="2" s="1"/>
  <c r="B21" i="6" s="1"/>
  <c r="W204" i="3"/>
  <c r="E255" i="3"/>
  <c r="W215" i="3"/>
  <c r="W216" i="3" s="1"/>
  <c r="W217" i="3" s="1"/>
  <c r="W222" i="3" s="1"/>
  <c r="W223" i="3" s="1"/>
  <c r="I255" i="3"/>
  <c r="AY204" i="3"/>
  <c r="AY205" i="3" s="1"/>
  <c r="AY215" i="3"/>
  <c r="AY216" i="3" s="1"/>
  <c r="AY217" i="3" s="1"/>
  <c r="AY222" i="3" s="1"/>
  <c r="AY223" i="3" s="1"/>
  <c r="AD173" i="3"/>
  <c r="F251" i="3" s="1"/>
  <c r="F250" i="3"/>
  <c r="F279" i="3" s="1"/>
  <c r="F306" i="3" s="1"/>
  <c r="B329" i="3"/>
  <c r="G39" i="1"/>
  <c r="C110" i="2"/>
  <c r="B141" i="2" s="1"/>
  <c r="B20" i="6" s="1"/>
  <c r="W173" i="3"/>
  <c r="E251" i="3" s="1"/>
  <c r="E250" i="3"/>
  <c r="E279" i="3" s="1"/>
  <c r="E306" i="3" s="1"/>
  <c r="H257" i="3"/>
  <c r="AR224" i="3"/>
  <c r="H259" i="3" s="1"/>
  <c r="AY173" i="3"/>
  <c r="I251" i="3" s="1"/>
  <c r="I250" i="3"/>
  <c r="I279" i="3" s="1"/>
  <c r="I306" i="3" s="1"/>
  <c r="AK173" i="3"/>
  <c r="G251" i="3" s="1"/>
  <c r="AT98" i="3"/>
  <c r="AT99" i="3"/>
  <c r="AT100" i="3"/>
  <c r="G250" i="3"/>
  <c r="G279" i="3" s="1"/>
  <c r="G306" i="3" s="1"/>
  <c r="C329" i="3"/>
  <c r="H39" i="1"/>
  <c r="AD204" i="3"/>
  <c r="AD205" i="3" s="1"/>
  <c r="F255" i="3"/>
  <c r="AD215" i="3"/>
  <c r="AD216" i="3" s="1"/>
  <c r="AD217" i="3" s="1"/>
  <c r="AD222" i="3" s="1"/>
  <c r="AD223" i="3" s="1"/>
  <c r="G255" i="3"/>
  <c r="AK204" i="3"/>
  <c r="AK205" i="3" s="1"/>
  <c r="AK215" i="3"/>
  <c r="AK216" i="3" s="1"/>
  <c r="AK217" i="3" s="1"/>
  <c r="AK222" i="3" s="1"/>
  <c r="AK223" i="3" s="1"/>
  <c r="M39" i="1"/>
  <c r="H329" i="3"/>
  <c r="B224" i="3"/>
  <c r="B259" i="3" s="1"/>
  <c r="B203" i="3"/>
  <c r="B257" i="3"/>
  <c r="W202" i="3"/>
  <c r="W203" i="3" s="1"/>
  <c r="L203" i="3"/>
  <c r="AR205" i="3"/>
  <c r="P205" i="3"/>
  <c r="I280" i="3" l="1"/>
  <c r="I307" i="3" s="1"/>
  <c r="N40" i="1" s="1"/>
  <c r="F280" i="3"/>
  <c r="F307" i="3" s="1"/>
  <c r="K40" i="1" s="1"/>
  <c r="E280" i="3"/>
  <c r="E307" i="3" s="1"/>
  <c r="J40" i="1" s="1"/>
  <c r="D279" i="3"/>
  <c r="D306" i="3" s="1"/>
  <c r="I39" i="1" s="1"/>
  <c r="G280" i="3"/>
  <c r="G307" i="3" s="1"/>
  <c r="L40" i="1" s="1"/>
  <c r="C281" i="3"/>
  <c r="C308" i="3" s="1"/>
  <c r="W205" i="3"/>
  <c r="E256" i="3" s="1"/>
  <c r="E257" i="3"/>
  <c r="W224" i="3"/>
  <c r="E259" i="3" s="1"/>
  <c r="N39" i="1"/>
  <c r="I329" i="3"/>
  <c r="AK224" i="3"/>
  <c r="G259" i="3" s="1"/>
  <c r="G257" i="3"/>
  <c r="G329" i="3"/>
  <c r="L39" i="1"/>
  <c r="K39" i="1"/>
  <c r="F329" i="3"/>
  <c r="H261" i="3"/>
  <c r="H288" i="3" s="1"/>
  <c r="H315" i="3" s="1"/>
  <c r="I257" i="3"/>
  <c r="AY224" i="3"/>
  <c r="I259" i="3" s="1"/>
  <c r="AD224" i="3"/>
  <c r="F259" i="3" s="1"/>
  <c r="F257" i="3"/>
  <c r="J39" i="1"/>
  <c r="E329" i="3"/>
  <c r="B205" i="3"/>
  <c r="B261" i="3"/>
  <c r="B288" i="3" s="1"/>
  <c r="B315" i="3" s="1"/>
  <c r="I205" i="3"/>
  <c r="AK206" i="3"/>
  <c r="G258" i="3" s="1"/>
  <c r="G256" i="3"/>
  <c r="H256" i="3"/>
  <c r="H321" i="3" s="1"/>
  <c r="AR206" i="3"/>
  <c r="H258" i="3" s="1"/>
  <c r="AY206" i="3"/>
  <c r="I258" i="3" s="1"/>
  <c r="I256" i="3"/>
  <c r="AD206" i="3"/>
  <c r="F258" i="3" s="1"/>
  <c r="F256" i="3"/>
  <c r="P206" i="3"/>
  <c r="D258" i="3" s="1"/>
  <c r="D256" i="3"/>
  <c r="D321" i="3" s="1"/>
  <c r="D329" i="3" l="1"/>
  <c r="D286" i="3"/>
  <c r="D285" i="3"/>
  <c r="D284" i="3"/>
  <c r="D283" i="3"/>
  <c r="H286" i="3"/>
  <c r="H285" i="3"/>
  <c r="H284" i="3"/>
  <c r="H283" i="3"/>
  <c r="W206" i="3"/>
  <c r="E258" i="3" s="1"/>
  <c r="E260" i="3" s="1"/>
  <c r="E287" i="3" s="1"/>
  <c r="E314" i="3" s="1"/>
  <c r="I321" i="3"/>
  <c r="E321" i="3"/>
  <c r="AK228" i="3"/>
  <c r="AK229" i="3" s="1"/>
  <c r="G261" i="3"/>
  <c r="G288" i="3" s="1"/>
  <c r="G315" i="3" s="1"/>
  <c r="G321" i="3"/>
  <c r="F261" i="3"/>
  <c r="F288" i="3" s="1"/>
  <c r="F315" i="3" s="1"/>
  <c r="I261" i="3"/>
  <c r="I288" i="3" s="1"/>
  <c r="I315" i="3" s="1"/>
  <c r="F321" i="3"/>
  <c r="E261" i="3"/>
  <c r="E288" i="3" s="1"/>
  <c r="E315" i="3" s="1"/>
  <c r="B206" i="3"/>
  <c r="B258" i="3" s="1"/>
  <c r="AR228" i="3"/>
  <c r="AR229" i="3" s="1"/>
  <c r="AY228" i="3"/>
  <c r="AY229" i="3" s="1"/>
  <c r="AD228" i="3"/>
  <c r="AD229" i="3" s="1"/>
  <c r="P228" i="3"/>
  <c r="P229" i="3" s="1"/>
  <c r="B256" i="3"/>
  <c r="C256" i="3"/>
  <c r="I206" i="3"/>
  <c r="C258" i="3" s="1"/>
  <c r="G260" i="3"/>
  <c r="G287" i="3" s="1"/>
  <c r="G314" i="3" s="1"/>
  <c r="I260" i="3"/>
  <c r="I287" i="3" s="1"/>
  <c r="I314" i="3" s="1"/>
  <c r="F260" i="3"/>
  <c r="F287" i="3" s="1"/>
  <c r="F314" i="3" s="1"/>
  <c r="D260" i="3"/>
  <c r="D287" i="3" s="1"/>
  <c r="D314" i="3" s="1"/>
  <c r="H260" i="3"/>
  <c r="H287" i="3" s="1"/>
  <c r="H314" i="3" s="1"/>
  <c r="W228" i="3" l="1"/>
  <c r="W229" i="3" s="1"/>
  <c r="D333" i="3"/>
  <c r="D342" i="3" s="1"/>
  <c r="E286" i="3"/>
  <c r="E285" i="3"/>
  <c r="E284" i="3"/>
  <c r="E283" i="3"/>
  <c r="F286" i="3"/>
  <c r="F285" i="3"/>
  <c r="F284" i="3"/>
  <c r="F283" i="3"/>
  <c r="I286" i="3"/>
  <c r="I285" i="3"/>
  <c r="I284" i="3"/>
  <c r="I283" i="3"/>
  <c r="G286" i="3"/>
  <c r="G285" i="3"/>
  <c r="G284" i="3"/>
  <c r="G283" i="3"/>
  <c r="H333" i="3"/>
  <c r="B228" i="3"/>
  <c r="B229" i="3" s="1"/>
  <c r="B260" i="3"/>
  <c r="B287" i="3" s="1"/>
  <c r="B314" i="3" s="1"/>
  <c r="I228" i="3"/>
  <c r="I229" i="3" s="1"/>
  <c r="C321" i="3"/>
  <c r="B321" i="3"/>
  <c r="C260" i="3"/>
  <c r="C287" i="3" s="1"/>
  <c r="C314" i="3" s="1"/>
  <c r="H322" i="3" l="1"/>
  <c r="H334" i="3"/>
  <c r="D322" i="3"/>
  <c r="D334" i="3"/>
  <c r="H342" i="3"/>
  <c r="I333" i="3"/>
  <c r="B283" i="3"/>
  <c r="B284" i="3"/>
  <c r="B286" i="3"/>
  <c r="B285" i="3"/>
  <c r="F333" i="3"/>
  <c r="C286" i="3"/>
  <c r="C285" i="3"/>
  <c r="C284" i="3"/>
  <c r="C283" i="3"/>
  <c r="E333" i="3"/>
  <c r="G333" i="3"/>
  <c r="B161" i="2"/>
  <c r="B163" i="2" s="1"/>
  <c r="B167" i="2" s="1"/>
  <c r="H312" i="3" l="1"/>
  <c r="M43" i="1" s="1"/>
  <c r="H313" i="3"/>
  <c r="M44" i="1" s="1"/>
  <c r="H311" i="3"/>
  <c r="M42" i="1" s="1"/>
  <c r="H310" i="3"/>
  <c r="M41" i="1" s="1"/>
  <c r="D313" i="3"/>
  <c r="I44" i="1" s="1"/>
  <c r="D311" i="3"/>
  <c r="I42" i="1" s="1"/>
  <c r="D310" i="3"/>
  <c r="I41" i="1" s="1"/>
  <c r="D312" i="3"/>
  <c r="I43" i="1" s="1"/>
  <c r="E322" i="3"/>
  <c r="E334" i="3"/>
  <c r="I322" i="3"/>
  <c r="I334" i="3"/>
  <c r="F322" i="3"/>
  <c r="F334" i="3"/>
  <c r="G322" i="3"/>
  <c r="G334" i="3"/>
  <c r="G342" i="3"/>
  <c r="I342" i="3"/>
  <c r="F342" i="3"/>
  <c r="E342" i="3"/>
  <c r="C333" i="3"/>
  <c r="B333" i="3"/>
  <c r="B162" i="2"/>
  <c r="D165" i="2" s="1"/>
  <c r="E313" i="3" l="1"/>
  <c r="J44" i="1" s="1"/>
  <c r="E312" i="3"/>
  <c r="J43" i="1" s="1"/>
  <c r="E310" i="3"/>
  <c r="J41" i="1" s="1"/>
  <c r="E311" i="3"/>
  <c r="J42" i="1" s="1"/>
  <c r="G312" i="3"/>
  <c r="L43" i="1" s="1"/>
  <c r="G313" i="3"/>
  <c r="L44" i="1" s="1"/>
  <c r="G311" i="3"/>
  <c r="L42" i="1" s="1"/>
  <c r="G310" i="3"/>
  <c r="L41" i="1" s="1"/>
  <c r="F311" i="3"/>
  <c r="K42" i="1" s="1"/>
  <c r="F310" i="3"/>
  <c r="K41" i="1" s="1"/>
  <c r="F312" i="3"/>
  <c r="K43" i="1" s="1"/>
  <c r="F313" i="3"/>
  <c r="K44" i="1" s="1"/>
  <c r="I312" i="3"/>
  <c r="N43" i="1" s="1"/>
  <c r="I313" i="3"/>
  <c r="N44" i="1" s="1"/>
  <c r="I310" i="3"/>
  <c r="N41" i="1" s="1"/>
  <c r="I311" i="3"/>
  <c r="N42" i="1" s="1"/>
  <c r="B322" i="3"/>
  <c r="B334" i="3"/>
  <c r="C322" i="3"/>
  <c r="C334" i="3"/>
  <c r="C342" i="3"/>
  <c r="D167" i="2"/>
  <c r="D166" i="2"/>
  <c r="B168" i="2" s="1"/>
  <c r="C310" i="3" l="1"/>
  <c r="H41" i="1" s="1"/>
  <c r="C313" i="3"/>
  <c r="H44" i="1" s="1"/>
  <c r="C312" i="3"/>
  <c r="H43" i="1" s="1"/>
  <c r="C311" i="3"/>
  <c r="H42" i="1" s="1"/>
  <c r="J334" i="3"/>
  <c r="O44" i="1" s="1"/>
  <c r="B311" i="3"/>
  <c r="G42" i="1" s="1"/>
  <c r="B312" i="3"/>
  <c r="G43" i="1" s="1"/>
  <c r="B313" i="3"/>
  <c r="G44" i="1" s="1"/>
  <c r="B310" i="3"/>
  <c r="C114" i="2" s="1"/>
  <c r="B156" i="2" s="1"/>
  <c r="B158" i="2" s="1"/>
  <c r="B165" i="2" s="1"/>
  <c r="C118" i="2"/>
  <c r="D27" i="2" s="1"/>
  <c r="D32" i="2" s="1"/>
  <c r="C119" i="2"/>
  <c r="B147" i="2" s="1"/>
  <c r="B27" i="6" s="1"/>
  <c r="C116" i="2" l="1"/>
  <c r="B155" i="2" s="1"/>
  <c r="B159" i="2" s="1"/>
  <c r="B166" i="2" s="1"/>
  <c r="C117" i="2"/>
  <c r="B171" i="2" s="1"/>
  <c r="C115" i="2"/>
  <c r="G41" i="1"/>
  <c r="B138" i="2"/>
  <c r="B17" i="6" s="1"/>
  <c r="C27" i="2"/>
  <c r="C32" i="2" s="1"/>
  <c r="E27" i="2"/>
  <c r="E32" i="2" s="1"/>
  <c r="D72" i="2"/>
  <c r="B75" i="2" s="1"/>
  <c r="B52" i="6" s="1"/>
  <c r="B92" i="2"/>
  <c r="B45" i="6" s="1"/>
  <c r="B235" i="3"/>
  <c r="B236" i="3" l="1"/>
  <c r="B253" i="3" s="1"/>
  <c r="B282" i="3" l="1"/>
  <c r="B309" i="3" s="1"/>
  <c r="C113" i="2" s="1"/>
  <c r="B237" i="3"/>
  <c r="B252" i="3" l="1"/>
  <c r="C120" i="2"/>
  <c r="B148" i="2" s="1"/>
  <c r="B28" i="6" s="1"/>
  <c r="B281" i="3" l="1"/>
  <c r="B308" i="3" s="1"/>
  <c r="C112" i="2" s="1"/>
  <c r="B137" i="2" s="1"/>
  <c r="B16" i="6" s="1"/>
  <c r="C125" i="2"/>
  <c r="C123" i="2"/>
  <c r="B150" i="2" s="1"/>
  <c r="B30" i="6" s="1"/>
  <c r="C122" i="2"/>
  <c r="B151" i="2" s="1"/>
  <c r="B31" i="6" s="1"/>
  <c r="C124" i="2"/>
  <c r="B143" i="2" s="1"/>
  <c r="B22" i="6" s="1"/>
  <c r="C121" i="2"/>
  <c r="B149" i="2" s="1"/>
  <c r="B29" i="6" s="1"/>
  <c r="G46" i="1"/>
  <c r="B336" i="3"/>
  <c r="B337" i="3" s="1"/>
  <c r="D175" i="2" l="1"/>
  <c r="C175" i="2"/>
  <c r="B175" i="2" s="1"/>
  <c r="J337" i="3"/>
  <c r="B342" i="3"/>
  <c r="J336" i="3" l="1"/>
  <c r="O46" i="1" s="1"/>
</calcChain>
</file>

<file path=xl/sharedStrings.xml><?xml version="1.0" encoding="utf-8"?>
<sst xmlns="http://schemas.openxmlformats.org/spreadsheetml/2006/main" count="1348" uniqueCount="448">
  <si>
    <t>Inputs</t>
  </si>
  <si>
    <t>Airflow Rate</t>
  </si>
  <si>
    <t>VAV</t>
  </si>
  <si>
    <t>ΔT (cooling)</t>
  </si>
  <si>
    <t>Room Height</t>
  </si>
  <si>
    <t>L/s/m</t>
  </si>
  <si>
    <t>Pa</t>
  </si>
  <si>
    <t>Air Pattern</t>
  </si>
  <si>
    <t>Specific Airflow Rate (heating)</t>
  </si>
  <si>
    <t>ADPI</t>
  </si>
  <si>
    <t>Input Values</t>
  </si>
  <si>
    <t>dT(cooling)</t>
  </si>
  <si>
    <t>Input Validation</t>
  </si>
  <si>
    <t>1 Slot</t>
  </si>
  <si>
    <t>Length Ratio</t>
  </si>
  <si>
    <t>data.Flowrate</t>
  </si>
  <si>
    <t>data.Pressure</t>
  </si>
  <si>
    <t>Flowrate @MaxP</t>
  </si>
  <si>
    <t>V_min</t>
  </si>
  <si>
    <t>Min % TD to</t>
  </si>
  <si>
    <t>SWL</t>
  </si>
  <si>
    <t>SPL</t>
  </si>
  <si>
    <t>Hmin 1WAY</t>
  </si>
  <si>
    <t>Hmin</t>
  </si>
  <si>
    <t>Cmax</t>
  </si>
  <si>
    <t>heatingX</t>
  </si>
  <si>
    <t>heatingSlope</t>
  </si>
  <si>
    <t>heatingY</t>
  </si>
  <si>
    <t>heating_dT(10K)</t>
  </si>
  <si>
    <t>heating @ dT</t>
  </si>
  <si>
    <t>Cmin</t>
  </si>
  <si>
    <t>Max Recommended Airflow (L/s)</t>
  </si>
  <si>
    <t>Min % Turndown to</t>
  </si>
  <si>
    <t>Min Permissible % Turndown to</t>
  </si>
  <si>
    <t>Max Total Pressure (Pa)</t>
  </si>
  <si>
    <t>Sound Power Level (dBA)</t>
  </si>
  <si>
    <t>Sound Pressure Level (NC)</t>
  </si>
  <si>
    <t>Min Diffuser Height (m)</t>
  </si>
  <si>
    <t>Max C/L Distance (m)</t>
  </si>
  <si>
    <t>Min C/L Distance (m)</t>
  </si>
  <si>
    <t>Max Airflow (L/s/m)</t>
  </si>
  <si>
    <t>Min Airflow (L/s/m)</t>
  </si>
  <si>
    <t>Slots</t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</si>
  <si>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(heating) (K)</t>
    </r>
  </si>
  <si>
    <t>2 Slots</t>
  </si>
  <si>
    <t>Ceiling</t>
  </si>
  <si>
    <t>Diffuser Location</t>
  </si>
  <si>
    <t>Ceiling Type</t>
  </si>
  <si>
    <t>LRA</t>
  </si>
  <si>
    <t>Ceiling Type Heating</t>
  </si>
  <si>
    <t>Ceiling Type Hmin</t>
  </si>
  <si>
    <t>Min Permissible Airflow</t>
  </si>
  <si>
    <r>
      <t xml:space="preserve">ADPI </t>
    </r>
    <r>
      <rPr>
        <b/>
        <sz val="11"/>
        <color theme="1" tint="0.499984740745262"/>
        <rFont val="Calibri"/>
        <family val="2"/>
      </rPr>
      <t>≥</t>
    </r>
  </si>
  <si>
    <t>VAV (turndown to)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</si>
  <si>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</si>
  <si>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 xml:space="preserve">Key: </t>
  </si>
  <si>
    <t>Suitable</t>
  </si>
  <si>
    <t>Not Suitable</t>
  </si>
  <si>
    <t>Max Permissible Pressure (Pa)</t>
  </si>
  <si>
    <t>click here to see product on smartair.asia</t>
  </si>
  <si>
    <t>Air Pattern Setting</t>
  </si>
  <si>
    <t>Warning</t>
  </si>
  <si>
    <t>C</t>
  </si>
  <si>
    <t>A</t>
  </si>
  <si>
    <t>B</t>
  </si>
  <si>
    <t>*</t>
  </si>
  <si>
    <t>Naming</t>
  </si>
  <si>
    <t>nominal length</t>
  </si>
  <si>
    <t>nslots</t>
  </si>
  <si>
    <t>profile type</t>
  </si>
  <si>
    <t>diffuserends</t>
  </si>
  <si>
    <t>fixing</t>
  </si>
  <si>
    <t>profile colour</t>
  </si>
  <si>
    <t>barrelcolour</t>
  </si>
  <si>
    <t>airpattern letter</t>
  </si>
  <si>
    <t>airpatterletter</t>
  </si>
  <si>
    <t>Length</t>
  </si>
  <si>
    <t>Colour</t>
  </si>
  <si>
    <t>Barrel</t>
  </si>
  <si>
    <t>Room Temperature</t>
  </si>
  <si>
    <t>Local Velocity</t>
  </si>
  <si>
    <t>Bespoke dimensions</t>
  </si>
  <si>
    <t>Dimensions</t>
  </si>
  <si>
    <t>Check exact dimension with local supplier</t>
  </si>
  <si>
    <r>
      <t>L/s/m</t>
    </r>
    <r>
      <rPr>
        <vertAlign val="superscript"/>
        <sz val="11"/>
        <color theme="0"/>
        <rFont val="Calibri"/>
        <family val="2"/>
        <scheme val="minor"/>
      </rPr>
      <t>2</t>
    </r>
  </si>
  <si>
    <t>m</t>
  </si>
  <si>
    <t>Draught Rating</t>
  </si>
  <si>
    <t>Manual C distance</t>
  </si>
  <si>
    <t>W/m2</t>
  </si>
  <si>
    <t>m/s</t>
  </si>
  <si>
    <t>Area</t>
  </si>
  <si>
    <t>m2</t>
  </si>
  <si>
    <t>L/s/m2</t>
  </si>
  <si>
    <t>PPD</t>
  </si>
  <si>
    <t>&lt;length&gt;</t>
  </si>
  <si>
    <t>distance input type</t>
  </si>
  <si>
    <t>Specific airflow</t>
  </si>
  <si>
    <t>PPD Class</t>
  </si>
  <si>
    <t>Mean PPD</t>
  </si>
  <si>
    <t>Mean Room Air V</t>
  </si>
  <si>
    <t>Pre-Results</t>
  </si>
  <si>
    <t xml:space="preserve">Results </t>
  </si>
  <si>
    <t>Units</t>
  </si>
  <si>
    <t>Units Multiplier</t>
  </si>
  <si>
    <t>&lt;Project Name&gt;</t>
  </si>
  <si>
    <t>Project</t>
  </si>
  <si>
    <t>Consultant</t>
  </si>
  <si>
    <t>Product</t>
  </si>
  <si>
    <t>Size</t>
  </si>
  <si>
    <t>Acoustic Performance</t>
  </si>
  <si>
    <t>Comfort Performance</t>
  </si>
  <si>
    <t>Satisfies PPD (ISO7730)</t>
  </si>
  <si>
    <t>Sound Power Level</t>
  </si>
  <si>
    <t>Summary</t>
  </si>
  <si>
    <t xml:space="preserve">Size </t>
  </si>
  <si>
    <t>Location</t>
  </si>
  <si>
    <t>Diagram</t>
  </si>
  <si>
    <t>Project:</t>
  </si>
  <si>
    <t>&lt;Name&gt;</t>
  </si>
  <si>
    <t>Description</t>
  </si>
  <si>
    <t>Order Code</t>
  </si>
  <si>
    <t xml:space="preserve">Selected Airflow </t>
  </si>
  <si>
    <t>^ based on 10dB room absorption</t>
  </si>
  <si>
    <t>N1200</t>
  </si>
  <si>
    <t>Side Profile</t>
  </si>
  <si>
    <t>Neck</t>
  </si>
  <si>
    <t>Ax</t>
  </si>
  <si>
    <t>^b</t>
  </si>
  <si>
    <t>mm</t>
  </si>
  <si>
    <t>Width Flangeless Face (Wn)</t>
  </si>
  <si>
    <t xml:space="preserve">Width Flanged Face (Wf) </t>
  </si>
  <si>
    <t>Width of Diffuser Throat (Wt)</t>
  </si>
  <si>
    <t>Recommended Plenum Height A *</t>
  </si>
  <si>
    <t>Recommended Plenum Width B *</t>
  </si>
  <si>
    <t>Recommended Spigot Dimension D * per 1 m length</t>
  </si>
  <si>
    <t>Recommended Spigot Dimension D * per 1.5 m length</t>
  </si>
  <si>
    <t>Height</t>
  </si>
  <si>
    <t>Slope</t>
  </si>
  <si>
    <t>PMV</t>
  </si>
  <si>
    <t>H</t>
  </si>
  <si>
    <t>ax</t>
  </si>
  <si>
    <t>Target Q''</t>
  </si>
  <si>
    <t>Vmax</t>
  </si>
  <si>
    <t>Vmin</t>
  </si>
  <si>
    <t>for Vmax</t>
  </si>
  <si>
    <t>for Vmin</t>
  </si>
  <si>
    <t>at V (L/s/m^2)</t>
  </si>
  <si>
    <t>Cmin Ceiling Factor</t>
  </si>
  <si>
    <t>Cmax Ceiling Factor</t>
  </si>
  <si>
    <t>Hfactor @ Vmax</t>
  </si>
  <si>
    <t>Hfactor @ Vmin</t>
  </si>
  <si>
    <t>at Vmax</t>
  </si>
  <si>
    <t>at Vmin</t>
  </si>
  <si>
    <t>h factor @ V</t>
  </si>
  <si>
    <t>at adpi</t>
  </si>
  <si>
    <t>Distance Selection</t>
  </si>
  <si>
    <t>v' for Vmax</t>
  </si>
  <si>
    <t>v' for Vmin</t>
  </si>
  <si>
    <t>V'' adjusted for heating</t>
  </si>
  <si>
    <t>Heating</t>
  </si>
  <si>
    <t>v'' + correction factor</t>
  </si>
  <si>
    <t>Comfort</t>
  </si>
  <si>
    <t>Shading</t>
  </si>
  <si>
    <t>max flow</t>
  </si>
  <si>
    <t>min flow</t>
  </si>
  <si>
    <t>Shade</t>
  </si>
  <si>
    <t>Velocity</t>
  </si>
  <si>
    <t>Static Pressure @ Flowrate</t>
  </si>
  <si>
    <t>Total Pressure @Flowrate</t>
  </si>
  <si>
    <t>Spigot Velocity</t>
  </si>
  <si>
    <t>Airflow Rate (TD)</t>
  </si>
  <si>
    <t>Max Static Pressure (Pa)</t>
  </si>
  <si>
    <t>Spigot Size</t>
  </si>
  <si>
    <t>Nominal Spigot Size</t>
  </si>
  <si>
    <t>Sound Pressure Level ^</t>
  </si>
  <si>
    <t>Airflow @ Max Static Pressure[L/s/m]</t>
  </si>
  <si>
    <t>Min Permissible Airflow [L/s/m]</t>
  </si>
  <si>
    <t>Airflow</t>
  </si>
  <si>
    <t>Text</t>
  </si>
  <si>
    <t>Min airflow</t>
  </si>
  <si>
    <t>dt</t>
  </si>
  <si>
    <t>Format</t>
  </si>
  <si>
    <t>Suggested Air Direction Setting</t>
  </si>
  <si>
    <t>Acoustic</t>
  </si>
  <si>
    <t>Recommended Plenum Box Spigot Diameter per (1200 mm length)</t>
  </si>
  <si>
    <t xml:space="preserve">Mean Room Air Velocity </t>
  </si>
  <si>
    <t xml:space="preserve">Mean Draught Rating </t>
  </si>
  <si>
    <t>Mean PMV *</t>
  </si>
  <si>
    <t>room temp</t>
  </si>
  <si>
    <t>Max Recommended Heating ΔT</t>
  </si>
  <si>
    <t>Recommended Plenum Box Spigot Diameter (per 1200 mm length)</t>
  </si>
  <si>
    <t>dist type selection</t>
  </si>
  <si>
    <t>C Select</t>
  </si>
  <si>
    <t>box2</t>
  </si>
  <si>
    <t>box1</t>
  </si>
  <si>
    <t>box3</t>
  </si>
  <si>
    <t>room box</t>
  </si>
  <si>
    <t>height</t>
  </si>
  <si>
    <t>Diffuser Ends</t>
  </si>
  <si>
    <t>Fixing</t>
  </si>
  <si>
    <t>uninsulated connection box</t>
  </si>
  <si>
    <t>internally insulated connection box</t>
  </si>
  <si>
    <t>Selection</t>
  </si>
  <si>
    <t>Code</t>
  </si>
  <si>
    <t>E0</t>
  </si>
  <si>
    <t>E1</t>
  </si>
  <si>
    <t>E2</t>
  </si>
  <si>
    <t>without end flanges</t>
  </si>
  <si>
    <t>F0</t>
  </si>
  <si>
    <t>EX</t>
  </si>
  <si>
    <t>connection box</t>
  </si>
  <si>
    <t>t</t>
  </si>
  <si>
    <t>n</t>
  </si>
  <si>
    <t>no connection box</t>
  </si>
  <si>
    <t>K</t>
  </si>
  <si>
    <t>KI</t>
  </si>
  <si>
    <t>K0</t>
  </si>
  <si>
    <t xml:space="preserve"> </t>
  </si>
  <si>
    <t>clipped to diffuser throat</t>
  </si>
  <si>
    <t>screwed to diffuser throat</t>
  </si>
  <si>
    <t>Box</t>
  </si>
  <si>
    <t>* ISO7730; ASHRAE Std 55</t>
  </si>
  <si>
    <t>SF</t>
  </si>
  <si>
    <t>SN</t>
  </si>
  <si>
    <t>with side flanges</t>
  </si>
  <si>
    <t>with two end flanges</t>
  </si>
  <si>
    <t>with one end flange + one pair of joining strips</t>
  </si>
  <si>
    <t>include one pair of joining strips</t>
  </si>
  <si>
    <t>Q</t>
  </si>
  <si>
    <t>P</t>
  </si>
  <si>
    <t>SWL - Static Pressure Coefficients</t>
  </si>
  <si>
    <t>&lt;direction&gt;</t>
  </si>
  <si>
    <t>Maximum Permissible Static Pressure</t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</si>
  <si>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(centre) (K)</t>
    </r>
  </si>
  <si>
    <t>(old) heating @ dT</t>
  </si>
  <si>
    <t>heating dT (perimeter)</t>
  </si>
  <si>
    <t>heating dT (centre)</t>
  </si>
  <si>
    <t>Selected Airflow [L/s/m]</t>
  </si>
  <si>
    <t>Min Selected Airflow [L/s/m]</t>
  </si>
  <si>
    <t>Min Seleted Airflow</t>
  </si>
  <si>
    <t>Heating non vertical</t>
  </si>
  <si>
    <t>Selected Air Discharge Setting</t>
  </si>
  <si>
    <t>expansion bracket fixing</t>
  </si>
  <si>
    <t>flangeless side profile</t>
  </si>
  <si>
    <t>fixing by others; without accessories</t>
  </si>
  <si>
    <r>
      <t>m</t>
    </r>
    <r>
      <rPr>
        <sz val="11"/>
        <color theme="0" tint="-0.34998626667073579"/>
        <rFont val="Calibri"/>
        <family val="2"/>
        <scheme val="minor"/>
      </rPr>
      <t xml:space="preserve">        2 m to 5 m</t>
    </r>
  </si>
  <si>
    <t>[mm]</t>
  </si>
  <si>
    <t>[Pa]</t>
  </si>
  <si>
    <t>[dB(A)/m]</t>
  </si>
  <si>
    <t>[NC/m]</t>
  </si>
  <si>
    <t>[m]</t>
  </si>
  <si>
    <t>Width Flangeless Face</t>
  </si>
  <si>
    <t>Width Flanged Face</t>
  </si>
  <si>
    <t>Width of Diffuser Throat</t>
  </si>
  <si>
    <t>Selected Airflow Rate</t>
  </si>
  <si>
    <t>Airflow @ Max Static Pressure</t>
  </si>
  <si>
    <t>Min Selected Airflow</t>
  </si>
  <si>
    <t>Static Pressure @ 100% Airflow</t>
  </si>
  <si>
    <t>Total Pressure @ 100% Airflow</t>
  </si>
  <si>
    <t>Max Selected Total Pressure</t>
  </si>
  <si>
    <t>Selected Turndown to %</t>
  </si>
  <si>
    <t>Pressure</t>
  </si>
  <si>
    <t>Dimensions*</t>
  </si>
  <si>
    <t>Max Centre Z C/L Distance (m)</t>
  </si>
  <si>
    <t>N1500</t>
  </si>
  <si>
    <t>Barrel Setting</t>
  </si>
  <si>
    <t>Type</t>
  </si>
  <si>
    <t>Custom</t>
  </si>
  <si>
    <t>1200 mm neck length</t>
  </si>
  <si>
    <t>1500 mm neck length</t>
  </si>
  <si>
    <t>SMARTEMP LMW-AD-</t>
  </si>
  <si>
    <t>Name</t>
  </si>
  <si>
    <t>Display</t>
  </si>
  <si>
    <t>Custom Horizontal/Vertical</t>
  </si>
  <si>
    <t>Custom length</t>
  </si>
  <si>
    <t>Custom discharge direction</t>
  </si>
  <si>
    <t>Min Diffuser Height</t>
  </si>
  <si>
    <t>Linear Multistream Ceiling Diffuser  [LMW-AD] Dimensions</t>
  </si>
  <si>
    <t xml:space="preserve">Detailed Selection </t>
  </si>
  <si>
    <t>Heating Centre Zones for Air Direction 'A' [K]</t>
  </si>
  <si>
    <t>heating Perimeter</t>
  </si>
  <si>
    <t>Open Ceiling</t>
  </si>
  <si>
    <t>3 Slots</t>
  </si>
  <si>
    <t>4 Slots</t>
  </si>
  <si>
    <t>J</t>
  </si>
  <si>
    <t>Neck Height</t>
  </si>
  <si>
    <t>Multi-Stream Bar Grille with Removable Core</t>
  </si>
  <si>
    <t>Diffuser Flowrate</t>
  </si>
  <si>
    <t>MBW-FD Performance Calculator Summary</t>
  </si>
  <si>
    <t xml:space="preserve">SMARTEMP MBW-FD </t>
  </si>
  <si>
    <t>[L/s]</t>
  </si>
  <si>
    <r>
      <t>[m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>/h]</t>
    </r>
  </si>
  <si>
    <t>neck height</t>
  </si>
  <si>
    <t>Flowrate per m for H selection</t>
  </si>
  <si>
    <t>Static pressure at grille</t>
  </si>
  <si>
    <t>Grille Neck Area</t>
  </si>
  <si>
    <t>Diffuser Mounting Height</t>
  </si>
  <si>
    <t>data. Static pessure at grille</t>
  </si>
  <si>
    <t>Coefficients for change in H</t>
  </si>
  <si>
    <t>Acoustic B</t>
  </si>
  <si>
    <t>coef</t>
  </si>
  <si>
    <t>L</t>
  </si>
  <si>
    <t>v"at V (L/s/m^2)</t>
  </si>
  <si>
    <t>[m/s]</t>
  </si>
  <si>
    <t>low pressure</t>
  </si>
  <si>
    <t>high pressure</t>
  </si>
  <si>
    <t>Max Static Pressure</t>
  </si>
  <si>
    <t>pressure shade</t>
  </si>
  <si>
    <t>Bmax</t>
  </si>
  <si>
    <t>* Cmin Area</t>
  </si>
  <si>
    <t>Face Velocity</t>
  </si>
  <si>
    <t>Spigot</t>
  </si>
  <si>
    <t>DN150</t>
  </si>
  <si>
    <t>DN200</t>
  </si>
  <si>
    <t>DN250</t>
  </si>
  <si>
    <t>DN300</t>
  </si>
  <si>
    <t>DN350</t>
  </si>
  <si>
    <t>Spigot Area [m2]</t>
  </si>
  <si>
    <t>DN</t>
  </si>
  <si>
    <t>OH</t>
  </si>
  <si>
    <t>Distance</t>
  </si>
  <si>
    <t>Fits?</t>
  </si>
  <si>
    <t>Target Spigot V</t>
  </si>
  <si>
    <t>L/s</t>
  </si>
  <si>
    <t>Reference Total Pressure</t>
  </si>
  <si>
    <t>Reference Flowrate</t>
  </si>
  <si>
    <t>Reference Slots</t>
  </si>
  <si>
    <t>Reference Test (Data is scaled to all sizes)</t>
  </si>
  <si>
    <t>L/s/slot</t>
  </si>
  <si>
    <t>Grille Face Velocity @ Data.Flowrate</t>
  </si>
  <si>
    <t>Round Spigot</t>
  </si>
  <si>
    <t>Circumf</t>
  </si>
  <si>
    <t>Oval Spigot</t>
  </si>
  <si>
    <t>Selected Spigot Properties</t>
  </si>
  <si>
    <t>Total Spigot Width</t>
  </si>
  <si>
    <t>Spigot Width</t>
  </si>
  <si>
    <t>Box Width</t>
  </si>
  <si>
    <t>Face width / Spigot width</t>
  </si>
  <si>
    <t>b</t>
  </si>
  <si>
    <t>M</t>
  </si>
  <si>
    <t>Lmin</t>
  </si>
  <si>
    <t>Lmax</t>
  </si>
  <si>
    <t>Bmin</t>
  </si>
  <si>
    <t>v'' @ Vmin</t>
  </si>
  <si>
    <t>l/s/m2</t>
  </si>
  <si>
    <t>Lmin &amp; Bmin</t>
  </si>
  <si>
    <t>Lmax &amp; Bmax</t>
  </si>
  <si>
    <t>Lmax (room height adjusted)</t>
  </si>
  <si>
    <t>Lmax room height</t>
  </si>
  <si>
    <t>Lmax Min of above</t>
  </si>
  <si>
    <t>Lmax DT &amp; ceiling factor Adusted</t>
  </si>
  <si>
    <t>Bar Aspiration Wall Diffuser with Removable Core</t>
  </si>
  <si>
    <r>
      <t xml:space="preserve">Pa       </t>
    </r>
    <r>
      <rPr>
        <sz val="11"/>
        <color theme="0" tint="-0.34998626667073579"/>
        <rFont val="Calibri"/>
        <family val="2"/>
        <scheme val="minor"/>
      </rPr>
      <t>default 15 Pa</t>
    </r>
  </si>
  <si>
    <r>
      <t xml:space="preserve">K         </t>
    </r>
    <r>
      <rPr>
        <sz val="11"/>
        <color theme="0" tint="-0.34998626667073579"/>
        <rFont val="Calibri"/>
        <family val="2"/>
        <scheme val="minor"/>
      </rPr>
      <t>0 K to -15 K (default -12 K)</t>
    </r>
  </si>
  <si>
    <t>Flowrate per slot</t>
  </si>
  <si>
    <t>N Slots for H selection</t>
  </si>
  <si>
    <t>slots</t>
  </si>
  <si>
    <t>V Average</t>
  </si>
  <si>
    <t>Throw / Width @ APDI</t>
  </si>
  <si>
    <t>Spigot Selection</t>
  </si>
  <si>
    <t>Reference Test</t>
  </si>
  <si>
    <t>Lmin Coverage Aspect</t>
  </si>
  <si>
    <t>Lmin / Bmin</t>
  </si>
  <si>
    <t>Lmax Coverage Aspect</t>
  </si>
  <si>
    <t>%</t>
  </si>
  <si>
    <t>Reference Length</t>
  </si>
  <si>
    <t>Spigot / Face Ratio</t>
  </si>
  <si>
    <t>Active Length</t>
  </si>
  <si>
    <t>Min</t>
  </si>
  <si>
    <t>Lmax/Bmax</t>
  </si>
  <si>
    <t>V'' Max</t>
  </si>
  <si>
    <t>Min Coverage</t>
  </si>
  <si>
    <t>Max Coverage</t>
  </si>
  <si>
    <t>Flowrate</t>
  </si>
  <si>
    <t>Reference Sound Power</t>
  </si>
  <si>
    <t>db[A]</t>
  </si>
  <si>
    <t>Do not exceed the max spec airflow</t>
  </si>
  <si>
    <t>Design</t>
  </si>
  <si>
    <t>Adjustment Factor</t>
  </si>
  <si>
    <t>Standard Data is giving higher coverage than PMW and much higher than stadard bar grille, so adjsutment factor has been added</t>
  </si>
  <si>
    <t>Standard Data is giving higher coverage than PMW, so adjsutment factor has been added</t>
  </si>
  <si>
    <t>Do not exceed Vmin spec airflow</t>
  </si>
  <si>
    <t>(150 high)</t>
  </si>
  <si>
    <t>SWL LMC-AD-N1000-4</t>
  </si>
  <si>
    <t>LMC-AD-N100-4 Data Flowrate</t>
  </si>
  <si>
    <t>LMC-AD-N100-4 Data Static</t>
  </si>
  <si>
    <t>LMC-AD-N100-4 Static</t>
  </si>
  <si>
    <t>Row Factor</t>
  </si>
  <si>
    <t>Length Factor</t>
  </si>
  <si>
    <t>Scale SWL to Neck length and Rows</t>
  </si>
  <si>
    <t>LMC-AD-N1000-4 Sound Power</t>
  </si>
  <si>
    <t>Factor</t>
  </si>
  <si>
    <t>SWL LMC-AD-N200-N____</t>
  </si>
  <si>
    <t>SWL LMC-AD-N300-N____</t>
  </si>
  <si>
    <t>SWL LMC-AD-N400-N____</t>
  </si>
  <si>
    <t>SWL LMC-AD-N500-N____</t>
  </si>
  <si>
    <t>SWL LMC-AD-N600-N____</t>
  </si>
  <si>
    <t>SWL LMC-AD-N700-R____</t>
  </si>
  <si>
    <t>SWL LMC-AD-N800-R____</t>
  </si>
  <si>
    <t>SWL LMC-AD-N1000-R____</t>
  </si>
  <si>
    <t>default ≥ 80%</t>
  </si>
  <si>
    <t>TRUE = SHADE</t>
  </si>
  <si>
    <t>Lmin&gt;Lmax</t>
  </si>
  <si>
    <t>Capped at 6</t>
  </si>
  <si>
    <t>at Spigot V = 1.0 m/s</t>
  </si>
  <si>
    <t>at Spigot V = 2.5 m/s</t>
  </si>
  <si>
    <t>V</t>
  </si>
  <si>
    <t>V'' Min</t>
  </si>
  <si>
    <t>Vmin &lt; V'' &lt; Vmax</t>
  </si>
  <si>
    <t>Turndown</t>
  </si>
  <si>
    <t>Spigot Velocity @ Design</t>
  </si>
  <si>
    <t>Spigot Velocity @ Turndown</t>
  </si>
  <si>
    <t>The diffuser is not pressure dominant enough to signifigantly reduce the velocity when the face is oversized, therefore it is more appropriate to scale according to spigot velocity.</t>
  </si>
  <si>
    <t>L/s/m / 4row</t>
  </si>
  <si>
    <t>Flowrate L/S/M/4Rows</t>
  </si>
  <si>
    <t>Effective Neck Length</t>
  </si>
  <si>
    <t>Copyright © 2025 SMARTAIR DIFFUSION</t>
  </si>
  <si>
    <t>SMARTEMP BAW-FD</t>
  </si>
  <si>
    <t xml:space="preserve">                                                               </t>
  </si>
  <si>
    <t>Closed Ceiling (≤ 500 mm diffuser to ceiling)</t>
  </si>
  <si>
    <t>Recommended Distances 
&amp; 
Layout</t>
  </si>
  <si>
    <t>Spigot Velocity &lt;= 4</t>
  </si>
  <si>
    <t>Spigot Velocity not suitable</t>
  </si>
  <si>
    <t>Acoustic Shade</t>
  </si>
  <si>
    <t>Lmin/Lmax = '-'</t>
  </si>
  <si>
    <r>
      <t>mm</t>
    </r>
    <r>
      <rPr>
        <sz val="11"/>
        <color theme="0" tint="-0.34998626667073579"/>
        <rFont val="Calibri"/>
        <family val="2"/>
        <scheme val="minor"/>
      </rPr>
      <t xml:space="preserve">    75mm, 100mm, 125mm, 150mm, 200mm</t>
    </r>
  </si>
  <si>
    <t>L/B</t>
  </si>
  <si>
    <t>L/s/m3</t>
  </si>
  <si>
    <t>L/s/m4</t>
  </si>
  <si>
    <t>L/s/m5</t>
  </si>
  <si>
    <t>L/s/m6</t>
  </si>
  <si>
    <t>L/s/m7</t>
  </si>
  <si>
    <t>L/s/m8</t>
  </si>
  <si>
    <t>L/s/m9</t>
  </si>
  <si>
    <r>
      <t xml:space="preserve">% </t>
    </r>
    <r>
      <rPr>
        <sz val="11"/>
        <color theme="0" tint="-0.34998626667073579"/>
        <rFont val="Calibri"/>
        <family val="2"/>
        <scheme val="minor"/>
      </rPr>
      <t xml:space="preserve">       30% to 100% (use 100% for CAV)</t>
    </r>
  </si>
  <si>
    <t>Sound Pressure Level *</t>
  </si>
  <si>
    <t xml:space="preserve">* Based on 10 dB(A) room absoprtion </t>
  </si>
  <si>
    <t>Max Permissible ΔT (centre) (K)</t>
  </si>
  <si>
    <t>Max Permissible ΔT (heating) (K)</t>
  </si>
  <si>
    <t>Selected Airflow [L/s]</t>
  </si>
  <si>
    <t>Airflow @ Max Static Pressure[L/s]</t>
  </si>
  <si>
    <t>Min Selected Airflow [L/s]</t>
  </si>
  <si>
    <t>Min Permissible Airflow @ -12 K</t>
  </si>
  <si>
    <t>Lmin/Lmax Note</t>
  </si>
  <si>
    <t>¹</t>
  </si>
  <si>
    <r>
      <rPr>
        <sz val="11"/>
        <color theme="1"/>
        <rFont val="Aptos Narrow"/>
        <family val="2"/>
      </rPr>
      <t>¹</t>
    </r>
    <r>
      <rPr>
        <sz val="11"/>
        <color theme="1"/>
        <rFont val="Calibri"/>
        <family val="2"/>
        <scheme val="minor"/>
      </rPr>
      <t xml:space="preserve"> Warning: Min &gt; Max. Recommend increasing 'Turndown' or reducing 'ADPI'</t>
    </r>
  </si>
  <si>
    <t>Show Lmin Note</t>
  </si>
  <si>
    <t>v 2.0 [11/2025]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</si>
</sst>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0.0%"/>
    <numFmt numFmtId="166" formatCode="0.0"/>
    <numFmt numFmtId="167" formatCode="0.0000"/>
    <numFmt numFmtId="168" formatCode="\+\ 0.0;\-\ 0.0;0.0"/>
  </numFmts>
  <fonts count="6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</font>
    <font>
      <b/>
      <sz val="1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theme="1" tint="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Segoe UI"/>
      <family val="2"/>
    </font>
    <font>
      <sz val="10"/>
      <color theme="1" tint="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vertAlign val="superscript"/>
      <sz val="11"/>
      <color theme="1" tint="0.34998626667073579"/>
      <name val="Calibri"/>
      <family val="2"/>
      <scheme val="minor"/>
    </font>
    <font>
      <sz val="16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 tint="0.249977111117893"/>
      <name val="Calibri"/>
      <family val="2"/>
      <scheme val="minor"/>
    </font>
    <font>
      <u/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FF66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6795556505021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/>
      <bottom style="thin">
        <color theme="1" tint="0.249977111117893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14999847407452621"/>
      </bottom>
      <diagonal/>
    </border>
  </borders>
  <cellStyleXfs count="9">
    <xf numFmtId="0" fontId="0" fillId="0" borderId="0"/>
    <xf numFmtId="0" fontId="1" fillId="0" borderId="1" applyNumberFormat="0" applyFill="0" applyAlignment="0" applyProtection="0"/>
    <xf numFmtId="9" fontId="6" fillId="0" borderId="0" applyFont="0" applyFill="0" applyBorder="0" applyAlignment="0" applyProtection="0"/>
    <xf numFmtId="0" fontId="6" fillId="2" borderId="2" applyNumberFormat="0" applyFont="0" applyAlignment="0" applyProtection="0"/>
    <xf numFmtId="0" fontId="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290">
    <xf numFmtId="0" fontId="0" fillId="0" borderId="0" xfId="0"/>
    <xf numFmtId="9" fontId="0" fillId="0" borderId="0" xfId="0" applyNumberFormat="1"/>
    <xf numFmtId="0" fontId="1" fillId="0" borderId="1" xfId="1"/>
    <xf numFmtId="0" fontId="2" fillId="0" borderId="0" xfId="0" applyFont="1"/>
    <xf numFmtId="10" fontId="0" fillId="0" borderId="0" xfId="0" applyNumberFormat="1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9" fontId="0" fillId="0" borderId="0" xfId="2" applyFont="1"/>
    <xf numFmtId="0" fontId="0" fillId="2" borderId="2" xfId="3" applyFont="1"/>
    <xf numFmtId="11" fontId="0" fillId="2" borderId="2" xfId="3" applyNumberFormat="1" applyFont="1"/>
    <xf numFmtId="0" fontId="0" fillId="0" borderId="0" xfId="2" applyNumberFormat="1" applyFont="1"/>
    <xf numFmtId="0" fontId="0" fillId="0" borderId="0" xfId="0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center"/>
    </xf>
    <xf numFmtId="0" fontId="10" fillId="5" borderId="0" xfId="0" applyFont="1" applyFill="1" applyAlignment="1">
      <alignment horizontal="left" vertical="top"/>
    </xf>
    <xf numFmtId="0" fontId="0" fillId="5" borderId="0" xfId="0" applyFill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3" fillId="4" borderId="4" xfId="4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4" fillId="5" borderId="0" xfId="0" applyFont="1" applyFill="1"/>
    <xf numFmtId="0" fontId="17" fillId="5" borderId="0" xfId="0" applyFont="1" applyFill="1"/>
    <xf numFmtId="0" fontId="0" fillId="3" borderId="5" xfId="0" applyFill="1" applyBorder="1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20" fillId="3" borderId="0" xfId="0" applyFont="1" applyFill="1"/>
    <xf numFmtId="0" fontId="22" fillId="3" borderId="0" xfId="0" applyFont="1" applyFill="1" applyAlignment="1">
      <alignment vertical="center"/>
    </xf>
    <xf numFmtId="0" fontId="23" fillId="3" borderId="0" xfId="5" applyFont="1" applyFill="1"/>
    <xf numFmtId="0" fontId="18" fillId="3" borderId="0" xfId="5" applyFill="1"/>
    <xf numFmtId="0" fontId="26" fillId="3" borderId="8" xfId="7" applyFont="1" applyFill="1" applyBorder="1" applyAlignment="1">
      <alignment vertical="center"/>
    </xf>
    <xf numFmtId="0" fontId="27" fillId="5" borderId="0" xfId="0" applyFont="1" applyFill="1" applyAlignment="1">
      <alignment horizontal="right" vertical="center"/>
    </xf>
    <xf numFmtId="0" fontId="0" fillId="5" borderId="10" xfId="0" applyFill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5" borderId="13" xfId="0" applyFill="1" applyBorder="1"/>
    <xf numFmtId="0" fontId="0" fillId="5" borderId="14" xfId="0" applyFill="1" applyBorder="1" applyAlignment="1">
      <alignment horizontal="right"/>
    </xf>
    <xf numFmtId="0" fontId="0" fillId="5" borderId="14" xfId="0" applyFill="1" applyBorder="1"/>
    <xf numFmtId="0" fontId="27" fillId="5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center" vertical="center"/>
    </xf>
    <xf numFmtId="0" fontId="0" fillId="3" borderId="15" xfId="0" applyFill="1" applyBorder="1"/>
    <xf numFmtId="0" fontId="0" fillId="3" borderId="16" xfId="0" applyFill="1" applyBorder="1"/>
    <xf numFmtId="0" fontId="0" fillId="3" borderId="8" xfId="0" applyFill="1" applyBorder="1"/>
    <xf numFmtId="0" fontId="0" fillId="3" borderId="17" xfId="0" applyFill="1" applyBorder="1"/>
    <xf numFmtId="0" fontId="0" fillId="3" borderId="18" xfId="0" applyFill="1" applyBorder="1"/>
    <xf numFmtId="0" fontId="22" fillId="3" borderId="19" xfId="0" applyFont="1" applyFill="1" applyBorder="1" applyAlignment="1">
      <alignment vertical="center"/>
    </xf>
    <xf numFmtId="0" fontId="0" fillId="3" borderId="19" xfId="0" applyFill="1" applyBorder="1"/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0" fontId="10" fillId="5" borderId="0" xfId="1" applyFont="1" applyFill="1" applyBorder="1" applyAlignment="1">
      <alignment horizontal="left"/>
    </xf>
    <xf numFmtId="0" fontId="29" fillId="5" borderId="0" xfId="1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locked="0"/>
    </xf>
    <xf numFmtId="0" fontId="31" fillId="5" borderId="0" xfId="0" applyFont="1" applyFill="1" applyAlignment="1">
      <alignment horizontal="right" vertical="center"/>
    </xf>
    <xf numFmtId="2" fontId="0" fillId="0" borderId="0" xfId="2" applyNumberFormat="1" applyFont="1"/>
    <xf numFmtId="0" fontId="17" fillId="5" borderId="0" xfId="0" applyFont="1" applyFill="1" applyAlignment="1">
      <alignment horizontal="left" indent="1"/>
    </xf>
    <xf numFmtId="0" fontId="0" fillId="6" borderId="0" xfId="0" applyFill="1" applyAlignment="1">
      <alignment horizontal="center" vertical="center"/>
    </xf>
    <xf numFmtId="0" fontId="27" fillId="6" borderId="0" xfId="0" applyFont="1" applyFill="1" applyAlignment="1">
      <alignment horizontal="left" vertical="center"/>
    </xf>
    <xf numFmtId="0" fontId="16" fillId="5" borderId="28" xfId="0" applyFont="1" applyFill="1" applyBorder="1" applyAlignment="1">
      <alignment horizontal="left" vertical="center"/>
    </xf>
    <xf numFmtId="0" fontId="0" fillId="5" borderId="28" xfId="0" applyFill="1" applyBorder="1"/>
    <xf numFmtId="0" fontId="15" fillId="5" borderId="24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32" fillId="0" borderId="11" xfId="0" applyFont="1" applyBorder="1"/>
    <xf numFmtId="0" fontId="9" fillId="0" borderId="0" xfId="4" applyFont="1" applyBorder="1" applyAlignment="1">
      <alignment horizontal="center" vertical="center"/>
    </xf>
    <xf numFmtId="0" fontId="32" fillId="0" borderId="0" xfId="0" applyFont="1"/>
    <xf numFmtId="0" fontId="22" fillId="3" borderId="8" xfId="0" applyFont="1" applyFill="1" applyBorder="1" applyAlignment="1">
      <alignment vertical="center"/>
    </xf>
    <xf numFmtId="0" fontId="0" fillId="6" borderId="0" xfId="0" applyFill="1"/>
    <xf numFmtId="0" fontId="10" fillId="6" borderId="10" xfId="1" applyFont="1" applyFill="1" applyBorder="1"/>
    <xf numFmtId="0" fontId="28" fillId="6" borderId="10" xfId="1" applyFont="1" applyFill="1" applyBorder="1"/>
    <xf numFmtId="0" fontId="0" fillId="6" borderId="10" xfId="0" applyFill="1" applyBorder="1"/>
    <xf numFmtId="0" fontId="0" fillId="6" borderId="0" xfId="0" applyFill="1" applyAlignment="1">
      <alignment vertical="center"/>
    </xf>
    <xf numFmtId="0" fontId="0" fillId="0" borderId="0" xfId="0" quotePrefix="1"/>
    <xf numFmtId="0" fontId="0" fillId="5" borderId="0" xfId="0" applyFill="1" applyAlignment="1">
      <alignment horizontal="right" vertical="center"/>
    </xf>
    <xf numFmtId="0" fontId="0" fillId="6" borderId="28" xfId="0" applyFill="1" applyBorder="1"/>
    <xf numFmtId="0" fontId="38" fillId="5" borderId="28" xfId="0" applyFont="1" applyFill="1" applyBorder="1" applyAlignment="1">
      <alignment horizontal="right"/>
    </xf>
    <xf numFmtId="0" fontId="10" fillId="6" borderId="0" xfId="0" applyFont="1" applyFill="1" applyAlignment="1">
      <alignment horizontal="left" vertical="center"/>
    </xf>
    <xf numFmtId="0" fontId="27" fillId="6" borderId="0" xfId="0" applyFont="1" applyFill="1" applyAlignment="1">
      <alignment vertical="top"/>
    </xf>
    <xf numFmtId="0" fontId="39" fillId="0" borderId="0" xfId="0" applyFont="1"/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/>
    <xf numFmtId="0" fontId="44" fillId="0" borderId="0" xfId="0" applyFont="1" applyAlignment="1">
      <alignment horizontal="right"/>
    </xf>
    <xf numFmtId="166" fontId="0" fillId="0" borderId="0" xfId="0" applyNumberFormat="1"/>
    <xf numFmtId="0" fontId="0" fillId="0" borderId="0" xfId="0" applyAlignment="1">
      <alignment horizontal="center"/>
    </xf>
    <xf numFmtId="0" fontId="44" fillId="0" borderId="0" xfId="0" applyFont="1"/>
    <xf numFmtId="0" fontId="47" fillId="0" borderId="0" xfId="0" applyFont="1"/>
    <xf numFmtId="0" fontId="47" fillId="0" borderId="0" xfId="0" applyFont="1" applyAlignment="1">
      <alignment horizontal="left"/>
    </xf>
    <xf numFmtId="166" fontId="44" fillId="0" borderId="0" xfId="0" applyNumberFormat="1" applyFont="1"/>
    <xf numFmtId="168" fontId="44" fillId="0" borderId="0" xfId="0" applyNumberFormat="1" applyFont="1"/>
    <xf numFmtId="0" fontId="3" fillId="0" borderId="0" xfId="0" applyFont="1"/>
    <xf numFmtId="1" fontId="44" fillId="0" borderId="0" xfId="0" applyNumberFormat="1" applyFont="1" applyAlignment="1">
      <alignment horizontal="left"/>
    </xf>
    <xf numFmtId="0" fontId="24" fillId="6" borderId="0" xfId="6" applyFont="1" applyFill="1" applyBorder="1"/>
    <xf numFmtId="0" fontId="0" fillId="6" borderId="30" xfId="0" applyFill="1" applyBorder="1"/>
    <xf numFmtId="0" fontId="0" fillId="0" borderId="31" xfId="0" applyBorder="1"/>
    <xf numFmtId="0" fontId="0" fillId="6" borderId="32" xfId="0" applyFill="1" applyBorder="1"/>
    <xf numFmtId="0" fontId="0" fillId="0" borderId="28" xfId="0" applyBorder="1"/>
    <xf numFmtId="0" fontId="15" fillId="4" borderId="25" xfId="0" applyFont="1" applyFill="1" applyBorder="1" applyAlignment="1">
      <alignment horizontal="center" vertical="center"/>
    </xf>
    <xf numFmtId="166" fontId="15" fillId="4" borderId="25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 indent="2"/>
    </xf>
    <xf numFmtId="11" fontId="0" fillId="0" borderId="0" xfId="3" applyNumberFormat="1" applyFont="1" applyFill="1" applyBorder="1"/>
    <xf numFmtId="0" fontId="2" fillId="5" borderId="0" xfId="0" applyFont="1" applyFill="1"/>
    <xf numFmtId="0" fontId="48" fillId="0" borderId="0" xfId="0" applyFont="1" applyAlignment="1">
      <alignment horizontal="right"/>
    </xf>
    <xf numFmtId="0" fontId="48" fillId="0" borderId="0" xfId="0" applyFont="1" applyAlignment="1">
      <alignment horizontal="left"/>
    </xf>
    <xf numFmtId="0" fontId="0" fillId="6" borderId="0" xfId="0" applyFill="1" applyAlignment="1">
      <alignment horizontal="left" vertical="top" indent="2"/>
    </xf>
    <xf numFmtId="0" fontId="49" fillId="6" borderId="0" xfId="0" applyFont="1" applyFill="1" applyAlignment="1">
      <alignment horizontal="left" vertical="top" indent="2"/>
    </xf>
    <xf numFmtId="0" fontId="10" fillId="5" borderId="10" xfId="1" applyFont="1" applyFill="1" applyBorder="1" applyAlignment="1"/>
    <xf numFmtId="9" fontId="2" fillId="0" borderId="0" xfId="0" applyNumberFormat="1" applyFont="1"/>
    <xf numFmtId="0" fontId="5" fillId="0" borderId="0" xfId="0" applyFont="1" applyProtection="1">
      <protection locked="0"/>
    </xf>
    <xf numFmtId="0" fontId="3" fillId="6" borderId="0" xfId="0" applyFont="1" applyFill="1" applyAlignment="1">
      <alignment horizontal="right" vertical="center"/>
    </xf>
    <xf numFmtId="10" fontId="0" fillId="0" borderId="0" xfId="0" applyNumberFormat="1" applyAlignment="1">
      <alignment horizontal="center"/>
    </xf>
    <xf numFmtId="0" fontId="15" fillId="5" borderId="0" xfId="0" applyFont="1" applyFill="1" applyAlignment="1">
      <alignment horizontal="right" vertical="center"/>
    </xf>
    <xf numFmtId="0" fontId="15" fillId="5" borderId="23" xfId="0" applyFont="1" applyFill="1" applyBorder="1" applyAlignment="1">
      <alignment horizontal="right" vertical="center"/>
    </xf>
    <xf numFmtId="0" fontId="15" fillId="5" borderId="28" xfId="0" applyFont="1" applyFill="1" applyBorder="1" applyAlignment="1">
      <alignment horizontal="right" vertical="center"/>
    </xf>
    <xf numFmtId="0" fontId="0" fillId="0" borderId="19" xfId="0" applyBorder="1"/>
    <xf numFmtId="0" fontId="10" fillId="5" borderId="28" xfId="1" applyFont="1" applyFill="1" applyBorder="1" applyAlignment="1">
      <alignment horizontal="left"/>
    </xf>
    <xf numFmtId="0" fontId="49" fillId="6" borderId="0" xfId="0" applyFont="1" applyFill="1" applyAlignment="1">
      <alignment horizontal="left" vertical="center"/>
    </xf>
    <xf numFmtId="0" fontId="34" fillId="5" borderId="0" xfId="0" quotePrefix="1" applyFont="1" applyFill="1" applyAlignment="1">
      <alignment vertical="center"/>
    </xf>
    <xf numFmtId="2" fontId="0" fillId="2" borderId="2" xfId="3" applyNumberFormat="1" applyFont="1"/>
    <xf numFmtId="0" fontId="0" fillId="2" borderId="2" xfId="3" applyFont="1" applyAlignment="1">
      <alignment horizontal="center"/>
    </xf>
    <xf numFmtId="0" fontId="51" fillId="0" borderId="0" xfId="0" applyFont="1"/>
    <xf numFmtId="0" fontId="10" fillId="6" borderId="0" xfId="1" applyFont="1" applyFill="1" applyBorder="1"/>
    <xf numFmtId="0" fontId="28" fillId="6" borderId="0" xfId="1" applyFont="1" applyFill="1" applyBorder="1"/>
    <xf numFmtId="0" fontId="10" fillId="5" borderId="0" xfId="1" applyFont="1" applyFill="1" applyBorder="1" applyAlignment="1"/>
    <xf numFmtId="0" fontId="13" fillId="5" borderId="0" xfId="4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0" fillId="2" borderId="2" xfId="3" applyFont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53" fillId="0" borderId="0" xfId="0" applyFont="1"/>
    <xf numFmtId="0" fontId="11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9" fontId="15" fillId="4" borderId="35" xfId="2" applyFont="1" applyFill="1" applyBorder="1" applyAlignment="1">
      <alignment horizontal="center" vertical="center"/>
    </xf>
    <xf numFmtId="11" fontId="0" fillId="0" borderId="2" xfId="3" applyNumberFormat="1" applyFont="1" applyFill="1"/>
    <xf numFmtId="0" fontId="6" fillId="2" borderId="2" xfId="3" applyFont="1" applyAlignment="1">
      <alignment horizontal="center"/>
    </xf>
    <xf numFmtId="0" fontId="13" fillId="0" borderId="0" xfId="0" applyFon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right"/>
    </xf>
    <xf numFmtId="0" fontId="5" fillId="0" borderId="33" xfId="0" applyFont="1" applyBorder="1" applyAlignment="1">
      <alignment horizontal="right"/>
    </xf>
    <xf numFmtId="0" fontId="0" fillId="0" borderId="33" xfId="0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5" fillId="0" borderId="33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2" fontId="0" fillId="0" borderId="33" xfId="0" applyNumberFormat="1" applyBorder="1" applyAlignment="1">
      <alignment horizontal="center"/>
    </xf>
    <xf numFmtId="0" fontId="0" fillId="0" borderId="33" xfId="0" applyBorder="1"/>
    <xf numFmtId="0" fontId="15" fillId="5" borderId="36" xfId="0" applyFont="1" applyFill="1" applyBorder="1" applyAlignment="1">
      <alignment horizontal="left" vertical="center"/>
    </xf>
    <xf numFmtId="166" fontId="15" fillId="4" borderId="37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165" fontId="0" fillId="0" borderId="0" xfId="2" applyNumberFormat="1" applyFont="1" applyAlignment="1">
      <alignment horizontal="center"/>
    </xf>
    <xf numFmtId="0" fontId="0" fillId="0" borderId="33" xfId="0" applyBorder="1" applyAlignment="1">
      <alignment horizontal="right"/>
    </xf>
    <xf numFmtId="167" fontId="0" fillId="0" borderId="33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2" fillId="0" borderId="0" xfId="0" applyFont="1" applyAlignment="1">
      <alignment vertical="center"/>
    </xf>
    <xf numFmtId="2" fontId="0" fillId="2" borderId="2" xfId="3" applyNumberFormat="1" applyFont="1" applyAlignment="1">
      <alignment horizontal="center"/>
    </xf>
    <xf numFmtId="166" fontId="0" fillId="2" borderId="2" xfId="3" applyNumberFormat="1" applyFont="1" applyAlignment="1">
      <alignment horizontal="center"/>
    </xf>
    <xf numFmtId="0" fontId="0" fillId="0" borderId="33" xfId="0" applyBorder="1" applyAlignment="1">
      <alignment horizontal="left"/>
    </xf>
    <xf numFmtId="9" fontId="0" fillId="0" borderId="33" xfId="0" applyNumberFormat="1" applyBorder="1"/>
    <xf numFmtId="0" fontId="5" fillId="0" borderId="34" xfId="0" applyFont="1" applyBorder="1" applyAlignment="1">
      <alignment horizontal="right"/>
    </xf>
    <xf numFmtId="2" fontId="2" fillId="0" borderId="33" xfId="0" applyNumberFormat="1" applyFont="1" applyBorder="1" applyAlignment="1">
      <alignment horizontal="center"/>
    </xf>
    <xf numFmtId="9" fontId="0" fillId="0" borderId="33" xfId="2" applyFont="1" applyBorder="1" applyAlignment="1">
      <alignment horizontal="center"/>
    </xf>
    <xf numFmtId="0" fontId="2" fillId="0" borderId="33" xfId="8" applyNumberFormat="1" applyFont="1" applyBorder="1" applyAlignment="1">
      <alignment horizontal="center"/>
    </xf>
    <xf numFmtId="0" fontId="0" fillId="0" borderId="33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6" fontId="52" fillId="4" borderId="25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5" fillId="5" borderId="36" xfId="0" applyFont="1" applyFill="1" applyBorder="1" applyAlignment="1">
      <alignment vertical="center"/>
    </xf>
    <xf numFmtId="9" fontId="0" fillId="0" borderId="33" xfId="0" applyNumberFormat="1" applyBorder="1" applyAlignment="1">
      <alignment horizontal="center"/>
    </xf>
    <xf numFmtId="0" fontId="0" fillId="0" borderId="0" xfId="2" applyNumberFormat="1" applyFont="1" applyBorder="1" applyAlignment="1">
      <alignment horizontal="center"/>
    </xf>
    <xf numFmtId="2" fontId="5" fillId="0" borderId="0" xfId="0" applyNumberFormat="1" applyFont="1"/>
    <xf numFmtId="9" fontId="0" fillId="0" borderId="0" xfId="0" applyNumberFormat="1" applyAlignment="1">
      <alignment horizontal="center"/>
    </xf>
    <xf numFmtId="166" fontId="52" fillId="4" borderId="37" xfId="0" applyNumberFormat="1" applyFont="1" applyFill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1" fontId="15" fillId="4" borderId="35" xfId="0" applyNumberFormat="1" applyFont="1" applyFill="1" applyBorder="1" applyAlignment="1">
      <alignment horizontal="center" vertical="center"/>
    </xf>
    <xf numFmtId="9" fontId="16" fillId="4" borderId="34" xfId="2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left" vertical="center"/>
    </xf>
    <xf numFmtId="1" fontId="15" fillId="4" borderId="34" xfId="0" applyNumberFormat="1" applyFont="1" applyFill="1" applyBorder="1" applyAlignment="1">
      <alignment horizontal="center" vertical="center"/>
    </xf>
    <xf numFmtId="1" fontId="15" fillId="4" borderId="40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16" fillId="5" borderId="29" xfId="0" applyFont="1" applyFill="1" applyBorder="1" applyAlignment="1">
      <alignment horizontal="left" vertical="center"/>
    </xf>
    <xf numFmtId="166" fontId="16" fillId="4" borderId="39" xfId="0" applyNumberFormat="1" applyFont="1" applyFill="1" applyBorder="1" applyAlignment="1">
      <alignment horizontal="center" vertical="center"/>
    </xf>
    <xf numFmtId="166" fontId="15" fillId="4" borderId="39" xfId="0" applyNumberFormat="1" applyFont="1" applyFill="1" applyBorder="1" applyAlignment="1">
      <alignment horizontal="center" vertical="center"/>
    </xf>
    <xf numFmtId="166" fontId="52" fillId="4" borderId="39" xfId="0" applyNumberFormat="1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9" fontId="17" fillId="0" borderId="33" xfId="0" applyNumberFormat="1" applyFont="1" applyBorder="1" applyAlignment="1">
      <alignment horizontal="center"/>
    </xf>
    <xf numFmtId="166" fontId="0" fillId="0" borderId="33" xfId="0" applyNumberForma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54" fillId="7" borderId="33" xfId="0" applyFont="1" applyFill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9" fillId="5" borderId="29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right" vertical="center"/>
    </xf>
    <xf numFmtId="0" fontId="35" fillId="5" borderId="11" xfId="0" applyFont="1" applyFill="1" applyBorder="1" applyAlignment="1">
      <alignment horizontal="right" vertical="center"/>
    </xf>
    <xf numFmtId="0" fontId="0" fillId="5" borderId="11" xfId="0" applyFill="1" applyBorder="1" applyAlignment="1">
      <alignment horizontal="center" vertical="center"/>
    </xf>
    <xf numFmtId="0" fontId="45" fillId="5" borderId="29" xfId="0" applyFont="1" applyFill="1" applyBorder="1" applyAlignment="1">
      <alignment horizontal="left" vertical="center" indent="1"/>
    </xf>
    <xf numFmtId="0" fontId="45" fillId="5" borderId="29" xfId="0" applyFont="1" applyFill="1" applyBorder="1" applyAlignment="1">
      <alignment horizontal="left" vertical="center"/>
    </xf>
    <xf numFmtId="0" fontId="16" fillId="5" borderId="21" xfId="0" applyFont="1" applyFill="1" applyBorder="1" applyAlignment="1">
      <alignment horizontal="left" vertical="center"/>
    </xf>
    <xf numFmtId="1" fontId="16" fillId="4" borderId="35" xfId="0" applyNumberFormat="1" applyFont="1" applyFill="1" applyBorder="1" applyAlignment="1">
      <alignment horizontal="center" vertical="center"/>
    </xf>
    <xf numFmtId="0" fontId="29" fillId="5" borderId="36" xfId="0" applyFont="1" applyFill="1" applyBorder="1" applyAlignment="1">
      <alignment horizontal="left" vertical="center"/>
    </xf>
    <xf numFmtId="0" fontId="29" fillId="5" borderId="29" xfId="0" applyFont="1" applyFill="1" applyBorder="1" applyAlignment="1">
      <alignment horizontal="left" vertical="center"/>
    </xf>
    <xf numFmtId="0" fontId="29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29" xfId="0" applyFill="1" applyBorder="1" applyAlignment="1">
      <alignment horizontal="center" vertical="center"/>
    </xf>
    <xf numFmtId="0" fontId="29" fillId="5" borderId="21" xfId="0" applyFont="1" applyFill="1" applyBorder="1" applyAlignment="1">
      <alignment horizontal="center" vertical="center"/>
    </xf>
    <xf numFmtId="0" fontId="29" fillId="5" borderId="21" xfId="0" applyFont="1" applyFill="1" applyBorder="1" applyAlignment="1">
      <alignment horizontal="left" vertical="center"/>
    </xf>
    <xf numFmtId="0" fontId="29" fillId="5" borderId="38" xfId="0" applyFont="1" applyFill="1" applyBorder="1" applyAlignment="1">
      <alignment horizontal="left" vertical="center"/>
    </xf>
    <xf numFmtId="0" fontId="29" fillId="5" borderId="41" xfId="0" applyFont="1" applyFill="1" applyBorder="1" applyAlignment="1">
      <alignment horizontal="left" vertical="center"/>
    </xf>
    <xf numFmtId="0" fontId="0" fillId="5" borderId="42" xfId="0" applyFill="1" applyBorder="1" applyAlignment="1">
      <alignment horizontal="left" vertical="center"/>
    </xf>
    <xf numFmtId="0" fontId="11" fillId="6" borderId="0" xfId="0" applyFont="1" applyFill="1" applyAlignment="1">
      <alignment horizontal="right" vertical="center"/>
    </xf>
    <xf numFmtId="0" fontId="49" fillId="6" borderId="0" xfId="0" applyFont="1" applyFill="1" applyAlignment="1">
      <alignment horizontal="left" vertical="center" indent="3"/>
    </xf>
    <xf numFmtId="9" fontId="13" fillId="4" borderId="4" xfId="2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0" fontId="14" fillId="5" borderId="0" xfId="0" applyFont="1" applyFill="1" applyAlignment="1">
      <alignment horizontal="right"/>
    </xf>
    <xf numFmtId="0" fontId="14" fillId="5" borderId="0" xfId="0" applyFont="1" applyFill="1" applyAlignment="1">
      <alignment horizontal="right" vertical="center"/>
    </xf>
    <xf numFmtId="0" fontId="15" fillId="5" borderId="21" xfId="0" applyFont="1" applyFill="1" applyBorder="1" applyAlignment="1">
      <alignment horizontal="left" vertical="center"/>
    </xf>
    <xf numFmtId="166" fontId="52" fillId="4" borderId="44" xfId="0" applyNumberFormat="1" applyFont="1" applyFill="1" applyBorder="1" applyAlignment="1">
      <alignment horizontal="center" vertical="center"/>
    </xf>
    <xf numFmtId="0" fontId="55" fillId="4" borderId="9" xfId="0" applyFont="1" applyFill="1" applyBorder="1" applyAlignment="1">
      <alignment horizontal="center" vertical="center"/>
    </xf>
    <xf numFmtId="0" fontId="57" fillId="4" borderId="9" xfId="0" applyFont="1" applyFill="1" applyBorder="1" applyAlignment="1">
      <alignment horizontal="center" vertical="center"/>
    </xf>
    <xf numFmtId="0" fontId="55" fillId="6" borderId="9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" fontId="52" fillId="4" borderId="37" xfId="0" applyNumberFormat="1" applyFont="1" applyFill="1" applyBorder="1" applyAlignment="1">
      <alignment horizontal="center" vertical="center"/>
    </xf>
    <xf numFmtId="10" fontId="58" fillId="5" borderId="0" xfId="0" applyNumberFormat="1" applyFont="1" applyFill="1" applyAlignment="1">
      <alignment horizontal="left" vertical="center" indent="1"/>
    </xf>
    <xf numFmtId="0" fontId="0" fillId="0" borderId="45" xfId="0" applyBorder="1"/>
    <xf numFmtId="10" fontId="0" fillId="5" borderId="0" xfId="0" applyNumberFormat="1" applyFill="1" applyAlignment="1">
      <alignment horizontal="left" vertical="center" indent="1"/>
    </xf>
    <xf numFmtId="0" fontId="0" fillId="5" borderId="0" xfId="0" applyFill="1" applyAlignment="1">
      <alignment horizontal="left" vertical="center" indent="1"/>
    </xf>
    <xf numFmtId="0" fontId="2" fillId="4" borderId="4" xfId="4" applyFont="1" applyFill="1" applyBorder="1" applyAlignment="1" applyProtection="1">
      <alignment horizontal="center" vertical="center"/>
      <protection locked="0"/>
    </xf>
    <xf numFmtId="0" fontId="29" fillId="5" borderId="46" xfId="0" applyFont="1" applyFill="1" applyBorder="1" applyAlignment="1">
      <alignment horizontal="center" vertical="center"/>
    </xf>
    <xf numFmtId="0" fontId="15" fillId="5" borderId="46" xfId="0" applyFont="1" applyFill="1" applyBorder="1" applyAlignment="1">
      <alignment horizontal="left" vertical="center"/>
    </xf>
    <xf numFmtId="0" fontId="29" fillId="5" borderId="47" xfId="0" applyFont="1" applyFill="1" applyBorder="1" applyAlignment="1">
      <alignment horizontal="left" vertical="center"/>
    </xf>
    <xf numFmtId="1" fontId="15" fillId="4" borderId="48" xfId="0" applyNumberFormat="1" applyFont="1" applyFill="1" applyBorder="1" applyAlignment="1">
      <alignment horizontal="center" vertical="center"/>
    </xf>
    <xf numFmtId="166" fontId="15" fillId="4" borderId="49" xfId="0" applyNumberFormat="1" applyFont="1" applyFill="1" applyBorder="1" applyAlignment="1">
      <alignment horizontal="center" vertical="center"/>
    </xf>
    <xf numFmtId="166" fontId="15" fillId="4" borderId="50" xfId="0" applyNumberFormat="1" applyFont="1" applyFill="1" applyBorder="1" applyAlignment="1">
      <alignment horizontal="center" vertical="center"/>
    </xf>
    <xf numFmtId="0" fontId="15" fillId="5" borderId="51" xfId="0" applyFont="1" applyFill="1" applyBorder="1" applyAlignment="1">
      <alignment vertical="center"/>
    </xf>
    <xf numFmtId="0" fontId="29" fillId="5" borderId="51" xfId="0" applyFont="1" applyFill="1" applyBorder="1" applyAlignment="1">
      <alignment horizontal="center" vertical="center"/>
    </xf>
    <xf numFmtId="0" fontId="29" fillId="5" borderId="51" xfId="0" applyFont="1" applyFill="1" applyBorder="1" applyAlignment="1">
      <alignment horizontal="left" vertical="center"/>
    </xf>
    <xf numFmtId="2" fontId="52" fillId="4" borderId="52" xfId="0" applyNumberFormat="1" applyFont="1" applyFill="1" applyBorder="1" applyAlignment="1">
      <alignment horizontal="center" vertical="center"/>
    </xf>
    <xf numFmtId="9" fontId="59" fillId="0" borderId="0" xfId="2" applyFont="1"/>
    <xf numFmtId="0" fontId="0" fillId="7" borderId="45" xfId="0" applyFill="1" applyBorder="1"/>
    <xf numFmtId="10" fontId="0" fillId="7" borderId="45" xfId="0" applyNumberFormat="1" applyFill="1" applyBorder="1"/>
    <xf numFmtId="1" fontId="16" fillId="4" borderId="43" xfId="0" applyNumberFormat="1" applyFont="1" applyFill="1" applyBorder="1" applyAlignment="1">
      <alignment horizontal="center" vertical="center"/>
    </xf>
    <xf numFmtId="0" fontId="29" fillId="5" borderId="46" xfId="0" applyFont="1" applyFill="1" applyBorder="1" applyAlignment="1" applyProtection="1">
      <alignment horizontal="center" vertical="center"/>
      <protection locked="0"/>
    </xf>
    <xf numFmtId="0" fontId="22" fillId="3" borderId="8" xfId="0" applyFont="1" applyFill="1" applyBorder="1" applyAlignment="1">
      <alignment horizontal="center" vertical="center"/>
    </xf>
    <xf numFmtId="0" fontId="50" fillId="3" borderId="8" xfId="7" applyFont="1" applyFill="1" applyBorder="1" applyAlignment="1">
      <alignment horizontal="center" vertical="center"/>
    </xf>
    <xf numFmtId="0" fontId="37" fillId="5" borderId="28" xfId="0" applyFont="1" applyFill="1" applyBorder="1" applyAlignment="1" applyProtection="1">
      <alignment horizontal="left"/>
      <protection locked="0"/>
    </xf>
    <xf numFmtId="0" fontId="0" fillId="5" borderId="0" xfId="0" applyFill="1" applyAlignment="1">
      <alignment horizontal="center" vertical="center"/>
    </xf>
    <xf numFmtId="0" fontId="29" fillId="5" borderId="36" xfId="0" applyFont="1" applyFill="1" applyBorder="1" applyAlignment="1" applyProtection="1">
      <alignment horizontal="center" vertical="center" wrapText="1"/>
      <protection locked="0"/>
    </xf>
    <xf numFmtId="0" fontId="29" fillId="5" borderId="0" xfId="0" applyFont="1" applyFill="1" applyAlignment="1" applyProtection="1">
      <alignment horizontal="center" vertical="center" wrapText="1"/>
      <protection locked="0"/>
    </xf>
    <xf numFmtId="0" fontId="29" fillId="5" borderId="29" xfId="0" applyFont="1" applyFill="1" applyBorder="1" applyAlignment="1" applyProtection="1">
      <alignment horizontal="center" vertical="center" wrapText="1"/>
      <protection locked="0"/>
    </xf>
    <xf numFmtId="0" fontId="29" fillId="5" borderId="36" xfId="0" applyFont="1" applyFill="1" applyBorder="1" applyAlignment="1" applyProtection="1">
      <alignment horizontal="center" vertical="center"/>
      <protection locked="0"/>
    </xf>
    <xf numFmtId="0" fontId="29" fillId="5" borderId="0" xfId="0" applyFont="1" applyFill="1" applyAlignment="1" applyProtection="1">
      <alignment horizontal="center" vertical="center"/>
      <protection locked="0"/>
    </xf>
    <xf numFmtId="0" fontId="29" fillId="5" borderId="29" xfId="0" applyFont="1" applyFill="1" applyBorder="1" applyAlignment="1" applyProtection="1">
      <alignment horizontal="center" vertical="center"/>
      <protection locked="0"/>
    </xf>
    <xf numFmtId="0" fontId="29" fillId="5" borderId="51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33" xfId="0" applyBorder="1" applyAlignment="1">
      <alignment horizontal="left"/>
    </xf>
    <xf numFmtId="0" fontId="0" fillId="0" borderId="33" xfId="0" applyBorder="1" applyAlignment="1">
      <alignment horizontal="center"/>
    </xf>
    <xf numFmtId="9" fontId="0" fillId="0" borderId="33" xfId="2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33" xfId="0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0" fillId="5" borderId="10" xfId="1" applyFont="1" applyFill="1" applyBorder="1" applyAlignment="1">
      <alignment horizontal="left"/>
    </xf>
    <xf numFmtId="0" fontId="44" fillId="0" borderId="0" xfId="0" applyFont="1" applyAlignment="1" applyProtection="1">
      <alignment horizontal="left"/>
      <protection locked="0"/>
    </xf>
    <xf numFmtId="0" fontId="47" fillId="0" borderId="0" xfId="0" applyFont="1" applyAlignment="1">
      <alignment horizontal="left"/>
    </xf>
    <xf numFmtId="0" fontId="44" fillId="0" borderId="0" xfId="0" applyFont="1" applyAlignment="1">
      <alignment horizontal="left" vertical="top" wrapText="1"/>
    </xf>
    <xf numFmtId="0" fontId="1" fillId="0" borderId="0" xfId="1" applyBorder="1"/>
    <xf numFmtId="9" fontId="2" fillId="0" borderId="0" xfId="0" applyNumberFormat="1" applyFont="1" applyBorder="1"/>
    <xf numFmtId="0" fontId="2" fillId="0" borderId="0" xfId="0" applyFont="1" applyBorder="1"/>
  </cellXfs>
  <cellStyles count="9">
    <cellStyle name="Comma" xfId="8" builtinId="3"/>
    <cellStyle name="Heading 1" xfId="1" builtinId="16"/>
    <cellStyle name="Heading 4" xfId="6" builtinId="19"/>
    <cellStyle name="Hyperlink" xfId="7" builtinId="8"/>
    <cellStyle name="Linked Cell" xfId="4" builtinId="24"/>
    <cellStyle name="Normal" xfId="0" builtinId="0"/>
    <cellStyle name="Note" xfId="3" builtinId="10"/>
    <cellStyle name="Percent" xfId="2" builtinId="5"/>
    <cellStyle name="Title" xfId="5" builtinId="15"/>
  </cellStyles>
  <dxfs count="24">
    <dxf>
      <font>
        <color rgb="FFC0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6600"/>
      </font>
    </dxf>
    <dxf>
      <font>
        <color rgb="FFC00000"/>
      </font>
    </dxf>
    <dxf>
      <font>
        <strike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C00000"/>
      </font>
    </dxf>
    <dxf>
      <font>
        <color rgb="FFFF6600"/>
      </font>
    </dxf>
    <dxf>
      <font>
        <color rgb="FFC00000"/>
      </font>
    </dxf>
    <dxf>
      <font>
        <color rgb="FFC00000"/>
      </font>
    </dxf>
    <dxf>
      <font>
        <color rgb="FFFF66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</dxf>
  </dxfs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'BAW-FD equations'!$G$57:$G$58</c:f>
              <c:numCache>
                <c:formatCode>General</c:formatCode>
                <c:ptCount val="2"/>
                <c:pt idx="0">
                  <c:v>0.9</c:v>
                </c:pt>
                <c:pt idx="1">
                  <c:v>0.7</c:v>
                </c:pt>
              </c:numCache>
            </c:numRef>
          </c:xVal>
          <c:yVal>
            <c:numRef>
              <c:f>'BAW-FD equations'!$H$57:$H$58</c:f>
              <c:numCache>
                <c:formatCode>0.00%</c:formatCode>
                <c:ptCount val="2"/>
                <c:pt idx="0" formatCode="0%">
                  <c:v>0.4</c:v>
                </c:pt>
                <c:pt idx="1">
                  <c:v>0.26550000000000001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1B-49EA-86AE-19E8DE9AA5B1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'BAW-FD equations'!$A$56:$A$59</c:f>
              <c:numCache>
                <c:formatCode>0%</c:formatCode>
                <c:ptCount val="4"/>
                <c:pt idx="0">
                  <c:v>0.95</c:v>
                </c:pt>
                <c:pt idx="1">
                  <c:v>0.9</c:v>
                </c:pt>
                <c:pt idx="2">
                  <c:v>0.8</c:v>
                </c:pt>
                <c:pt idx="3">
                  <c:v>0.7</c:v>
                </c:pt>
              </c:numCache>
            </c:numRef>
          </c:xVal>
          <c:yVal>
            <c:numRef>
              <c:f>'BAW-FD equations'!$B$56:$B$59</c:f>
              <c:numCache>
                <c:formatCode>General</c:formatCode>
                <c:ptCount val="4"/>
                <c:pt idx="0">
                  <c:v>0.43357499999999993</c:v>
                </c:pt>
                <c:pt idx="1">
                  <c:v>0.4</c:v>
                </c:pt>
                <c:pt idx="2">
                  <c:v>0.3327</c:v>
                </c:pt>
                <c:pt idx="3">
                  <c:v>0.26550000000000001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651-4D0D-A310-43560BADD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213632"/>
        <c:axId val="546218432"/>
      </c:scatterChart>
      <c:valAx>
        <c:axId val="546213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218432"/>
        <c:crosses val="autoZero"/>
        <c:crossBetween val="midCat"/>
      </c:valAx>
      <c:valAx>
        <c:axId val="54621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213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checked="Checked" firstButton="1" fmlaLink="'BAW-FD equations'!$B$19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checked="Checked" firstButton="1" fmlaLink="'BAW-FD equations'!$B$3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544140</xdr:colOff>
      <xdr:row>1</xdr:row>
      <xdr:rowOff>97901</xdr:rowOff>
    </xdr:from>
    <xdr:to>
      <xdr:col>19</xdr:col>
      <xdr:colOff>477432</xdr:colOff>
      <xdr:row>2</xdr:row>
      <xdr:rowOff>286756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9640" y="307451"/>
          <a:ext cx="2377886" cy="43474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577531</xdr:colOff>
          <xdr:row>7</xdr:row>
          <xdr:rowOff>198546</xdr:rowOff>
        </xdr:from>
        <xdr:to>
          <xdr:col>7</xdr:col>
          <xdr:colOff>443947</xdr:colOff>
          <xdr:row>9</xdr:row>
          <xdr:rowOff>106018</xdr:rowOff>
        </xdr:to>
        <xdr:grpSp>
          <xdr:nvGrpSpPr>
            <xdr:cNvPr id="7" name="Units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3720781" y="1817796"/>
              <a:ext cx="1914291" cy="364672"/>
              <a:chOff x="4611658" y="1424633"/>
              <a:chExt cx="2233367" cy="514508"/>
            </a:xfrm>
          </xdr:grpSpPr>
          <xdr:sp macro="" textlink="">
            <xdr:nvSpPr>
              <xdr:cNvPr id="1077" name="Group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4611658" y="1424633"/>
                <a:ext cx="2233367" cy="51450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53</a:t>
                </a:r>
              </a:p>
            </xdr:txBody>
          </xdr:sp>
          <xdr:sp macro="" textlink="">
            <xdr:nvSpPr>
              <xdr:cNvPr id="1078" name="Option Button 54" hidden="1">
                <a:extLst>
                  <a:ext uri="{63B3BB69-23CF-44E3-9099-C40C66FF867C}">
                    <a14:compatExt spid="_x0000_s1078"/>
                  </a:ext>
                  <a:ext uri="{FF2B5EF4-FFF2-40B4-BE49-F238E27FC236}">
                    <a16:creationId xmlns:a16="http://schemas.microsoft.com/office/drawing/2014/main" id="{00000000-0008-0000-0000-000036040000}"/>
                  </a:ext>
                </a:extLst>
              </xdr:cNvPr>
              <xdr:cNvSpPr/>
            </xdr:nvSpPr>
            <xdr:spPr bwMode="auto">
              <a:xfrm>
                <a:off x="5007537" y="1539857"/>
                <a:ext cx="392046" cy="21753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80" name="Option Button 56" hidden="1">
                <a:extLst>
                  <a:ext uri="{63B3BB69-23CF-44E3-9099-C40C66FF867C}">
                    <a14:compatExt spid="_x0000_s1080"/>
                  </a:ext>
                  <a:ext uri="{FF2B5EF4-FFF2-40B4-BE49-F238E27FC236}">
                    <a16:creationId xmlns:a16="http://schemas.microsoft.com/office/drawing/2014/main" id="{00000000-0008-0000-0000-000038040000}"/>
                  </a:ext>
                </a:extLst>
              </xdr:cNvPr>
              <xdr:cNvSpPr/>
            </xdr:nvSpPr>
            <xdr:spPr bwMode="auto">
              <a:xfrm>
                <a:off x="5608366" y="1542992"/>
                <a:ext cx="306487" cy="2152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430617</xdr:colOff>
          <xdr:row>10</xdr:row>
          <xdr:rowOff>161925</xdr:rowOff>
        </xdr:from>
        <xdr:to>
          <xdr:col>16</xdr:col>
          <xdr:colOff>192492</xdr:colOff>
          <xdr:row>13</xdr:row>
          <xdr:rowOff>91966</xdr:rowOff>
        </xdr:to>
        <xdr:grpSp>
          <xdr:nvGrpSpPr>
            <xdr:cNvPr id="3" name="diffuser location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8174442" y="2466975"/>
              <a:ext cx="3248025" cy="615841"/>
              <a:chOff x="8088732" y="2480597"/>
              <a:chExt cx="3196322" cy="615839"/>
            </a:xfrm>
          </xdr:grpSpPr>
          <xdr:sp macro="" textlink="">
            <xdr:nvSpPr>
              <xdr:cNvPr id="1036" name="Option Button 12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000-00000C040000}"/>
                  </a:ext>
                </a:extLst>
              </xdr:cNvPr>
              <xdr:cNvSpPr/>
            </xdr:nvSpPr>
            <xdr:spPr bwMode="auto">
              <a:xfrm>
                <a:off x="8339789" y="2571334"/>
                <a:ext cx="667954" cy="18708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7" name="Option Butto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8349068" y="2803986"/>
                <a:ext cx="687568" cy="1778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7" name="Group Box diffuser loc" hidden="1">
                <a:extLst>
                  <a:ext uri="{63B3BB69-23CF-44E3-9099-C40C66FF867C}">
                    <a14:compatExt spid="_x0000_s1337"/>
                  </a:ext>
                  <a:ext uri="{FF2B5EF4-FFF2-40B4-BE49-F238E27FC236}">
                    <a16:creationId xmlns:a16="http://schemas.microsoft.com/office/drawing/2014/main" id="{00000000-0008-0000-0000-000039050000}"/>
                  </a:ext>
                </a:extLst>
              </xdr:cNvPr>
              <xdr:cNvSpPr/>
            </xdr:nvSpPr>
            <xdr:spPr bwMode="auto">
              <a:xfrm>
                <a:off x="8088732" y="2480597"/>
                <a:ext cx="3196322" cy="61583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313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15</xdr:col>
      <xdr:colOff>344142</xdr:colOff>
      <xdr:row>11</xdr:row>
      <xdr:rowOff>227081</xdr:rowOff>
    </xdr:from>
    <xdr:to>
      <xdr:col>19</xdr:col>
      <xdr:colOff>295043</xdr:colOff>
      <xdr:row>19</xdr:row>
      <xdr:rowOff>107460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3221" t="6170" r="10899" b="4913"/>
        <a:stretch/>
      </xdr:blipFill>
      <xdr:spPr>
        <a:xfrm>
          <a:off x="10802592" y="2760731"/>
          <a:ext cx="3037001" cy="170917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257175</xdr:colOff>
          <xdr:row>27</xdr:row>
          <xdr:rowOff>123825</xdr:rowOff>
        </xdr:from>
        <xdr:to>
          <xdr:col>19</xdr:col>
          <xdr:colOff>704850</xdr:colOff>
          <xdr:row>38</xdr:row>
          <xdr:rowOff>19050</xdr:rowOff>
        </xdr:to>
        <xdr:sp macro="" textlink="">
          <xdr:nvSpPr>
            <xdr:cNvPr id="1375" name="Object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806822</xdr:colOff>
      <xdr:row>63</xdr:row>
      <xdr:rowOff>4981</xdr:rowOff>
    </xdr:from>
    <xdr:to>
      <xdr:col>10</xdr:col>
      <xdr:colOff>612589</xdr:colOff>
      <xdr:row>65</xdr:row>
      <xdr:rowOff>179294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871881" y="10832354"/>
          <a:ext cx="5094943" cy="5428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AU" sz="1400"/>
            <a:t>Coverage</a:t>
          </a:r>
          <a:r>
            <a:rPr lang="en-AU" sz="1400" baseline="0"/>
            <a:t> Aspect = M*(FACE/SPIGOT) + b</a:t>
          </a:r>
        </a:p>
      </xdr:txBody>
    </xdr:sp>
    <xdr:clientData/>
  </xdr:twoCellAnchor>
  <xdr:twoCellAnchor>
    <xdr:from>
      <xdr:col>5</xdr:col>
      <xdr:colOff>4979</xdr:colOff>
      <xdr:row>83</xdr:row>
      <xdr:rowOff>29882</xdr:rowOff>
    </xdr:from>
    <xdr:to>
      <xdr:col>10</xdr:col>
      <xdr:colOff>632510</xdr:colOff>
      <xdr:row>85</xdr:row>
      <xdr:rowOff>144434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876861" y="14791764"/>
          <a:ext cx="5109884" cy="4831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AU" sz="1400"/>
            <a:t>Coverage</a:t>
          </a:r>
          <a:r>
            <a:rPr lang="en-AU" sz="1400" baseline="0"/>
            <a:t> Aspect = M*(FACE/SPIGOT) + b</a:t>
          </a:r>
        </a:p>
      </xdr:txBody>
    </xdr:sp>
    <xdr:clientData/>
  </xdr:twoCellAnchor>
  <xdr:twoCellAnchor>
    <xdr:from>
      <xdr:col>11</xdr:col>
      <xdr:colOff>357187</xdr:colOff>
      <xdr:row>49</xdr:row>
      <xdr:rowOff>128586</xdr:rowOff>
    </xdr:from>
    <xdr:to>
      <xdr:col>19</xdr:col>
      <xdr:colOff>561975</xdr:colOff>
      <xdr:row>76</xdr:row>
      <xdr:rowOff>38099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599102</xdr:colOff>
      <xdr:row>15</xdr:row>
      <xdr:rowOff>187964</xdr:rowOff>
    </xdr:from>
    <xdr:to>
      <xdr:col>15</xdr:col>
      <xdr:colOff>130629</xdr:colOff>
      <xdr:row>37</xdr:row>
      <xdr:rowOff>84363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5552" y="3680464"/>
          <a:ext cx="3461269" cy="5125171"/>
        </a:xfrm>
        <a:prstGeom prst="rect">
          <a:avLst/>
        </a:prstGeom>
      </xdr:spPr>
    </xdr:pic>
    <xdr:clientData/>
  </xdr:twoCellAnchor>
  <xdr:twoCellAnchor editAs="oneCell">
    <xdr:from>
      <xdr:col>2</xdr:col>
      <xdr:colOff>292554</xdr:colOff>
      <xdr:row>15</xdr:row>
      <xdr:rowOff>170543</xdr:rowOff>
    </xdr:from>
    <xdr:to>
      <xdr:col>9</xdr:col>
      <xdr:colOff>207735</xdr:colOff>
      <xdr:row>37</xdr:row>
      <xdr:rowOff>59870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" r="131"/>
        <a:stretch/>
      </xdr:blipFill>
      <xdr:spPr>
        <a:xfrm>
          <a:off x="1600654" y="3663043"/>
          <a:ext cx="4488996" cy="51217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34</xdr:row>
          <xdr:rowOff>57150</xdr:rowOff>
        </xdr:from>
        <xdr:to>
          <xdr:col>5</xdr:col>
          <xdr:colOff>390525</xdr:colOff>
          <xdr:row>42</xdr:row>
          <xdr:rowOff>19050</xdr:rowOff>
        </xdr:to>
        <xdr:sp macro="" textlink="">
          <xdr:nvSpPr>
            <xdr:cNvPr id="4560" name="Object 464" hidden="1">
              <a:extLst>
                <a:ext uri="{63B3BB69-23CF-44E3-9099-C40C66FF867C}">
                  <a14:compatExt spid="_x0000_s4560"/>
                </a:ext>
                <a:ext uri="{FF2B5EF4-FFF2-40B4-BE49-F238E27FC236}">
                  <a16:creationId xmlns:a16="http://schemas.microsoft.com/office/drawing/2014/main" id="{00000000-0008-0000-0400-0000D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12929</xdr:colOff>
      <xdr:row>0</xdr:row>
      <xdr:rowOff>18532</xdr:rowOff>
    </xdr:from>
    <xdr:to>
      <xdr:col>0</xdr:col>
      <xdr:colOff>1666677</xdr:colOff>
      <xdr:row>1</xdr:row>
      <xdr:rowOff>19136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9" y="18532"/>
          <a:ext cx="1652840" cy="318546"/>
        </a:xfrm>
        <a:prstGeom prst="rect">
          <a:avLst/>
        </a:prstGeom>
      </xdr:spPr>
    </xdr:pic>
    <xdr:clientData/>
  </xdr:twoCellAnchor>
  <xdr:twoCellAnchor>
    <xdr:from>
      <xdr:col>3</xdr:col>
      <xdr:colOff>1698286</xdr:colOff>
      <xdr:row>31</xdr:row>
      <xdr:rowOff>68177</xdr:rowOff>
    </xdr:from>
    <xdr:to>
      <xdr:col>5</xdr:col>
      <xdr:colOff>338712</xdr:colOff>
      <xdr:row>32</xdr:row>
      <xdr:rowOff>54238</xdr:rowOff>
    </xdr:to>
    <xdr:sp macro="" textlink="data!B165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4738959" y="5446139"/>
          <a:ext cx="1146234" cy="154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634D166-96A6-4D47-8EB7-47CC175A07EB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C Max = 4.1 m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1626964</xdr:colOff>
      <xdr:row>33</xdr:row>
      <xdr:rowOff>27115</xdr:rowOff>
    </xdr:from>
    <xdr:to>
      <xdr:col>5</xdr:col>
      <xdr:colOff>389655</xdr:colOff>
      <xdr:row>33</xdr:row>
      <xdr:rowOff>161218</xdr:rowOff>
    </xdr:to>
    <xdr:sp macro="" textlink="data!B167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4667637" y="5742115"/>
          <a:ext cx="1268499" cy="134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94E2BDA-884C-42FE-87E4-C17DB21E57ED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#REF!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1698286</xdr:colOff>
      <xdr:row>32</xdr:row>
      <xdr:rowOff>53908</xdr:rowOff>
    </xdr:from>
    <xdr:to>
      <xdr:col>5</xdr:col>
      <xdr:colOff>343806</xdr:colOff>
      <xdr:row>33</xdr:row>
      <xdr:rowOff>21963</xdr:rowOff>
    </xdr:to>
    <xdr:sp macro="" textlink="data!B166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4738959" y="5600389"/>
          <a:ext cx="1151328" cy="136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BFA3744-B69E-4B17-BD7E-8807699B7E30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C Min = 2.5 m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793087</xdr:colOff>
      <xdr:row>38</xdr:row>
      <xdr:rowOff>53618</xdr:rowOff>
    </xdr:from>
    <xdr:to>
      <xdr:col>3</xdr:col>
      <xdr:colOff>501110</xdr:colOff>
      <xdr:row>39</xdr:row>
      <xdr:rowOff>109690</xdr:rowOff>
    </xdr:to>
    <xdr:sp macro="" textlink="data!B171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793087" y="6611214"/>
          <a:ext cx="2748696" cy="224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C5910FEC-24D3-450C-BE68-D08905897E78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r"/>
            <a:t>Min Recommended Diffuser Height = 7.4 m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1045881</xdr:colOff>
      <xdr:row>38</xdr:row>
      <xdr:rowOff>125951</xdr:rowOff>
    </xdr:from>
    <xdr:to>
      <xdr:col>4</xdr:col>
      <xdr:colOff>513201</xdr:colOff>
      <xdr:row>42</xdr:row>
      <xdr:rowOff>30879</xdr:rowOff>
    </xdr:to>
    <xdr:sp macro="" textlink="data!B168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4086554" y="6683547"/>
          <a:ext cx="1438262" cy="579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D07E4B6-66E8-4534-9E53-61BFB7711339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ctr"/>
            <a:t>#REF!</a:t>
          </a:fld>
          <a:endParaRPr lang="en-A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1296755</xdr:colOff>
      <xdr:row>36</xdr:row>
      <xdr:rowOff>160630</xdr:rowOff>
    </xdr:from>
    <xdr:to>
      <xdr:col>3</xdr:col>
      <xdr:colOff>503961</xdr:colOff>
      <xdr:row>38</xdr:row>
      <xdr:rowOff>70542</xdr:rowOff>
    </xdr:to>
    <xdr:sp macro="" textlink="data!B170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296755" y="6381188"/>
          <a:ext cx="2247879" cy="246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2D5AF254-0F1B-4629-97EF-6E8034350C7E}" type="TxLink">
            <a:rPr lang="en-US" sz="10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pPr algn="r"/>
            <a:t>Selected Diffuser Height = 2.5 m</a:t>
          </a:fld>
          <a:endParaRPr lang="en-AU" sz="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martair.asia/product/126" TargetMode="External"/><Relationship Id="rId6" Type="http://schemas.openxmlformats.org/officeDocument/2006/relationships/image" Target="../media/image1.emf"/><Relationship Id="rId11" Type="http://schemas.openxmlformats.org/officeDocument/2006/relationships/ctrlProp" Target="../ctrlProps/ctrlProp5.xml"/><Relationship Id="rId5" Type="http://schemas.openxmlformats.org/officeDocument/2006/relationships/package" Target="../embeddings/Microsoft_Visio_Drawing.vsdx"/><Relationship Id="rId10" Type="http://schemas.openxmlformats.org/officeDocument/2006/relationships/ctrlProp" Target="../ctrlProps/ctrlProp4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Visio_Drawing1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X53"/>
  <sheetViews>
    <sheetView tabSelected="1" zoomScaleNormal="100" workbookViewId="0">
      <selection activeCell="E9" sqref="E9"/>
    </sheetView>
  </sheetViews>
  <sheetFormatPr defaultRowHeight="15" x14ac:dyDescent="0.25"/>
  <cols>
    <col min="1" max="1" width="6" customWidth="1"/>
    <col min="2" max="2" width="2.28515625" customWidth="1"/>
    <col min="3" max="3" width="14.85546875" bestFit="1" customWidth="1"/>
    <col min="4" max="4" width="24" customWidth="1"/>
    <col min="5" max="5" width="10.85546875" customWidth="1"/>
    <col min="6" max="6" width="10.28515625" customWidth="1"/>
    <col min="7" max="14" width="9.5703125" customWidth="1"/>
    <col min="15" max="15" width="12" customWidth="1"/>
    <col min="16" max="19" width="11.5703125" customWidth="1"/>
    <col min="20" max="20" width="13.85546875" customWidth="1"/>
  </cols>
  <sheetData>
    <row r="1" spans="1:23" ht="16.5" customHeight="1" x14ac:dyDescent="0.25"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7"/>
      <c r="Q1" s="27"/>
      <c r="R1" s="27"/>
      <c r="S1" s="27"/>
      <c r="T1" s="27"/>
    </row>
    <row r="2" spans="1:23" ht="21" x14ac:dyDescent="0.35">
      <c r="B2" s="29"/>
      <c r="C2" s="28"/>
      <c r="D2" s="30" t="s">
        <v>54</v>
      </c>
      <c r="E2" s="28"/>
      <c r="F2" s="28"/>
      <c r="G2" s="28"/>
      <c r="H2" s="28"/>
      <c r="I2" s="28"/>
      <c r="J2" s="28"/>
      <c r="K2" s="31"/>
      <c r="L2" s="31"/>
      <c r="M2" s="31"/>
      <c r="N2" s="31"/>
      <c r="O2" s="28"/>
      <c r="P2" s="31"/>
      <c r="Q2" s="31"/>
      <c r="R2" s="31"/>
      <c r="S2" s="31"/>
      <c r="T2" s="31"/>
    </row>
    <row r="3" spans="1:23" ht="25.5" customHeight="1" x14ac:dyDescent="0.35">
      <c r="B3" s="29"/>
      <c r="C3" s="28"/>
      <c r="D3" s="32" t="s">
        <v>351</v>
      </c>
      <c r="E3" s="28"/>
      <c r="F3" s="28"/>
      <c r="G3" s="28"/>
      <c r="H3" s="31"/>
      <c r="I3" s="28"/>
      <c r="J3" s="28"/>
      <c r="K3" s="31"/>
      <c r="L3" s="31"/>
      <c r="M3" s="31"/>
      <c r="N3" s="31"/>
      <c r="O3" s="28"/>
      <c r="P3" s="31"/>
      <c r="Q3" s="31"/>
      <c r="R3" s="31"/>
      <c r="S3" s="31"/>
      <c r="T3" s="31"/>
    </row>
    <row r="4" spans="1:23" ht="13.5" customHeight="1" x14ac:dyDescent="0.3">
      <c r="B4" s="29"/>
      <c r="C4" s="28"/>
      <c r="D4" s="28"/>
      <c r="E4" s="33"/>
      <c r="F4" s="33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3" ht="25.5" customHeight="1" x14ac:dyDescent="0.3">
      <c r="A5" s="39"/>
      <c r="B5" s="16"/>
      <c r="C5" s="87" t="s">
        <v>117</v>
      </c>
      <c r="D5" s="262" t="s">
        <v>104</v>
      </c>
      <c r="E5" s="262"/>
      <c r="F5" s="262"/>
      <c r="G5" s="262"/>
      <c r="H5" s="262"/>
      <c r="I5" s="262"/>
      <c r="J5" s="16"/>
      <c r="K5" s="79"/>
      <c r="L5" s="79"/>
      <c r="M5" s="79"/>
      <c r="N5" s="79"/>
      <c r="O5" s="79"/>
      <c r="P5" s="79"/>
      <c r="Q5" s="79"/>
      <c r="R5" s="79"/>
      <c r="S5" s="79"/>
      <c r="T5" s="79"/>
      <c r="U5" s="37"/>
    </row>
    <row r="6" spans="1:23" ht="7.5" customHeight="1" x14ac:dyDescent="0.25">
      <c r="A6" s="39"/>
      <c r="B6" s="16"/>
      <c r="C6" s="16"/>
      <c r="D6" s="16"/>
      <c r="E6" s="16"/>
      <c r="F6" s="16"/>
      <c r="G6" s="16"/>
      <c r="H6" s="16"/>
      <c r="I6" s="16"/>
      <c r="J6" s="16"/>
      <c r="K6" s="79"/>
      <c r="L6" s="79"/>
      <c r="M6" s="79"/>
      <c r="N6" s="79"/>
      <c r="O6" s="79"/>
      <c r="P6" s="79"/>
      <c r="Q6" s="79"/>
      <c r="R6" s="79"/>
      <c r="S6" s="79"/>
      <c r="T6" s="79"/>
      <c r="U6" s="37"/>
    </row>
    <row r="7" spans="1:23" ht="18" customHeight="1" thickBot="1" x14ac:dyDescent="0.35">
      <c r="A7" s="39"/>
      <c r="B7" s="16"/>
      <c r="C7" s="16"/>
      <c r="D7" s="119" t="s">
        <v>0</v>
      </c>
      <c r="E7" s="119"/>
      <c r="F7" s="119"/>
      <c r="G7" s="119"/>
      <c r="H7" s="36"/>
      <c r="I7" s="16"/>
      <c r="J7" s="16"/>
      <c r="K7" s="79"/>
      <c r="L7" s="80" t="s">
        <v>278</v>
      </c>
      <c r="M7" s="81"/>
      <c r="N7" s="82"/>
      <c r="O7" s="82"/>
      <c r="P7" s="79"/>
      <c r="Q7" s="79"/>
      <c r="R7" s="79"/>
      <c r="S7" s="271" t="s">
        <v>447</v>
      </c>
      <c r="T7" s="272"/>
      <c r="U7" s="37"/>
    </row>
    <row r="8" spans="1:23" ht="18" customHeight="1" thickTop="1" x14ac:dyDescent="0.3">
      <c r="A8" s="39"/>
      <c r="B8" s="16"/>
      <c r="C8" s="16"/>
      <c r="D8" s="136"/>
      <c r="E8" s="136"/>
      <c r="F8" s="136"/>
      <c r="G8" s="136"/>
      <c r="H8" s="16"/>
      <c r="I8" s="16"/>
      <c r="J8" s="16"/>
      <c r="K8" s="79"/>
      <c r="L8" s="134"/>
      <c r="M8" s="135"/>
      <c r="N8" s="79"/>
      <c r="O8" s="79"/>
      <c r="P8" s="79"/>
      <c r="Q8" s="79"/>
      <c r="R8" s="79"/>
      <c r="S8" s="79"/>
      <c r="T8" s="79"/>
      <c r="U8" s="37"/>
    </row>
    <row r="9" spans="1:23" ht="18" customHeight="1" thickBot="1" x14ac:dyDescent="0.3">
      <c r="A9" s="39"/>
      <c r="B9" s="16"/>
      <c r="C9" s="16"/>
      <c r="D9" s="142" t="s">
        <v>287</v>
      </c>
      <c r="E9" s="22">
        <v>100</v>
      </c>
      <c r="F9" s="231" t="s">
        <v>290</v>
      </c>
      <c r="G9" s="232" t="s">
        <v>291</v>
      </c>
      <c r="H9" s="229"/>
      <c r="I9" s="140"/>
      <c r="J9" s="16"/>
      <c r="K9" s="79"/>
      <c r="L9" s="226" t="s">
        <v>52</v>
      </c>
      <c r="M9" s="228">
        <v>0.8</v>
      </c>
      <c r="N9" s="230" t="s">
        <v>400</v>
      </c>
      <c r="O9" s="83"/>
      <c r="P9" s="83"/>
      <c r="Q9" s="79"/>
      <c r="R9" s="79"/>
      <c r="S9" s="79"/>
      <c r="T9" s="79"/>
      <c r="U9" s="37"/>
    </row>
    <row r="10" spans="1:23" ht="18" customHeight="1" thickTop="1" x14ac:dyDescent="0.25">
      <c r="A10" s="39"/>
      <c r="B10" s="16"/>
      <c r="C10" s="16"/>
      <c r="D10" s="137"/>
      <c r="E10" s="137"/>
      <c r="F10" s="137"/>
      <c r="G10" s="137"/>
      <c r="H10" s="16"/>
      <c r="I10" s="16"/>
      <c r="J10" s="16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37"/>
    </row>
    <row r="11" spans="1:23" ht="18" customHeight="1" thickBot="1" x14ac:dyDescent="0.3">
      <c r="A11" s="39"/>
      <c r="B11" s="16"/>
      <c r="C11" s="16"/>
      <c r="D11" s="142" t="s">
        <v>53</v>
      </c>
      <c r="E11" s="22">
        <v>100</v>
      </c>
      <c r="F11" s="24" t="s">
        <v>434</v>
      </c>
      <c r="G11" s="65"/>
      <c r="H11" s="65"/>
      <c r="I11" s="16"/>
      <c r="J11" s="16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5" t="s">
        <v>8</v>
      </c>
      <c r="V11" s="76">
        <v>5</v>
      </c>
      <c r="W11" s="77" t="s">
        <v>84</v>
      </c>
    </row>
    <row r="12" spans="1:23" ht="18" customHeight="1" thickTop="1" x14ac:dyDescent="0.25">
      <c r="A12" s="39"/>
      <c r="B12" s="16"/>
      <c r="C12" s="16"/>
      <c r="D12" s="142"/>
      <c r="E12" s="142" t="s">
        <v>418</v>
      </c>
      <c r="F12" s="24"/>
      <c r="G12" s="65"/>
      <c r="H12" s="65"/>
      <c r="I12" s="16"/>
      <c r="J12" s="16"/>
      <c r="K12" s="79"/>
      <c r="L12" s="226" t="s">
        <v>46</v>
      </c>
      <c r="M12" s="227" t="s">
        <v>419</v>
      </c>
      <c r="N12" s="112"/>
      <c r="O12" s="79"/>
      <c r="P12" s="79"/>
      <c r="Q12" s="79"/>
      <c r="R12" s="79"/>
      <c r="S12" s="79"/>
      <c r="T12" s="79"/>
      <c r="U12" s="75"/>
      <c r="V12" s="76"/>
      <c r="W12" s="77"/>
    </row>
    <row r="13" spans="1:23" ht="18" customHeight="1" thickBot="1" x14ac:dyDescent="0.3">
      <c r="A13" s="39"/>
      <c r="B13" s="16"/>
      <c r="C13" s="16"/>
      <c r="D13" s="142" t="s">
        <v>232</v>
      </c>
      <c r="E13" s="22">
        <v>15</v>
      </c>
      <c r="F13" s="24" t="s">
        <v>352</v>
      </c>
      <c r="G13" s="25"/>
      <c r="H13" s="25"/>
      <c r="I13" s="16"/>
      <c r="J13" s="16"/>
      <c r="K13" s="79"/>
      <c r="L13" s="79"/>
      <c r="M13" s="227" t="s">
        <v>281</v>
      </c>
      <c r="N13" s="112"/>
      <c r="O13" s="129"/>
      <c r="P13" s="129"/>
      <c r="Q13" s="79"/>
      <c r="R13" s="79"/>
      <c r="S13" s="79"/>
      <c r="T13" s="79"/>
      <c r="U13" s="37"/>
    </row>
    <row r="14" spans="1:23" ht="18" customHeight="1" thickTop="1" x14ac:dyDescent="0.25">
      <c r="A14" s="39"/>
      <c r="B14" s="16"/>
      <c r="C14" s="16"/>
      <c r="D14" s="142"/>
      <c r="E14" s="18"/>
      <c r="F14" s="24"/>
      <c r="G14" s="16"/>
      <c r="H14" s="16"/>
      <c r="I14" s="16"/>
      <c r="J14" s="16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37"/>
    </row>
    <row r="15" spans="1:23" ht="18" customHeight="1" thickBot="1" x14ac:dyDescent="0.3">
      <c r="A15" s="39"/>
      <c r="B15" s="16"/>
      <c r="C15" s="16"/>
      <c r="D15" s="143" t="s">
        <v>3</v>
      </c>
      <c r="E15" s="22">
        <v>-12</v>
      </c>
      <c r="F15" s="24" t="s">
        <v>353</v>
      </c>
      <c r="G15" s="25"/>
      <c r="H15" s="25"/>
      <c r="I15" s="16"/>
      <c r="J15" s="16"/>
      <c r="K15" s="79"/>
      <c r="L15" s="79"/>
      <c r="M15" s="79"/>
      <c r="N15" s="118"/>
      <c r="O15" s="117"/>
      <c r="P15" s="117"/>
      <c r="Q15" s="79"/>
      <c r="R15" s="79"/>
      <c r="S15" s="79"/>
      <c r="T15" s="79"/>
      <c r="U15" s="37"/>
    </row>
    <row r="16" spans="1:23" ht="18" customHeight="1" thickTop="1" x14ac:dyDescent="0.25">
      <c r="A16" s="39"/>
      <c r="B16" s="16"/>
      <c r="C16" s="16"/>
      <c r="D16" s="142"/>
      <c r="E16" s="18"/>
      <c r="F16" s="24"/>
      <c r="G16" s="16"/>
      <c r="H16" s="16"/>
      <c r="I16" s="16"/>
      <c r="J16" s="16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37"/>
    </row>
    <row r="17" spans="1:24" ht="18" customHeight="1" thickBot="1" x14ac:dyDescent="0.3">
      <c r="A17" s="39"/>
      <c r="B17" s="16"/>
      <c r="C17" s="16"/>
      <c r="D17" s="142" t="s">
        <v>285</v>
      </c>
      <c r="E17" s="244">
        <v>150</v>
      </c>
      <c r="F17" s="24" t="s">
        <v>425</v>
      </c>
      <c r="G17" s="16"/>
      <c r="H17" s="25"/>
      <c r="I17" s="16"/>
      <c r="J17" s="16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37"/>
    </row>
    <row r="18" spans="1:24" ht="18" customHeight="1" thickTop="1" x14ac:dyDescent="0.25">
      <c r="A18" s="39"/>
      <c r="B18" s="16"/>
      <c r="C18" s="16"/>
      <c r="D18" s="142"/>
      <c r="E18" s="18"/>
      <c r="F18" s="24"/>
      <c r="G18" s="16"/>
      <c r="H18" s="16"/>
      <c r="I18" s="16"/>
      <c r="J18" s="16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37"/>
    </row>
    <row r="19" spans="1:24" ht="18" customHeight="1" thickBot="1" x14ac:dyDescent="0.3">
      <c r="A19" s="39"/>
      <c r="B19" s="16"/>
      <c r="C19" s="16"/>
      <c r="D19" s="142" t="s">
        <v>296</v>
      </c>
      <c r="E19" s="22">
        <v>2.5</v>
      </c>
      <c r="F19" s="24" t="s">
        <v>245</v>
      </c>
      <c r="G19" s="25"/>
      <c r="H19" s="16"/>
      <c r="I19" s="16"/>
      <c r="J19" s="16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37"/>
    </row>
    <row r="20" spans="1:24" ht="18" customHeight="1" thickTop="1" x14ac:dyDescent="0.25">
      <c r="A20" s="39"/>
      <c r="B20" s="16"/>
      <c r="C20" s="16"/>
      <c r="D20" s="16"/>
      <c r="E20" s="16"/>
      <c r="F20" s="16"/>
      <c r="G20" s="16"/>
      <c r="H20" s="16"/>
      <c r="I20" s="25"/>
      <c r="J20" s="25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37"/>
    </row>
    <row r="21" spans="1:24" ht="18" customHeight="1" x14ac:dyDescent="0.25">
      <c r="A21" s="39"/>
      <c r="B21" s="16"/>
      <c r="C21" s="16"/>
      <c r="D21" s="16"/>
      <c r="E21" s="25"/>
      <c r="F21" s="25"/>
      <c r="G21" s="16"/>
      <c r="H21" s="16"/>
      <c r="I21" s="63"/>
      <c r="J21" s="25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37"/>
    </row>
    <row r="22" spans="1:24" ht="6" customHeight="1" x14ac:dyDescent="0.25">
      <c r="A22" s="39"/>
      <c r="B22" s="41"/>
      <c r="C22" s="43"/>
      <c r="D22" s="43"/>
      <c r="E22" s="42"/>
      <c r="F22" s="42"/>
      <c r="G22" s="43"/>
      <c r="H22" s="43"/>
      <c r="I22" s="43"/>
      <c r="J22" s="43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37"/>
    </row>
    <row r="23" spans="1:24" ht="12" customHeight="1" x14ac:dyDescent="0.25">
      <c r="A23" s="39"/>
      <c r="B23" s="16"/>
      <c r="C23" s="16"/>
      <c r="D23" s="19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37"/>
    </row>
    <row r="24" spans="1:24" s="15" customFormat="1" ht="21" customHeight="1" x14ac:dyDescent="0.25">
      <c r="A24" s="40"/>
      <c r="B24" s="20"/>
      <c r="C24" s="212" t="s">
        <v>417</v>
      </c>
      <c r="D24" s="213"/>
      <c r="E24" s="220"/>
      <c r="F24" s="220"/>
      <c r="G24" s="16"/>
      <c r="H24" s="16"/>
      <c r="I24" s="16"/>
      <c r="J24" s="16"/>
      <c r="K24" s="16"/>
      <c r="L24" s="16"/>
      <c r="M24" s="16"/>
      <c r="N24" s="16"/>
      <c r="O24" s="35" t="s">
        <v>55</v>
      </c>
      <c r="P24" s="235" t="s">
        <v>56</v>
      </c>
      <c r="Q24" s="237" t="s">
        <v>57</v>
      </c>
      <c r="R24" s="236" t="s">
        <v>61</v>
      </c>
      <c r="S24" s="238" t="s">
        <v>61</v>
      </c>
      <c r="T24" s="20"/>
      <c r="U24" s="38"/>
      <c r="V24"/>
    </row>
    <row r="25" spans="1:24" s="15" customFormat="1" ht="21" hidden="1" customHeight="1" x14ac:dyDescent="0.25">
      <c r="A25" s="40"/>
      <c r="B25" s="85"/>
      <c r="C25" s="263" t="s">
        <v>262</v>
      </c>
      <c r="D25" s="21" t="s">
        <v>251</v>
      </c>
      <c r="E25" s="219"/>
      <c r="F25" s="225" t="s">
        <v>246</v>
      </c>
      <c r="G25" s="110"/>
      <c r="H25" s="110"/>
      <c r="I25" s="110"/>
      <c r="J25" s="110"/>
      <c r="K25" s="16"/>
      <c r="L25" s="16"/>
      <c r="M25" s="16"/>
      <c r="N25" s="16"/>
      <c r="O25" s="16"/>
      <c r="P25" s="16"/>
      <c r="Q25" s="16"/>
      <c r="R25" s="16"/>
      <c r="S25" s="20"/>
      <c r="T25" s="20"/>
      <c r="U25" s="38"/>
      <c r="V25"/>
    </row>
    <row r="26" spans="1:24" s="15" customFormat="1" ht="21" hidden="1" customHeight="1" x14ac:dyDescent="0.25">
      <c r="A26" s="40"/>
      <c r="B26" s="85"/>
      <c r="C26" s="263"/>
      <c r="D26" s="21" t="s">
        <v>252</v>
      </c>
      <c r="E26" s="219"/>
      <c r="F26" s="219" t="s">
        <v>246</v>
      </c>
      <c r="G26" s="110">
        <v>80</v>
      </c>
      <c r="H26" s="110">
        <v>105</v>
      </c>
      <c r="I26" s="110">
        <v>130</v>
      </c>
      <c r="J26" s="110">
        <v>180</v>
      </c>
      <c r="K26" s="16"/>
      <c r="L26" s="16"/>
      <c r="M26" s="16"/>
      <c r="N26" s="16"/>
      <c r="O26" s="16"/>
      <c r="P26" s="16"/>
      <c r="Q26" s="16"/>
      <c r="R26" s="16"/>
      <c r="S26" s="20"/>
      <c r="T26" s="20"/>
      <c r="U26" s="38"/>
      <c r="V26"/>
    </row>
    <row r="27" spans="1:24" s="15" customFormat="1" ht="21" hidden="1" customHeight="1" x14ac:dyDescent="0.25">
      <c r="A27" s="40"/>
      <c r="B27" s="85"/>
      <c r="C27" s="263"/>
      <c r="D27" s="21" t="s">
        <v>253</v>
      </c>
      <c r="E27" s="219"/>
      <c r="F27" s="219" t="s">
        <v>246</v>
      </c>
      <c r="G27" s="110">
        <v>50</v>
      </c>
      <c r="H27" s="110">
        <v>75</v>
      </c>
      <c r="I27" s="110">
        <v>100</v>
      </c>
      <c r="J27" s="110">
        <v>150</v>
      </c>
      <c r="K27" s="16"/>
      <c r="L27" s="16"/>
      <c r="M27" s="16"/>
      <c r="N27" s="16"/>
      <c r="O27" s="16"/>
      <c r="P27" s="16"/>
      <c r="Q27" s="16"/>
      <c r="R27" s="16"/>
      <c r="S27" s="20"/>
      <c r="T27" s="20"/>
      <c r="U27" s="38"/>
      <c r="V27"/>
    </row>
    <row r="28" spans="1:24" s="15" customFormat="1" ht="21" customHeight="1" x14ac:dyDescent="0.25">
      <c r="A28" s="40"/>
      <c r="B28" s="85"/>
      <c r="C28" s="267" t="s">
        <v>82</v>
      </c>
      <c r="D28" s="159" t="s">
        <v>367</v>
      </c>
      <c r="E28" s="216"/>
      <c r="F28" s="216" t="s">
        <v>246</v>
      </c>
      <c r="G28" s="187">
        <f>'BAW-FD equations'!B296</f>
        <v>200</v>
      </c>
      <c r="H28" s="187">
        <f>'BAW-FD equations'!C296</f>
        <v>300</v>
      </c>
      <c r="I28" s="187">
        <f>'BAW-FD equations'!D296</f>
        <v>400</v>
      </c>
      <c r="J28" s="187">
        <f>'BAW-FD equations'!E296</f>
        <v>500</v>
      </c>
      <c r="K28" s="187">
        <f>'BAW-FD equations'!F296</f>
        <v>600</v>
      </c>
      <c r="L28" s="187">
        <f>'BAW-FD equations'!G296</f>
        <v>700</v>
      </c>
      <c r="M28" s="187">
        <f>'BAW-FD equations'!H296</f>
        <v>800</v>
      </c>
      <c r="N28" s="187">
        <f>'BAW-FD equations'!I296</f>
        <v>1000</v>
      </c>
      <c r="O28" s="16"/>
      <c r="P28" s="16"/>
      <c r="Q28" s="16"/>
      <c r="R28" s="16"/>
      <c r="S28" s="20"/>
      <c r="T28" s="20"/>
      <c r="U28" s="38"/>
      <c r="V28"/>
    </row>
    <row r="29" spans="1:24" s="15" customFormat="1" ht="21" customHeight="1" x14ac:dyDescent="0.25">
      <c r="A29" s="40"/>
      <c r="B29" s="209"/>
      <c r="C29" s="269"/>
      <c r="D29" s="190" t="s">
        <v>285</v>
      </c>
      <c r="E29" s="217"/>
      <c r="F29" s="217" t="s">
        <v>246</v>
      </c>
      <c r="G29" s="191">
        <f>$E$17</f>
        <v>150</v>
      </c>
      <c r="H29" s="191">
        <f t="shared" ref="H29:N29" si="0">$E$17</f>
        <v>150</v>
      </c>
      <c r="I29" s="191">
        <f t="shared" si="0"/>
        <v>150</v>
      </c>
      <c r="J29" s="191">
        <f t="shared" si="0"/>
        <v>150</v>
      </c>
      <c r="K29" s="191">
        <f t="shared" si="0"/>
        <v>150</v>
      </c>
      <c r="L29" s="191">
        <f t="shared" si="0"/>
        <v>150</v>
      </c>
      <c r="M29" s="191">
        <f t="shared" si="0"/>
        <v>150</v>
      </c>
      <c r="N29" s="191">
        <f t="shared" si="0"/>
        <v>150</v>
      </c>
      <c r="O29" s="16"/>
      <c r="P29" s="16"/>
      <c r="Q29" s="16"/>
      <c r="R29" s="16"/>
      <c r="S29" s="20"/>
      <c r="T29" s="20"/>
      <c r="U29" s="38"/>
      <c r="V29"/>
    </row>
    <row r="30" spans="1:24" s="15" customFormat="1" ht="21" customHeight="1" x14ac:dyDescent="0.25">
      <c r="A30" s="40"/>
      <c r="B30" s="209"/>
      <c r="C30" s="264" t="s">
        <v>177</v>
      </c>
      <c r="D30" s="159" t="s">
        <v>254</v>
      </c>
      <c r="E30" s="206"/>
      <c r="F30" s="216" t="str">
        <f>'BAW-FD equations'!$C$3</f>
        <v>[L/s]</v>
      </c>
      <c r="G30" s="192">
        <f>'BAW-FD equations'!B297</f>
        <v>100</v>
      </c>
      <c r="H30" s="192">
        <f>'BAW-FD equations'!C297</f>
        <v>100</v>
      </c>
      <c r="I30" s="192">
        <f>'BAW-FD equations'!D297</f>
        <v>100</v>
      </c>
      <c r="J30" s="192">
        <f>'BAW-FD equations'!E297</f>
        <v>100</v>
      </c>
      <c r="K30" s="192">
        <f>'BAW-FD equations'!F297</f>
        <v>100</v>
      </c>
      <c r="L30" s="192">
        <f>'BAW-FD equations'!G297</f>
        <v>100</v>
      </c>
      <c r="M30" s="192">
        <f>'BAW-FD equations'!H297</f>
        <v>100</v>
      </c>
      <c r="N30" s="192">
        <f>'BAW-FD equations'!I297</f>
        <v>100</v>
      </c>
      <c r="O30" s="16"/>
      <c r="P30" s="16"/>
      <c r="Q30" s="16"/>
      <c r="R30" s="16"/>
      <c r="S30" s="20"/>
      <c r="T30" s="20"/>
      <c r="U30" s="38"/>
      <c r="V30"/>
    </row>
    <row r="31" spans="1:24" s="15" customFormat="1" ht="21" customHeight="1" x14ac:dyDescent="0.25">
      <c r="A31" s="40"/>
      <c r="B31" s="209"/>
      <c r="C31" s="265"/>
      <c r="D31" s="214" t="s">
        <v>255</v>
      </c>
      <c r="E31" s="221"/>
      <c r="F31" s="222" t="str">
        <f>'BAW-FD equations'!$C$3</f>
        <v>[L/s]</v>
      </c>
      <c r="G31" s="258">
        <f>'BAW-FD equations'!B298</f>
        <v>95</v>
      </c>
      <c r="H31" s="258">
        <f>'BAW-FD equations'!C298</f>
        <v>142</v>
      </c>
      <c r="I31" s="258">
        <f>'BAW-FD equations'!D298</f>
        <v>190</v>
      </c>
      <c r="J31" s="258">
        <f>'BAW-FD equations'!E298</f>
        <v>237</v>
      </c>
      <c r="K31" s="258">
        <f>'BAW-FD equations'!F298</f>
        <v>285</v>
      </c>
      <c r="L31" s="258">
        <f>'BAW-FD equations'!G298</f>
        <v>332</v>
      </c>
      <c r="M31" s="258">
        <f>'BAW-FD equations'!H298</f>
        <v>379</v>
      </c>
      <c r="N31" s="258">
        <f>'BAW-FD equations'!I298</f>
        <v>474</v>
      </c>
      <c r="O31" s="16"/>
      <c r="P31" s="16"/>
      <c r="Q31" s="16"/>
      <c r="R31" s="16"/>
      <c r="S31" s="20"/>
      <c r="T31" s="20"/>
      <c r="U31" s="38"/>
      <c r="V31"/>
      <c r="X31" s="46"/>
    </row>
    <row r="32" spans="1:24" s="15" customFormat="1" ht="21" customHeight="1" x14ac:dyDescent="0.25">
      <c r="A32" s="40"/>
      <c r="B32" s="209"/>
      <c r="C32" s="265"/>
      <c r="D32" s="21" t="s">
        <v>256</v>
      </c>
      <c r="E32" s="207"/>
      <c r="F32" s="218" t="str">
        <f>'BAW-FD equations'!$C$3</f>
        <v>[L/s]</v>
      </c>
      <c r="G32" s="188">
        <f>'BAW-FD equations'!B299</f>
        <v>100</v>
      </c>
      <c r="H32" s="188">
        <f>'BAW-FD equations'!C299</f>
        <v>100</v>
      </c>
      <c r="I32" s="188">
        <f>'BAW-FD equations'!D299</f>
        <v>100</v>
      </c>
      <c r="J32" s="188">
        <f>'BAW-FD equations'!E299</f>
        <v>100</v>
      </c>
      <c r="K32" s="188">
        <f>'BAW-FD equations'!F299</f>
        <v>100</v>
      </c>
      <c r="L32" s="188">
        <f>'BAW-FD equations'!G299</f>
        <v>100</v>
      </c>
      <c r="M32" s="188">
        <f>'BAW-FD equations'!H299</f>
        <v>100</v>
      </c>
      <c r="N32" s="188">
        <f>'BAW-FD equations'!I299</f>
        <v>100</v>
      </c>
      <c r="O32" s="16"/>
      <c r="P32" s="16"/>
      <c r="Q32" s="16"/>
      <c r="R32" s="16"/>
      <c r="S32" s="20"/>
      <c r="T32" s="20"/>
      <c r="U32" s="38"/>
      <c r="V32"/>
    </row>
    <row r="33" spans="1:24" s="15" customFormat="1" ht="21" customHeight="1" x14ac:dyDescent="0.25">
      <c r="A33" s="40"/>
      <c r="B33" s="209"/>
      <c r="C33" s="265"/>
      <c r="D33" s="193" t="str">
        <f>'BAW-FD equations'!A300</f>
        <v>Min Permissible Airflow @ -12 K</v>
      </c>
      <c r="E33" s="207"/>
      <c r="F33" s="218" t="str">
        <f>'BAW-FD equations'!$C$3</f>
        <v>[L/s]</v>
      </c>
      <c r="G33" s="215">
        <f>'BAW-FD equations'!B300</f>
        <v>33</v>
      </c>
      <c r="H33" s="215">
        <f>'BAW-FD equations'!C300</f>
        <v>49</v>
      </c>
      <c r="I33" s="215">
        <f>'BAW-FD equations'!D300</f>
        <v>65</v>
      </c>
      <c r="J33" s="215">
        <f>'BAW-FD equations'!E300</f>
        <v>81</v>
      </c>
      <c r="K33" s="215">
        <f>'BAW-FD equations'!F300</f>
        <v>98</v>
      </c>
      <c r="L33" s="215" t="str">
        <f>'BAW-FD equations'!G300</f>
        <v>-</v>
      </c>
      <c r="M33" s="215" t="str">
        <f>'BAW-FD equations'!H300</f>
        <v>-</v>
      </c>
      <c r="N33" s="215" t="str">
        <f>'BAW-FD equations'!I300</f>
        <v>-</v>
      </c>
      <c r="O33" s="16"/>
      <c r="P33" s="16"/>
      <c r="Q33" s="16"/>
      <c r="R33" s="16"/>
      <c r="S33" s="20"/>
      <c r="T33" s="20"/>
      <c r="U33" s="38"/>
      <c r="V33"/>
    </row>
    <row r="34" spans="1:24" s="15" customFormat="1" ht="21" customHeight="1" x14ac:dyDescent="0.25">
      <c r="A34" s="40"/>
      <c r="B34" s="209"/>
      <c r="C34" s="265"/>
      <c r="D34" s="21" t="s">
        <v>260</v>
      </c>
      <c r="E34" s="207"/>
      <c r="F34" s="218"/>
      <c r="G34" s="144">
        <f>'BAW-FD equations'!B301</f>
        <v>1</v>
      </c>
      <c r="H34" s="144">
        <f>'BAW-FD equations'!C301</f>
        <v>1</v>
      </c>
      <c r="I34" s="144">
        <f>'BAW-FD equations'!D301</f>
        <v>1</v>
      </c>
      <c r="J34" s="144">
        <f>'BAW-FD equations'!E301</f>
        <v>1</v>
      </c>
      <c r="K34" s="144">
        <f>'BAW-FD equations'!F301</f>
        <v>1</v>
      </c>
      <c r="L34" s="144">
        <f>'BAW-FD equations'!G301</f>
        <v>1</v>
      </c>
      <c r="M34" s="144">
        <f>'BAW-FD equations'!H301</f>
        <v>1</v>
      </c>
      <c r="N34" s="144">
        <f>'BAW-FD equations'!I301</f>
        <v>1</v>
      </c>
      <c r="O34" s="16"/>
      <c r="P34" s="16"/>
      <c r="Q34" s="16"/>
      <c r="R34" s="16"/>
      <c r="S34" s="20"/>
      <c r="T34" s="20"/>
      <c r="U34" s="38"/>
      <c r="V34"/>
    </row>
    <row r="35" spans="1:24" s="15" customFormat="1" ht="21" customHeight="1" x14ac:dyDescent="0.25">
      <c r="A35" s="40"/>
      <c r="B35" s="209"/>
      <c r="C35" s="266"/>
      <c r="D35" s="194" t="s">
        <v>33</v>
      </c>
      <c r="E35" s="208"/>
      <c r="F35" s="217"/>
      <c r="G35" s="189">
        <f>'BAW-FD equations'!B302</f>
        <v>0.33</v>
      </c>
      <c r="H35" s="189">
        <f>'BAW-FD equations'!C302</f>
        <v>0.49</v>
      </c>
      <c r="I35" s="189">
        <f>'BAW-FD equations'!D302</f>
        <v>0.65</v>
      </c>
      <c r="J35" s="189">
        <f>'BAW-FD equations'!E302</f>
        <v>0.81</v>
      </c>
      <c r="K35" s="189">
        <f>'BAW-FD equations'!F302</f>
        <v>0.98</v>
      </c>
      <c r="L35" s="189" t="str">
        <f>'BAW-FD equations'!G302</f>
        <v>-</v>
      </c>
      <c r="M35" s="189" t="str">
        <f>'BAW-FD equations'!H302</f>
        <v>-</v>
      </c>
      <c r="N35" s="189" t="str">
        <f>'BAW-FD equations'!I302</f>
        <v>-</v>
      </c>
      <c r="O35" s="16"/>
      <c r="P35" s="16"/>
      <c r="Q35" s="16"/>
      <c r="R35" s="16"/>
      <c r="S35" s="20"/>
      <c r="T35" s="20"/>
      <c r="U35" s="38"/>
      <c r="V35"/>
    </row>
    <row r="36" spans="1:24" s="15" customFormat="1" ht="21" customHeight="1" x14ac:dyDescent="0.25">
      <c r="A36" s="40"/>
      <c r="B36" s="209"/>
      <c r="C36" s="267" t="s">
        <v>261</v>
      </c>
      <c r="D36" s="159" t="s">
        <v>257</v>
      </c>
      <c r="E36" s="206"/>
      <c r="F36" s="216" t="s">
        <v>247</v>
      </c>
      <c r="G36" s="160">
        <f>'BAW-FD equations'!B303</f>
        <v>16.7</v>
      </c>
      <c r="H36" s="160">
        <f>'BAW-FD equations'!C303</f>
        <v>7.4</v>
      </c>
      <c r="I36" s="160">
        <f>'BAW-FD equations'!D303</f>
        <v>4.2</v>
      </c>
      <c r="J36" s="160">
        <f>'BAW-FD equations'!E303</f>
        <v>2.7</v>
      </c>
      <c r="K36" s="160">
        <f>'BAW-FD equations'!F303</f>
        <v>1.9</v>
      </c>
      <c r="L36" s="160">
        <f>'BAW-FD equations'!G303</f>
        <v>1.4</v>
      </c>
      <c r="M36" s="160">
        <f>'BAW-FD equations'!H303</f>
        <v>1</v>
      </c>
      <c r="N36" s="160" t="str">
        <f>'BAW-FD equations'!I303</f>
        <v>&lt; 1</v>
      </c>
      <c r="O36" s="16"/>
      <c r="P36" s="16"/>
      <c r="Q36" s="16"/>
      <c r="R36" s="16"/>
      <c r="S36" s="20"/>
      <c r="T36" s="20"/>
      <c r="U36" s="38"/>
      <c r="V36"/>
    </row>
    <row r="37" spans="1:24" s="15" customFormat="1" ht="21" customHeight="1" x14ac:dyDescent="0.25">
      <c r="A37" s="40"/>
      <c r="B37" s="209"/>
      <c r="C37" s="268"/>
      <c r="D37" s="21" t="s">
        <v>258</v>
      </c>
      <c r="E37" s="207"/>
      <c r="F37" s="218" t="s">
        <v>247</v>
      </c>
      <c r="G37" s="111">
        <f>'BAW-FD equations'!B304</f>
        <v>23.5</v>
      </c>
      <c r="H37" s="111">
        <f>'BAW-FD equations'!C304</f>
        <v>10.4</v>
      </c>
      <c r="I37" s="111">
        <f>'BAW-FD equations'!D304</f>
        <v>5.9</v>
      </c>
      <c r="J37" s="111">
        <f>'BAW-FD equations'!E304</f>
        <v>3.8</v>
      </c>
      <c r="K37" s="111">
        <f>'BAW-FD equations'!F304</f>
        <v>2.6</v>
      </c>
      <c r="L37" s="111">
        <f>'BAW-FD equations'!G304</f>
        <v>1.9</v>
      </c>
      <c r="M37" s="111">
        <f>'BAW-FD equations'!H304</f>
        <v>1.5</v>
      </c>
      <c r="N37" s="111" t="str">
        <f>'BAW-FD equations'!I304</f>
        <v>&lt; 1</v>
      </c>
      <c r="O37" s="16"/>
      <c r="P37" s="16"/>
      <c r="Q37" s="16"/>
      <c r="R37" s="16"/>
      <c r="S37" s="20"/>
      <c r="T37" s="20"/>
      <c r="U37" s="38"/>
      <c r="V37"/>
    </row>
    <row r="38" spans="1:24" s="15" customFormat="1" ht="21" customHeight="1" x14ac:dyDescent="0.25">
      <c r="A38" s="40"/>
      <c r="B38" s="209"/>
      <c r="C38" s="269"/>
      <c r="D38" s="194" t="s">
        <v>259</v>
      </c>
      <c r="E38" s="208"/>
      <c r="F38" s="223" t="s">
        <v>247</v>
      </c>
      <c r="G38" s="195">
        <f>'BAW-FD equations'!B305</f>
        <v>15</v>
      </c>
      <c r="H38" s="195">
        <f>'BAW-FD equations'!C305</f>
        <v>15</v>
      </c>
      <c r="I38" s="195">
        <f>'BAW-FD equations'!D305</f>
        <v>15</v>
      </c>
      <c r="J38" s="195">
        <f>'BAW-FD equations'!E305</f>
        <v>15</v>
      </c>
      <c r="K38" s="195">
        <f>'BAW-FD equations'!F305</f>
        <v>15</v>
      </c>
      <c r="L38" s="195">
        <f>'BAW-FD equations'!G305</f>
        <v>15</v>
      </c>
      <c r="M38" s="195">
        <f>'BAW-FD equations'!H305</f>
        <v>15</v>
      </c>
      <c r="N38" s="195">
        <f>'BAW-FD equations'!I305</f>
        <v>15</v>
      </c>
      <c r="O38" s="16"/>
      <c r="P38" s="16"/>
      <c r="Q38" s="16"/>
      <c r="R38" s="16"/>
      <c r="S38" s="20"/>
      <c r="T38" s="20"/>
      <c r="U38" s="38"/>
      <c r="V38"/>
    </row>
    <row r="39" spans="1:24" s="15" customFormat="1" ht="21" customHeight="1" x14ac:dyDescent="0.25">
      <c r="A39" s="40"/>
      <c r="B39" s="209"/>
      <c r="C39" s="267" t="s">
        <v>183</v>
      </c>
      <c r="D39" s="159" t="s">
        <v>112</v>
      </c>
      <c r="E39" s="206"/>
      <c r="F39" s="224" t="s">
        <v>248</v>
      </c>
      <c r="G39" s="160">
        <f>'BAW-FD equations'!B306</f>
        <v>45.7</v>
      </c>
      <c r="H39" s="160">
        <f>'BAW-FD equations'!C306</f>
        <v>37.1</v>
      </c>
      <c r="I39" s="160">
        <f>'BAW-FD equations'!D306</f>
        <v>31</v>
      </c>
      <c r="J39" s="160">
        <f>'BAW-FD equations'!E306</f>
        <v>28.7</v>
      </c>
      <c r="K39" s="160">
        <f>'BAW-FD equations'!F306</f>
        <v>26.5</v>
      </c>
      <c r="L39" s="160">
        <f>'BAW-FD equations'!G306</f>
        <v>24.6</v>
      </c>
      <c r="M39" s="160">
        <f>'BAW-FD equations'!H306</f>
        <v>22.7</v>
      </c>
      <c r="N39" s="160">
        <f>'BAW-FD equations'!I306</f>
        <v>19.5</v>
      </c>
      <c r="O39" s="16"/>
      <c r="P39" s="16"/>
      <c r="Q39" s="16"/>
      <c r="R39" s="16"/>
      <c r="S39" s="20"/>
      <c r="T39" s="20"/>
      <c r="U39" s="38"/>
      <c r="V39"/>
    </row>
    <row r="40" spans="1:24" s="15" customFormat="1" ht="21" customHeight="1" x14ac:dyDescent="0.25">
      <c r="A40" s="40"/>
      <c r="B40" s="209"/>
      <c r="C40" s="269"/>
      <c r="D40" s="190" t="s">
        <v>435</v>
      </c>
      <c r="E40" s="208"/>
      <c r="F40" s="223" t="s">
        <v>249</v>
      </c>
      <c r="G40" s="196">
        <f>'BAW-FD equations'!B307</f>
        <v>30.7</v>
      </c>
      <c r="H40" s="196">
        <f>'BAW-FD equations'!C307</f>
        <v>22.1</v>
      </c>
      <c r="I40" s="196">
        <f>'BAW-FD equations'!D307</f>
        <v>16</v>
      </c>
      <c r="J40" s="196">
        <f>'BAW-FD equations'!E307</f>
        <v>13.7</v>
      </c>
      <c r="K40" s="196">
        <f>'BAW-FD equations'!F307</f>
        <v>11.5</v>
      </c>
      <c r="L40" s="196" t="str">
        <f>'BAW-FD equations'!G307</f>
        <v>&lt; 10</v>
      </c>
      <c r="M40" s="196" t="str">
        <f>'BAW-FD equations'!H307</f>
        <v>&lt; 10</v>
      </c>
      <c r="N40" s="196" t="str">
        <f>'BAW-FD equations'!I307</f>
        <v>&lt; 10</v>
      </c>
      <c r="O40" s="243" t="s">
        <v>436</v>
      </c>
      <c r="P40" s="16"/>
      <c r="Q40" s="16"/>
      <c r="R40" s="16"/>
      <c r="S40" s="20"/>
      <c r="T40" s="20"/>
      <c r="U40" s="38"/>
      <c r="V40"/>
    </row>
    <row r="41" spans="1:24" s="15" customFormat="1" ht="21" customHeight="1" x14ac:dyDescent="0.25">
      <c r="A41" s="40"/>
      <c r="B41" s="210"/>
      <c r="C41" s="264" t="s">
        <v>420</v>
      </c>
      <c r="D41" s="159" t="s">
        <v>340</v>
      </c>
      <c r="E41" s="206"/>
      <c r="F41" s="216" t="s">
        <v>250</v>
      </c>
      <c r="G41" s="186" t="str">
        <f>'BAW-FD equations'!B310</f>
        <v>4.1</v>
      </c>
      <c r="H41" s="186" t="str">
        <f>'BAW-FD equations'!C310</f>
        <v>3.4</v>
      </c>
      <c r="I41" s="186" t="str">
        <f>'BAW-FD equations'!D310</f>
        <v>3.2</v>
      </c>
      <c r="J41" s="186" t="str">
        <f>'BAW-FD equations'!E310</f>
        <v>3.0</v>
      </c>
      <c r="K41" s="186" t="str">
        <f>'BAW-FD equations'!F310</f>
        <v>2.8</v>
      </c>
      <c r="L41" s="186" t="str">
        <f>'BAW-FD equations'!G310</f>
        <v>2.7</v>
      </c>
      <c r="M41" s="186" t="str">
        <f>'BAW-FD equations'!H310</f>
        <v>2.7</v>
      </c>
      <c r="N41" s="186" t="str">
        <f>'BAW-FD equations'!I310</f>
        <v>2.6</v>
      </c>
      <c r="O41" s="243"/>
      <c r="P41" s="16"/>
      <c r="Q41" s="16"/>
      <c r="R41" s="16"/>
      <c r="S41" s="20"/>
      <c r="T41" s="20"/>
      <c r="U41" s="38"/>
      <c r="V41"/>
    </row>
    <row r="42" spans="1:24" s="15" customFormat="1" ht="21" customHeight="1" x14ac:dyDescent="0.25">
      <c r="A42" s="40"/>
      <c r="B42" s="209"/>
      <c r="C42" s="265"/>
      <c r="D42" s="233" t="s">
        <v>341</v>
      </c>
      <c r="E42" s="221"/>
      <c r="F42" s="222" t="s">
        <v>250</v>
      </c>
      <c r="G42" s="234" t="str">
        <f>'BAW-FD equations'!B311</f>
        <v>12.1</v>
      </c>
      <c r="H42" s="234" t="str">
        <f>'BAW-FD equations'!C311</f>
        <v>13.5</v>
      </c>
      <c r="I42" s="234" t="str">
        <f>'BAW-FD equations'!D311</f>
        <v>12.0</v>
      </c>
      <c r="J42" s="234" t="str">
        <f>'BAW-FD equations'!E311</f>
        <v>11.8</v>
      </c>
      <c r="K42" s="234" t="str">
        <f>'BAW-FD equations'!F311</f>
        <v>11.5</v>
      </c>
      <c r="L42" s="234" t="str">
        <f>'BAW-FD equations'!G311</f>
        <v>11.3</v>
      </c>
      <c r="M42" s="234" t="str">
        <f>'BAW-FD equations'!H311</f>
        <v>11.0</v>
      </c>
      <c r="N42" s="234" t="str">
        <f>'BAW-FD equations'!I311</f>
        <v>10.5</v>
      </c>
      <c r="O42" s="243"/>
      <c r="P42" s="16"/>
      <c r="Q42" s="16"/>
      <c r="R42" s="16"/>
      <c r="S42" s="20"/>
      <c r="T42" s="20"/>
      <c r="U42" s="38"/>
      <c r="V42"/>
    </row>
    <row r="43" spans="1:24" s="15" customFormat="1" ht="21" customHeight="1" x14ac:dyDescent="0.25">
      <c r="A43" s="40"/>
      <c r="B43" s="209"/>
      <c r="C43" s="265"/>
      <c r="D43" s="21" t="s">
        <v>342</v>
      </c>
      <c r="E43" s="207"/>
      <c r="F43" s="218" t="s">
        <v>250</v>
      </c>
      <c r="G43" s="179" t="str">
        <f>'BAW-FD equations'!B312</f>
        <v>2.5</v>
      </c>
      <c r="H43" s="179" t="str">
        <f>'BAW-FD equations'!C312</f>
        <v>2.1</v>
      </c>
      <c r="I43" s="179" t="str">
        <f>'BAW-FD equations'!D312</f>
        <v>1.9</v>
      </c>
      <c r="J43" s="179" t="str">
        <f>'BAW-FD equations'!E312</f>
        <v>1.9</v>
      </c>
      <c r="K43" s="179" t="str">
        <f>'BAW-FD equations'!F312</f>
        <v>1.9</v>
      </c>
      <c r="L43" s="179" t="str">
        <f>'BAW-FD equations'!G312</f>
        <v>1.9</v>
      </c>
      <c r="M43" s="179" t="str">
        <f>'BAW-FD equations'!H312</f>
        <v>1.9</v>
      </c>
      <c r="N43" s="179" t="str">
        <f>'BAW-FD equations'!I312</f>
        <v>2.0</v>
      </c>
      <c r="O43" s="243"/>
      <c r="P43" s="16"/>
      <c r="Q43" s="16"/>
      <c r="R43" s="16"/>
      <c r="S43" s="20"/>
      <c r="T43" s="20"/>
      <c r="U43" s="38"/>
      <c r="V43"/>
    </row>
    <row r="44" spans="1:24" s="15" customFormat="1" ht="21" customHeight="1" x14ac:dyDescent="0.25">
      <c r="A44" s="40"/>
      <c r="B44" s="209"/>
      <c r="C44" s="265"/>
      <c r="D44" s="233" t="s">
        <v>308</v>
      </c>
      <c r="E44" s="221"/>
      <c r="F44" s="222" t="s">
        <v>250</v>
      </c>
      <c r="G44" s="234" t="str">
        <f>'BAW-FD equations'!B313</f>
        <v>7.4</v>
      </c>
      <c r="H44" s="234" t="str">
        <f>'BAW-FD equations'!C313</f>
        <v>8.2</v>
      </c>
      <c r="I44" s="234" t="str">
        <f>'BAW-FD equations'!D313</f>
        <v>7.3</v>
      </c>
      <c r="J44" s="234" t="str">
        <f>'BAW-FD equations'!E313</f>
        <v>7.5</v>
      </c>
      <c r="K44" s="234" t="str">
        <f>'BAW-FD equations'!F313</f>
        <v>7.6</v>
      </c>
      <c r="L44" s="234" t="str">
        <f>'BAW-FD equations'!G313</f>
        <v>7.8</v>
      </c>
      <c r="M44" s="234" t="str">
        <f>'BAW-FD equations'!H313</f>
        <v>8.0</v>
      </c>
      <c r="N44" s="234" t="str">
        <f>'BAW-FD equations'!I313</f>
        <v>8.4</v>
      </c>
      <c r="O44" s="240" t="str">
        <f>'BAW-FD equations'!J334</f>
        <v/>
      </c>
      <c r="P44" s="16"/>
      <c r="Q44" s="16"/>
      <c r="R44" s="16"/>
      <c r="S44" s="130"/>
      <c r="T44" s="20"/>
      <c r="U44" s="38"/>
      <c r="V44"/>
      <c r="X44" s="45"/>
    </row>
    <row r="45" spans="1:24" s="15" customFormat="1" ht="21" customHeight="1" x14ac:dyDescent="0.25">
      <c r="A45" s="40"/>
      <c r="B45" s="209"/>
      <c r="C45" s="266"/>
      <c r="D45" s="190" t="s">
        <v>276</v>
      </c>
      <c r="E45" s="208"/>
      <c r="F45" s="223" t="s">
        <v>250</v>
      </c>
      <c r="G45" s="197">
        <f>'BAW-FD equations'!B316</f>
        <v>2.2999999999999998</v>
      </c>
      <c r="H45" s="197">
        <f>'BAW-FD equations'!C316</f>
        <v>2.2999999999999998</v>
      </c>
      <c r="I45" s="197">
        <f>'BAW-FD equations'!D316</f>
        <v>2.2999999999999998</v>
      </c>
      <c r="J45" s="197">
        <f>'BAW-FD equations'!E316</f>
        <v>2.2999999999999998</v>
      </c>
      <c r="K45" s="197">
        <f>'BAW-FD equations'!F316</f>
        <v>2.2999999999999998</v>
      </c>
      <c r="L45" s="197">
        <f>'BAW-FD equations'!G316</f>
        <v>2.2999999999999998</v>
      </c>
      <c r="M45" s="197">
        <f>'BAW-FD equations'!H316</f>
        <v>2.2999999999999998</v>
      </c>
      <c r="N45" s="197">
        <f>'BAW-FD equations'!I316</f>
        <v>2.2999999999999998</v>
      </c>
      <c r="O45" s="16"/>
      <c r="P45" s="16"/>
      <c r="Q45" s="16"/>
      <c r="R45" s="16"/>
      <c r="S45" s="130"/>
      <c r="T45" s="20"/>
      <c r="U45" s="38"/>
      <c r="V45"/>
    </row>
    <row r="46" spans="1:24" s="15" customFormat="1" ht="21" customHeight="1" x14ac:dyDescent="0.25">
      <c r="A46" s="40"/>
      <c r="B46" s="210"/>
      <c r="C46" s="264" t="s">
        <v>166</v>
      </c>
      <c r="D46" s="181" t="s">
        <v>169</v>
      </c>
      <c r="E46" s="206"/>
      <c r="F46" s="216" t="s">
        <v>303</v>
      </c>
      <c r="G46" s="239">
        <f>'BAW-FD equations'!B317</f>
        <v>5.66</v>
      </c>
      <c r="H46" s="239">
        <f>'BAW-FD equations'!C317</f>
        <v>3.4</v>
      </c>
      <c r="I46" s="239">
        <f>'BAW-FD equations'!D317</f>
        <v>2.4300000000000002</v>
      </c>
      <c r="J46" s="239">
        <f>'BAW-FD equations'!E317</f>
        <v>2.4300000000000002</v>
      </c>
      <c r="K46" s="239">
        <f>'BAW-FD equations'!F317</f>
        <v>2.4300000000000002</v>
      </c>
      <c r="L46" s="239">
        <f>'BAW-FD equations'!G317</f>
        <v>2.4300000000000002</v>
      </c>
      <c r="M46" s="239">
        <f>'BAW-FD equations'!H317</f>
        <v>2.4300000000000002</v>
      </c>
      <c r="N46" s="239">
        <f>'BAW-FD equations'!I317</f>
        <v>2.4300000000000002</v>
      </c>
      <c r="O46" s="242" t="str">
        <f>'BAW-FD equations'!J336</f>
        <v>- Warning: High spigot velocity. Recommend increasing 'Neck Height'.</v>
      </c>
      <c r="P46" s="16"/>
      <c r="Q46" s="16"/>
      <c r="R46" s="16"/>
      <c r="S46" s="20"/>
      <c r="T46" s="20"/>
      <c r="U46" s="38"/>
      <c r="V46"/>
    </row>
    <row r="47" spans="1:24" s="15" customFormat="1" ht="21" customHeight="1" x14ac:dyDescent="0.25">
      <c r="A47" s="40"/>
      <c r="B47" s="210"/>
      <c r="C47" s="270"/>
      <c r="D47" s="251" t="s">
        <v>310</v>
      </c>
      <c r="E47" s="252"/>
      <c r="F47" s="253" t="s">
        <v>303</v>
      </c>
      <c r="G47" s="254">
        <f>'BAW-FD equations'!B318</f>
        <v>3.33</v>
      </c>
      <c r="H47" s="254">
        <f>'BAW-FD equations'!C318</f>
        <v>2.2200000000000002</v>
      </c>
      <c r="I47" s="254">
        <f>'BAW-FD equations'!D318</f>
        <v>1.67</v>
      </c>
      <c r="J47" s="254">
        <f>'BAW-FD equations'!E318</f>
        <v>1.33</v>
      </c>
      <c r="K47" s="254">
        <f>'BAW-FD equations'!F318</f>
        <v>1.1100000000000001</v>
      </c>
      <c r="L47" s="254">
        <f>'BAW-FD equations'!G318</f>
        <v>0.95</v>
      </c>
      <c r="M47" s="254">
        <f>'BAW-FD equations'!H318</f>
        <v>0.83</v>
      </c>
      <c r="N47" s="254">
        <f>'BAW-FD equations'!I318</f>
        <v>0.67</v>
      </c>
      <c r="O47" s="243"/>
      <c r="P47" s="16"/>
      <c r="Q47" s="16"/>
      <c r="R47" s="16"/>
      <c r="S47" s="20"/>
      <c r="T47" s="20"/>
      <c r="U47" s="38"/>
      <c r="V47"/>
    </row>
    <row r="48" spans="1:24" s="15" customFormat="1" ht="21" customHeight="1" x14ac:dyDescent="0.25">
      <c r="A48" s="40"/>
      <c r="B48" s="211"/>
      <c r="C48" s="259" t="s">
        <v>311</v>
      </c>
      <c r="D48" s="246" t="s">
        <v>172</v>
      </c>
      <c r="E48" s="245"/>
      <c r="F48" s="247"/>
      <c r="G48" s="248" t="str">
        <f>'BAW-FD equations'!B319</f>
        <v>DN150</v>
      </c>
      <c r="H48" s="249" t="str">
        <f>'BAW-FD equations'!C319</f>
        <v>DN200</v>
      </c>
      <c r="I48" s="249" t="str">
        <f>'BAW-FD equations'!D319</f>
        <v>DN250</v>
      </c>
      <c r="J48" s="249" t="str">
        <f>'BAW-FD equations'!E319</f>
        <v>DN250</v>
      </c>
      <c r="K48" s="250" t="str">
        <f>'BAW-FD equations'!F319</f>
        <v>DN250</v>
      </c>
      <c r="L48" s="250" t="str">
        <f>'BAW-FD equations'!G319</f>
        <v>DN250</v>
      </c>
      <c r="M48" s="250" t="str">
        <f>'BAW-FD equations'!H319</f>
        <v>DN250</v>
      </c>
      <c r="N48" s="250" t="str">
        <f>'BAW-FD equations'!I319</f>
        <v>DN250</v>
      </c>
      <c r="O48" s="16"/>
      <c r="P48" s="16"/>
      <c r="Q48" s="20"/>
      <c r="R48" s="20"/>
      <c r="S48" s="20"/>
      <c r="T48" s="20"/>
      <c r="U48" s="38"/>
      <c r="V48"/>
    </row>
    <row r="49" spans="1:22" s="15" customFormat="1" ht="15.75" customHeight="1" x14ac:dyDescent="0.25">
      <c r="A49" s="40"/>
      <c r="B49" s="20"/>
      <c r="C49" s="20"/>
      <c r="D49" s="20"/>
      <c r="E49" s="21"/>
      <c r="F49" s="21"/>
      <c r="G49" s="44"/>
      <c r="H49" s="44"/>
      <c r="I49" s="44"/>
      <c r="J49" s="44"/>
      <c r="K49" s="44"/>
      <c r="L49" s="44"/>
      <c r="M49" s="20"/>
      <c r="N49" s="20"/>
      <c r="O49" s="20"/>
      <c r="P49" s="20"/>
      <c r="Q49" s="20"/>
      <c r="R49" s="20"/>
      <c r="S49" s="20"/>
      <c r="T49" s="20"/>
      <c r="U49" s="38"/>
      <c r="V49"/>
    </row>
    <row r="50" spans="1:22" s="15" customFormat="1" ht="28.5" customHeight="1" x14ac:dyDescent="0.25">
      <c r="A50" s="40"/>
      <c r="B50" s="66"/>
      <c r="C50" s="66"/>
      <c r="D50" s="88"/>
      <c r="E50" s="66"/>
      <c r="F50" s="66"/>
      <c r="G50" s="67"/>
      <c r="H50" s="67"/>
      <c r="I50" s="67"/>
      <c r="J50" s="67"/>
      <c r="K50" s="67"/>
      <c r="L50" s="67"/>
      <c r="M50" s="67"/>
      <c r="N50" s="67"/>
      <c r="O50" s="66"/>
      <c r="P50" s="66"/>
      <c r="Q50" s="66"/>
      <c r="R50" s="66"/>
      <c r="S50" s="66"/>
      <c r="T50" s="66"/>
      <c r="U50" s="38"/>
      <c r="V50"/>
    </row>
    <row r="51" spans="1:22" ht="20.100000000000001" customHeight="1" x14ac:dyDescent="0.25">
      <c r="B51" s="108"/>
      <c r="C51" s="79"/>
      <c r="D51" s="79"/>
      <c r="E51" s="105"/>
      <c r="F51" s="105"/>
      <c r="G51" s="122"/>
      <c r="H51" s="83"/>
      <c r="I51" s="79"/>
      <c r="J51" s="79"/>
      <c r="K51" s="79"/>
      <c r="L51" s="79"/>
      <c r="M51" s="89"/>
      <c r="N51" s="79"/>
      <c r="O51" s="79"/>
      <c r="P51" s="79"/>
      <c r="Q51" s="79"/>
      <c r="R51" s="79"/>
      <c r="S51" s="79"/>
      <c r="T51" s="79"/>
    </row>
    <row r="52" spans="1:22" ht="15.75" x14ac:dyDescent="0.25">
      <c r="B52" s="106"/>
      <c r="C52" s="79"/>
      <c r="D52" s="79"/>
      <c r="E52" s="105"/>
      <c r="F52" s="105"/>
      <c r="G52" s="79"/>
      <c r="H52" s="79"/>
      <c r="I52" s="79"/>
      <c r="J52" s="79"/>
      <c r="K52" s="79"/>
      <c r="L52" s="79"/>
      <c r="M52" s="89"/>
      <c r="N52" s="79"/>
      <c r="O52" s="79"/>
      <c r="P52" s="79"/>
      <c r="Q52" s="79"/>
      <c r="R52" s="79"/>
      <c r="S52" s="79"/>
      <c r="T52" s="79"/>
    </row>
    <row r="53" spans="1:22" ht="15.75" x14ac:dyDescent="0.25">
      <c r="A53" s="107"/>
      <c r="B53" s="34"/>
      <c r="C53" s="34"/>
      <c r="D53" s="34"/>
      <c r="E53" s="34"/>
      <c r="F53" s="34"/>
      <c r="G53" s="34"/>
      <c r="H53" s="34"/>
      <c r="I53" s="261" t="s">
        <v>59</v>
      </c>
      <c r="J53" s="261"/>
      <c r="K53" s="261"/>
      <c r="L53" s="261"/>
      <c r="M53" s="261"/>
      <c r="N53" s="34"/>
      <c r="O53" s="78"/>
      <c r="P53" s="78"/>
      <c r="Q53" s="260" t="s">
        <v>416</v>
      </c>
      <c r="R53" s="260"/>
      <c r="S53" s="260"/>
      <c r="T53" s="260"/>
    </row>
  </sheetData>
  <sheetProtection algorithmName="SHA-512" hashValue="r5AYfKVwEkO+ijOWPx0fNmuLxmfXAikZvmGuhZ+wLpNwhL6d07FJAthsgKeP1hdhpM/OsYwno05uwhTNIehygQ==" saltValue="CCTUEzJSmwU3+ttpVS48sw==" spinCount="100000" sheet="1" selectLockedCells="1"/>
  <mergeCells count="11">
    <mergeCell ref="Q53:T53"/>
    <mergeCell ref="I53:M53"/>
    <mergeCell ref="D5:I5"/>
    <mergeCell ref="C25:C27"/>
    <mergeCell ref="C30:C35"/>
    <mergeCell ref="C36:C38"/>
    <mergeCell ref="C39:C40"/>
    <mergeCell ref="C41:C45"/>
    <mergeCell ref="C28:C29"/>
    <mergeCell ref="C46:C47"/>
    <mergeCell ref="S7:T7"/>
  </mergeCells>
  <phoneticPr fontId="46" type="noConversion"/>
  <conditionalFormatting sqref="G36:N37">
    <cfRule type="expression" dxfId="18" priority="102">
      <formula>ISTEXT(G36)</formula>
    </cfRule>
  </conditionalFormatting>
  <conditionalFormatting sqref="G45:N45 G48:N48">
    <cfRule type="expression" dxfId="14" priority="318">
      <formula>ROUND(G$45,1)&gt;$E$19</formula>
    </cfRule>
  </conditionalFormatting>
  <dataValidations count="5">
    <dataValidation type="list" allowBlank="1" showInputMessage="1" showErrorMessage="1" sqref="M9" xr:uid="{00000000-0002-0000-0000-000000000000}">
      <formula1>adpi.</formula1>
    </dataValidation>
    <dataValidation type="decimal" allowBlank="1" showInputMessage="1" showErrorMessage="1" errorTitle="Specific Airflow Rate" error="Please enter a value between 2.0 and 10.0" sqref="V11:V12" xr:uid="{00000000-0002-0000-0000-000005000000}">
      <formula1>2</formula1>
      <formula2>10</formula2>
    </dataValidation>
    <dataValidation type="decimal" allowBlank="1" showInputMessage="1" showErrorMessage="1" errorTitle="VAV turndown" error="Please enter a valure between 20 and 100" sqref="E11" xr:uid="{00000000-0002-0000-0000-000001000000}">
      <formula1>10</formula1>
      <formula2>100</formula2>
    </dataValidation>
    <dataValidation type="decimal" allowBlank="1" showInputMessage="1" showErrorMessage="1" errorTitle="Cooling" error="Please enter a value between -16 and -8" sqref="E15" xr:uid="{00000000-0002-0000-0000-000002000000}">
      <formula1>-16</formula1>
      <formula2>0</formula2>
    </dataValidation>
    <dataValidation type="decimal" allowBlank="1" showInputMessage="1" showErrorMessage="1" errorTitle="Room Height" error="Please enter a value between 2.0 and 5.0" sqref="E19" xr:uid="{00000000-0002-0000-0000-000003000000}">
      <formula1>2</formula1>
      <formula2>7</formula2>
    </dataValidation>
  </dataValidations>
  <hyperlinks>
    <hyperlink ref="I53:M53" r:id="rId1" display="click here to see product on smartair.asia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Visio.Drawing.15" shapeId="1375" r:id="rId5">
          <objectPr defaultSize="0" autoPict="0" r:id="rId6">
            <anchor moveWithCells="1">
              <from>
                <xdr:col>14</xdr:col>
                <xdr:colOff>257175</xdr:colOff>
                <xdr:row>27</xdr:row>
                <xdr:rowOff>123825</xdr:rowOff>
              </from>
              <to>
                <xdr:col>19</xdr:col>
                <xdr:colOff>704850</xdr:colOff>
                <xdr:row>38</xdr:row>
                <xdr:rowOff>19050</xdr:rowOff>
              </to>
            </anchor>
          </objectPr>
        </oleObject>
      </mc:Choice>
      <mc:Fallback>
        <oleObject progId="Visio.Drawing.15" shapeId="1375" r:id="rId5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7" name="Option Button 12">
              <controlPr defaultSize="0" autoFill="0" autoLine="0" autoPict="0">
                <anchor moveWithCells="1">
                  <from>
                    <xdr:col>12</xdr:col>
                    <xdr:colOff>47625</xdr:colOff>
                    <xdr:row>11</xdr:row>
                    <xdr:rowOff>28575</xdr:rowOff>
                  </from>
                  <to>
                    <xdr:col>13</xdr:col>
                    <xdr:colOff>85725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Option Button 13">
              <controlPr defaultSize="0" autoFill="0" autoLine="0" autoPict="0">
                <anchor moveWithCells="1">
                  <from>
                    <xdr:col>12</xdr:col>
                    <xdr:colOff>57150</xdr:colOff>
                    <xdr:row>12</xdr:row>
                    <xdr:rowOff>28575</xdr:rowOff>
                  </from>
                  <to>
                    <xdr:col>13</xdr:col>
                    <xdr:colOff>114300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9" name="Group Box 53">
              <controlPr defaultSize="0" autoFill="0" autoPict="0">
                <anchor moveWithCells="1">
                  <from>
                    <xdr:col>4</xdr:col>
                    <xdr:colOff>581025</xdr:colOff>
                    <xdr:row>7</xdr:row>
                    <xdr:rowOff>200025</xdr:rowOff>
                  </from>
                  <to>
                    <xdr:col>7</xdr:col>
                    <xdr:colOff>447675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0" name="Option Button 54">
              <controlPr defaultSize="0" autoFill="0" autoLine="0" autoPict="0">
                <anchor moveWithCells="1">
                  <from>
                    <xdr:col>5</xdr:col>
                    <xdr:colOff>190500</xdr:colOff>
                    <xdr:row>8</xdr:row>
                    <xdr:rowOff>47625</xdr:rowOff>
                  </from>
                  <to>
                    <xdr:col>5</xdr:col>
                    <xdr:colOff>533400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1" name="Option Button 56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57150</xdr:rowOff>
                  </from>
                  <to>
                    <xdr:col>6</xdr:col>
                    <xdr:colOff>285750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12" name="Group Box diffuser loc">
              <controlPr defaultSize="0" autoFill="0" autoPict="0">
                <anchor moveWithCells="1">
                  <from>
                    <xdr:col>11</xdr:col>
                    <xdr:colOff>428625</xdr:colOff>
                    <xdr:row>10</xdr:row>
                    <xdr:rowOff>161925</xdr:rowOff>
                  </from>
                  <to>
                    <xdr:col>16</xdr:col>
                    <xdr:colOff>190500</xdr:colOff>
                    <xdr:row>13</xdr:row>
                    <xdr:rowOff>95250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545EA01-85E7-4EEF-808F-0B688902C6D3}">
            <xm:f>'BAW-FD equations'!$J$337</xm:f>
            <x14:dxf>
              <font>
                <color rgb="FFC00000"/>
              </font>
            </x14:dxf>
          </x14:cfRule>
          <xm:sqref>E17</xm:sqref>
        </x14:conditionalFormatting>
        <x14:conditionalFormatting xmlns:xm="http://schemas.microsoft.com/office/excel/2006/main">
          <x14:cfRule type="expression" priority="8" id="{C4D49F0A-96F6-415C-977F-735441FCEFB0}">
            <xm:f>'BAW-FD equations'!$B$342</xm:f>
            <x14:dxf>
              <fill>
                <patternFill>
                  <bgColor theme="0" tint="-0.14996795556505021"/>
                </patternFill>
              </fill>
            </x14:dxf>
          </x14:cfRule>
          <xm:sqref>G28:G48</xm:sqref>
        </x14:conditionalFormatting>
        <x14:conditionalFormatting xmlns:xm="http://schemas.microsoft.com/office/excel/2006/main">
          <x14:cfRule type="expression" priority="33" id="{8F14D191-CEA6-45E1-84D8-2F4204CBDB9D}">
            <xm:f>'BAW-FD equations'!C$331</xm:f>
            <x14:dxf>
              <font>
                <color rgb="FFC00000"/>
              </font>
            </x14:dxf>
          </x14:cfRule>
          <xm:sqref>G31:N31 G36:N37</xm:sqref>
        </x14:conditionalFormatting>
        <x14:conditionalFormatting xmlns:xm="http://schemas.microsoft.com/office/excel/2006/main">
          <x14:cfRule type="expression" priority="32" id="{21C5C552-6772-4F09-B4A8-CEB088940620}">
            <xm:f>'BAW-FD equations'!B$332</xm:f>
            <x14:dxf>
              <font>
                <color rgb="FFC00000"/>
              </font>
            </x14:dxf>
          </x14:cfRule>
          <xm:sqref>G33:N33 G35:N35</xm:sqref>
        </x14:conditionalFormatting>
        <x14:conditionalFormatting xmlns:xm="http://schemas.microsoft.com/office/excel/2006/main">
          <x14:cfRule type="expression" priority="16" id="{2F236C7D-D406-48A0-8DB5-D177D61ED04B}">
            <xm:f>'BAW-FD equations'!B$327</xm:f>
            <x14:dxf>
              <font>
                <color rgb="FFC00000"/>
              </font>
            </x14:dxf>
          </x14:cfRule>
          <xm:sqref>G36:N37</xm:sqref>
        </x14:conditionalFormatting>
        <x14:conditionalFormatting xmlns:xm="http://schemas.microsoft.com/office/excel/2006/main">
          <x14:cfRule type="expression" priority="325" id="{FDE797E0-3C78-4926-9CCE-DF42FEE02ECD}">
            <xm:f>('BAW-FD equations'!B$329="R")</xm:f>
            <x14:dxf>
              <font>
                <color rgb="FFC00000"/>
              </font>
            </x14:dxf>
          </x14:cfRule>
          <x14:cfRule type="expression" priority="326" id="{C777C014-9AF8-464B-95C9-A323A03A39AC}">
            <xm:f>('BAW-FD equations'!B$329="A")</xm:f>
            <x14:dxf>
              <font>
                <color rgb="FFFF6600"/>
              </font>
            </x14:dxf>
          </x14:cfRule>
          <xm:sqref>G39:N40</xm:sqref>
        </x14:conditionalFormatting>
        <x14:conditionalFormatting xmlns:xm="http://schemas.microsoft.com/office/excel/2006/main">
          <x14:cfRule type="expression" priority="296" id="{F16FC4FB-20C0-4EBD-A2A0-100603BC4BD8}">
            <xm:f>'BAW-FD equations'!B$333</xm:f>
            <x14:dxf>
              <font>
                <color rgb="FFC00000"/>
              </font>
            </x14:dxf>
          </x14:cfRule>
          <xm:sqref>G41:N44</xm:sqref>
        </x14:conditionalFormatting>
        <x14:conditionalFormatting xmlns:xm="http://schemas.microsoft.com/office/excel/2006/main">
          <x14:cfRule type="expression" priority="6" id="{73DD5DFE-9C39-4904-AF9A-D31BA84ABFE8}">
            <xm:f>('BAW-FD equations'!B$336="A")</xm:f>
            <x14:dxf>
              <font>
                <color rgb="FFFF6600"/>
              </font>
            </x14:dxf>
          </x14:cfRule>
          <x14:cfRule type="expression" priority="7" id="{CF1F3E80-B881-445F-ADAC-BF38ADEBAD9C}">
            <xm:f>('BAW-FD equations'!B$336="R")</xm:f>
            <x14:dxf>
              <font>
                <color rgb="FFC00000"/>
              </font>
            </x14:dxf>
          </x14:cfRule>
          <xm:sqref>G46:N46</xm:sqref>
        </x14:conditionalFormatting>
        <x14:conditionalFormatting xmlns:xm="http://schemas.microsoft.com/office/excel/2006/main">
          <x14:cfRule type="expression" priority="9" id="{6F045EA2-71C1-41F5-9EBF-AD572B1E9D24}">
            <xm:f>'BAW-FD equations'!$C$342</xm:f>
            <x14:dxf>
              <fill>
                <patternFill>
                  <bgColor theme="0" tint="-0.14996795556505021"/>
                </patternFill>
              </fill>
            </x14:dxf>
          </x14:cfRule>
          <xm:sqref>H28:H48</xm:sqref>
        </x14:conditionalFormatting>
        <x14:conditionalFormatting xmlns:xm="http://schemas.microsoft.com/office/excel/2006/main">
          <x14:cfRule type="expression" priority="10" id="{F643F80B-59A1-40AF-BAFF-94D9332B39BC}">
            <xm:f>'BAW-FD equations'!$D$342</xm:f>
            <x14:dxf>
              <fill>
                <patternFill>
                  <bgColor theme="0" tint="-0.14996795556505021"/>
                </patternFill>
              </fill>
            </x14:dxf>
          </x14:cfRule>
          <xm:sqref>I28:I48</xm:sqref>
        </x14:conditionalFormatting>
        <x14:conditionalFormatting xmlns:xm="http://schemas.microsoft.com/office/excel/2006/main">
          <x14:cfRule type="expression" priority="11" id="{AA08C9A4-16D9-4394-9529-01A61D0E7439}">
            <xm:f>'BAW-FD equations'!$E$342</xm:f>
            <x14:dxf>
              <fill>
                <patternFill>
                  <bgColor theme="0" tint="-0.14996795556505021"/>
                </patternFill>
              </fill>
            </x14:dxf>
          </x14:cfRule>
          <xm:sqref>J28:J48</xm:sqref>
        </x14:conditionalFormatting>
        <x14:conditionalFormatting xmlns:xm="http://schemas.microsoft.com/office/excel/2006/main">
          <x14:cfRule type="expression" priority="12" id="{31D73B6B-9AF2-4FB6-AB41-AFBFF8046F9B}">
            <xm:f>'BAW-FD equations'!$F$342</xm:f>
            <x14:dxf>
              <fill>
                <patternFill>
                  <bgColor theme="0" tint="-0.14996795556505021"/>
                </patternFill>
              </fill>
            </x14:dxf>
          </x14:cfRule>
          <xm:sqref>K28:K48</xm:sqref>
        </x14:conditionalFormatting>
        <x14:conditionalFormatting xmlns:xm="http://schemas.microsoft.com/office/excel/2006/main">
          <x14:cfRule type="expression" priority="13" id="{E0985CCA-EB72-43A8-829F-D51C7B172076}">
            <xm:f>'BAW-FD equations'!$G$342</xm:f>
            <x14:dxf>
              <fill>
                <patternFill>
                  <bgColor theme="0" tint="-0.14996795556505021"/>
                </patternFill>
              </fill>
            </x14:dxf>
          </x14:cfRule>
          <xm:sqref>L28:L48</xm:sqref>
        </x14:conditionalFormatting>
        <x14:conditionalFormatting xmlns:xm="http://schemas.microsoft.com/office/excel/2006/main">
          <x14:cfRule type="expression" priority="14" id="{6DEBE43A-27C0-4E86-A747-5DF597978B2D}">
            <xm:f>'BAW-FD equations'!$H$342</xm:f>
            <x14:dxf>
              <fill>
                <patternFill>
                  <bgColor theme="0" tint="-0.14996795556505021"/>
                </patternFill>
              </fill>
            </x14:dxf>
          </x14:cfRule>
          <xm:sqref>M28:M48</xm:sqref>
        </x14:conditionalFormatting>
        <x14:conditionalFormatting xmlns:xm="http://schemas.microsoft.com/office/excel/2006/main">
          <x14:cfRule type="expression" priority="15" id="{8B3430D5-50D7-4E46-8DC7-510B4886BEAF}">
            <xm:f>'BAW-FD equations'!$I$342</xm:f>
            <x14:dxf>
              <font>
                <strike val="0"/>
              </font>
              <fill>
                <patternFill>
                  <bgColor theme="0" tint="-0.14996795556505021"/>
                </patternFill>
              </fill>
            </x14:dxf>
          </x14:cfRule>
          <xm:sqref>N28:N48</xm:sqref>
        </x14:conditionalFormatting>
        <x14:conditionalFormatting xmlns:xm="http://schemas.microsoft.com/office/excel/2006/main">
          <x14:cfRule type="expression" priority="2" id="{A4257C95-3A32-4A28-8CFE-38DD63B73F73}">
            <xm:f>(data!$D$175="R")</xm:f>
            <x14:dxf>
              <font>
                <color rgb="FFC00000"/>
              </font>
            </x14:dxf>
          </x14:cfRule>
          <x14:cfRule type="expression" priority="3" id="{C774AFB2-7AEF-4D16-95CA-A0561B5752DF}">
            <xm:f>(data!$D$175="A")</xm:f>
            <x14:dxf>
              <font>
                <color rgb="FFFF6600"/>
              </font>
            </x14:dxf>
          </x14:cfRule>
          <xm:sqref>O46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D3C0D5A-B8CD-42D9-8E1D-268B844E1564}">
          <x14:formula1>
            <xm:f>data!$A$19:$A$23</xm:f>
          </x14:formula1>
          <xm:sqref>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C352"/>
  <sheetViews>
    <sheetView topLeftCell="A44" zoomScaleNormal="100" workbookViewId="0">
      <selection activeCell="A156" sqref="A156:BC156"/>
    </sheetView>
  </sheetViews>
  <sheetFormatPr defaultRowHeight="15" x14ac:dyDescent="0.25"/>
  <cols>
    <col min="1" max="1" width="35.5703125" customWidth="1"/>
    <col min="2" max="2" width="13.28515625" customWidth="1"/>
    <col min="3" max="4" width="10.85546875" customWidth="1"/>
    <col min="5" max="5" width="11.28515625" customWidth="1"/>
    <col min="6" max="6" width="11.5703125" customWidth="1"/>
    <col min="7" max="7" width="10.28515625" bestFit="1" customWidth="1"/>
    <col min="8" max="9" width="15.85546875" customWidth="1"/>
    <col min="10" max="10" width="9" customWidth="1"/>
    <col min="12" max="12" width="11" customWidth="1"/>
    <col min="13" max="13" width="11.7109375" bestFit="1" customWidth="1"/>
    <col min="14" max="14" width="10.7109375" customWidth="1"/>
    <col min="15" max="15" width="33.7109375" customWidth="1"/>
    <col min="16" max="16" width="9.7109375" customWidth="1"/>
    <col min="22" max="22" width="33.7109375" bestFit="1" customWidth="1"/>
    <col min="23" max="23" width="11.28515625" bestFit="1" customWidth="1"/>
    <col min="29" max="29" width="33.7109375" bestFit="1" customWidth="1"/>
    <col min="30" max="30" width="11.28515625" bestFit="1" customWidth="1"/>
    <col min="36" max="36" width="29.85546875" bestFit="1" customWidth="1"/>
    <col min="43" max="43" width="29.85546875" bestFit="1" customWidth="1"/>
    <col min="44" max="44" width="9.28515625" bestFit="1" customWidth="1"/>
    <col min="50" max="50" width="29.85546875" bestFit="1" customWidth="1"/>
  </cols>
  <sheetData>
    <row r="1" spans="1:7" ht="20.25" thickBot="1" x14ac:dyDescent="0.35">
      <c r="A1" s="2" t="s">
        <v>102</v>
      </c>
    </row>
    <row r="2" spans="1:7" ht="15.75" thickTop="1" x14ac:dyDescent="0.25"/>
    <row r="3" spans="1:7" x14ac:dyDescent="0.25">
      <c r="A3" t="s">
        <v>102</v>
      </c>
      <c r="B3">
        <v>1</v>
      </c>
      <c r="C3" t="str">
        <f>IF(B3=1,"[L/s]","[m³/h]")</f>
        <v>[L/s]</v>
      </c>
      <c r="D3" t="str">
        <f>IF(B3=1,"L/s","m³/h")</f>
        <v>L/s</v>
      </c>
    </row>
    <row r="4" spans="1:7" x14ac:dyDescent="0.25">
      <c r="A4" t="s">
        <v>103</v>
      </c>
      <c r="B4">
        <f>IF(B3=1,1,3.6)</f>
        <v>1</v>
      </c>
      <c r="C4" t="str">
        <f>IF(B4=1,"L/s","m³/h")</f>
        <v>L/s</v>
      </c>
      <c r="D4" t="str">
        <f>IF(B3=1,"L/s","m³/h")</f>
        <v>L/s</v>
      </c>
    </row>
    <row r="6" spans="1:7" ht="20.25" thickBot="1" x14ac:dyDescent="0.35">
      <c r="A6" s="2" t="s">
        <v>10</v>
      </c>
    </row>
    <row r="7" spans="1:7" ht="15.75" thickTop="1" x14ac:dyDescent="0.25"/>
    <row r="8" spans="1:7" x14ac:dyDescent="0.25">
      <c r="A8" t="s">
        <v>1</v>
      </c>
      <c r="B8">
        <f>'BAW-FD'!E9</f>
        <v>100</v>
      </c>
    </row>
    <row r="9" spans="1:7" x14ac:dyDescent="0.25">
      <c r="A9" t="s">
        <v>2</v>
      </c>
      <c r="B9">
        <f>'BAW-FD'!E11</f>
        <v>100</v>
      </c>
      <c r="G9" s="6"/>
    </row>
    <row r="10" spans="1:7" x14ac:dyDescent="0.25">
      <c r="A10" t="s">
        <v>306</v>
      </c>
      <c r="B10">
        <f>'BAW-FD'!E13</f>
        <v>15</v>
      </c>
    </row>
    <row r="11" spans="1:7" x14ac:dyDescent="0.25">
      <c r="A11" t="s">
        <v>11</v>
      </c>
      <c r="B11">
        <f>'BAW-FD'!E15</f>
        <v>-12</v>
      </c>
    </row>
    <row r="12" spans="1:7" x14ac:dyDescent="0.25">
      <c r="A12" t="s">
        <v>4</v>
      </c>
      <c r="B12">
        <f>'BAW-FD'!E19</f>
        <v>2.5</v>
      </c>
    </row>
    <row r="13" spans="1:7" x14ac:dyDescent="0.25">
      <c r="A13" t="s">
        <v>14</v>
      </c>
      <c r="B13">
        <f>'BAW-FD'!Z14</f>
        <v>0</v>
      </c>
    </row>
    <row r="14" spans="1:7" x14ac:dyDescent="0.25">
      <c r="A14" t="s">
        <v>7</v>
      </c>
      <c r="B14" s="23">
        <v>1</v>
      </c>
    </row>
    <row r="15" spans="1:7" x14ac:dyDescent="0.25">
      <c r="A15" t="s">
        <v>96</v>
      </c>
      <c r="B15">
        <f>'BAW-FD'!N20/B4</f>
        <v>0</v>
      </c>
    </row>
    <row r="16" spans="1:7" x14ac:dyDescent="0.25">
      <c r="A16" t="s">
        <v>292</v>
      </c>
      <c r="B16">
        <f>'BAW-FD'!$E$17</f>
        <v>150</v>
      </c>
    </row>
    <row r="17" spans="1:3" x14ac:dyDescent="0.25">
      <c r="A17" t="s">
        <v>9</v>
      </c>
      <c r="B17">
        <f>'BAW-FD'!M9</f>
        <v>0.8</v>
      </c>
    </row>
    <row r="18" spans="1:3" x14ac:dyDescent="0.25">
      <c r="A18" t="s">
        <v>48</v>
      </c>
      <c r="B18" t="e">
        <f>'BAW-FD'!#REF!</f>
        <v>#REF!</v>
      </c>
    </row>
    <row r="19" spans="1:3" x14ac:dyDescent="0.25">
      <c r="A19" t="s">
        <v>45</v>
      </c>
      <c r="B19" s="23">
        <v>1</v>
      </c>
    </row>
    <row r="20" spans="1:3" x14ac:dyDescent="0.25">
      <c r="A20" t="s">
        <v>79</v>
      </c>
      <c r="B20" t="e">
        <f>'BAW-FD'!#REF!</f>
        <v>#REF!</v>
      </c>
      <c r="C20" t="s">
        <v>62</v>
      </c>
    </row>
    <row r="21" spans="1:3" x14ac:dyDescent="0.25">
      <c r="A21" t="s">
        <v>87</v>
      </c>
      <c r="B21">
        <f>'BAW-FD'!N18</f>
        <v>0</v>
      </c>
      <c r="C21" t="s">
        <v>85</v>
      </c>
    </row>
    <row r="22" spans="1:3" x14ac:dyDescent="0.25">
      <c r="A22" t="s">
        <v>95</v>
      </c>
      <c r="B22">
        <v>1</v>
      </c>
    </row>
    <row r="25" spans="1:3" ht="20.25" thickBot="1" x14ac:dyDescent="0.35">
      <c r="A25" s="2" t="s">
        <v>12</v>
      </c>
    </row>
    <row r="26" spans="1:3" ht="15.75" thickTop="1" x14ac:dyDescent="0.25"/>
    <row r="27" spans="1:3" x14ac:dyDescent="0.25">
      <c r="A27" t="s">
        <v>1</v>
      </c>
      <c r="B27">
        <f>B8/B4</f>
        <v>100</v>
      </c>
    </row>
    <row r="28" spans="1:3" x14ac:dyDescent="0.25">
      <c r="A28" t="s">
        <v>2</v>
      </c>
      <c r="B28">
        <f>B9/100</f>
        <v>1</v>
      </c>
    </row>
    <row r="29" spans="1:3" x14ac:dyDescent="0.25">
      <c r="A29" t="s">
        <v>170</v>
      </c>
      <c r="B29">
        <f>B27*B28</f>
        <v>100</v>
      </c>
    </row>
    <row r="30" spans="1:3" x14ac:dyDescent="0.25">
      <c r="A30" t="s">
        <v>306</v>
      </c>
      <c r="B30">
        <f>B10</f>
        <v>15</v>
      </c>
    </row>
    <row r="31" spans="1:3" x14ac:dyDescent="0.25">
      <c r="A31" t="s">
        <v>11</v>
      </c>
      <c r="B31">
        <f>MAX(ABS(B11),6)</f>
        <v>12</v>
      </c>
      <c r="C31" t="s">
        <v>403</v>
      </c>
    </row>
    <row r="32" spans="1:3" x14ac:dyDescent="0.25">
      <c r="A32" t="s">
        <v>4</v>
      </c>
      <c r="B32">
        <f>B12</f>
        <v>2.5</v>
      </c>
    </row>
    <row r="33" spans="1:14" x14ac:dyDescent="0.25">
      <c r="A33" t="s">
        <v>14</v>
      </c>
      <c r="B33">
        <f>B13</f>
        <v>0</v>
      </c>
    </row>
    <row r="34" spans="1:14" x14ac:dyDescent="0.25">
      <c r="A34" t="s">
        <v>7</v>
      </c>
      <c r="B34">
        <f>B14</f>
        <v>1</v>
      </c>
    </row>
    <row r="36" spans="1:14" x14ac:dyDescent="0.25">
      <c r="A36" t="s">
        <v>9</v>
      </c>
      <c r="B36" s="11">
        <f>B17</f>
        <v>0.8</v>
      </c>
    </row>
    <row r="37" spans="1:14" x14ac:dyDescent="0.25">
      <c r="A37" t="s">
        <v>80</v>
      </c>
      <c r="B37" s="64">
        <f>VLOOKUP('BAW-FD equations'!B36,data!A2:B5,2,0)</f>
        <v>0.28999999999999998</v>
      </c>
    </row>
    <row r="38" spans="1:14" x14ac:dyDescent="0.25">
      <c r="A38" t="s">
        <v>48</v>
      </c>
      <c r="B38" s="11" t="e">
        <f>(1+B18/100)</f>
        <v>#REF!</v>
      </c>
    </row>
    <row r="39" spans="1:14" x14ac:dyDescent="0.25">
      <c r="A39" t="s">
        <v>47</v>
      </c>
      <c r="B39" s="14">
        <f>B19-1</f>
        <v>0</v>
      </c>
      <c r="C39" t="str">
        <f>IF(B39=0,"Closed","Free")</f>
        <v>Closed</v>
      </c>
    </row>
    <row r="40" spans="1:14" x14ac:dyDescent="0.25">
      <c r="A40" t="s">
        <v>49</v>
      </c>
      <c r="B40">
        <f>IF(B39=1,0.5,1)</f>
        <v>1</v>
      </c>
    </row>
    <row r="41" spans="1:14" x14ac:dyDescent="0.25">
      <c r="A41" t="s">
        <v>50</v>
      </c>
      <c r="B41">
        <f>IF(B39=1,1,1)</f>
        <v>1</v>
      </c>
    </row>
    <row r="42" spans="1:14" x14ac:dyDescent="0.25">
      <c r="A42" t="s">
        <v>147</v>
      </c>
      <c r="B42" s="6">
        <f>IF($B$39=1,0.85,1)</f>
        <v>1</v>
      </c>
    </row>
    <row r="43" spans="1:14" x14ac:dyDescent="0.25">
      <c r="A43" t="s">
        <v>148</v>
      </c>
      <c r="B43" s="6">
        <f>IF($B$39=1,0.8,1)</f>
        <v>1</v>
      </c>
    </row>
    <row r="44" spans="1:14" x14ac:dyDescent="0.25">
      <c r="B44" s="6"/>
    </row>
    <row r="45" spans="1:14" ht="20.25" thickBot="1" x14ac:dyDescent="0.35">
      <c r="A45" s="2" t="s">
        <v>359</v>
      </c>
      <c r="B45" s="6"/>
    </row>
    <row r="46" spans="1:14" ht="15.75" thickTop="1" x14ac:dyDescent="0.25">
      <c r="A46" s="172" t="s">
        <v>285</v>
      </c>
      <c r="B46" s="157">
        <f>$B$16/1000</f>
        <v>0.15</v>
      </c>
      <c r="G46" s="275" t="s">
        <v>333</v>
      </c>
      <c r="H46" s="275"/>
      <c r="I46" s="275"/>
      <c r="J46" s="275"/>
      <c r="K46" s="275"/>
      <c r="L46" s="275"/>
    </row>
    <row r="47" spans="1:14" x14ac:dyDescent="0.25">
      <c r="A47" s="164" t="s">
        <v>322</v>
      </c>
      <c r="B47" s="205">
        <v>2.5</v>
      </c>
      <c r="C47" s="275" t="s">
        <v>330</v>
      </c>
      <c r="D47" s="275"/>
      <c r="E47" s="275" t="s">
        <v>332</v>
      </c>
      <c r="F47" s="275"/>
      <c r="G47" s="279" t="s">
        <v>266</v>
      </c>
      <c r="H47" s="281" t="s">
        <v>334</v>
      </c>
      <c r="I47" s="281" t="s">
        <v>90</v>
      </c>
      <c r="J47" s="278" t="s">
        <v>166</v>
      </c>
      <c r="K47" s="278"/>
      <c r="L47" s="281" t="s">
        <v>320</v>
      </c>
    </row>
    <row r="48" spans="1:14" x14ac:dyDescent="0.25">
      <c r="A48" s="151"/>
      <c r="B48" s="152" t="s">
        <v>318</v>
      </c>
      <c r="C48" s="152" t="s">
        <v>90</v>
      </c>
      <c r="D48" s="152" t="s">
        <v>331</v>
      </c>
      <c r="E48" s="152" t="s">
        <v>319</v>
      </c>
      <c r="F48" s="152" t="s">
        <v>90</v>
      </c>
      <c r="G48" s="280"/>
      <c r="H48" s="282"/>
      <c r="I48" s="282"/>
      <c r="J48" s="204" t="s">
        <v>377</v>
      </c>
      <c r="K48" s="204" t="s">
        <v>409</v>
      </c>
      <c r="L48" s="282"/>
      <c r="M48" s="6"/>
      <c r="N48" s="6"/>
    </row>
    <row r="49" spans="1:12" x14ac:dyDescent="0.25">
      <c r="A49" s="151" t="s">
        <v>312</v>
      </c>
      <c r="B49" s="152">
        <v>0.15</v>
      </c>
      <c r="C49" s="166">
        <f>PI()*(B49/2)^2</f>
        <v>1.7671458676442587E-2</v>
      </c>
      <c r="D49" s="157">
        <f>PI()*B49</f>
        <v>0.47123889803846897</v>
      </c>
      <c r="E49" s="157">
        <f>(D49-PI()*$B$46)/2</f>
        <v>0</v>
      </c>
      <c r="F49" s="166">
        <f>PI()*($B$46/2)^2 + $B$46*E49</f>
        <v>1.7671458676442587E-2</v>
      </c>
      <c r="G49" s="165" t="str">
        <f>IF(E49&gt;0,"OVAL","ROUND")</f>
        <v>ROUND</v>
      </c>
      <c r="H49" s="157">
        <f>IF(E49&gt;0,E49+$B$46,B49)</f>
        <v>0.15</v>
      </c>
      <c r="I49" s="166">
        <f>IF(E49&gt;0,F49,C49)</f>
        <v>1.7671458676442587E-2</v>
      </c>
      <c r="J49" s="157">
        <f>($B$27/1000)/I49</f>
        <v>5.6588424210451675</v>
      </c>
      <c r="K49" s="157">
        <f>($B$29/1000)/I49</f>
        <v>5.6588424210451675</v>
      </c>
      <c r="L49" s="157">
        <f>ABS(J49-$B$47)</f>
        <v>3.1588424210451675</v>
      </c>
    </row>
    <row r="50" spans="1:12" x14ac:dyDescent="0.25">
      <c r="A50" s="151" t="s">
        <v>313</v>
      </c>
      <c r="B50" s="152">
        <v>0.2</v>
      </c>
      <c r="C50" s="166">
        <f t="shared" ref="C50:C53" si="0">PI()*(B50/2)^2</f>
        <v>3.1415926535897934E-2</v>
      </c>
      <c r="D50" s="157">
        <f>PI()*B50</f>
        <v>0.62831853071795862</v>
      </c>
      <c r="E50" s="157">
        <f>(D50-PI()*$B$46)/2</f>
        <v>7.8539816339744828E-2</v>
      </c>
      <c r="F50" s="166">
        <f>PI()*($B$46/2)^2 + $B$46*E50</f>
        <v>2.945243112740431E-2</v>
      </c>
      <c r="G50" s="165" t="str">
        <f t="shared" ref="G50:G53" si="1">IF(E50&gt;0,"OVAL","ROUND")</f>
        <v>OVAL</v>
      </c>
      <c r="H50" s="157">
        <f>IF(E50&gt;0,E50+$B$46,B50)</f>
        <v>0.22853981633974482</v>
      </c>
      <c r="I50" s="166">
        <f t="shared" ref="I50:I53" si="2">IF(E50&gt;0,F50,C50)</f>
        <v>2.945243112740431E-2</v>
      </c>
      <c r="J50" s="157">
        <f t="shared" ref="J50:J53" si="3">($B$27/1000)/I50</f>
        <v>3.3953054526271007</v>
      </c>
      <c r="K50" s="157">
        <f t="shared" ref="K50:K53" si="4">($B$29/1000)/I50</f>
        <v>3.3953054526271007</v>
      </c>
      <c r="L50" s="157">
        <f>ABS(J50-$B$47)</f>
        <v>0.89530545262710071</v>
      </c>
    </row>
    <row r="51" spans="1:12" x14ac:dyDescent="0.25">
      <c r="A51" s="151" t="s">
        <v>314</v>
      </c>
      <c r="B51" s="152">
        <v>0.25</v>
      </c>
      <c r="C51" s="166">
        <f t="shared" si="0"/>
        <v>4.9087385212340517E-2</v>
      </c>
      <c r="D51" s="157">
        <f>PI()*B51</f>
        <v>0.78539816339744828</v>
      </c>
      <c r="E51" s="157">
        <f>(D51-PI()*$B$46)/2</f>
        <v>0.15707963267948966</v>
      </c>
      <c r="F51" s="166">
        <f>PI()*($B$46/2)^2 + $B$46*E51</f>
        <v>4.1233403578366037E-2</v>
      </c>
      <c r="G51" s="165" t="str">
        <f t="shared" si="1"/>
        <v>OVAL</v>
      </c>
      <c r="H51" s="157">
        <f>IF(E51&gt;0,E51+$B$46,B51)</f>
        <v>0.30707963267948968</v>
      </c>
      <c r="I51" s="166">
        <f t="shared" si="2"/>
        <v>4.1233403578366037E-2</v>
      </c>
      <c r="J51" s="157">
        <f t="shared" si="3"/>
        <v>2.4252181804479291</v>
      </c>
      <c r="K51" s="157">
        <f t="shared" si="4"/>
        <v>2.4252181804479291</v>
      </c>
      <c r="L51" s="157">
        <f>ABS(J51-$B$47)</f>
        <v>7.4781819552070861E-2</v>
      </c>
    </row>
    <row r="52" spans="1:12" x14ac:dyDescent="0.25">
      <c r="A52" s="151" t="s">
        <v>315</v>
      </c>
      <c r="B52" s="152">
        <v>0.3</v>
      </c>
      <c r="C52" s="166">
        <f t="shared" si="0"/>
        <v>7.0685834705770348E-2</v>
      </c>
      <c r="D52" s="157">
        <f>PI()*B52</f>
        <v>0.94247779607693793</v>
      </c>
      <c r="E52" s="157">
        <f>(D52-PI()*$B$46)/2</f>
        <v>0.23561944901923448</v>
      </c>
      <c r="F52" s="166">
        <f>PI()*($B$46/2)^2 + $B$46*E52</f>
        <v>5.3014376029327764E-2</v>
      </c>
      <c r="G52" s="165" t="str">
        <f t="shared" si="1"/>
        <v>OVAL</v>
      </c>
      <c r="H52" s="157">
        <f>IF(E52&gt;0,E52+$B$46,B52)</f>
        <v>0.38561944901923451</v>
      </c>
      <c r="I52" s="166">
        <f t="shared" si="2"/>
        <v>5.3014376029327764E-2</v>
      </c>
      <c r="J52" s="157">
        <f t="shared" si="3"/>
        <v>1.8862808070150558</v>
      </c>
      <c r="K52" s="157">
        <f t="shared" si="4"/>
        <v>1.8862808070150558</v>
      </c>
      <c r="L52" s="157">
        <f>ABS(J52-$B$47)</f>
        <v>0.61371919298494415</v>
      </c>
    </row>
    <row r="53" spans="1:12" x14ac:dyDescent="0.25">
      <c r="A53" s="151" t="s">
        <v>316</v>
      </c>
      <c r="B53" s="152">
        <v>0.35</v>
      </c>
      <c r="C53" s="166">
        <f t="shared" si="0"/>
        <v>9.6211275016187398E-2</v>
      </c>
      <c r="D53" s="157">
        <f>PI()*B53</f>
        <v>1.0995574287564276</v>
      </c>
      <c r="E53" s="157">
        <f>(D53-PI()*$B$46)/2</f>
        <v>0.31415926535897931</v>
      </c>
      <c r="F53" s="166">
        <f>PI()*($B$46/2)^2 + $B$46*E53</f>
        <v>6.4795348480289477E-2</v>
      </c>
      <c r="G53" s="165" t="str">
        <f t="shared" si="1"/>
        <v>OVAL</v>
      </c>
      <c r="H53" s="157">
        <f>IF(E53&gt;0,E53+$B$46,B53)</f>
        <v>0.46415926535897933</v>
      </c>
      <c r="I53" s="166">
        <f t="shared" si="2"/>
        <v>6.4795348480289477E-2</v>
      </c>
      <c r="J53" s="157">
        <f t="shared" si="3"/>
        <v>1.543320660285046</v>
      </c>
      <c r="K53" s="157">
        <f t="shared" si="4"/>
        <v>1.543320660285046</v>
      </c>
      <c r="L53" s="157">
        <f>ABS(J53-$B$47)</f>
        <v>0.956679339714954</v>
      </c>
    </row>
    <row r="54" spans="1:12" x14ac:dyDescent="0.25">
      <c r="B54" s="6"/>
    </row>
    <row r="55" spans="1:12" ht="19.5" x14ac:dyDescent="0.3">
      <c r="A55" s="287" t="s">
        <v>143</v>
      </c>
    </row>
    <row r="56" spans="1:12" x14ac:dyDescent="0.25">
      <c r="A56" s="171">
        <v>0.95</v>
      </c>
      <c r="B56" s="158">
        <f>0.6725*A56-0.2053</f>
        <v>0.43357499999999993</v>
      </c>
    </row>
    <row r="57" spans="1:12" x14ac:dyDescent="0.25">
      <c r="A57" s="171">
        <v>0.9</v>
      </c>
      <c r="B57" s="158">
        <v>0.4</v>
      </c>
      <c r="G57">
        <v>0.9</v>
      </c>
      <c r="H57" s="1">
        <v>0.4</v>
      </c>
    </row>
    <row r="58" spans="1:12" x14ac:dyDescent="0.25">
      <c r="A58" s="171">
        <v>0.8</v>
      </c>
      <c r="B58" s="158">
        <f>0.6725*A58-0.2053</f>
        <v>0.3327</v>
      </c>
      <c r="G58">
        <v>0.7</v>
      </c>
      <c r="H58" s="4">
        <v>0.26550000000000001</v>
      </c>
    </row>
    <row r="59" spans="1:12" x14ac:dyDescent="0.25">
      <c r="A59" s="171">
        <v>0.7</v>
      </c>
      <c r="B59" s="158">
        <v>0.26550000000000001</v>
      </c>
    </row>
    <row r="60" spans="1:12" x14ac:dyDescent="0.25">
      <c r="A60" s="288">
        <f>B17</f>
        <v>0.8</v>
      </c>
      <c r="B60" s="289">
        <f>_xlfn.XLOOKUP(A60,A56:A59,B56:B59)</f>
        <v>0.3327</v>
      </c>
    </row>
    <row r="62" spans="1:12" ht="20.25" thickBot="1" x14ac:dyDescent="0.35">
      <c r="A62" s="2" t="s">
        <v>340</v>
      </c>
    </row>
    <row r="63" spans="1:12" ht="15.75" thickTop="1" x14ac:dyDescent="0.25">
      <c r="A63" s="97"/>
      <c r="B63" s="183"/>
      <c r="C63" s="183"/>
      <c r="D63" s="183"/>
      <c r="G63" s="97"/>
    </row>
    <row r="64" spans="1:12" x14ac:dyDescent="0.25">
      <c r="A64" s="152"/>
      <c r="B64" s="276" t="s">
        <v>358</v>
      </c>
      <c r="C64" s="276"/>
      <c r="D64" s="276"/>
    </row>
    <row r="65" spans="1:8" x14ac:dyDescent="0.25">
      <c r="A65" s="152" t="s">
        <v>337</v>
      </c>
      <c r="B65" s="174">
        <v>0.7</v>
      </c>
      <c r="C65" s="174">
        <v>0.8</v>
      </c>
      <c r="D65" s="174">
        <v>0.9</v>
      </c>
    </row>
    <row r="66" spans="1:8" x14ac:dyDescent="0.25">
      <c r="A66" s="152">
        <v>1</v>
      </c>
      <c r="B66" s="175">
        <v>1.5</v>
      </c>
      <c r="C66" s="175">
        <v>1.7</v>
      </c>
      <c r="D66" s="175">
        <v>2</v>
      </c>
    </row>
    <row r="67" spans="1:8" x14ac:dyDescent="0.25">
      <c r="A67" s="152">
        <v>3</v>
      </c>
      <c r="B67" s="175">
        <v>1.2</v>
      </c>
      <c r="C67" s="175">
        <v>1.3</v>
      </c>
      <c r="D67" s="175">
        <v>1.5</v>
      </c>
      <c r="F67" s="158" t="s">
        <v>9</v>
      </c>
      <c r="G67" s="152">
        <f>$B$17</f>
        <v>0.8</v>
      </c>
      <c r="H67" s="97"/>
    </row>
    <row r="68" spans="1:8" x14ac:dyDescent="0.25">
      <c r="A68" s="152" t="s">
        <v>85</v>
      </c>
      <c r="B68" s="176">
        <f>(B66-B67)/($A$66-$A$67)</f>
        <v>-0.15000000000000002</v>
      </c>
      <c r="C68" s="176">
        <f>(C66-C67)/($A$66-$A$67)</f>
        <v>-0.19999999999999996</v>
      </c>
      <c r="D68" s="176">
        <f>(D66-D67)/($A$66-$A$67)</f>
        <v>-0.25</v>
      </c>
      <c r="F68" s="158" t="s">
        <v>339</v>
      </c>
      <c r="G68" s="152">
        <f>HLOOKUP($G$67,$B$65:$D$69,4,TRUE)</f>
        <v>-0.19999999999999996</v>
      </c>
    </row>
    <row r="69" spans="1:8" x14ac:dyDescent="0.25">
      <c r="A69" s="152" t="s">
        <v>338</v>
      </c>
      <c r="B69" s="176">
        <f>B66-B68*$A$66</f>
        <v>1.65</v>
      </c>
      <c r="C69" s="176">
        <f>C66-C68*$A$66</f>
        <v>1.9</v>
      </c>
      <c r="D69" s="176">
        <f>D66-D68*$A$66</f>
        <v>2.25</v>
      </c>
      <c r="F69" s="158" t="s">
        <v>64</v>
      </c>
      <c r="G69" s="152">
        <f>HLOOKUP($G$67,$B$65:$D$69,5,TRUE)</f>
        <v>1.9</v>
      </c>
    </row>
    <row r="71" spans="1:8" x14ac:dyDescent="0.25">
      <c r="A71" t="s">
        <v>378</v>
      </c>
      <c r="B71" s="162">
        <v>0.9</v>
      </c>
      <c r="C71" s="133" t="s">
        <v>380</v>
      </c>
    </row>
    <row r="72" spans="1:8" x14ac:dyDescent="0.25">
      <c r="A72" s="164" t="s">
        <v>139</v>
      </c>
      <c r="B72" s="152" t="s">
        <v>140</v>
      </c>
      <c r="C72" s="152" t="s">
        <v>127</v>
      </c>
      <c r="D72" s="152" t="s">
        <v>141</v>
      </c>
    </row>
    <row r="73" spans="1:8" x14ac:dyDescent="0.25">
      <c r="A73" s="158">
        <v>2.7</v>
      </c>
      <c r="B73" s="152">
        <v>2886</v>
      </c>
      <c r="C73" s="152">
        <v>2.1520000000000001</v>
      </c>
      <c r="D73" s="157">
        <f>B73*$B$37^C73</f>
        <v>201.08367706171762</v>
      </c>
    </row>
    <row r="74" spans="1:8" x14ac:dyDescent="0.25">
      <c r="A74" s="158">
        <v>4</v>
      </c>
      <c r="B74" s="152">
        <v>2651</v>
      </c>
      <c r="C74" s="152">
        <v>2.1749999999999998</v>
      </c>
      <c r="D74" s="157">
        <f t="shared" ref="D74:D75" si="5">B74*$B$37^C74</f>
        <v>179.5251809593392</v>
      </c>
    </row>
    <row r="75" spans="1:8" x14ac:dyDescent="0.25">
      <c r="A75" s="158">
        <v>10.0001</v>
      </c>
      <c r="B75" s="152">
        <v>2317</v>
      </c>
      <c r="C75" s="152">
        <v>2.194</v>
      </c>
      <c r="D75" s="157">
        <f t="shared" si="5"/>
        <v>153.25944241394129</v>
      </c>
    </row>
    <row r="76" spans="1:8" x14ac:dyDescent="0.25">
      <c r="B76" s="152" t="s">
        <v>126</v>
      </c>
      <c r="C76" s="152" t="s">
        <v>127</v>
      </c>
      <c r="D76" s="97"/>
    </row>
    <row r="77" spans="1:8" x14ac:dyDescent="0.25">
      <c r="A77" s="158">
        <f>$B$32</f>
        <v>2.5</v>
      </c>
      <c r="B77" s="157">
        <f>EXP(INDEX(LINEST(LN(D73:D75),LN(A73:A75),,),1,2))</f>
        <v>242.13768745050987</v>
      </c>
      <c r="C77" s="165">
        <f>INDEX(LINEST(LN(D73:D75),LN(A73:A75),,),1)</f>
        <v>-0.20126491748913994</v>
      </c>
      <c r="D77" s="173">
        <f>B77*A77^C77</f>
        <v>201.35899146995291</v>
      </c>
      <c r="E77" s="158" t="s">
        <v>88</v>
      </c>
    </row>
    <row r="78" spans="1:8" x14ac:dyDescent="0.25">
      <c r="A78" s="164" t="s">
        <v>156</v>
      </c>
      <c r="B78" s="157">
        <f>$D$77/$B$31*B71</f>
        <v>15.101924360246469</v>
      </c>
      <c r="C78" s="152" t="s">
        <v>92</v>
      </c>
    </row>
    <row r="79" spans="1:8" x14ac:dyDescent="0.25">
      <c r="A79" s="164" t="s">
        <v>157</v>
      </c>
      <c r="B79" s="157">
        <f>B78+B80</f>
        <v>19.101924360246471</v>
      </c>
      <c r="C79" s="152" t="s">
        <v>92</v>
      </c>
    </row>
    <row r="80" spans="1:8" x14ac:dyDescent="0.25">
      <c r="A80" s="164" t="s">
        <v>160</v>
      </c>
      <c r="B80" s="152">
        <v>4</v>
      </c>
      <c r="C80" s="152"/>
    </row>
    <row r="82" spans="1:10" ht="20.25" thickBot="1" x14ac:dyDescent="0.35">
      <c r="A82" s="2" t="s">
        <v>341</v>
      </c>
    </row>
    <row r="83" spans="1:10" ht="15.75" thickTop="1" x14ac:dyDescent="0.25"/>
    <row r="84" spans="1:10" x14ac:dyDescent="0.25">
      <c r="A84" s="152"/>
      <c r="B84" s="276" t="s">
        <v>358</v>
      </c>
      <c r="C84" s="276"/>
      <c r="D84" s="276"/>
    </row>
    <row r="85" spans="1:10" x14ac:dyDescent="0.25">
      <c r="A85" s="152" t="s">
        <v>337</v>
      </c>
      <c r="B85" s="174">
        <v>0.7</v>
      </c>
      <c r="C85" s="174">
        <v>0.8</v>
      </c>
      <c r="D85" s="174">
        <v>0.9</v>
      </c>
    </row>
    <row r="86" spans="1:10" x14ac:dyDescent="0.25">
      <c r="A86" s="152">
        <v>1</v>
      </c>
      <c r="B86" s="175">
        <v>1.5</v>
      </c>
      <c r="C86" s="175">
        <v>1.7</v>
      </c>
      <c r="D86" s="175">
        <v>2</v>
      </c>
    </row>
    <row r="87" spans="1:10" x14ac:dyDescent="0.25">
      <c r="A87" s="152">
        <v>3</v>
      </c>
      <c r="B87" s="175">
        <v>1.2</v>
      </c>
      <c r="C87" s="175">
        <v>1.3</v>
      </c>
      <c r="D87" s="175">
        <v>1.5</v>
      </c>
      <c r="F87" s="158" t="s">
        <v>9</v>
      </c>
      <c r="G87" s="152">
        <f>$B$17</f>
        <v>0.8</v>
      </c>
      <c r="H87" s="97"/>
    </row>
    <row r="88" spans="1:10" x14ac:dyDescent="0.25">
      <c r="A88" s="152" t="s">
        <v>85</v>
      </c>
      <c r="B88" s="176">
        <f>(B86-B87)/($A$86-$A$87)</f>
        <v>-0.15000000000000002</v>
      </c>
      <c r="C88" s="176">
        <f t="shared" ref="C88:D88" si="6">(C86-C87)/($A$86-$A$87)</f>
        <v>-0.19999999999999996</v>
      </c>
      <c r="D88" s="176">
        <f t="shared" si="6"/>
        <v>-0.25</v>
      </c>
      <c r="F88" s="158" t="s">
        <v>339</v>
      </c>
      <c r="G88" s="152">
        <f>HLOOKUP($G$87,$B$85:$D$89,4,TRUE)</f>
        <v>-0.19999999999999996</v>
      </c>
    </row>
    <row r="89" spans="1:10" x14ac:dyDescent="0.25">
      <c r="A89" s="152" t="s">
        <v>338</v>
      </c>
      <c r="B89" s="176">
        <f>B86-B88*$A$86</f>
        <v>1.65</v>
      </c>
      <c r="C89" s="176">
        <f t="shared" ref="C89:D89" si="7">C86-C88*$A$86</f>
        <v>1.9</v>
      </c>
      <c r="D89" s="176">
        <f t="shared" si="7"/>
        <v>2.25</v>
      </c>
      <c r="F89" s="158" t="s">
        <v>64</v>
      </c>
      <c r="G89" s="152">
        <f>HLOOKUP($G$87,$B$85:$D$89,5,TRUE)</f>
        <v>1.9</v>
      </c>
    </row>
    <row r="92" spans="1:10" x14ac:dyDescent="0.25">
      <c r="A92" t="s">
        <v>378</v>
      </c>
      <c r="B92" s="162">
        <v>1.3</v>
      </c>
      <c r="C92" s="133" t="s">
        <v>379</v>
      </c>
    </row>
    <row r="93" spans="1:10" x14ac:dyDescent="0.25">
      <c r="A93" s="158" t="s">
        <v>9</v>
      </c>
      <c r="B93" s="152" t="s">
        <v>144</v>
      </c>
      <c r="C93" s="152" t="s">
        <v>145</v>
      </c>
      <c r="D93" s="158"/>
      <c r="E93" s="158" t="s">
        <v>149</v>
      </c>
      <c r="F93" s="158" t="s">
        <v>150</v>
      </c>
      <c r="H93" s="97"/>
      <c r="I93" s="97"/>
      <c r="J93" s="97"/>
    </row>
    <row r="94" spans="1:10" x14ac:dyDescent="0.25">
      <c r="A94" s="171">
        <v>0.95</v>
      </c>
      <c r="B94" s="152">
        <v>1.91</v>
      </c>
      <c r="C94" s="152">
        <v>2.54</v>
      </c>
      <c r="D94" s="158" t="s">
        <v>92</v>
      </c>
      <c r="E94" s="152">
        <v>5.3170379048810661</v>
      </c>
      <c r="F94" s="152">
        <v>4.4308649207342219</v>
      </c>
      <c r="H94" s="182">
        <v>0.95</v>
      </c>
      <c r="I94" s="152">
        <f>B94*3</f>
        <v>5.7299999999999995</v>
      </c>
      <c r="J94" s="152">
        <f>C94*3</f>
        <v>7.62</v>
      </c>
    </row>
    <row r="95" spans="1:10" x14ac:dyDescent="0.25">
      <c r="A95" s="171">
        <v>0.9</v>
      </c>
      <c r="B95" s="152">
        <v>1.5</v>
      </c>
      <c r="C95" s="152">
        <v>2</v>
      </c>
      <c r="D95" s="158" t="s">
        <v>92</v>
      </c>
      <c r="E95" s="152">
        <v>6</v>
      </c>
      <c r="F95" s="152">
        <v>5</v>
      </c>
      <c r="H95" s="182">
        <v>0.9</v>
      </c>
      <c r="I95" s="152">
        <f t="shared" ref="I95:J97" si="8">B95*3</f>
        <v>4.5</v>
      </c>
      <c r="J95" s="152">
        <f t="shared" si="8"/>
        <v>6</v>
      </c>
    </row>
    <row r="96" spans="1:10" x14ac:dyDescent="0.25">
      <c r="A96" s="171">
        <v>0.8</v>
      </c>
      <c r="B96" s="152">
        <v>1</v>
      </c>
      <c r="C96" s="152">
        <v>1.32</v>
      </c>
      <c r="D96" s="158" t="s">
        <v>92</v>
      </c>
      <c r="E96" s="152">
        <v>7.3659241902378696</v>
      </c>
      <c r="F96" s="152">
        <v>6.138270158531558</v>
      </c>
      <c r="H96" s="182">
        <v>0.8</v>
      </c>
      <c r="I96" s="152">
        <f t="shared" si="8"/>
        <v>3</v>
      </c>
      <c r="J96" s="152">
        <f t="shared" si="8"/>
        <v>3.96</v>
      </c>
    </row>
    <row r="97" spans="1:50" x14ac:dyDescent="0.25">
      <c r="A97" s="171">
        <v>0.7</v>
      </c>
      <c r="B97" s="152">
        <v>0.7</v>
      </c>
      <c r="C97" s="152">
        <v>0.94</v>
      </c>
      <c r="D97" s="158" t="s">
        <v>92</v>
      </c>
      <c r="E97" s="152">
        <v>8.7318483804757356</v>
      </c>
      <c r="F97" s="152">
        <v>7.2765403170631142</v>
      </c>
      <c r="H97" s="182">
        <v>0.7</v>
      </c>
      <c r="I97" s="152">
        <f t="shared" si="8"/>
        <v>2.0999999999999996</v>
      </c>
      <c r="J97" s="152">
        <f t="shared" si="8"/>
        <v>2.82</v>
      </c>
      <c r="AS97" t="s">
        <v>228</v>
      </c>
      <c r="AT97" t="s">
        <v>20</v>
      </c>
      <c r="AU97" t="s">
        <v>229</v>
      </c>
      <c r="AW97" t="s">
        <v>63</v>
      </c>
      <c r="AX97" t="s">
        <v>64</v>
      </c>
    </row>
    <row r="98" spans="1:50" x14ac:dyDescent="0.25">
      <c r="A98" s="171" t="s">
        <v>151</v>
      </c>
      <c r="B98" s="152">
        <f>VLOOKUP($B$36,A94:F97,2,0)*B92</f>
        <v>1.3</v>
      </c>
      <c r="C98" s="158"/>
      <c r="D98" s="158" t="s">
        <v>154</v>
      </c>
      <c r="E98" s="152">
        <f>VLOOKUP($B$36,A94:F97,5,0)</f>
        <v>7.3659241902378696</v>
      </c>
      <c r="F98" s="152"/>
      <c r="H98" s="182" t="s">
        <v>151</v>
      </c>
      <c r="I98" s="152">
        <f>VLOOKUP($B$36,H94:M97,2,0)</f>
        <v>3</v>
      </c>
      <c r="J98" s="152"/>
      <c r="AS98">
        <v>130</v>
      </c>
      <c r="AT98" s="6" t="e">
        <f>AS98^2*#REF!+AS98*$AJ$172+$AK$172</f>
        <v>#REF!</v>
      </c>
      <c r="AU98" t="e">
        <f>(AS98/#REF!)^2*#REF!</f>
        <v>#REF!</v>
      </c>
      <c r="AW98">
        <v>15.324</v>
      </c>
      <c r="AX98">
        <v>-2.6400999999999999</v>
      </c>
    </row>
    <row r="99" spans="1:50" x14ac:dyDescent="0.25">
      <c r="A99" s="171" t="s">
        <v>152</v>
      </c>
      <c r="B99" s="152">
        <f>VLOOKUP($B$36,A94:F97,3,0)*B92</f>
        <v>1.7160000000000002</v>
      </c>
      <c r="C99" s="158"/>
      <c r="D99" s="158"/>
      <c r="E99" s="152">
        <f>VLOOKUP($B$36,A94:F97,6,0)</f>
        <v>6.138270158531558</v>
      </c>
      <c r="F99" s="152"/>
      <c r="H99" s="182" t="s">
        <v>152</v>
      </c>
      <c r="I99" s="152">
        <f>VLOOKUP($B$36,H94:M97,3,0)</f>
        <v>3.96</v>
      </c>
      <c r="J99" s="152"/>
      <c r="AS99">
        <v>210</v>
      </c>
      <c r="AT99" s="6" t="e">
        <f>AS99^2*#REF!+AS99*$AJ$172+$AK$172</f>
        <v>#REF!</v>
      </c>
      <c r="AU99" t="e">
        <f>(AS99/#REF!)^2*#REF!</f>
        <v>#REF!</v>
      </c>
      <c r="AX99" s="10"/>
    </row>
    <row r="100" spans="1:50" x14ac:dyDescent="0.25">
      <c r="H100" s="97"/>
      <c r="I100" s="97"/>
      <c r="J100" s="97"/>
      <c r="AS100">
        <v>280</v>
      </c>
      <c r="AT100" s="6" t="e">
        <f>AS100^2*#REF!+AS100*$AJ$172+$AK$172</f>
        <v>#REF!</v>
      </c>
      <c r="AU100" t="e">
        <f>(AS100/#REF!)^2*#REF!</f>
        <v>#REF!</v>
      </c>
      <c r="AX100" s="10"/>
    </row>
    <row r="101" spans="1:50" x14ac:dyDescent="0.25">
      <c r="B101" s="203" t="s">
        <v>406</v>
      </c>
      <c r="C101" s="203" t="s">
        <v>92</v>
      </c>
      <c r="E101" s="277" t="s">
        <v>412</v>
      </c>
      <c r="F101" s="277"/>
      <c r="G101" s="277"/>
      <c r="H101" s="97"/>
      <c r="I101" s="97"/>
      <c r="J101" s="97"/>
      <c r="AT101" s="6"/>
      <c r="AX101" s="10"/>
    </row>
    <row r="102" spans="1:50" x14ac:dyDescent="0.25">
      <c r="A102" s="158" t="s">
        <v>407</v>
      </c>
      <c r="B102" s="152"/>
      <c r="C102" s="152">
        <v>0.7</v>
      </c>
      <c r="E102" s="277"/>
      <c r="F102" s="277"/>
      <c r="G102" s="277"/>
      <c r="H102" s="97"/>
      <c r="I102" s="97"/>
      <c r="J102" s="97"/>
      <c r="AT102" s="6"/>
      <c r="AX102" s="10"/>
    </row>
    <row r="103" spans="1:50" x14ac:dyDescent="0.25">
      <c r="A103" s="158" t="s">
        <v>405</v>
      </c>
      <c r="B103" s="152">
        <v>2.5</v>
      </c>
      <c r="C103" s="152">
        <f>B98</f>
        <v>1.3</v>
      </c>
      <c r="E103" s="277"/>
      <c r="F103" s="277"/>
      <c r="G103" s="277"/>
      <c r="H103" s="202"/>
      <c r="I103" s="202"/>
      <c r="J103" s="202"/>
      <c r="AT103" s="6"/>
      <c r="AX103" s="10"/>
    </row>
    <row r="104" spans="1:50" x14ac:dyDescent="0.25">
      <c r="A104" s="171" t="s">
        <v>404</v>
      </c>
      <c r="B104" s="152">
        <v>1</v>
      </c>
      <c r="C104" s="152">
        <f>B99</f>
        <v>1.7160000000000002</v>
      </c>
      <c r="E104" s="277"/>
      <c r="F104" s="277"/>
      <c r="G104" s="277"/>
      <c r="H104" s="202"/>
      <c r="I104" s="202"/>
      <c r="J104" s="202"/>
      <c r="AT104" s="6"/>
      <c r="AX104" s="10"/>
    </row>
    <row r="105" spans="1:50" x14ac:dyDescent="0.25">
      <c r="A105" s="158" t="s">
        <v>370</v>
      </c>
      <c r="B105" s="158"/>
      <c r="C105" s="152">
        <v>2.5</v>
      </c>
      <c r="E105" s="277"/>
      <c r="F105" s="277"/>
      <c r="G105" s="277"/>
      <c r="H105" s="97"/>
      <c r="I105" s="97"/>
      <c r="J105" s="97"/>
      <c r="AT105" s="6"/>
      <c r="AX105" s="10"/>
    </row>
    <row r="106" spans="1:50" x14ac:dyDescent="0.25">
      <c r="H106" s="97"/>
      <c r="I106" s="97"/>
      <c r="J106" s="97"/>
      <c r="AT106" s="6"/>
      <c r="AX106" s="10"/>
    </row>
    <row r="108" spans="1:50" ht="20.25" thickBot="1" x14ac:dyDescent="0.35">
      <c r="A108" s="2" t="s">
        <v>23</v>
      </c>
    </row>
    <row r="109" spans="1:50" ht="15.75" thickTop="1" x14ac:dyDescent="0.25">
      <c r="A109" s="3"/>
    </row>
    <row r="110" spans="1:50" x14ac:dyDescent="0.25">
      <c r="A110" t="s">
        <v>22</v>
      </c>
      <c r="B110" s="7">
        <f>D110*SQRT($B$27*2)+E110</f>
        <v>2.6055662474081593</v>
      </c>
      <c r="D110" s="131">
        <v>4.2819999999999997E-2</v>
      </c>
      <c r="E110" s="131">
        <v>2</v>
      </c>
    </row>
    <row r="111" spans="1:50" x14ac:dyDescent="0.25">
      <c r="A111" s="3"/>
    </row>
    <row r="112" spans="1:50" x14ac:dyDescent="0.25">
      <c r="A112" t="s">
        <v>9</v>
      </c>
    </row>
    <row r="113" spans="1:46" x14ac:dyDescent="0.25">
      <c r="A113" t="s">
        <v>23</v>
      </c>
      <c r="B113" s="162">
        <v>0.95</v>
      </c>
      <c r="C113" s="97">
        <f>C114+0.1</f>
        <v>2.7055662474081594</v>
      </c>
    </row>
    <row r="114" spans="1:46" x14ac:dyDescent="0.25">
      <c r="B114" s="162">
        <v>0.9</v>
      </c>
      <c r="C114" s="148">
        <f>B110</f>
        <v>2.6055662474081593</v>
      </c>
    </row>
    <row r="115" spans="1:46" x14ac:dyDescent="0.25">
      <c r="B115" s="162">
        <v>0.85</v>
      </c>
      <c r="C115" s="97">
        <f>(C114+C116)/2</f>
        <v>2.5555662474081595</v>
      </c>
    </row>
    <row r="116" spans="1:46" x14ac:dyDescent="0.25">
      <c r="B116" s="162">
        <v>0.8</v>
      </c>
      <c r="C116" s="97">
        <f>C114-0.1</f>
        <v>2.5055662474081593</v>
      </c>
    </row>
    <row r="117" spans="1:46" x14ac:dyDescent="0.25">
      <c r="B117" s="162">
        <v>0.7</v>
      </c>
      <c r="C117" s="97">
        <f>C116-0.1</f>
        <v>2.4055662474081592</v>
      </c>
    </row>
    <row r="118" spans="1:46" x14ac:dyDescent="0.25">
      <c r="B118" s="162"/>
      <c r="C118" s="97"/>
    </row>
    <row r="119" spans="1:46" ht="20.25" thickBot="1" x14ac:dyDescent="0.35">
      <c r="A119" s="2" t="s">
        <v>159</v>
      </c>
    </row>
    <row r="120" spans="1:46" ht="15.75" thickTop="1" x14ac:dyDescent="0.25">
      <c r="A120" s="3" t="s">
        <v>136</v>
      </c>
      <c r="B120" s="3" t="s">
        <v>137</v>
      </c>
    </row>
    <row r="121" spans="1:46" x14ac:dyDescent="0.25">
      <c r="A121">
        <v>2</v>
      </c>
      <c r="B121">
        <v>1.01123595505618</v>
      </c>
      <c r="AS121" t="s">
        <v>20</v>
      </c>
      <c r="AT121" t="e">
        <f>AW98*LN(#REF!)+AX98</f>
        <v>#REF!</v>
      </c>
    </row>
    <row r="122" spans="1:46" x14ac:dyDescent="0.25">
      <c r="A122">
        <v>2.7</v>
      </c>
      <c r="B122">
        <v>0.66725663716814154</v>
      </c>
    </row>
    <row r="123" spans="1:46" x14ac:dyDescent="0.25">
      <c r="A123">
        <v>3</v>
      </c>
      <c r="B123">
        <v>0.54867256637168138</v>
      </c>
    </row>
    <row r="124" spans="1:46" x14ac:dyDescent="0.25">
      <c r="A124">
        <v>4</v>
      </c>
      <c r="B124">
        <v>0.27433628318584069</v>
      </c>
    </row>
    <row r="125" spans="1:46" x14ac:dyDescent="0.25">
      <c r="A125">
        <v>5.0000010000000001</v>
      </c>
      <c r="B125">
        <v>8.8495575221238937E-2</v>
      </c>
    </row>
    <row r="127" spans="1:46" ht="20.25" thickBot="1" x14ac:dyDescent="0.35">
      <c r="A127" s="2" t="s">
        <v>360</v>
      </c>
    </row>
    <row r="128" spans="1:46" ht="15.75" thickTop="1" x14ac:dyDescent="0.25"/>
    <row r="129" spans="1:6" x14ac:dyDescent="0.25">
      <c r="A129" s="274" t="s">
        <v>327</v>
      </c>
      <c r="B129" s="274"/>
      <c r="C129" s="274"/>
    </row>
    <row r="130" spans="1:6" x14ac:dyDescent="0.25">
      <c r="A130" s="158" t="s">
        <v>325</v>
      </c>
      <c r="B130" s="152">
        <v>90</v>
      </c>
      <c r="C130" s="170" t="s">
        <v>323</v>
      </c>
      <c r="F130" s="198">
        <v>120</v>
      </c>
    </row>
    <row r="131" spans="1:6" x14ac:dyDescent="0.25">
      <c r="A131" s="158" t="s">
        <v>365</v>
      </c>
      <c r="B131" s="152">
        <v>0.3</v>
      </c>
      <c r="C131" s="170" t="s">
        <v>85</v>
      </c>
      <c r="F131" s="198">
        <v>0.3</v>
      </c>
    </row>
    <row r="132" spans="1:6" x14ac:dyDescent="0.25">
      <c r="A132" s="158" t="s">
        <v>326</v>
      </c>
      <c r="B132" s="152">
        <v>10</v>
      </c>
      <c r="C132" s="170" t="s">
        <v>356</v>
      </c>
      <c r="D132" t="s">
        <v>382</v>
      </c>
      <c r="F132" s="198">
        <v>10</v>
      </c>
    </row>
    <row r="133" spans="1:6" x14ac:dyDescent="0.25">
      <c r="A133" s="158" t="s">
        <v>324</v>
      </c>
      <c r="B133" s="152">
        <v>8.4499999999999993</v>
      </c>
      <c r="C133" s="170" t="s">
        <v>6</v>
      </c>
      <c r="F133" s="198">
        <v>10</v>
      </c>
    </row>
    <row r="134" spans="1:6" x14ac:dyDescent="0.25">
      <c r="A134" s="158" t="s">
        <v>374</v>
      </c>
      <c r="B134" s="152">
        <v>40</v>
      </c>
      <c r="C134" s="170" t="s">
        <v>375</v>
      </c>
      <c r="F134" s="198"/>
    </row>
    <row r="135" spans="1:6" x14ac:dyDescent="0.25">
      <c r="A135" s="158" t="s">
        <v>143</v>
      </c>
      <c r="B135" s="182">
        <v>0.5</v>
      </c>
      <c r="C135" s="170" t="s">
        <v>364</v>
      </c>
      <c r="F135" s="199">
        <v>0.3</v>
      </c>
    </row>
    <row r="137" spans="1:6" x14ac:dyDescent="0.25">
      <c r="A137" s="3" t="s">
        <v>354</v>
      </c>
      <c r="B137">
        <f>(B130/B131)/B132</f>
        <v>30</v>
      </c>
      <c r="C137" s="10" t="s">
        <v>328</v>
      </c>
    </row>
    <row r="138" spans="1:6" x14ac:dyDescent="0.25">
      <c r="A138" s="3" t="s">
        <v>355</v>
      </c>
      <c r="B138">
        <f>0.08*B16-2</f>
        <v>10</v>
      </c>
      <c r="C138" t="s">
        <v>42</v>
      </c>
    </row>
    <row r="139" spans="1:6" x14ac:dyDescent="0.25">
      <c r="A139" s="3" t="s">
        <v>293</v>
      </c>
      <c r="B139">
        <f>B137*B138</f>
        <v>300</v>
      </c>
      <c r="C139" t="s">
        <v>5</v>
      </c>
    </row>
    <row r="141" spans="1:6" x14ac:dyDescent="0.25">
      <c r="A141" s="141" t="s">
        <v>298</v>
      </c>
    </row>
    <row r="142" spans="1:6" x14ac:dyDescent="0.25">
      <c r="A142" t="s">
        <v>299</v>
      </c>
      <c r="B142" s="148">
        <f>10*LOG(B16/75)</f>
        <v>3.0102999566398121</v>
      </c>
      <c r="C142" t="s">
        <v>300</v>
      </c>
    </row>
    <row r="144" spans="1:6" x14ac:dyDescent="0.25">
      <c r="A144" s="3" t="s">
        <v>76</v>
      </c>
    </row>
    <row r="145" spans="1:52" s="10" customFormat="1" x14ac:dyDescent="0.25">
      <c r="A145" s="138">
        <v>200</v>
      </c>
      <c r="B145" s="138"/>
      <c r="C145" s="138"/>
      <c r="D145" s="138"/>
      <c r="E145" s="138"/>
      <c r="F145" s="138"/>
      <c r="G145" s="138"/>
      <c r="H145" s="138">
        <v>300</v>
      </c>
      <c r="I145" s="138"/>
      <c r="J145" s="138"/>
      <c r="K145" s="138"/>
      <c r="L145" s="138"/>
      <c r="M145" s="138"/>
      <c r="N145" s="138"/>
      <c r="O145" s="138">
        <v>400</v>
      </c>
      <c r="P145" s="138"/>
      <c r="Q145" s="138"/>
      <c r="R145" s="138"/>
      <c r="S145" s="138"/>
      <c r="T145" s="138"/>
      <c r="U145" s="138"/>
      <c r="V145" s="138">
        <v>500</v>
      </c>
      <c r="W145" s="138"/>
      <c r="X145" s="138"/>
      <c r="Y145" s="138"/>
      <c r="Z145" s="138"/>
      <c r="AA145" s="138"/>
      <c r="AB145" s="138"/>
      <c r="AC145" s="138">
        <v>600</v>
      </c>
      <c r="AD145" s="138"/>
      <c r="AJ145" s="138">
        <v>700</v>
      </c>
      <c r="AK145" s="138"/>
      <c r="AQ145" s="138">
        <v>800</v>
      </c>
      <c r="AR145" s="138"/>
      <c r="AX145" s="138">
        <v>1000</v>
      </c>
      <c r="AY145" s="138"/>
    </row>
    <row r="146" spans="1:52" x14ac:dyDescent="0.25">
      <c r="A146" t="s">
        <v>301</v>
      </c>
      <c r="B146" s="146">
        <v>0.2</v>
      </c>
      <c r="H146" t="s">
        <v>301</v>
      </c>
      <c r="I146" s="146">
        <v>0.3</v>
      </c>
      <c r="O146" t="s">
        <v>301</v>
      </c>
      <c r="P146" s="146">
        <v>0.4</v>
      </c>
      <c r="V146" t="s">
        <v>301</v>
      </c>
      <c r="W146" s="146">
        <f t="shared" ref="W146" si="9">V145/1000</f>
        <v>0.5</v>
      </c>
      <c r="AC146" t="s">
        <v>301</v>
      </c>
      <c r="AD146" s="146">
        <f t="shared" ref="AD146" si="10">AC145/1000</f>
        <v>0.6</v>
      </c>
      <c r="AJ146" t="s">
        <v>301</v>
      </c>
      <c r="AK146" s="146">
        <f t="shared" ref="AK146" si="11">AJ145/1000</f>
        <v>0.7</v>
      </c>
      <c r="AQ146" t="s">
        <v>301</v>
      </c>
      <c r="AR146" s="146">
        <f t="shared" ref="AR146" si="12">AQ145/1000</f>
        <v>0.8</v>
      </c>
      <c r="AX146" t="s">
        <v>301</v>
      </c>
      <c r="AY146" s="146">
        <f t="shared" ref="AY146" si="13">AX145/1000</f>
        <v>1</v>
      </c>
    </row>
    <row r="147" spans="1:52" x14ac:dyDescent="0.25">
      <c r="A147" t="s">
        <v>15</v>
      </c>
      <c r="B147" s="132">
        <f>$B$139*A145/1000</f>
        <v>60</v>
      </c>
      <c r="C147" t="s">
        <v>323</v>
      </c>
      <c r="H147" t="s">
        <v>15</v>
      </c>
      <c r="I147" s="139">
        <f>$B$139*H145/1000</f>
        <v>90</v>
      </c>
      <c r="J147" t="s">
        <v>323</v>
      </c>
      <c r="O147" t="s">
        <v>15</v>
      </c>
      <c r="P147" s="132">
        <f>$B$139*O145/1000</f>
        <v>120</v>
      </c>
      <c r="Q147" t="s">
        <v>323</v>
      </c>
      <c r="V147" t="s">
        <v>15</v>
      </c>
      <c r="W147" s="132">
        <f>$B$139*V145/1000</f>
        <v>150</v>
      </c>
      <c r="X147" t="s">
        <v>323</v>
      </c>
      <c r="AC147" t="s">
        <v>15</v>
      </c>
      <c r="AD147" s="132">
        <f>$B$139*AC145/1000</f>
        <v>180</v>
      </c>
      <c r="AE147" t="s">
        <v>323</v>
      </c>
      <c r="AJ147" t="s">
        <v>15</v>
      </c>
      <c r="AK147" s="132">
        <f>$B$139*AJ145/1000</f>
        <v>210</v>
      </c>
      <c r="AL147" t="s">
        <v>323</v>
      </c>
      <c r="AQ147" t="s">
        <v>15</v>
      </c>
      <c r="AR147" s="132">
        <f>$B$139*AQ145/1000</f>
        <v>240</v>
      </c>
      <c r="AS147" t="s">
        <v>323</v>
      </c>
      <c r="AX147" t="s">
        <v>15</v>
      </c>
      <c r="AY147" s="132">
        <f>$B$139*AX145/1000</f>
        <v>300</v>
      </c>
      <c r="AZ147" t="s">
        <v>323</v>
      </c>
    </row>
    <row r="148" spans="1:52" x14ac:dyDescent="0.25">
      <c r="A148" t="s">
        <v>16</v>
      </c>
      <c r="B148" s="132">
        <v>8.4499999999999993</v>
      </c>
      <c r="C148" t="s">
        <v>6</v>
      </c>
      <c r="H148" t="s">
        <v>16</v>
      </c>
      <c r="I148" s="132">
        <v>8.4499999999999993</v>
      </c>
      <c r="J148" t="s">
        <v>6</v>
      </c>
      <c r="O148" t="s">
        <v>16</v>
      </c>
      <c r="P148" s="132">
        <v>8.4499999999999993</v>
      </c>
      <c r="Q148" t="s">
        <v>6</v>
      </c>
      <c r="V148" t="s">
        <v>16</v>
      </c>
      <c r="W148" s="132">
        <v>8.4499999999999993</v>
      </c>
      <c r="X148" t="s">
        <v>6</v>
      </c>
      <c r="AC148" t="s">
        <v>16</v>
      </c>
      <c r="AD148" s="132">
        <v>8.4499999999999993</v>
      </c>
      <c r="AE148" t="s">
        <v>6</v>
      </c>
      <c r="AJ148" t="s">
        <v>16</v>
      </c>
      <c r="AK148" s="132">
        <v>8.4499999999999993</v>
      </c>
      <c r="AL148" t="s">
        <v>6</v>
      </c>
      <c r="AQ148" t="s">
        <v>16</v>
      </c>
      <c r="AR148" s="132">
        <v>8.4499999999999993</v>
      </c>
      <c r="AS148" t="s">
        <v>6</v>
      </c>
      <c r="AX148" t="s">
        <v>16</v>
      </c>
      <c r="AY148" s="132">
        <v>8.4499999999999993</v>
      </c>
      <c r="AZ148" t="s">
        <v>6</v>
      </c>
    </row>
    <row r="149" spans="1:52" x14ac:dyDescent="0.25">
      <c r="A149" t="s">
        <v>295</v>
      </c>
      <c r="B149" s="132">
        <f>A145/1000*$B$16/1000</f>
        <v>0.03</v>
      </c>
      <c r="C149" t="s">
        <v>91</v>
      </c>
      <c r="H149" t="s">
        <v>295</v>
      </c>
      <c r="I149" s="168">
        <f>H145/1000*$B$16/1000</f>
        <v>4.4999999999999998E-2</v>
      </c>
      <c r="J149" t="s">
        <v>91</v>
      </c>
      <c r="O149" t="s">
        <v>295</v>
      </c>
      <c r="P149" s="168">
        <f>O145/1000*$B$16/1000</f>
        <v>0.06</v>
      </c>
      <c r="Q149" t="s">
        <v>91</v>
      </c>
      <c r="V149" t="s">
        <v>295</v>
      </c>
      <c r="W149" s="168">
        <f>V145/1000*$B$16/1000</f>
        <v>7.4999999999999997E-2</v>
      </c>
      <c r="X149" t="s">
        <v>91</v>
      </c>
      <c r="AC149" t="s">
        <v>295</v>
      </c>
      <c r="AD149" s="168">
        <f>AC145/1000*$B$16/1000</f>
        <v>0.09</v>
      </c>
      <c r="AE149" t="s">
        <v>91</v>
      </c>
      <c r="AJ149" t="s">
        <v>295</v>
      </c>
      <c r="AK149" s="168">
        <f>AJ145/1000*$B$16/1000</f>
        <v>0.105</v>
      </c>
      <c r="AL149" t="s">
        <v>91</v>
      </c>
      <c r="AQ149" t="s">
        <v>295</v>
      </c>
      <c r="AR149" s="168">
        <f>AQ145/1000*$B$16/1000</f>
        <v>0.12</v>
      </c>
      <c r="AS149" t="s">
        <v>91</v>
      </c>
      <c r="AX149" t="s">
        <v>295</v>
      </c>
      <c r="AY149" s="168">
        <f>AX145/1000*$B$16/1000</f>
        <v>0.15</v>
      </c>
      <c r="AZ149" t="s">
        <v>91</v>
      </c>
    </row>
    <row r="150" spans="1:52" x14ac:dyDescent="0.25">
      <c r="A150" t="s">
        <v>329</v>
      </c>
      <c r="B150" s="168">
        <f>B147/1000/B149</f>
        <v>2</v>
      </c>
      <c r="C150" t="s">
        <v>89</v>
      </c>
      <c r="H150" t="s">
        <v>329</v>
      </c>
      <c r="I150" s="168">
        <f>I147/1000/I149</f>
        <v>2</v>
      </c>
      <c r="J150" t="s">
        <v>89</v>
      </c>
      <c r="O150" t="s">
        <v>329</v>
      </c>
      <c r="P150" s="168">
        <f>P147/1000/P149</f>
        <v>2</v>
      </c>
      <c r="Q150" t="s">
        <v>89</v>
      </c>
      <c r="V150" t="s">
        <v>329</v>
      </c>
      <c r="W150" s="168">
        <f>W147/1000/W149</f>
        <v>2</v>
      </c>
      <c r="X150" t="s">
        <v>89</v>
      </c>
      <c r="AC150" t="s">
        <v>329</v>
      </c>
      <c r="AD150" s="168">
        <f>AD147/1000/AD149</f>
        <v>2</v>
      </c>
      <c r="AE150" t="s">
        <v>89</v>
      </c>
      <c r="AJ150" t="s">
        <v>329</v>
      </c>
      <c r="AK150" s="168">
        <f>AK147/1000/AK149</f>
        <v>2</v>
      </c>
      <c r="AL150" t="s">
        <v>89</v>
      </c>
      <c r="AQ150" t="s">
        <v>329</v>
      </c>
      <c r="AR150" s="168">
        <f>AR147/1000/AR149</f>
        <v>2</v>
      </c>
      <c r="AS150" t="s">
        <v>89</v>
      </c>
      <c r="AX150" t="s">
        <v>329</v>
      </c>
      <c r="AY150" s="168">
        <f>AY147/1000/AY149</f>
        <v>2</v>
      </c>
      <c r="AZ150" t="s">
        <v>89</v>
      </c>
    </row>
    <row r="151" spans="1:52" x14ac:dyDescent="0.25">
      <c r="A151" t="s">
        <v>297</v>
      </c>
      <c r="B151" s="169">
        <f>B148-(0.5*1.225*B150^2)</f>
        <v>5.9999999999999991</v>
      </c>
      <c r="C151" t="s">
        <v>6</v>
      </c>
      <c r="H151" t="s">
        <v>294</v>
      </c>
      <c r="I151" s="169">
        <f>I148-(0.5*1.225*I150^2)</f>
        <v>5.9999999999999991</v>
      </c>
      <c r="O151" t="s">
        <v>294</v>
      </c>
      <c r="P151" s="169">
        <f>P148-(0.5*1.225*P150^2)</f>
        <v>5.9999999999999991</v>
      </c>
      <c r="V151" t="s">
        <v>294</v>
      </c>
      <c r="W151" s="169">
        <f>W148-(0.5*1.225*W150^2)</f>
        <v>5.9999999999999991</v>
      </c>
      <c r="AC151" t="s">
        <v>294</v>
      </c>
      <c r="AD151" s="169">
        <f>AD148-(0.5*1.225*AD150^2)</f>
        <v>5.9999999999999991</v>
      </c>
      <c r="AJ151" t="s">
        <v>294</v>
      </c>
      <c r="AK151" s="169">
        <f>AK148-(0.5*1.225*AK150^2)</f>
        <v>5.9999999999999991</v>
      </c>
      <c r="AQ151" t="s">
        <v>294</v>
      </c>
      <c r="AR151" s="169">
        <f>AR148-(0.5*1.225*AR150^2)</f>
        <v>5.9999999999999991</v>
      </c>
      <c r="AX151" t="s">
        <v>294</v>
      </c>
      <c r="AY151" s="169">
        <f>AY148-(0.5*1.225*AY150^2)</f>
        <v>5.9999999999999991</v>
      </c>
    </row>
    <row r="153" spans="1:52" x14ac:dyDescent="0.25">
      <c r="A153" t="s">
        <v>167</v>
      </c>
      <c r="B153" s="149">
        <f>($B$27/B147)^2*B151</f>
        <v>16.666666666666668</v>
      </c>
      <c r="C153" t="s">
        <v>6</v>
      </c>
      <c r="H153" t="s">
        <v>167</v>
      </c>
      <c r="I153" s="149">
        <f>($B$27/I147)^2*I151</f>
        <v>7.4074074074074074</v>
      </c>
      <c r="J153" t="s">
        <v>6</v>
      </c>
      <c r="O153" t="s">
        <v>167</v>
      </c>
      <c r="P153" s="97">
        <f>($B$27/P147)^2*P151</f>
        <v>4.166666666666667</v>
      </c>
      <c r="Q153" t="s">
        <v>6</v>
      </c>
      <c r="V153" t="s">
        <v>167</v>
      </c>
      <c r="W153" s="97">
        <f>($B$27/W147)^2*W151</f>
        <v>2.6666666666666661</v>
      </c>
      <c r="X153" t="s">
        <v>6</v>
      </c>
      <c r="AC153" t="s">
        <v>167</v>
      </c>
      <c r="AD153" s="97">
        <f>($B$27/AD147)^2*AD151</f>
        <v>1.8518518518518519</v>
      </c>
      <c r="AE153" t="s">
        <v>6</v>
      </c>
      <c r="AJ153" t="s">
        <v>167</v>
      </c>
      <c r="AK153" s="97">
        <f>($B$27/AK147)^2*AK151</f>
        <v>1.3605442176870746</v>
      </c>
      <c r="AL153" t="s">
        <v>6</v>
      </c>
      <c r="AQ153" t="s">
        <v>167</v>
      </c>
      <c r="AR153" s="97">
        <f>($B$27/AR147)^2*AR151</f>
        <v>1.0416666666666667</v>
      </c>
      <c r="AS153" t="s">
        <v>6</v>
      </c>
      <c r="AX153" t="s">
        <v>167</v>
      </c>
      <c r="AY153" s="97">
        <f>($B$27/AY147)^2*AY151</f>
        <v>0.66666666666666652</v>
      </c>
      <c r="AZ153" t="s">
        <v>6</v>
      </c>
    </row>
    <row r="154" spans="1:52" x14ac:dyDescent="0.25">
      <c r="A154" t="s">
        <v>168</v>
      </c>
      <c r="B154" s="149">
        <f>($B$27/B147)^2*B148</f>
        <v>23.472222222222221</v>
      </c>
      <c r="C154" t="s">
        <v>6</v>
      </c>
      <c r="H154" t="s">
        <v>168</v>
      </c>
      <c r="I154" s="97">
        <f>($B$27/I147)^2*I148</f>
        <v>10.4320987654321</v>
      </c>
      <c r="J154" t="s">
        <v>6</v>
      </c>
      <c r="O154" t="s">
        <v>168</v>
      </c>
      <c r="P154" s="97">
        <f>($B$27/P147)^2*P148</f>
        <v>5.8680555555555554</v>
      </c>
      <c r="Q154" t="s">
        <v>6</v>
      </c>
      <c r="V154" t="s">
        <v>168</v>
      </c>
      <c r="W154" s="97">
        <f>($B$27/W147)^2*W148</f>
        <v>3.7555555555555551</v>
      </c>
      <c r="X154" t="s">
        <v>6</v>
      </c>
      <c r="AC154" t="s">
        <v>168</v>
      </c>
      <c r="AD154" s="97">
        <f>($B$27/AD147)^2*AD148</f>
        <v>2.6080246913580249</v>
      </c>
      <c r="AE154" t="s">
        <v>6</v>
      </c>
      <c r="AJ154" t="s">
        <v>168</v>
      </c>
      <c r="AK154" s="97">
        <f>($B$27/AK147)^2*AK148</f>
        <v>1.9160997732426301</v>
      </c>
      <c r="AL154" t="s">
        <v>6</v>
      </c>
      <c r="AQ154" t="s">
        <v>168</v>
      </c>
      <c r="AR154" s="97">
        <f>($B$27/AR147)^2*AR148</f>
        <v>1.4670138888888888</v>
      </c>
      <c r="AS154" t="s">
        <v>6</v>
      </c>
      <c r="AX154" t="s">
        <v>168</v>
      </c>
      <c r="AY154" s="97">
        <f>($B$27/AY147)^2*AY148</f>
        <v>0.93888888888888877</v>
      </c>
      <c r="AZ154" t="s">
        <v>6</v>
      </c>
    </row>
    <row r="155" spans="1:52" x14ac:dyDescent="0.25">
      <c r="A155" t="s">
        <v>17</v>
      </c>
      <c r="B155" s="149">
        <f>SQRT($B$30/B151)*B147</f>
        <v>94.868329805051388</v>
      </c>
      <c r="C155" t="s">
        <v>323</v>
      </c>
      <c r="H155" t="s">
        <v>17</v>
      </c>
      <c r="I155" s="97">
        <f>SQRT($B$30/I151)*I147</f>
        <v>142.30249470757707</v>
      </c>
      <c r="J155" t="s">
        <v>323</v>
      </c>
      <c r="O155" t="s">
        <v>17</v>
      </c>
      <c r="P155" s="97">
        <f>SQRT($B$30/P151)*P147</f>
        <v>189.73665961010278</v>
      </c>
      <c r="Q155" t="s">
        <v>323</v>
      </c>
      <c r="V155" t="s">
        <v>17</v>
      </c>
      <c r="W155" s="97">
        <f>SQRT($B$30/W151)*W147</f>
        <v>237.17082451262846</v>
      </c>
      <c r="X155" t="s">
        <v>323</v>
      </c>
      <c r="AC155" t="s">
        <v>17</v>
      </c>
      <c r="AD155" s="97">
        <f>SQRT($B$30/AD151)*AD147</f>
        <v>284.60498941515414</v>
      </c>
      <c r="AE155" t="s">
        <v>323</v>
      </c>
      <c r="AJ155" t="s">
        <v>17</v>
      </c>
      <c r="AK155" s="97">
        <f>SQRT($B$30/AK151)*AK147</f>
        <v>332.03915431767985</v>
      </c>
      <c r="AL155" t="s">
        <v>323</v>
      </c>
      <c r="AQ155" t="s">
        <v>17</v>
      </c>
      <c r="AR155" s="97">
        <f>SQRT($B$30/AR151)*AR147</f>
        <v>379.47331922020555</v>
      </c>
      <c r="AS155" t="s">
        <v>323</v>
      </c>
      <c r="AX155" t="s">
        <v>17</v>
      </c>
      <c r="AY155" s="97">
        <f>SQRT($B$30/AY151)*AY147</f>
        <v>474.34164902525691</v>
      </c>
      <c r="AZ155" t="s">
        <v>323</v>
      </c>
    </row>
    <row r="156" spans="1:52" x14ac:dyDescent="0.25">
      <c r="A156" t="s">
        <v>18</v>
      </c>
      <c r="B156" s="149">
        <f>SQRT($B$31/16)*$B$60*B147*SQRT(30/B148)</f>
        <v>32.573689767798143</v>
      </c>
      <c r="C156" t="s">
        <v>323</v>
      </c>
      <c r="H156" t="s">
        <v>18</v>
      </c>
      <c r="I156" s="149">
        <f t="shared" ref="I156:BC156" si="14">SQRT($B$31/16)*$B$60*I147*SQRT(30/I148)</f>
        <v>48.860534651697208</v>
      </c>
      <c r="J156" t="s">
        <v>323</v>
      </c>
      <c r="O156" t="s">
        <v>18</v>
      </c>
      <c r="P156" s="149">
        <f t="shared" ref="P156:BC156" si="15">SQRT($B$31/16)*$B$60*P147*SQRT(30/P148)</f>
        <v>65.147379535596286</v>
      </c>
      <c r="Q156" t="s">
        <v>323</v>
      </c>
      <c r="V156" t="s">
        <v>18</v>
      </c>
      <c r="W156" s="149">
        <f t="shared" ref="W156:BC156" si="16">SQRT($B$31/16)*$B$60*W147*SQRT(30/W148)</f>
        <v>81.434224419495351</v>
      </c>
      <c r="X156" t="s">
        <v>323</v>
      </c>
      <c r="AC156" t="s">
        <v>18</v>
      </c>
      <c r="AD156" s="149">
        <f t="shared" ref="AD156:BC156" si="17">SQRT($B$31/16)*$B$60*AD147*SQRT(30/AD148)</f>
        <v>97.721069303394415</v>
      </c>
      <c r="AE156" t="s">
        <v>323</v>
      </c>
      <c r="AJ156" t="s">
        <v>18</v>
      </c>
      <c r="AK156" s="149">
        <f t="shared" ref="AK156:BC156" si="18">SQRT($B$31/16)*$B$60*AK147*SQRT(30/AK148)</f>
        <v>114.00791418729349</v>
      </c>
      <c r="AL156" t="s">
        <v>323</v>
      </c>
      <c r="AQ156" t="s">
        <v>18</v>
      </c>
      <c r="AR156" s="149">
        <f t="shared" ref="AR156:BC156" si="19">SQRT($B$31/16)*$B$60*AR147*SQRT(30/AR148)</f>
        <v>130.29475907119257</v>
      </c>
      <c r="AS156" t="s">
        <v>323</v>
      </c>
      <c r="AX156" t="s">
        <v>18</v>
      </c>
      <c r="AY156" s="149">
        <f t="shared" ref="AY156:BC156" si="20">SQRT($B$31/16)*$B$60*AY147*SQRT(30/AY148)</f>
        <v>162.8684488389907</v>
      </c>
      <c r="AZ156" t="s">
        <v>323</v>
      </c>
    </row>
    <row r="157" spans="1:52" x14ac:dyDescent="0.25">
      <c r="A157" t="s">
        <v>19</v>
      </c>
      <c r="B157" s="123">
        <f>B156/$B$27</f>
        <v>0.32573689767798142</v>
      </c>
      <c r="C157" t="s">
        <v>364</v>
      </c>
      <c r="H157" t="s">
        <v>19</v>
      </c>
      <c r="I157" s="123">
        <f>I156/$B$27</f>
        <v>0.48860534651697207</v>
      </c>
      <c r="J157" t="s">
        <v>364</v>
      </c>
      <c r="O157" t="s">
        <v>19</v>
      </c>
      <c r="P157" s="123">
        <f>P156/$B$27</f>
        <v>0.65147379535596284</v>
      </c>
      <c r="Q157" t="s">
        <v>364</v>
      </c>
      <c r="V157" t="s">
        <v>19</v>
      </c>
      <c r="W157" s="123">
        <f>W156/$B$27</f>
        <v>0.81434224419495349</v>
      </c>
      <c r="X157" t="s">
        <v>364</v>
      </c>
      <c r="AC157" t="s">
        <v>19</v>
      </c>
      <c r="AD157" s="123">
        <f>AD156/$B$27</f>
        <v>0.97721069303394414</v>
      </c>
      <c r="AE157" t="s">
        <v>364</v>
      </c>
      <c r="AJ157" t="s">
        <v>19</v>
      </c>
      <c r="AK157" s="123">
        <f>AK156/$B$27</f>
        <v>1.140079141872935</v>
      </c>
      <c r="AL157" t="s">
        <v>364</v>
      </c>
      <c r="AQ157" t="s">
        <v>19</v>
      </c>
      <c r="AR157" s="123">
        <f>AR156/$B$27</f>
        <v>1.3029475907119257</v>
      </c>
      <c r="AS157" t="s">
        <v>364</v>
      </c>
      <c r="AX157" t="s">
        <v>19</v>
      </c>
      <c r="AY157" s="123">
        <f>AY156/$B$27</f>
        <v>1.628684488389907</v>
      </c>
      <c r="AZ157" t="s">
        <v>364</v>
      </c>
    </row>
    <row r="158" spans="1:52" x14ac:dyDescent="0.25">
      <c r="B158" s="123"/>
      <c r="H158" s="9"/>
      <c r="P158" s="4"/>
      <c r="W158" s="4"/>
      <c r="AD158" s="4"/>
      <c r="AK158" s="4"/>
      <c r="AR158" s="4"/>
      <c r="AY158" s="4"/>
    </row>
    <row r="159" spans="1:52" x14ac:dyDescent="0.25">
      <c r="A159" s="9" t="s">
        <v>230</v>
      </c>
      <c r="B159" s="123"/>
      <c r="H159" s="9" t="s">
        <v>230</v>
      </c>
      <c r="I159" s="4"/>
      <c r="O159" s="9" t="s">
        <v>230</v>
      </c>
      <c r="P159" s="4"/>
      <c r="V159" s="9" t="s">
        <v>230</v>
      </c>
      <c r="W159" s="4"/>
      <c r="AC159" s="9" t="s">
        <v>230</v>
      </c>
      <c r="AD159" s="4"/>
      <c r="AJ159" s="9" t="s">
        <v>230</v>
      </c>
      <c r="AK159" s="4"/>
      <c r="AQ159" s="9" t="s">
        <v>230</v>
      </c>
      <c r="AR159" s="4"/>
      <c r="AX159" s="273" t="s">
        <v>390</v>
      </c>
      <c r="AY159" s="273"/>
    </row>
    <row r="160" spans="1:52" x14ac:dyDescent="0.25">
      <c r="A160" s="9" t="s">
        <v>415</v>
      </c>
      <c r="B160" s="149">
        <f>B188+(B189-B188)/2</f>
        <v>0.17499999999999999</v>
      </c>
      <c r="C160" t="s">
        <v>85</v>
      </c>
      <c r="H160" s="9" t="s">
        <v>415</v>
      </c>
      <c r="I160" s="149">
        <f>I188+(I189-I188)/2</f>
        <v>0.26426990816987239</v>
      </c>
      <c r="J160" t="s">
        <v>85</v>
      </c>
      <c r="O160" s="9" t="s">
        <v>415</v>
      </c>
      <c r="P160" s="149">
        <f>P188+(P189-P188)/2</f>
        <v>0.35353981633974485</v>
      </c>
      <c r="Q160" t="s">
        <v>85</v>
      </c>
      <c r="V160" s="9" t="s">
        <v>415</v>
      </c>
      <c r="W160" s="149">
        <f>W188+(W189-W188)/2</f>
        <v>0.40353981633974484</v>
      </c>
      <c r="X160" t="s">
        <v>85</v>
      </c>
      <c r="AC160" s="9" t="s">
        <v>415</v>
      </c>
      <c r="AD160" s="149">
        <f>AD188+(AD189-AD188)/2</f>
        <v>0.45353981633974483</v>
      </c>
      <c r="AE160" t="s">
        <v>85</v>
      </c>
      <c r="AJ160" s="9" t="s">
        <v>415</v>
      </c>
      <c r="AK160" s="149">
        <f>AK188+(AK189-AK188)/2</f>
        <v>0.50353981633974487</v>
      </c>
      <c r="AL160" t="s">
        <v>85</v>
      </c>
      <c r="AQ160" s="9" t="s">
        <v>415</v>
      </c>
      <c r="AR160" s="149">
        <f>AR188+(AR189-AR188)/2</f>
        <v>0.55353981633974492</v>
      </c>
      <c r="AS160" t="s">
        <v>85</v>
      </c>
      <c r="AX160" s="9" t="s">
        <v>415</v>
      </c>
      <c r="AY160" s="149">
        <f>AY188+(AY189-AY188)/2</f>
        <v>0.65353981633974478</v>
      </c>
      <c r="AZ160" t="s">
        <v>85</v>
      </c>
    </row>
    <row r="161" spans="1:55" x14ac:dyDescent="0.25">
      <c r="A161" t="s">
        <v>414</v>
      </c>
      <c r="B161" s="161">
        <f>$B$27*(4/$B$138)/B160</f>
        <v>228.57142857142858</v>
      </c>
      <c r="C161" t="s">
        <v>413</v>
      </c>
      <c r="H161" t="s">
        <v>414</v>
      </c>
      <c r="I161" s="161">
        <f>$B$27*(4/$B$138)/I160</f>
        <v>151.36040375163731</v>
      </c>
      <c r="J161" t="s">
        <v>413</v>
      </c>
      <c r="O161" t="s">
        <v>414</v>
      </c>
      <c r="P161" s="161">
        <f>$B$27*(4/$B$138)/P160</f>
        <v>113.1414289177567</v>
      </c>
      <c r="Q161" t="s">
        <v>413</v>
      </c>
      <c r="V161" t="s">
        <v>414</v>
      </c>
      <c r="W161" s="161">
        <f>$B$27*(4/$B$138)/W160</f>
        <v>99.122808655697895</v>
      </c>
      <c r="X161" t="s">
        <v>413</v>
      </c>
      <c r="AC161" t="s">
        <v>414</v>
      </c>
      <c r="AD161" s="161">
        <f>$B$27*(4/$B$138)/AD160</f>
        <v>88.195123248090226</v>
      </c>
      <c r="AE161" t="s">
        <v>413</v>
      </c>
      <c r="AJ161" t="s">
        <v>414</v>
      </c>
      <c r="AK161" s="161">
        <f>$B$27*(4/$B$138)/AK160</f>
        <v>79.437610893934703</v>
      </c>
      <c r="AL161" t="s">
        <v>413</v>
      </c>
      <c r="AQ161" t="s">
        <v>414</v>
      </c>
      <c r="AR161" s="161">
        <f>$B$27*(4/$B$138)/AR160</f>
        <v>72.262191118424056</v>
      </c>
      <c r="AS161" t="s">
        <v>413</v>
      </c>
      <c r="AX161" t="s">
        <v>414</v>
      </c>
      <c r="AY161" s="161">
        <f>$B$27*(4/$B$138)/AY160</f>
        <v>61.205146189908454</v>
      </c>
      <c r="AZ161" t="s">
        <v>413</v>
      </c>
    </row>
    <row r="162" spans="1:55" x14ac:dyDescent="0.25">
      <c r="A162" t="s">
        <v>384</v>
      </c>
      <c r="B162" s="97">
        <v>149</v>
      </c>
      <c r="H162" t="s">
        <v>384</v>
      </c>
      <c r="I162" s="97">
        <v>149</v>
      </c>
      <c r="O162" t="s">
        <v>384</v>
      </c>
      <c r="P162" s="97">
        <v>149</v>
      </c>
      <c r="V162" t="s">
        <v>384</v>
      </c>
      <c r="W162" s="97">
        <v>149</v>
      </c>
      <c r="AC162" t="s">
        <v>384</v>
      </c>
      <c r="AD162" s="97">
        <v>149</v>
      </c>
      <c r="AJ162" t="s">
        <v>384</v>
      </c>
      <c r="AK162" s="97">
        <v>149</v>
      </c>
      <c r="AQ162" t="s">
        <v>384</v>
      </c>
      <c r="AR162" s="97">
        <v>149</v>
      </c>
      <c r="AX162" t="s">
        <v>384</v>
      </c>
      <c r="AY162" s="97">
        <v>149</v>
      </c>
    </row>
    <row r="163" spans="1:55" x14ac:dyDescent="0.25">
      <c r="A163" t="s">
        <v>385</v>
      </c>
      <c r="B163" s="149">
        <v>32.278465473972012</v>
      </c>
      <c r="H163" t="s">
        <v>385</v>
      </c>
      <c r="I163" s="149">
        <v>32.278465473972012</v>
      </c>
      <c r="O163" t="s">
        <v>385</v>
      </c>
      <c r="P163" s="149">
        <v>32.278465473972012</v>
      </c>
      <c r="V163" t="s">
        <v>385</v>
      </c>
      <c r="W163" s="149">
        <v>32.278465473972012</v>
      </c>
      <c r="AC163" t="s">
        <v>385</v>
      </c>
      <c r="AD163" s="149">
        <v>32.278465473972012</v>
      </c>
      <c r="AJ163" t="s">
        <v>385</v>
      </c>
      <c r="AK163" s="149">
        <v>32.278465473972012</v>
      </c>
      <c r="AQ163" t="s">
        <v>385</v>
      </c>
      <c r="AR163" s="149">
        <v>32.278465473972012</v>
      </c>
      <c r="AX163" t="s">
        <v>385</v>
      </c>
      <c r="AY163" s="149">
        <v>32.278465473972012</v>
      </c>
    </row>
    <row r="164" spans="1:55" x14ac:dyDescent="0.25">
      <c r="A164" t="s">
        <v>386</v>
      </c>
      <c r="B164" s="149">
        <f>(B161/B162)^2*B163</f>
        <v>75.959872751979688</v>
      </c>
      <c r="H164" t="s">
        <v>386</v>
      </c>
      <c r="I164" s="149">
        <f>(I161/I162)^2*I163</f>
        <v>33.309253390662278</v>
      </c>
      <c r="O164" t="s">
        <v>386</v>
      </c>
      <c r="P164" s="149">
        <f>(P161/P162)^2*P163</f>
        <v>18.611597936249282</v>
      </c>
      <c r="V164" t="s">
        <v>386</v>
      </c>
      <c r="W164" s="149">
        <f>(W161/W162)^2*W163</f>
        <v>14.285240024043061</v>
      </c>
      <c r="AC164" t="s">
        <v>386</v>
      </c>
      <c r="AD164" s="149">
        <f>(AD161/AD162)^2*AD163</f>
        <v>11.309137546947916</v>
      </c>
      <c r="AJ164" t="s">
        <v>386</v>
      </c>
      <c r="AK164" s="149">
        <f>(AK161/AK162)^2*AK163</f>
        <v>9.1747173073384847</v>
      </c>
      <c r="AQ164" t="s">
        <v>386</v>
      </c>
      <c r="AR164" s="149">
        <f>(AR161/AR162)^2*AR163</f>
        <v>7.5921118083220582</v>
      </c>
      <c r="AX164" t="s">
        <v>386</v>
      </c>
      <c r="AY164" s="149">
        <f>(AY161/AY162)^2*AY163</f>
        <v>5.4464838782009313</v>
      </c>
    </row>
    <row r="165" spans="1:55" x14ac:dyDescent="0.25">
      <c r="A165" s="9" t="s">
        <v>63</v>
      </c>
      <c r="B165" s="149">
        <v>12.574999999999999</v>
      </c>
      <c r="H165" s="9" t="s">
        <v>63</v>
      </c>
      <c r="I165" s="149">
        <v>12.574999999999999</v>
      </c>
      <c r="O165" s="9" t="s">
        <v>63</v>
      </c>
      <c r="P165" s="149">
        <v>12.574999999999999</v>
      </c>
      <c r="V165" s="9" t="s">
        <v>63</v>
      </c>
      <c r="W165" s="149">
        <v>12.574999999999999</v>
      </c>
      <c r="AC165" s="9" t="s">
        <v>63</v>
      </c>
      <c r="AD165" s="149">
        <v>12.574999999999999</v>
      </c>
      <c r="AJ165" s="9" t="s">
        <v>63</v>
      </c>
      <c r="AK165" s="149">
        <v>12.574999999999999</v>
      </c>
      <c r="AQ165" s="9" t="s">
        <v>63</v>
      </c>
      <c r="AR165" s="149">
        <v>12.574999999999999</v>
      </c>
      <c r="AX165" s="9" t="s">
        <v>63</v>
      </c>
      <c r="AY165" s="149">
        <v>12.574999999999999</v>
      </c>
      <c r="AZ165" s="201"/>
    </row>
    <row r="166" spans="1:55" x14ac:dyDescent="0.25">
      <c r="A166" s="9" t="s">
        <v>64</v>
      </c>
      <c r="B166" s="149">
        <v>-5.7515999999999998</v>
      </c>
      <c r="H166" s="9" t="s">
        <v>64</v>
      </c>
      <c r="I166" s="149">
        <v>-5.7515999999999998</v>
      </c>
      <c r="O166" s="9" t="s">
        <v>64</v>
      </c>
      <c r="P166" s="149">
        <v>-5.7515999999999998</v>
      </c>
      <c r="V166" s="9" t="s">
        <v>64</v>
      </c>
      <c r="W166" s="149">
        <v>-5.7515999999999998</v>
      </c>
      <c r="AC166" s="9" t="s">
        <v>64</v>
      </c>
      <c r="AD166" s="149">
        <v>-5.7515999999999998</v>
      </c>
      <c r="AJ166" s="9" t="s">
        <v>64</v>
      </c>
      <c r="AK166" s="149">
        <v>-5.7515999999999998</v>
      </c>
      <c r="AQ166" s="9" t="s">
        <v>64</v>
      </c>
      <c r="AR166" s="149">
        <v>-5.7515999999999998</v>
      </c>
      <c r="AX166" s="9" t="s">
        <v>64</v>
      </c>
      <c r="AY166" s="149">
        <v>-5.7515999999999998</v>
      </c>
      <c r="AZ166" s="201"/>
    </row>
    <row r="167" spans="1:55" x14ac:dyDescent="0.25">
      <c r="A167" s="9" t="s">
        <v>383</v>
      </c>
      <c r="B167" s="149">
        <f>B165*LN(B164)+B166</f>
        <v>48.700730525117635</v>
      </c>
      <c r="H167" s="9" t="s">
        <v>383</v>
      </c>
      <c r="I167" s="149">
        <f>I165*LN(I164)+I166</f>
        <v>38.334278117654847</v>
      </c>
      <c r="O167" s="9" t="s">
        <v>383</v>
      </c>
      <c r="P167" s="149">
        <f>P165*LN(P164)+P166</f>
        <v>31.014995511794293</v>
      </c>
      <c r="V167" s="9" t="s">
        <v>383</v>
      </c>
      <c r="W167" s="149">
        <f>W165*LN(W164)+W166</f>
        <v>27.688177488663801</v>
      </c>
      <c r="AC167" s="9" t="s">
        <v>383</v>
      </c>
      <c r="AD167" s="149">
        <f>AD165*LN(AD164)+AD166</f>
        <v>24.750458720162683</v>
      </c>
      <c r="AJ167" s="9" t="s">
        <v>383</v>
      </c>
      <c r="AK167" s="149">
        <f>AK165*LN(AK164)+AK166</f>
        <v>22.120278647129421</v>
      </c>
      <c r="AQ167" s="9" t="s">
        <v>383</v>
      </c>
      <c r="AR167" s="149">
        <f>AR165*LN(AR164)+AR166</f>
        <v>19.739305588158484</v>
      </c>
      <c r="AX167" s="9" t="s">
        <v>383</v>
      </c>
      <c r="AY167" s="149">
        <f>AY165*LN(AY164)+AY166</f>
        <v>15.562650774372713</v>
      </c>
      <c r="AZ167" s="201"/>
    </row>
    <row r="168" spans="1:55" x14ac:dyDescent="0.25">
      <c r="A168" s="9" t="s">
        <v>387</v>
      </c>
      <c r="B168" s="97">
        <f>$B$138/4</f>
        <v>2.5</v>
      </c>
      <c r="H168" s="9" t="s">
        <v>387</v>
      </c>
      <c r="I168" s="97">
        <f>$B$138/4</f>
        <v>2.5</v>
      </c>
      <c r="O168" s="9" t="s">
        <v>387</v>
      </c>
      <c r="P168" s="97">
        <f>$B$138/4</f>
        <v>2.5</v>
      </c>
      <c r="V168" s="9" t="s">
        <v>387</v>
      </c>
      <c r="W168" s="97">
        <f>$B$138/4</f>
        <v>2.5</v>
      </c>
      <c r="AC168" s="9" t="s">
        <v>387</v>
      </c>
      <c r="AD168" s="97">
        <f>$B$138/4</f>
        <v>2.5</v>
      </c>
      <c r="AJ168" s="9" t="s">
        <v>387</v>
      </c>
      <c r="AK168" s="97">
        <f>$B$138/4</f>
        <v>2.5</v>
      </c>
      <c r="AQ168" s="9" t="s">
        <v>387</v>
      </c>
      <c r="AR168" s="97">
        <f>$B$138/4</f>
        <v>2.5</v>
      </c>
      <c r="AX168" s="9" t="s">
        <v>387</v>
      </c>
      <c r="AY168" s="97">
        <f>$B$138/4</f>
        <v>2.5</v>
      </c>
    </row>
    <row r="169" spans="1:55" x14ac:dyDescent="0.25">
      <c r="A169" s="9" t="s">
        <v>388</v>
      </c>
      <c r="B169" s="97">
        <f>A145/1000</f>
        <v>0.2</v>
      </c>
      <c r="H169" s="9" t="s">
        <v>388</v>
      </c>
      <c r="I169" s="97">
        <f>H145/1000</f>
        <v>0.3</v>
      </c>
      <c r="O169" s="9" t="s">
        <v>388</v>
      </c>
      <c r="P169" s="97">
        <f>O145/1000</f>
        <v>0.4</v>
      </c>
      <c r="V169" s="9" t="s">
        <v>388</v>
      </c>
      <c r="W169" s="97">
        <f>V145/1000</f>
        <v>0.5</v>
      </c>
      <c r="AC169" s="9" t="s">
        <v>388</v>
      </c>
      <c r="AD169" s="97">
        <f>AC145/1000</f>
        <v>0.6</v>
      </c>
      <c r="AJ169" s="9" t="s">
        <v>388</v>
      </c>
      <c r="AK169" s="97">
        <f>AJ145/1000</f>
        <v>0.7</v>
      </c>
      <c r="AQ169" s="9" t="s">
        <v>388</v>
      </c>
      <c r="AR169" s="97">
        <f>AQ145/1000</f>
        <v>0.8</v>
      </c>
      <c r="AX169" s="9" t="s">
        <v>388</v>
      </c>
      <c r="AY169" s="97">
        <f>AX145/1000</f>
        <v>1</v>
      </c>
    </row>
    <row r="170" spans="1:55" x14ac:dyDescent="0.25">
      <c r="A170" s="9" t="s">
        <v>392</v>
      </c>
      <c r="B170" s="149">
        <f>B167+10*LOG10(B168*B169)</f>
        <v>45.690430568477822</v>
      </c>
      <c r="H170" s="9" t="s">
        <v>393</v>
      </c>
      <c r="I170" s="149">
        <f>I167+10*LOG10(I168*I169)</f>
        <v>37.084890751571848</v>
      </c>
      <c r="O170" s="9" t="s">
        <v>394</v>
      </c>
      <c r="P170" s="149">
        <f>P167+10*LOG10(P168*P169)</f>
        <v>31.014995511794293</v>
      </c>
      <c r="V170" s="9" t="s">
        <v>395</v>
      </c>
      <c r="W170" s="149">
        <f>W167+10*LOG10(W168*W169)</f>
        <v>28.657277618744367</v>
      </c>
      <c r="AC170" s="9" t="s">
        <v>396</v>
      </c>
      <c r="AD170" s="149">
        <f>AD167+10*LOG10(AD168*AD169)</f>
        <v>26.511371310719497</v>
      </c>
      <c r="AJ170" s="9" t="s">
        <v>397</v>
      </c>
      <c r="AK170" s="149">
        <f>AK167+10*LOG10(AK168*AK169)</f>
        <v>24.550659133992365</v>
      </c>
      <c r="AQ170" s="9" t="s">
        <v>398</v>
      </c>
      <c r="AR170" s="149">
        <f>AR167+10*LOG10(AR168*AR169)</f>
        <v>22.749605544798296</v>
      </c>
      <c r="AX170" s="9" t="s">
        <v>399</v>
      </c>
      <c r="AY170" s="149">
        <f>AY167+10*LOG10(AY168*AY169)</f>
        <v>19.542050861093088</v>
      </c>
      <c r="AZ170" s="201" t="s">
        <v>389</v>
      </c>
    </row>
    <row r="171" spans="1:55" x14ac:dyDescent="0.25">
      <c r="A171" s="9" t="s">
        <v>391</v>
      </c>
      <c r="B171" s="149">
        <v>1</v>
      </c>
      <c r="H171" s="9" t="s">
        <v>391</v>
      </c>
      <c r="I171" s="149">
        <v>1</v>
      </c>
      <c r="O171" s="9" t="s">
        <v>391</v>
      </c>
      <c r="P171" s="149">
        <v>1</v>
      </c>
      <c r="V171" s="9" t="s">
        <v>391</v>
      </c>
      <c r="W171" s="149">
        <v>1</v>
      </c>
      <c r="AC171" s="9" t="s">
        <v>391</v>
      </c>
      <c r="AD171" s="149">
        <v>1</v>
      </c>
      <c r="AJ171" s="9" t="s">
        <v>391</v>
      </c>
      <c r="AK171" s="149">
        <v>1</v>
      </c>
      <c r="AQ171" s="9" t="s">
        <v>391</v>
      </c>
      <c r="AR171" s="149">
        <v>1</v>
      </c>
      <c r="AX171" s="9" t="s">
        <v>391</v>
      </c>
      <c r="AY171" s="149">
        <v>1</v>
      </c>
      <c r="AZ171" s="201"/>
    </row>
    <row r="172" spans="1:55" x14ac:dyDescent="0.25">
      <c r="A172" s="9" t="s">
        <v>20</v>
      </c>
      <c r="B172" s="149">
        <f>B171*B170</f>
        <v>45.690430568477822</v>
      </c>
      <c r="D172" s="113"/>
      <c r="E172" s="113"/>
      <c r="F172" s="113"/>
      <c r="H172" s="9" t="s">
        <v>20</v>
      </c>
      <c r="I172" s="149">
        <f>I171*I170</f>
        <v>37.084890751571848</v>
      </c>
      <c r="K172" s="113"/>
      <c r="L172" s="113"/>
      <c r="M172" s="113"/>
      <c r="O172" s="9" t="s">
        <v>20</v>
      </c>
      <c r="P172" s="149">
        <f>P171*P170</f>
        <v>31.014995511794293</v>
      </c>
      <c r="R172" s="113"/>
      <c r="S172" s="113"/>
      <c r="T172" s="113"/>
      <c r="V172" s="9" t="s">
        <v>20</v>
      </c>
      <c r="W172" s="149">
        <f>W171*W170</f>
        <v>28.657277618744367</v>
      </c>
      <c r="Y172" s="113"/>
      <c r="Z172" s="113"/>
      <c r="AA172" s="113"/>
      <c r="AC172" s="9" t="s">
        <v>20</v>
      </c>
      <c r="AD172" s="149">
        <f>AD171*AD170</f>
        <v>26.511371310719497</v>
      </c>
      <c r="AF172" s="113"/>
      <c r="AG172" s="113"/>
      <c r="AH172" s="113"/>
      <c r="AJ172" s="9" t="s">
        <v>20</v>
      </c>
      <c r="AK172" s="149">
        <f>AK171*AK170</f>
        <v>24.550659133992365</v>
      </c>
      <c r="AM172" s="113"/>
      <c r="AN172" s="113"/>
      <c r="AO172" s="113"/>
      <c r="AQ172" s="9" t="s">
        <v>20</v>
      </c>
      <c r="AR172" s="149">
        <f>AR171*AR170</f>
        <v>22.749605544798296</v>
      </c>
      <c r="AT172" s="113"/>
      <c r="AU172" s="113"/>
      <c r="AV172" s="113"/>
      <c r="AX172" s="9" t="s">
        <v>20</v>
      </c>
      <c r="AY172" s="149">
        <f>AY171*AY170</f>
        <v>19.542050861093088</v>
      </c>
      <c r="BA172" s="113"/>
      <c r="BB172" s="113"/>
      <c r="BC172" s="113"/>
    </row>
    <row r="173" spans="1:55" x14ac:dyDescent="0.25">
      <c r="A173" s="9" t="s">
        <v>21</v>
      </c>
      <c r="B173" s="149">
        <f t="shared" ref="B173" si="21">B172-15</f>
        <v>30.690430568477822</v>
      </c>
      <c r="H173" s="9" t="s">
        <v>21</v>
      </c>
      <c r="I173" s="149">
        <f t="shared" ref="I173" si="22">I172-15</f>
        <v>22.084890751571848</v>
      </c>
      <c r="O173" s="9" t="s">
        <v>21</v>
      </c>
      <c r="P173" s="149">
        <f t="shared" ref="P173" si="23">P172-15</f>
        <v>16.014995511794293</v>
      </c>
      <c r="V173" s="9" t="s">
        <v>21</v>
      </c>
      <c r="W173" s="149">
        <f t="shared" ref="W173" si="24">W172-15</f>
        <v>13.657277618744367</v>
      </c>
      <c r="AC173" s="9" t="s">
        <v>21</v>
      </c>
      <c r="AD173" s="149">
        <f t="shared" ref="AD173" si="25">AD172-15</f>
        <v>11.511371310719497</v>
      </c>
      <c r="AJ173" s="9" t="s">
        <v>21</v>
      </c>
      <c r="AK173" s="149">
        <f t="shared" ref="AK173" si="26">AK172-15</f>
        <v>9.5506591339923652</v>
      </c>
      <c r="AQ173" s="9" t="s">
        <v>21</v>
      </c>
      <c r="AR173" s="149">
        <f t="shared" ref="AR173" si="27">AR172-15</f>
        <v>7.7496055447982961</v>
      </c>
      <c r="AX173" s="9" t="s">
        <v>21</v>
      </c>
      <c r="AY173" s="149">
        <f t="shared" ref="AY173" si="28">AY172-15</f>
        <v>4.5420508610930881</v>
      </c>
    </row>
    <row r="174" spans="1:55" x14ac:dyDescent="0.25">
      <c r="A174" s="9"/>
      <c r="B174" s="6"/>
      <c r="H174" s="9"/>
      <c r="I174" s="6"/>
      <c r="O174" s="9"/>
      <c r="P174" s="6"/>
      <c r="V174" s="9"/>
      <c r="W174" s="6"/>
      <c r="AC174" s="9"/>
      <c r="AD174" s="6"/>
      <c r="AJ174" s="9"/>
      <c r="AK174" s="6"/>
      <c r="AQ174" s="9"/>
      <c r="AR174" s="6"/>
      <c r="AX174" s="9"/>
      <c r="AY174" s="6"/>
    </row>
    <row r="175" spans="1:55" x14ac:dyDescent="0.25">
      <c r="A175" s="147" t="s">
        <v>317</v>
      </c>
      <c r="H175" s="9"/>
      <c r="I175" s="6"/>
      <c r="O175" s="9"/>
      <c r="P175" s="6"/>
      <c r="V175" s="9"/>
      <c r="W175" s="6"/>
      <c r="AC175" s="9"/>
      <c r="AD175" s="6"/>
      <c r="AJ175" s="9"/>
      <c r="AK175" s="6"/>
      <c r="AQ175" s="9"/>
      <c r="AR175" s="6"/>
      <c r="AX175" s="9"/>
      <c r="AY175" s="6"/>
    </row>
    <row r="176" spans="1:55" x14ac:dyDescent="0.25">
      <c r="A176" s="150"/>
      <c r="B176" s="97"/>
      <c r="E176" s="97"/>
      <c r="H176" s="9"/>
      <c r="I176" s="6"/>
      <c r="O176" s="9"/>
      <c r="P176" s="6"/>
      <c r="V176" s="9"/>
      <c r="W176" s="6"/>
      <c r="AC176" s="9"/>
      <c r="AD176" s="6"/>
      <c r="AJ176" s="9"/>
      <c r="AK176" s="6"/>
      <c r="AQ176" s="9"/>
      <c r="AR176" s="6"/>
      <c r="AX176" s="9"/>
      <c r="AY176" s="6"/>
    </row>
    <row r="177" spans="1:55" x14ac:dyDescent="0.25">
      <c r="B177" s="152" t="s">
        <v>320</v>
      </c>
      <c r="C177" s="152" t="s">
        <v>321</v>
      </c>
      <c r="D177" s="152" t="s">
        <v>311</v>
      </c>
      <c r="I177" s="152" t="s">
        <v>320</v>
      </c>
      <c r="J177" s="152" t="s">
        <v>321</v>
      </c>
      <c r="K177" s="152" t="s">
        <v>311</v>
      </c>
      <c r="P177" s="152" t="s">
        <v>320</v>
      </c>
      <c r="Q177" s="152" t="s">
        <v>321</v>
      </c>
      <c r="R177" s="152" t="s">
        <v>311</v>
      </c>
      <c r="W177" s="152" t="s">
        <v>320</v>
      </c>
      <c r="X177" s="152" t="s">
        <v>321</v>
      </c>
      <c r="Y177" s="152" t="s">
        <v>311</v>
      </c>
      <c r="AD177" s="152" t="s">
        <v>320</v>
      </c>
      <c r="AE177" s="152" t="s">
        <v>321</v>
      </c>
      <c r="AF177" s="152" t="s">
        <v>311</v>
      </c>
      <c r="AK177" s="152" t="s">
        <v>320</v>
      </c>
      <c r="AL177" s="152" t="s">
        <v>321</v>
      </c>
      <c r="AM177" s="152" t="s">
        <v>311</v>
      </c>
      <c r="AR177" s="152" t="s">
        <v>320</v>
      </c>
      <c r="AS177" s="152" t="s">
        <v>321</v>
      </c>
      <c r="AT177" s="152" t="s">
        <v>311</v>
      </c>
      <c r="AY177" s="152" t="s">
        <v>320</v>
      </c>
      <c r="AZ177" s="152" t="s">
        <v>321</v>
      </c>
      <c r="BA177" s="152" t="s">
        <v>311</v>
      </c>
    </row>
    <row r="178" spans="1:55" x14ac:dyDescent="0.25">
      <c r="B178" s="153">
        <f>IF(C178=1,$L$49,10000)</f>
        <v>3.1588424210451675</v>
      </c>
      <c r="C178" s="152">
        <f>IF($H49&lt;=B$146,1,0)</f>
        <v>1</v>
      </c>
      <c r="D178" s="154" t="s">
        <v>312</v>
      </c>
      <c r="I178" s="153">
        <f>IF(J178=1,$L$49,10000)</f>
        <v>3.1588424210451675</v>
      </c>
      <c r="J178" s="152">
        <f>IF($H49&lt;=I$146,1,0)</f>
        <v>1</v>
      </c>
      <c r="K178" s="154" t="s">
        <v>312</v>
      </c>
      <c r="P178" s="153">
        <f>IF(Q178=1,$L$49,10000)</f>
        <v>3.1588424210451675</v>
      </c>
      <c r="Q178" s="152">
        <f>IF($H49&lt;=P$146,1,0)</f>
        <v>1</v>
      </c>
      <c r="R178" s="154" t="s">
        <v>312</v>
      </c>
      <c r="W178" s="153">
        <f>IF(X178=1,$L$49,10000)</f>
        <v>3.1588424210451675</v>
      </c>
      <c r="X178" s="152">
        <f>IF($H49&lt;=W$146,1,0)</f>
        <v>1</v>
      </c>
      <c r="Y178" s="154" t="s">
        <v>312</v>
      </c>
      <c r="AD178" s="153">
        <f>IF(AE178=1,$L$49,10000)</f>
        <v>3.1588424210451675</v>
      </c>
      <c r="AE178" s="152">
        <f>IF($H49&lt;=AD$146,1,0)</f>
        <v>1</v>
      </c>
      <c r="AF178" s="154" t="s">
        <v>312</v>
      </c>
      <c r="AK178" s="153">
        <f>IF(AL178=1,$L$49,10000)</f>
        <v>3.1588424210451675</v>
      </c>
      <c r="AL178" s="152">
        <f>IF($H49&lt;=AK$146,1,0)</f>
        <v>1</v>
      </c>
      <c r="AM178" s="154" t="s">
        <v>312</v>
      </c>
      <c r="AR178" s="153">
        <f>IF(AS178=1,$L$49,10000)</f>
        <v>3.1588424210451675</v>
      </c>
      <c r="AS178" s="152">
        <f>IF($H49&lt;=AR$146,1,0)</f>
        <v>1</v>
      </c>
      <c r="AT178" s="154" t="s">
        <v>312</v>
      </c>
      <c r="AY178" s="153">
        <f>IF(AZ178=1,$L$49,10000)</f>
        <v>3.1588424210451675</v>
      </c>
      <c r="AZ178" s="152">
        <f>IF($H49&lt;=AY$146,1,0)</f>
        <v>1</v>
      </c>
      <c r="BA178" s="154" t="s">
        <v>312</v>
      </c>
    </row>
    <row r="179" spans="1:55" x14ac:dyDescent="0.25">
      <c r="B179" s="153">
        <f>IF(C179=1,$L$50,10000)</f>
        <v>10000</v>
      </c>
      <c r="C179" s="152">
        <f>IF($H50&lt;=B$146,1,0)</f>
        <v>0</v>
      </c>
      <c r="D179" s="154" t="s">
        <v>313</v>
      </c>
      <c r="I179" s="153">
        <f>IF(J179=1,$L$50,10000)</f>
        <v>0.89530545262710071</v>
      </c>
      <c r="J179" s="152">
        <f>IF($H50&lt;=I$146,1,0)</f>
        <v>1</v>
      </c>
      <c r="K179" s="154" t="s">
        <v>313</v>
      </c>
      <c r="P179" s="153">
        <f>IF(Q179=1,$L$50,10000)</f>
        <v>0.89530545262710071</v>
      </c>
      <c r="Q179" s="152">
        <f>IF($H50&lt;=P$146,1,0)</f>
        <v>1</v>
      </c>
      <c r="R179" s="154" t="s">
        <v>313</v>
      </c>
      <c r="W179" s="153">
        <f>IF(X179=1,$L$50,10000)</f>
        <v>0.89530545262710071</v>
      </c>
      <c r="X179" s="152">
        <f>IF($H50&lt;=W$146,1,0)</f>
        <v>1</v>
      </c>
      <c r="Y179" s="154" t="s">
        <v>313</v>
      </c>
      <c r="AD179" s="153">
        <f>IF(AE179=1,$L$50,10000)</f>
        <v>0.89530545262710071</v>
      </c>
      <c r="AE179" s="152">
        <f>IF($H50&lt;=AD$146,1,0)</f>
        <v>1</v>
      </c>
      <c r="AF179" s="154" t="s">
        <v>313</v>
      </c>
      <c r="AK179" s="153">
        <f>IF(AL179=1,$L$50,10000)</f>
        <v>0.89530545262710071</v>
      </c>
      <c r="AL179" s="152">
        <f>IF($H50&lt;=AK$146,1,0)</f>
        <v>1</v>
      </c>
      <c r="AM179" s="154" t="s">
        <v>313</v>
      </c>
      <c r="AR179" s="153">
        <f>IF(AS179=1,$L$50,10000)</f>
        <v>0.89530545262710071</v>
      </c>
      <c r="AS179" s="152">
        <f>IF($H50&lt;=AR$146,1,0)</f>
        <v>1</v>
      </c>
      <c r="AT179" s="154" t="s">
        <v>313</v>
      </c>
      <c r="AY179" s="153">
        <f>IF(AZ179=1,$L$50,10000)</f>
        <v>0.89530545262710071</v>
      </c>
      <c r="AZ179" s="152">
        <f>IF($H50&lt;=AY$146,1,0)</f>
        <v>1</v>
      </c>
      <c r="BA179" s="154" t="s">
        <v>313</v>
      </c>
    </row>
    <row r="180" spans="1:55" x14ac:dyDescent="0.25">
      <c r="B180" s="153">
        <f>IF(C180=1,$L$51,10000)</f>
        <v>10000</v>
      </c>
      <c r="C180" s="152">
        <f>IF($H51&lt;=B$146,1,0)</f>
        <v>0</v>
      </c>
      <c r="D180" s="154" t="s">
        <v>314</v>
      </c>
      <c r="I180" s="153">
        <f>IF(J180=1,$L$51,10000)</f>
        <v>10000</v>
      </c>
      <c r="J180" s="152">
        <f>IF($H51&lt;=I$146,1,0)</f>
        <v>0</v>
      </c>
      <c r="K180" s="154" t="s">
        <v>314</v>
      </c>
      <c r="P180" s="153">
        <f>IF(Q180=1,$L$51,10000)</f>
        <v>7.4781819552070861E-2</v>
      </c>
      <c r="Q180" s="152">
        <f>IF($H51&lt;=P$146,1,0)</f>
        <v>1</v>
      </c>
      <c r="R180" s="154" t="s">
        <v>314</v>
      </c>
      <c r="W180" s="153">
        <f>IF(X180=1,$L$51,10000)</f>
        <v>7.4781819552070861E-2</v>
      </c>
      <c r="X180" s="152">
        <f>IF($H51&lt;=W$146,1,0)</f>
        <v>1</v>
      </c>
      <c r="Y180" s="154" t="s">
        <v>314</v>
      </c>
      <c r="AD180" s="153">
        <f>IF(AE180=1,$L$51,10000)</f>
        <v>7.4781819552070861E-2</v>
      </c>
      <c r="AE180" s="152">
        <f>IF($H51&lt;=AD$146,1,0)</f>
        <v>1</v>
      </c>
      <c r="AF180" s="154" t="s">
        <v>314</v>
      </c>
      <c r="AK180" s="153">
        <f>IF(AL180=1,$L$51,10000)</f>
        <v>7.4781819552070861E-2</v>
      </c>
      <c r="AL180" s="152">
        <f>IF($H51&lt;=AK$146,1,0)</f>
        <v>1</v>
      </c>
      <c r="AM180" s="154" t="s">
        <v>314</v>
      </c>
      <c r="AR180" s="153">
        <f>IF(AS180=1,$L$51,10000)</f>
        <v>7.4781819552070861E-2</v>
      </c>
      <c r="AS180" s="152">
        <f>IF($H51&lt;=AR$146,1,0)</f>
        <v>1</v>
      </c>
      <c r="AT180" s="154" t="s">
        <v>314</v>
      </c>
      <c r="AY180" s="153">
        <f>IF(AZ180=1,$L$51,10000)</f>
        <v>7.4781819552070861E-2</v>
      </c>
      <c r="AZ180" s="152">
        <f>IF($H51&lt;=AY$146,1,0)</f>
        <v>1</v>
      </c>
      <c r="BA180" s="154" t="s">
        <v>314</v>
      </c>
    </row>
    <row r="181" spans="1:55" x14ac:dyDescent="0.25">
      <c r="B181" s="153">
        <f>IF(C181=1,$L$52,10000)</f>
        <v>10000</v>
      </c>
      <c r="C181" s="152">
        <f>IF($H52&lt;=B$146,1,0)</f>
        <v>0</v>
      </c>
      <c r="D181" s="154" t="s">
        <v>315</v>
      </c>
      <c r="I181" s="153">
        <f>IF(J181=1,$L$52,10000)</f>
        <v>10000</v>
      </c>
      <c r="J181" s="152">
        <f>IF($H52&lt;=I$146,1,0)</f>
        <v>0</v>
      </c>
      <c r="K181" s="154" t="s">
        <v>315</v>
      </c>
      <c r="P181" s="153">
        <f>IF(Q181=1,$L$52,10000)</f>
        <v>0.61371919298494415</v>
      </c>
      <c r="Q181" s="152">
        <f>IF($H52&lt;=P$146,1,0)</f>
        <v>1</v>
      </c>
      <c r="R181" s="154" t="s">
        <v>315</v>
      </c>
      <c r="W181" s="153">
        <f>IF(X181=1,$L$52,10000)</f>
        <v>0.61371919298494415</v>
      </c>
      <c r="X181" s="152">
        <f>IF($H52&lt;=W$146,1,0)</f>
        <v>1</v>
      </c>
      <c r="Y181" s="154" t="s">
        <v>315</v>
      </c>
      <c r="AD181" s="153">
        <f>IF(AE181=1,$L$52,10000)</f>
        <v>0.61371919298494415</v>
      </c>
      <c r="AE181" s="152">
        <f>IF($H52&lt;=AD$146,1,0)</f>
        <v>1</v>
      </c>
      <c r="AF181" s="154" t="s">
        <v>315</v>
      </c>
      <c r="AK181" s="153">
        <f>IF(AL181=1,$L$52,10000)</f>
        <v>0.61371919298494415</v>
      </c>
      <c r="AL181" s="152">
        <f>IF($H52&lt;=AK$146,1,0)</f>
        <v>1</v>
      </c>
      <c r="AM181" s="154" t="s">
        <v>315</v>
      </c>
      <c r="AR181" s="153">
        <f>IF(AS181=1,$L$52,10000)</f>
        <v>0.61371919298494415</v>
      </c>
      <c r="AS181" s="152">
        <f>IF($H52&lt;=AR$146,1,0)</f>
        <v>1</v>
      </c>
      <c r="AT181" s="154" t="s">
        <v>315</v>
      </c>
      <c r="AY181" s="153">
        <f>IF(AZ181=1,$L$52,10000)</f>
        <v>0.61371919298494415</v>
      </c>
      <c r="AZ181" s="152">
        <f>IF($H52&lt;=AY$146,1,0)</f>
        <v>1</v>
      </c>
      <c r="BA181" s="154" t="s">
        <v>315</v>
      </c>
    </row>
    <row r="182" spans="1:55" x14ac:dyDescent="0.25">
      <c r="B182" s="153">
        <f>IF(C182=1,$L$53,10000)</f>
        <v>10000</v>
      </c>
      <c r="C182" s="152">
        <f>IF($H53&lt;=B$146,1,0)</f>
        <v>0</v>
      </c>
      <c r="D182" s="154" t="s">
        <v>316</v>
      </c>
      <c r="I182" s="153">
        <f>IF(J182=1,$L$53,10000)</f>
        <v>10000</v>
      </c>
      <c r="J182" s="152">
        <f>IF($H53&lt;=I$146,1,0)</f>
        <v>0</v>
      </c>
      <c r="K182" s="154" t="s">
        <v>316</v>
      </c>
      <c r="P182" s="153">
        <f>IF(Q182=1,$L$53,10000)</f>
        <v>10000</v>
      </c>
      <c r="Q182" s="152">
        <f>IF($H53&lt;=P$146,1,0)</f>
        <v>0</v>
      </c>
      <c r="R182" s="154" t="s">
        <v>316</v>
      </c>
      <c r="W182" s="153">
        <f>IF(X182=1,$L$53,10000)</f>
        <v>0.956679339714954</v>
      </c>
      <c r="X182" s="152">
        <f>IF($H53&lt;=W$146,1,0)</f>
        <v>1</v>
      </c>
      <c r="Y182" s="154" t="s">
        <v>316</v>
      </c>
      <c r="AD182" s="153">
        <f>IF(AE182=1,$L$53,10000)</f>
        <v>0.956679339714954</v>
      </c>
      <c r="AE182" s="152">
        <f>IF($H53&lt;=AD$146,1,0)</f>
        <v>1</v>
      </c>
      <c r="AF182" s="154" t="s">
        <v>316</v>
      </c>
      <c r="AK182" s="153">
        <f>IF(AL182=1,$L$53,10000)</f>
        <v>0.956679339714954</v>
      </c>
      <c r="AL182" s="152">
        <f>IF($H53&lt;=AK$146,1,0)</f>
        <v>1</v>
      </c>
      <c r="AM182" s="154" t="s">
        <v>316</v>
      </c>
      <c r="AR182" s="153">
        <f>IF(AS182=1,$L$53,10000)</f>
        <v>0.956679339714954</v>
      </c>
      <c r="AS182" s="152">
        <f>IF($H53&lt;=AR$146,1,0)</f>
        <v>1</v>
      </c>
      <c r="AT182" s="154" t="s">
        <v>316</v>
      </c>
      <c r="AY182" s="153">
        <f>IF(AZ182=1,$L$53,10000)</f>
        <v>0.956679339714954</v>
      </c>
      <c r="AZ182" s="152">
        <f>IF($H53&lt;=AY$146,1,0)</f>
        <v>1</v>
      </c>
      <c r="BA182" s="154" t="s">
        <v>316</v>
      </c>
    </row>
    <row r="183" spans="1:55" x14ac:dyDescent="0.25">
      <c r="A183" s="151" t="s">
        <v>311</v>
      </c>
      <c r="B183" s="157" t="str">
        <f>VLOOKUP(MIN(B178:B182),B178:D182,3,FALSE)</f>
        <v>DN150</v>
      </c>
      <c r="C183" s="155"/>
      <c r="E183" s="156"/>
      <c r="H183" s="151" t="s">
        <v>311</v>
      </c>
      <c r="I183" s="157" t="str">
        <f>VLOOKUP(MIN(I178:I182),I178:K182,3,FALSE)</f>
        <v>DN200</v>
      </c>
      <c r="J183" s="155"/>
      <c r="O183" s="151" t="s">
        <v>311</v>
      </c>
      <c r="P183" s="157" t="str">
        <f>VLOOKUP(MIN(P178:P182),P178:R182,3,FALSE)</f>
        <v>DN250</v>
      </c>
      <c r="Q183" s="155"/>
      <c r="V183" s="151" t="s">
        <v>311</v>
      </c>
      <c r="W183" s="157" t="str">
        <f>VLOOKUP(MIN(W178:W182),W178:Y182,3,FALSE)</f>
        <v>DN250</v>
      </c>
      <c r="X183" s="155"/>
      <c r="AC183" s="151" t="s">
        <v>311</v>
      </c>
      <c r="AD183" s="157" t="str">
        <f>VLOOKUP(MIN(AD178:AD182),AD178:AF182,3,FALSE)</f>
        <v>DN250</v>
      </c>
      <c r="AE183" s="155"/>
      <c r="AJ183" s="151" t="s">
        <v>311</v>
      </c>
      <c r="AK183" s="157" t="str">
        <f>VLOOKUP(MIN(AK178:AK182),AK178:AM182,3,FALSE)</f>
        <v>DN250</v>
      </c>
      <c r="AL183" s="155"/>
      <c r="AQ183" s="151" t="s">
        <v>311</v>
      </c>
      <c r="AR183" s="157" t="str">
        <f>VLOOKUP(MIN(AR178:AR182),AR178:AT182,3,FALSE)</f>
        <v>DN250</v>
      </c>
      <c r="AS183" s="155"/>
      <c r="AX183" s="151" t="s">
        <v>311</v>
      </c>
      <c r="AY183" s="157" t="str">
        <f>VLOOKUP(MIN(AY178:AY182),AY178:BA182,3,FALSE)</f>
        <v>DN250</v>
      </c>
      <c r="AZ183" s="155"/>
    </row>
    <row r="184" spans="1:55" x14ac:dyDescent="0.25">
      <c r="A184" s="151" t="s">
        <v>410</v>
      </c>
      <c r="B184" s="157">
        <f>VLOOKUP(B183,$A$49:$J$53,10,FALSE)</f>
        <v>5.6588424210451675</v>
      </c>
      <c r="C184" s="155"/>
      <c r="E184" s="156"/>
      <c r="H184" s="151" t="s">
        <v>410</v>
      </c>
      <c r="I184" s="157">
        <f>VLOOKUP(I183,$A$49:$J$53,10,FALSE)</f>
        <v>3.3953054526271007</v>
      </c>
      <c r="J184" s="155"/>
      <c r="O184" s="151" t="s">
        <v>410</v>
      </c>
      <c r="P184" s="157">
        <f>VLOOKUP(P183,$A$49:$J$53,10,FALSE)</f>
        <v>2.4252181804479291</v>
      </c>
      <c r="Q184" s="155"/>
      <c r="V184" s="151" t="s">
        <v>410</v>
      </c>
      <c r="W184" s="157">
        <f>VLOOKUP(W183,$A$49:$J$53,10,FALSE)</f>
        <v>2.4252181804479291</v>
      </c>
      <c r="X184" s="155"/>
      <c r="AC184" s="151" t="s">
        <v>410</v>
      </c>
      <c r="AD184" s="157">
        <f>VLOOKUP(AD183,$A$49:$J$53,10,FALSE)</f>
        <v>2.4252181804479291</v>
      </c>
      <c r="AE184" s="155"/>
      <c r="AJ184" s="151" t="s">
        <v>410</v>
      </c>
      <c r="AK184" s="157">
        <f>VLOOKUP(AK183,$A$49:$J$53,10,FALSE)</f>
        <v>2.4252181804479291</v>
      </c>
      <c r="AL184" s="155"/>
      <c r="AQ184" s="151" t="s">
        <v>410</v>
      </c>
      <c r="AR184" s="157">
        <f>VLOOKUP(AR183,$A$49:$J$53,10,FALSE)</f>
        <v>2.4252181804479291</v>
      </c>
      <c r="AS184" s="155"/>
      <c r="AX184" s="151" t="s">
        <v>410</v>
      </c>
      <c r="AY184" s="157">
        <f>VLOOKUP(AY183,$A$49:$J$53,10,FALSE)</f>
        <v>2.4252181804479291</v>
      </c>
      <c r="AZ184" s="155"/>
    </row>
    <row r="185" spans="1:55" x14ac:dyDescent="0.25">
      <c r="A185" s="151" t="s">
        <v>411</v>
      </c>
      <c r="B185" s="157">
        <f>VLOOKUP(B183,$A$49:$K$53,11,FALSE)</f>
        <v>5.6588424210451675</v>
      </c>
      <c r="E185" s="97"/>
      <c r="H185" s="151" t="s">
        <v>411</v>
      </c>
      <c r="I185" s="157">
        <f>VLOOKUP(I183,$A$49:$K$53,11,FALSE)</f>
        <v>3.3953054526271007</v>
      </c>
      <c r="O185" s="151" t="s">
        <v>411</v>
      </c>
      <c r="P185" s="157">
        <f>VLOOKUP(P183,$A$49:$K$53,11,FALSE)</f>
        <v>2.4252181804479291</v>
      </c>
      <c r="V185" s="151" t="s">
        <v>411</v>
      </c>
      <c r="W185" s="157">
        <f>VLOOKUP(W183,$A$49:$K$53,11,FALSE)</f>
        <v>2.4252181804479291</v>
      </c>
      <c r="AC185" s="151" t="s">
        <v>411</v>
      </c>
      <c r="AD185" s="157">
        <f>VLOOKUP(AD183,$A$49:$K$53,11,FALSE)</f>
        <v>2.4252181804479291</v>
      </c>
      <c r="AJ185" s="151" t="s">
        <v>411</v>
      </c>
      <c r="AK185" s="157">
        <f>VLOOKUP(AK183,$A$49:$K$53,11,FALSE)</f>
        <v>2.4252181804479291</v>
      </c>
      <c r="AQ185" s="151" t="s">
        <v>411</v>
      </c>
      <c r="AR185" s="157">
        <f>VLOOKUP(AR183,$A$49:$K$53,11,FALSE)</f>
        <v>2.4252181804479291</v>
      </c>
      <c r="AX185" s="151" t="s">
        <v>411</v>
      </c>
      <c r="AY185" s="157">
        <f>VLOOKUP(AY183,$A$49:$K$53,11,FALSE)</f>
        <v>2.4252181804479291</v>
      </c>
    </row>
    <row r="186" spans="1:55" x14ac:dyDescent="0.25">
      <c r="A186" s="164" t="s">
        <v>310</v>
      </c>
      <c r="B186" s="157">
        <f>($B$27*0.001)/($B$16*0.001*B146)</f>
        <v>3.3333333333333335</v>
      </c>
      <c r="E186" s="97"/>
      <c r="H186" s="164" t="s">
        <v>310</v>
      </c>
      <c r="I186" s="157">
        <f t="shared" ref="I186" si="29">($B$27*0.001)/($B$16*0.001*I146)</f>
        <v>2.2222222222222223</v>
      </c>
      <c r="L186" s="97"/>
      <c r="O186" s="164" t="s">
        <v>310</v>
      </c>
      <c r="P186" s="157">
        <f t="shared" ref="P186" si="30">($B$27*0.001)/($B$16*0.001*P146)</f>
        <v>1.6666666666666667</v>
      </c>
      <c r="S186" s="97"/>
      <c r="V186" s="164" t="s">
        <v>310</v>
      </c>
      <c r="W186" s="157">
        <f t="shared" ref="W186" si="31">($B$27*0.001)/($B$16*0.001*W146)</f>
        <v>1.3333333333333335</v>
      </c>
      <c r="Z186" s="97"/>
      <c r="AC186" s="164" t="s">
        <v>310</v>
      </c>
      <c r="AD186" s="157">
        <f t="shared" ref="AD186" si="32">($B$27*0.001)/($B$16*0.001*AD146)</f>
        <v>1.1111111111111112</v>
      </c>
      <c r="AG186" s="97"/>
      <c r="AJ186" s="164" t="s">
        <v>310</v>
      </c>
      <c r="AK186" s="157">
        <f t="shared" ref="AK186" si="33">($B$27*0.001)/($B$16*0.001*AK146)</f>
        <v>0.95238095238095244</v>
      </c>
      <c r="AN186" s="97"/>
      <c r="AQ186" s="164" t="s">
        <v>310</v>
      </c>
      <c r="AR186" s="157">
        <f t="shared" ref="AR186" si="34">($B$27*0.001)/($B$16*0.001*AR146)</f>
        <v>0.83333333333333337</v>
      </c>
      <c r="AU186" s="97"/>
      <c r="AX186" s="164" t="s">
        <v>310</v>
      </c>
      <c r="AY186" s="157">
        <f t="shared" ref="AY186" si="35">($B$27*0.001)/($B$16*0.001*AY146)</f>
        <v>0.66666666666666674</v>
      </c>
      <c r="BB186" s="97"/>
    </row>
    <row r="187" spans="1:55" x14ac:dyDescent="0.25">
      <c r="A187" s="9"/>
      <c r="I187" s="7"/>
      <c r="K187" s="5"/>
      <c r="L187" s="5"/>
      <c r="M187" s="5"/>
      <c r="P187" s="7"/>
      <c r="R187" s="5"/>
      <c r="S187" s="5"/>
      <c r="T187" s="5"/>
      <c r="W187" s="7"/>
      <c r="Y187" s="5"/>
      <c r="Z187" s="5"/>
      <c r="AA187" s="5"/>
      <c r="AD187" s="7"/>
      <c r="AF187" s="5"/>
      <c r="AG187" s="5"/>
      <c r="AH187" s="5"/>
      <c r="AK187" s="7"/>
      <c r="AM187" s="5"/>
      <c r="AN187" s="5"/>
      <c r="AO187" s="5"/>
      <c r="AR187" s="7"/>
      <c r="AT187" s="5"/>
      <c r="AU187" s="5"/>
      <c r="AV187" s="5"/>
      <c r="AY187" s="7"/>
      <c r="BA187" s="5"/>
      <c r="BB187" s="5"/>
      <c r="BC187" s="5"/>
    </row>
    <row r="188" spans="1:55" x14ac:dyDescent="0.25">
      <c r="A188" s="164" t="s">
        <v>335</v>
      </c>
      <c r="B188" s="157">
        <f>VLOOKUP(B183,$A$49:$H$53,8,FALSE)</f>
        <v>0.15</v>
      </c>
      <c r="H188" s="164" t="s">
        <v>335</v>
      </c>
      <c r="I188" s="157">
        <f>VLOOKUP(I183,$A$49:$H$53,8,FALSE)</f>
        <v>0.22853981633974482</v>
      </c>
      <c r="K188" s="5"/>
      <c r="L188" s="5"/>
      <c r="M188" s="5"/>
      <c r="O188" s="164" t="s">
        <v>335</v>
      </c>
      <c r="P188" s="157">
        <f>VLOOKUP(P183,$A$49:$H$53,8,FALSE)</f>
        <v>0.30707963267948968</v>
      </c>
      <c r="R188" s="5"/>
      <c r="S188" s="5"/>
      <c r="T188" s="5"/>
      <c r="V188" s="164" t="s">
        <v>335</v>
      </c>
      <c r="W188" s="157">
        <f>VLOOKUP(W183,$A$49:$H$53,8,FALSE)</f>
        <v>0.30707963267948968</v>
      </c>
      <c r="Y188" s="5"/>
      <c r="Z188" s="5"/>
      <c r="AA188" s="5"/>
      <c r="AC188" s="164" t="s">
        <v>335</v>
      </c>
      <c r="AD188" s="157">
        <f>VLOOKUP(AD183,$A$49:$H$53,8,FALSE)</f>
        <v>0.30707963267948968</v>
      </c>
      <c r="AF188" s="5"/>
      <c r="AG188" s="5"/>
      <c r="AH188" s="5"/>
      <c r="AJ188" s="164" t="s">
        <v>335</v>
      </c>
      <c r="AK188" s="157">
        <f>VLOOKUP(AK183,$A$49:$H$53,8,FALSE)</f>
        <v>0.30707963267948968</v>
      </c>
      <c r="AM188" s="5"/>
      <c r="AN188" s="5"/>
      <c r="AO188" s="5"/>
      <c r="AQ188" s="164" t="s">
        <v>335</v>
      </c>
      <c r="AR188" s="157">
        <f>VLOOKUP(AR183,$A$49:$H$53,8,FALSE)</f>
        <v>0.30707963267948968</v>
      </c>
      <c r="AT188" s="5"/>
      <c r="AU188" s="5"/>
      <c r="AV188" s="5"/>
      <c r="AX188" s="164" t="s">
        <v>335</v>
      </c>
      <c r="AY188" s="157">
        <f>VLOOKUP(AY183,$A$49:$H$53,8,FALSE)</f>
        <v>0.30707963267948968</v>
      </c>
      <c r="BA188" s="5"/>
      <c r="BB188" s="5"/>
      <c r="BC188" s="5"/>
    </row>
    <row r="189" spans="1:55" x14ac:dyDescent="0.25">
      <c r="A189" s="164" t="s">
        <v>336</v>
      </c>
      <c r="B189" s="152">
        <f>B146</f>
        <v>0.2</v>
      </c>
      <c r="H189" s="164" t="s">
        <v>336</v>
      </c>
      <c r="I189" s="157">
        <f>I146</f>
        <v>0.3</v>
      </c>
      <c r="K189" s="5"/>
      <c r="L189" s="5"/>
      <c r="M189" s="5"/>
      <c r="O189" s="164" t="s">
        <v>336</v>
      </c>
      <c r="P189" s="157">
        <f>P146</f>
        <v>0.4</v>
      </c>
      <c r="R189" s="5"/>
      <c r="S189" s="5"/>
      <c r="T189" s="5"/>
      <c r="V189" s="164" t="s">
        <v>336</v>
      </c>
      <c r="W189" s="157">
        <f>W146</f>
        <v>0.5</v>
      </c>
      <c r="Y189" s="5"/>
      <c r="Z189" s="5"/>
      <c r="AA189" s="5"/>
      <c r="AC189" s="164" t="s">
        <v>336</v>
      </c>
      <c r="AD189" s="157">
        <f>AD146</f>
        <v>0.6</v>
      </c>
      <c r="AF189" s="5"/>
      <c r="AG189" s="5"/>
      <c r="AH189" s="5"/>
      <c r="AJ189" s="164" t="s">
        <v>336</v>
      </c>
      <c r="AK189" s="157">
        <f>AK146</f>
        <v>0.7</v>
      </c>
      <c r="AM189" s="5"/>
      <c r="AN189" s="5"/>
      <c r="AO189" s="5"/>
      <c r="AQ189" s="164" t="s">
        <v>336</v>
      </c>
      <c r="AR189" s="157">
        <f>AR146</f>
        <v>0.8</v>
      </c>
      <c r="AT189" s="5"/>
      <c r="AU189" s="5"/>
      <c r="AV189" s="5"/>
      <c r="AX189" s="164" t="s">
        <v>336</v>
      </c>
      <c r="AY189" s="157">
        <f>AY146</f>
        <v>1</v>
      </c>
      <c r="BA189" s="5"/>
      <c r="BB189" s="5"/>
      <c r="BC189" s="5"/>
    </row>
    <row r="190" spans="1:55" x14ac:dyDescent="0.25">
      <c r="A190" s="164" t="s">
        <v>337</v>
      </c>
      <c r="B190" s="157">
        <f>B189/B188</f>
        <v>1.3333333333333335</v>
      </c>
      <c r="H190" s="164" t="s">
        <v>337</v>
      </c>
      <c r="I190" s="157">
        <f>I189/I188</f>
        <v>1.3126815484704129</v>
      </c>
      <c r="K190" s="5"/>
      <c r="L190" s="5"/>
      <c r="M190" s="5"/>
      <c r="O190" s="164" t="s">
        <v>337</v>
      </c>
      <c r="P190" s="157">
        <f>P189/P188</f>
        <v>1.302593716521391</v>
      </c>
      <c r="R190" s="5"/>
      <c r="S190" s="5"/>
      <c r="T190" s="5"/>
      <c r="V190" s="164" t="s">
        <v>337</v>
      </c>
      <c r="W190" s="157">
        <f>W189/W188</f>
        <v>1.6282421456517386</v>
      </c>
      <c r="Y190" s="5"/>
      <c r="Z190" s="5"/>
      <c r="AA190" s="5"/>
      <c r="AC190" s="164" t="s">
        <v>337</v>
      </c>
      <c r="AD190" s="157">
        <f>AD189/AD188</f>
        <v>1.9538905747820863</v>
      </c>
      <c r="AF190" s="5"/>
      <c r="AG190" s="5"/>
      <c r="AH190" s="5"/>
      <c r="AJ190" s="164" t="s">
        <v>337</v>
      </c>
      <c r="AK190" s="157">
        <f>AK189/AK188</f>
        <v>2.2795390039124337</v>
      </c>
      <c r="AM190" s="5"/>
      <c r="AN190" s="5"/>
      <c r="AO190" s="5"/>
      <c r="AQ190" s="164" t="s">
        <v>337</v>
      </c>
      <c r="AR190" s="157">
        <f>AR189/AR188</f>
        <v>2.605187433042782</v>
      </c>
      <c r="AT190" s="5"/>
      <c r="AU190" s="5"/>
      <c r="AV190" s="5"/>
      <c r="AX190" s="164" t="s">
        <v>337</v>
      </c>
      <c r="AY190" s="157">
        <f>AY189/AY188</f>
        <v>3.2564842913034773</v>
      </c>
      <c r="BA190" s="5"/>
      <c r="BB190" s="5"/>
      <c r="BC190" s="5"/>
    </row>
    <row r="191" spans="1:55" x14ac:dyDescent="0.25">
      <c r="A191" s="61"/>
      <c r="B191" s="149"/>
      <c r="H191" s="61"/>
      <c r="I191" s="149"/>
      <c r="K191" s="5"/>
      <c r="L191" s="5"/>
      <c r="M191" s="5"/>
      <c r="O191" s="61"/>
      <c r="P191" s="149"/>
      <c r="R191" s="5"/>
      <c r="S191" s="5"/>
      <c r="T191" s="5"/>
      <c r="V191" s="61"/>
      <c r="W191" s="149"/>
      <c r="Y191" s="5"/>
      <c r="Z191" s="5"/>
      <c r="AA191" s="5"/>
      <c r="AC191" s="61"/>
      <c r="AD191" s="149"/>
      <c r="AF191" s="5"/>
      <c r="AG191" s="5"/>
      <c r="AH191" s="5"/>
      <c r="AJ191" s="61"/>
      <c r="AK191" s="149"/>
      <c r="AM191" s="5"/>
      <c r="AN191" s="5"/>
      <c r="AO191" s="5"/>
      <c r="AQ191" s="61"/>
      <c r="AR191" s="149"/>
      <c r="AT191" s="5"/>
      <c r="AU191" s="5"/>
      <c r="AV191" s="5"/>
      <c r="AX191" s="61"/>
      <c r="AY191" s="149"/>
      <c r="BA191" s="5"/>
      <c r="BB191" s="5"/>
      <c r="BC191" s="5"/>
    </row>
    <row r="192" spans="1:55" x14ac:dyDescent="0.25">
      <c r="A192" s="61"/>
      <c r="B192" s="149"/>
      <c r="H192" s="61"/>
      <c r="I192" s="149"/>
      <c r="K192" s="5"/>
      <c r="L192" s="5"/>
      <c r="M192" s="5"/>
      <c r="O192" s="61"/>
      <c r="P192" s="149"/>
      <c r="R192" s="5"/>
      <c r="S192" s="5"/>
      <c r="T192" s="5"/>
      <c r="V192" s="61"/>
      <c r="W192" s="149"/>
      <c r="Y192" s="5"/>
      <c r="Z192" s="5"/>
      <c r="AA192" s="5"/>
      <c r="AC192" s="61"/>
      <c r="AD192" s="149"/>
      <c r="AF192" s="5"/>
      <c r="AG192" s="5"/>
      <c r="AH192" s="5"/>
      <c r="AJ192" s="61"/>
      <c r="AK192" s="149"/>
      <c r="AM192" s="5"/>
      <c r="AN192" s="5"/>
      <c r="AO192" s="5"/>
      <c r="AQ192" s="61"/>
      <c r="AR192" s="149"/>
      <c r="AT192" s="5"/>
      <c r="AU192" s="5"/>
      <c r="AV192" s="5"/>
      <c r="AX192" s="61"/>
      <c r="AY192" s="149"/>
      <c r="BA192" s="5"/>
      <c r="BB192" s="5"/>
      <c r="BC192" s="5"/>
    </row>
    <row r="193" spans="1:53" x14ac:dyDescent="0.25">
      <c r="A193" s="3" t="s">
        <v>37</v>
      </c>
      <c r="B193">
        <v>2.2999999999999998</v>
      </c>
      <c r="D193" t="s">
        <v>376</v>
      </c>
      <c r="H193" s="3" t="s">
        <v>37</v>
      </c>
      <c r="I193">
        <v>2.2999999999999998</v>
      </c>
      <c r="O193" s="3" t="s">
        <v>37</v>
      </c>
      <c r="P193">
        <v>2.2999999999999998</v>
      </c>
      <c r="V193" s="3" t="s">
        <v>37</v>
      </c>
      <c r="W193">
        <v>2.2999999999999998</v>
      </c>
      <c r="AC193" s="3" t="s">
        <v>37</v>
      </c>
      <c r="AD193">
        <v>2.2999999999999998</v>
      </c>
      <c r="AJ193" s="3" t="s">
        <v>37</v>
      </c>
      <c r="AK193">
        <v>2.2999999999999998</v>
      </c>
      <c r="AQ193" s="3" t="s">
        <v>37</v>
      </c>
      <c r="AR193">
        <v>2.2999999999999998</v>
      </c>
      <c r="AX193" s="3" t="s">
        <v>37</v>
      </c>
      <c r="AY193">
        <v>2.2999999999999998</v>
      </c>
    </row>
    <row r="194" spans="1:53" x14ac:dyDescent="0.25">
      <c r="D194" s="158"/>
      <c r="E194" s="164" t="s">
        <v>373</v>
      </c>
      <c r="F194" s="152">
        <f>B8</f>
        <v>100</v>
      </c>
    </row>
    <row r="195" spans="1:53" x14ac:dyDescent="0.25">
      <c r="A195" s="3" t="s">
        <v>155</v>
      </c>
      <c r="B195" s="1">
        <v>0.5</v>
      </c>
      <c r="D195" s="158"/>
      <c r="E195" s="152" t="s">
        <v>92</v>
      </c>
      <c r="F195" s="152" t="s">
        <v>90</v>
      </c>
      <c r="H195" s="3" t="s">
        <v>155</v>
      </c>
      <c r="O195" s="3" t="s">
        <v>155</v>
      </c>
      <c r="V195" s="3" t="s">
        <v>155</v>
      </c>
      <c r="AC195" s="3" t="s">
        <v>155</v>
      </c>
      <c r="AJ195" s="3" t="s">
        <v>155</v>
      </c>
      <c r="AQ195" s="3" t="s">
        <v>155</v>
      </c>
      <c r="AX195" s="3" t="s">
        <v>155</v>
      </c>
    </row>
    <row r="196" spans="1:53" x14ac:dyDescent="0.25">
      <c r="A196" t="s">
        <v>142</v>
      </c>
      <c r="B196">
        <f>B147</f>
        <v>60</v>
      </c>
      <c r="D196" s="164" t="s">
        <v>377</v>
      </c>
      <c r="E196" s="157">
        <f>$B$78</f>
        <v>15.101924360246469</v>
      </c>
      <c r="F196" s="200">
        <f>$F$194/E196</f>
        <v>6.6216726832002193</v>
      </c>
      <c r="H196" t="s">
        <v>142</v>
      </c>
      <c r="I196">
        <f>I147</f>
        <v>90</v>
      </c>
      <c r="O196" t="s">
        <v>142</v>
      </c>
      <c r="P196">
        <f>P147</f>
        <v>120</v>
      </c>
      <c r="V196" t="s">
        <v>142</v>
      </c>
      <c r="W196">
        <f>W147</f>
        <v>150</v>
      </c>
      <c r="AC196" t="s">
        <v>142</v>
      </c>
      <c r="AD196">
        <f>AD147</f>
        <v>180</v>
      </c>
      <c r="AJ196" t="s">
        <v>142</v>
      </c>
      <c r="AK196">
        <f>AK147</f>
        <v>210</v>
      </c>
      <c r="AQ196" t="s">
        <v>142</v>
      </c>
      <c r="AR196">
        <f>AR147</f>
        <v>240</v>
      </c>
      <c r="AX196" t="s">
        <v>142</v>
      </c>
      <c r="AY196">
        <f>AY147</f>
        <v>300</v>
      </c>
    </row>
    <row r="197" spans="1:53" x14ac:dyDescent="0.25">
      <c r="A197" t="s">
        <v>143</v>
      </c>
      <c r="B197">
        <f>B196*$B$195</f>
        <v>30</v>
      </c>
      <c r="D197" s="164" t="s">
        <v>368</v>
      </c>
      <c r="E197" s="157">
        <f>$B$79</f>
        <v>19.101924360246471</v>
      </c>
      <c r="F197" s="200">
        <f>$F$194/E197</f>
        <v>5.2350746508091452</v>
      </c>
      <c r="H197" t="s">
        <v>143</v>
      </c>
      <c r="I197">
        <f>I196*$B$195</f>
        <v>45</v>
      </c>
      <c r="O197" t="s">
        <v>143</v>
      </c>
      <c r="P197">
        <f>P196*$B$195</f>
        <v>60</v>
      </c>
      <c r="V197" t="s">
        <v>143</v>
      </c>
      <c r="W197">
        <f>W196*$B$195</f>
        <v>75</v>
      </c>
      <c r="AC197" t="s">
        <v>143</v>
      </c>
      <c r="AD197">
        <f>AD196*$B$195</f>
        <v>90</v>
      </c>
      <c r="AJ197" t="s">
        <v>143</v>
      </c>
      <c r="AK197">
        <f>AK196*$B$195</f>
        <v>105</v>
      </c>
      <c r="AQ197" t="s">
        <v>143</v>
      </c>
      <c r="AR197">
        <f>AR196*$B$195</f>
        <v>120</v>
      </c>
      <c r="AX197" t="s">
        <v>143</v>
      </c>
      <c r="AY197">
        <f>AY196*$B$195</f>
        <v>150</v>
      </c>
    </row>
    <row r="200" spans="1:53" x14ac:dyDescent="0.25">
      <c r="A200" s="3" t="s">
        <v>345</v>
      </c>
      <c r="H200" s="3" t="s">
        <v>345</v>
      </c>
      <c r="O200" s="3" t="s">
        <v>345</v>
      </c>
      <c r="V200" s="3" t="s">
        <v>345</v>
      </c>
      <c r="AC200" s="3" t="s">
        <v>345</v>
      </c>
      <c r="AJ200" s="3" t="s">
        <v>345</v>
      </c>
      <c r="AQ200" s="3" t="s">
        <v>345</v>
      </c>
      <c r="AX200" s="3" t="s">
        <v>345</v>
      </c>
    </row>
    <row r="201" spans="1:53" x14ac:dyDescent="0.25">
      <c r="A201" t="s">
        <v>302</v>
      </c>
      <c r="B201" s="149">
        <f>TREND($B$78:$B$79,B196:B197,$B$27,1)</f>
        <v>9.7685910269131355</v>
      </c>
      <c r="C201" t="s">
        <v>92</v>
      </c>
      <c r="H201" t="s">
        <v>146</v>
      </c>
      <c r="I201" s="149">
        <f>TREND($B$78:$B$79,I196:I197,$B$27,1)</f>
        <v>14.213035471357582</v>
      </c>
      <c r="O201" t="s">
        <v>146</v>
      </c>
      <c r="P201" s="149">
        <f>TREND($B$78:$B$79,P196:P197,$B$27,1)</f>
        <v>16.435257693579803</v>
      </c>
      <c r="V201" t="s">
        <v>146</v>
      </c>
      <c r="W201" s="149">
        <f>TREND($B$78:$B$79,W196:W197,$B$27,1)</f>
        <v>17.768591026913143</v>
      </c>
      <c r="AC201" t="s">
        <v>146</v>
      </c>
      <c r="AD201" s="149">
        <f>TREND($B$78:$B$79,AD196:AD197,$B$27,1)</f>
        <v>18.657479915802028</v>
      </c>
      <c r="AJ201" t="s">
        <v>146</v>
      </c>
      <c r="AK201" s="149">
        <f>TREND($B$78:$B$79,AK196:AK197,$B$27,1)</f>
        <v>19.292400550722665</v>
      </c>
      <c r="AQ201" t="s">
        <v>146</v>
      </c>
      <c r="AR201" s="149">
        <f>TREND($B$78:$B$79,AR196:AR197,$B$27,1)</f>
        <v>19.768591026913136</v>
      </c>
      <c r="AX201" t="s">
        <v>146</v>
      </c>
      <c r="AY201" s="149">
        <f>TREND($B$78:$B$79,AY196:AY197,$B$27,1)</f>
        <v>20.43525769357981</v>
      </c>
    </row>
    <row r="202" spans="1:53" x14ac:dyDescent="0.25">
      <c r="A202" t="s">
        <v>370</v>
      </c>
      <c r="B202" s="149">
        <f>IF(B201&gt;$B$79,$B$79,B201)</f>
        <v>9.7685910269131355</v>
      </c>
      <c r="C202" t="s">
        <v>92</v>
      </c>
      <c r="D202" t="s">
        <v>381</v>
      </c>
      <c r="H202" t="s">
        <v>370</v>
      </c>
      <c r="I202" s="149">
        <f>IF(I201&gt;$B$79,$B$79,I201)</f>
        <v>14.213035471357582</v>
      </c>
      <c r="J202" t="s">
        <v>92</v>
      </c>
      <c r="K202" t="s">
        <v>381</v>
      </c>
      <c r="O202" t="s">
        <v>370</v>
      </c>
      <c r="P202" s="149">
        <f>IF(P201&gt;$B$79,$B$79,P201)</f>
        <v>16.435257693579803</v>
      </c>
      <c r="Q202" t="s">
        <v>92</v>
      </c>
      <c r="R202" t="s">
        <v>381</v>
      </c>
      <c r="V202" t="s">
        <v>370</v>
      </c>
      <c r="W202" s="149">
        <f>IF(W201&gt;$B$79,$B$79,W201)</f>
        <v>17.768591026913143</v>
      </c>
      <c r="X202" t="s">
        <v>92</v>
      </c>
      <c r="Y202" t="s">
        <v>381</v>
      </c>
      <c r="AC202" t="s">
        <v>370</v>
      </c>
      <c r="AD202" s="149">
        <f>IF(AD201&gt;$B$79,$B$79,AD201)</f>
        <v>18.657479915802028</v>
      </c>
      <c r="AE202" t="s">
        <v>92</v>
      </c>
      <c r="AF202" t="s">
        <v>381</v>
      </c>
      <c r="AJ202" t="s">
        <v>370</v>
      </c>
      <c r="AK202" s="149">
        <f>IF(AK201&gt;$B$79,$B$79,AK201)</f>
        <v>19.101924360246471</v>
      </c>
      <c r="AL202" t="s">
        <v>92</v>
      </c>
      <c r="AM202" t="s">
        <v>381</v>
      </c>
      <c r="AQ202" t="s">
        <v>370</v>
      </c>
      <c r="AR202" s="149">
        <f>IF(AR201&gt;$B$79,$B$79,AR201)</f>
        <v>19.101924360246471</v>
      </c>
      <c r="AS202" t="s">
        <v>92</v>
      </c>
      <c r="AT202" t="s">
        <v>381</v>
      </c>
      <c r="AX202" t="s">
        <v>370</v>
      </c>
      <c r="AY202" s="149">
        <f>IF(AY201&gt;$B$79,$B$79,AY201)</f>
        <v>19.101924360246471</v>
      </c>
      <c r="AZ202" t="s">
        <v>92</v>
      </c>
      <c r="BA202" t="s">
        <v>381</v>
      </c>
    </row>
    <row r="203" spans="1:53" x14ac:dyDescent="0.25">
      <c r="A203" t="s">
        <v>90</v>
      </c>
      <c r="B203" s="149">
        <f>$B$27/B202</f>
        <v>10.236890839681298</v>
      </c>
      <c r="C203" t="s">
        <v>91</v>
      </c>
      <c r="H203" t="s">
        <v>90</v>
      </c>
      <c r="I203" s="149">
        <f>$B$27/I202</f>
        <v>7.03579472530848</v>
      </c>
      <c r="K203" t="s">
        <v>309</v>
      </c>
      <c r="L203">
        <f>SQRT(I203)</f>
        <v>2.6525072526401279</v>
      </c>
      <c r="O203" t="s">
        <v>90</v>
      </c>
      <c r="P203" s="149">
        <f>$B$27/P202</f>
        <v>6.0844801988753456</v>
      </c>
      <c r="V203" t="s">
        <v>90</v>
      </c>
      <c r="W203" s="149">
        <f>$B$27/W202</f>
        <v>5.6279082482418161</v>
      </c>
      <c r="AC203" t="s">
        <v>90</v>
      </c>
      <c r="AD203" s="149">
        <f>$B$27/AD202</f>
        <v>5.3597806590859358</v>
      </c>
      <c r="AJ203" t="s">
        <v>90</v>
      </c>
      <c r="AK203" s="149">
        <f>$B$27/AK202</f>
        <v>5.2350746508091452</v>
      </c>
      <c r="AQ203" t="s">
        <v>90</v>
      </c>
      <c r="AR203" s="149">
        <f>$B$27/AR202</f>
        <v>5.2350746508091452</v>
      </c>
      <c r="AX203" t="s">
        <v>90</v>
      </c>
      <c r="AY203" s="149">
        <f>$B$27/AY202</f>
        <v>5.2350746508091452</v>
      </c>
    </row>
    <row r="204" spans="1:53" x14ac:dyDescent="0.25">
      <c r="A204" s="10" t="s">
        <v>361</v>
      </c>
      <c r="B204" s="149">
        <f>$G$68*B190+$G$69</f>
        <v>1.6333333333333333</v>
      </c>
      <c r="C204" t="s">
        <v>362</v>
      </c>
      <c r="H204" s="10" t="s">
        <v>361</v>
      </c>
      <c r="I204" s="149">
        <f>$G$68*I190+$G$69</f>
        <v>1.6374636903059174</v>
      </c>
      <c r="O204" s="10" t="s">
        <v>361</v>
      </c>
      <c r="P204" s="149">
        <f>$G$68*P190+$G$69</f>
        <v>1.6394812566957218</v>
      </c>
      <c r="V204" s="61" t="s">
        <v>361</v>
      </c>
      <c r="W204" s="149">
        <f>$G$68*W190+$G$69</f>
        <v>1.5743515708696523</v>
      </c>
      <c r="AC204" s="10" t="s">
        <v>361</v>
      </c>
      <c r="AD204" s="149">
        <f>$G$68*AD190+$G$69</f>
        <v>1.5092218850435828</v>
      </c>
      <c r="AJ204" s="10" t="s">
        <v>361</v>
      </c>
      <c r="AK204" s="149">
        <f>$G$68*AK190+$G$69</f>
        <v>1.4440921992175133</v>
      </c>
      <c r="AQ204" s="10" t="s">
        <v>361</v>
      </c>
      <c r="AR204" s="149">
        <f>$G$68*AR190+$G$69</f>
        <v>1.3789625133914436</v>
      </c>
      <c r="AX204" s="10" t="s">
        <v>361</v>
      </c>
      <c r="AY204" s="149">
        <f>$G$68*AY190+$G$69</f>
        <v>1.2487031417393046</v>
      </c>
    </row>
    <row r="205" spans="1:53" x14ac:dyDescent="0.25">
      <c r="A205" t="s">
        <v>340</v>
      </c>
      <c r="B205" s="148">
        <f>(B203*B204)^0.5</f>
        <v>4.0890408457419598</v>
      </c>
      <c r="H205" t="s">
        <v>340</v>
      </c>
      <c r="I205" s="148">
        <f>(I203*I204)^0.5</f>
        <v>3.3942390008864334</v>
      </c>
      <c r="O205" t="s">
        <v>340</v>
      </c>
      <c r="P205" s="148">
        <f>(P203*P204)^0.5</f>
        <v>3.1583842772519604</v>
      </c>
      <c r="V205" t="s">
        <v>340</v>
      </c>
      <c r="W205" s="148">
        <f>(W203*W204)^0.5</f>
        <v>2.9766266462775905</v>
      </c>
      <c r="AC205" t="s">
        <v>340</v>
      </c>
      <c r="AD205" s="148">
        <f>(AD203*AD204)^0.5</f>
        <v>2.8441340105075592</v>
      </c>
      <c r="AJ205" t="s">
        <v>340</v>
      </c>
      <c r="AK205" s="148">
        <f>(AK203*AK204)^0.5</f>
        <v>2.749532772227826</v>
      </c>
      <c r="AQ205" t="s">
        <v>340</v>
      </c>
      <c r="AR205" s="148">
        <f>(AR203*AR204)^0.5</f>
        <v>2.6868144145570629</v>
      </c>
      <c r="AX205" t="s">
        <v>340</v>
      </c>
      <c r="AY205" s="148">
        <f>(AY203*AY204)^0.5</f>
        <v>2.5567663490638273</v>
      </c>
    </row>
    <row r="206" spans="1:53" x14ac:dyDescent="0.25">
      <c r="A206" t="s">
        <v>342</v>
      </c>
      <c r="B206" s="148">
        <f>B203/B205</f>
        <v>2.5034943953522197</v>
      </c>
      <c r="H206" t="s">
        <v>342</v>
      </c>
      <c r="I206" s="148">
        <f>I203/I205</f>
        <v>2.0728636738517898</v>
      </c>
      <c r="O206" t="s">
        <v>342</v>
      </c>
      <c r="P206" s="148">
        <f>P203/P205</f>
        <v>1.9264534219912328</v>
      </c>
      <c r="V206" t="s">
        <v>342</v>
      </c>
      <c r="W206" s="148">
        <f>W203/W205</f>
        <v>1.8907000833577083</v>
      </c>
      <c r="AC206" t="s">
        <v>342</v>
      </c>
      <c r="AD206" s="148">
        <f>AD203/AD205</f>
        <v>1.884503556894437</v>
      </c>
      <c r="AJ206" t="s">
        <v>342</v>
      </c>
      <c r="AK206" s="148">
        <f>AK203/AK205</f>
        <v>1.9039869986955615</v>
      </c>
      <c r="AQ206" t="s">
        <v>342</v>
      </c>
      <c r="AR206" s="148">
        <f>AR203/AR205</f>
        <v>1.9484318017819544</v>
      </c>
      <c r="AX206" t="s">
        <v>342</v>
      </c>
      <c r="AY206" s="148">
        <f>AY203/AY205</f>
        <v>2.0475373718548799</v>
      </c>
    </row>
    <row r="207" spans="1:53" x14ac:dyDescent="0.25">
      <c r="D207" s="61" t="s">
        <v>373</v>
      </c>
      <c r="E207">
        <f>$B$29</f>
        <v>100</v>
      </c>
    </row>
    <row r="208" spans="1:53" x14ac:dyDescent="0.25">
      <c r="D208" s="61" t="s">
        <v>377</v>
      </c>
      <c r="E208">
        <f>$B$98</f>
        <v>1.3</v>
      </c>
      <c r="F208" t="s">
        <v>92</v>
      </c>
    </row>
    <row r="209" spans="1:53" x14ac:dyDescent="0.25">
      <c r="D209" s="61" t="s">
        <v>368</v>
      </c>
      <c r="E209">
        <f>$B$99</f>
        <v>1.7160000000000002</v>
      </c>
      <c r="F209" t="s">
        <v>92</v>
      </c>
    </row>
    <row r="210" spans="1:53" x14ac:dyDescent="0.25">
      <c r="A210" s="3" t="s">
        <v>346</v>
      </c>
      <c r="H210" s="3" t="s">
        <v>346</v>
      </c>
      <c r="O210" s="3" t="s">
        <v>346</v>
      </c>
      <c r="V210" s="3" t="s">
        <v>346</v>
      </c>
      <c r="AC210" s="3" t="s">
        <v>346</v>
      </c>
      <c r="AJ210" s="3" t="s">
        <v>346</v>
      </c>
      <c r="AQ210" s="3" t="s">
        <v>346</v>
      </c>
      <c r="AX210" s="3" t="s">
        <v>346</v>
      </c>
    </row>
    <row r="211" spans="1:53" x14ac:dyDescent="0.25">
      <c r="A211" t="s">
        <v>411</v>
      </c>
      <c r="B211" s="149">
        <f>B185</f>
        <v>5.6588424210451675</v>
      </c>
      <c r="H211" t="s">
        <v>411</v>
      </c>
      <c r="I211" s="149">
        <f>I185</f>
        <v>3.3953054526271007</v>
      </c>
      <c r="O211" t="s">
        <v>411</v>
      </c>
      <c r="P211" s="149">
        <f>P185</f>
        <v>2.4252181804479291</v>
      </c>
      <c r="V211" t="s">
        <v>411</v>
      </c>
      <c r="W211" s="149">
        <f>W185</f>
        <v>2.4252181804479291</v>
      </c>
      <c r="AC211" t="s">
        <v>411</v>
      </c>
      <c r="AD211" s="149">
        <f>AD185</f>
        <v>2.4252181804479291</v>
      </c>
      <c r="AJ211" t="s">
        <v>411</v>
      </c>
      <c r="AK211" s="149">
        <f>AK185</f>
        <v>2.4252181804479291</v>
      </c>
      <c r="AQ211" t="s">
        <v>411</v>
      </c>
      <c r="AR211" s="149">
        <f>AR185</f>
        <v>2.4252181804479291</v>
      </c>
      <c r="AX211" t="s">
        <v>411</v>
      </c>
      <c r="AY211" s="149">
        <f>AY185</f>
        <v>2.4252181804479291</v>
      </c>
    </row>
    <row r="212" spans="1:53" x14ac:dyDescent="0.25">
      <c r="A212" t="s">
        <v>343</v>
      </c>
      <c r="B212" s="149">
        <f>TREND($C$103:$C$104,$B$103:$B$104,B211,1)</f>
        <v>0.42394770189680631</v>
      </c>
      <c r="C212" t="s">
        <v>344</v>
      </c>
      <c r="H212" t="s">
        <v>343</v>
      </c>
      <c r="I212" s="149">
        <f>TREND($C$103:$C$104,$B$103:$B$104,I211,1)</f>
        <v>1.051701954471417</v>
      </c>
      <c r="J212" t="s">
        <v>344</v>
      </c>
      <c r="O212" t="s">
        <v>343</v>
      </c>
      <c r="P212" s="149">
        <f>TREND($C$103:$C$104,$B$103:$B$104,P211,1)</f>
        <v>1.3207394912891077</v>
      </c>
      <c r="Q212" t="s">
        <v>344</v>
      </c>
      <c r="V212" t="s">
        <v>343</v>
      </c>
      <c r="W212" s="149">
        <f>TREND($C$103:$C$104,$B$103:$B$104,W211,1)</f>
        <v>1.3207394912891077</v>
      </c>
      <c r="X212" t="s">
        <v>344</v>
      </c>
      <c r="AC212" t="s">
        <v>343</v>
      </c>
      <c r="AD212" s="149">
        <f>TREND($C$103:$C$104,$B$103:$B$104,AD211,1)</f>
        <v>1.3207394912891077</v>
      </c>
      <c r="AE212" t="s">
        <v>344</v>
      </c>
      <c r="AJ212" t="s">
        <v>343</v>
      </c>
      <c r="AK212" s="149">
        <f>TREND($C$103:$C$104,$B$103:$B$104,AK211,1)</f>
        <v>1.3207394912891077</v>
      </c>
      <c r="AL212" t="s">
        <v>344</v>
      </c>
      <c r="AQ212" t="s">
        <v>343</v>
      </c>
      <c r="AR212" s="149">
        <f>TREND($C$103:$C$104,$B$103:$B$104,AR211,1)</f>
        <v>1.3207394912891077</v>
      </c>
      <c r="AS212" t="s">
        <v>344</v>
      </c>
      <c r="AX212" t="s">
        <v>343</v>
      </c>
      <c r="AY212" s="149">
        <f>TREND($C$103:$C$104,$B$103:$B$104,AY211,1)</f>
        <v>1.3207394912891077</v>
      </c>
      <c r="AZ212" t="s">
        <v>344</v>
      </c>
    </row>
    <row r="213" spans="1:53" x14ac:dyDescent="0.25">
      <c r="A213" t="s">
        <v>408</v>
      </c>
      <c r="B213" s="149">
        <f>IF(B212&lt;$C$102,$C$103,IF(B212&gt;$C$105,$C$105,B212))</f>
        <v>1.3</v>
      </c>
      <c r="C213" t="s">
        <v>92</v>
      </c>
      <c r="D213" s="10"/>
      <c r="H213" t="s">
        <v>408</v>
      </c>
      <c r="I213" s="149">
        <f>IF(I212&lt;$C$102,$C$103,IF(I212&gt;$C$105,$C$105,I212))</f>
        <v>1.051701954471417</v>
      </c>
      <c r="J213" t="s">
        <v>92</v>
      </c>
      <c r="K213" s="10"/>
      <c r="O213" t="s">
        <v>408</v>
      </c>
      <c r="P213" s="149">
        <f>IF(P212&lt;$C$102,$C$103,IF(P212&gt;$C$105,$C$105,P212))</f>
        <v>1.3207394912891077</v>
      </c>
      <c r="Q213" t="s">
        <v>92</v>
      </c>
      <c r="R213" s="10"/>
      <c r="V213" t="s">
        <v>408</v>
      </c>
      <c r="W213" s="149">
        <f>IF(W212&lt;$C$102,$C$103,IF(W212&gt;$C$105,$C$105,W212))</f>
        <v>1.3207394912891077</v>
      </c>
      <c r="X213" t="s">
        <v>92</v>
      </c>
      <c r="Y213" s="10"/>
      <c r="AC213" t="s">
        <v>408</v>
      </c>
      <c r="AD213" s="149">
        <f>IF(AD212&lt;$C$102,$C$103,IF(AD212&gt;$C$105,$C$105,AD212))</f>
        <v>1.3207394912891077</v>
      </c>
      <c r="AE213" t="s">
        <v>92</v>
      </c>
      <c r="AF213" s="10"/>
      <c r="AJ213" t="s">
        <v>408</v>
      </c>
      <c r="AK213" s="149">
        <f>IF(AK212&lt;$C$102,$C$103,IF(AK212&gt;$C$105,$C$105,AK212))</f>
        <v>1.3207394912891077</v>
      </c>
      <c r="AL213" t="s">
        <v>92</v>
      </c>
      <c r="AM213" s="10"/>
      <c r="AQ213" t="s">
        <v>408</v>
      </c>
      <c r="AR213" s="149">
        <f>IF(AR212&lt;$C$102,$C$103,IF(AR212&gt;$C$105,$C$105,AR212))</f>
        <v>1.3207394912891077</v>
      </c>
      <c r="AS213" t="s">
        <v>92</v>
      </c>
      <c r="AT213" s="10"/>
      <c r="AX213" t="s">
        <v>408</v>
      </c>
      <c r="AY213" s="149">
        <f>IF(AY212&lt;$C$102,$C$103,IF(AY212&gt;$C$105,$C$105,AY212))</f>
        <v>1.3207394912891077</v>
      </c>
      <c r="AZ213" t="s">
        <v>92</v>
      </c>
      <c r="BA213" s="10"/>
    </row>
    <row r="214" spans="1:53" x14ac:dyDescent="0.25">
      <c r="A214" t="s">
        <v>90</v>
      </c>
      <c r="B214" s="149">
        <f>$B$29/B213</f>
        <v>76.92307692307692</v>
      </c>
      <c r="C214" t="s">
        <v>91</v>
      </c>
      <c r="H214" t="s">
        <v>90</v>
      </c>
      <c r="I214" s="149">
        <f>$B$29/I213</f>
        <v>95.083972768938864</v>
      </c>
      <c r="J214" t="s">
        <v>91</v>
      </c>
      <c r="O214" t="s">
        <v>90</v>
      </c>
      <c r="P214" s="149">
        <f>$B$29/P213</f>
        <v>75.715158560447833</v>
      </c>
      <c r="Q214" t="s">
        <v>91</v>
      </c>
      <c r="V214" t="s">
        <v>90</v>
      </c>
      <c r="W214" s="149">
        <f>$B$29/W213</f>
        <v>75.715158560447833</v>
      </c>
      <c r="X214" t="s">
        <v>91</v>
      </c>
      <c r="AC214" t="s">
        <v>90</v>
      </c>
      <c r="AD214" s="149">
        <f>$B$29/AD213</f>
        <v>75.715158560447833</v>
      </c>
      <c r="AE214" t="s">
        <v>91</v>
      </c>
      <c r="AJ214" t="s">
        <v>90</v>
      </c>
      <c r="AK214" s="149">
        <f>$B$29/AK213</f>
        <v>75.715158560447833</v>
      </c>
      <c r="AL214" t="s">
        <v>91</v>
      </c>
      <c r="AQ214" t="s">
        <v>90</v>
      </c>
      <c r="AR214" s="149">
        <f>$B$29/AR213</f>
        <v>75.715158560447833</v>
      </c>
      <c r="AS214" t="s">
        <v>91</v>
      </c>
      <c r="AX214" t="s">
        <v>90</v>
      </c>
      <c r="AY214" s="149">
        <f>$B$29/AY213</f>
        <v>75.715158560447833</v>
      </c>
      <c r="AZ214" t="s">
        <v>91</v>
      </c>
    </row>
    <row r="215" spans="1:53" x14ac:dyDescent="0.25">
      <c r="A215" s="10" t="s">
        <v>363</v>
      </c>
      <c r="B215" s="149">
        <f>$G$88*B190+$G$89</f>
        <v>1.6333333333333333</v>
      </c>
      <c r="C215" t="s">
        <v>369</v>
      </c>
      <c r="H215" s="10" t="s">
        <v>363</v>
      </c>
      <c r="I215" s="149">
        <f>$G$88*I190+$G$89</f>
        <v>1.6374636903059174</v>
      </c>
      <c r="O215" s="10" t="s">
        <v>363</v>
      </c>
      <c r="P215" s="149">
        <f>$G$88*P190+$G$89</f>
        <v>1.6394812566957218</v>
      </c>
      <c r="V215" s="10" t="s">
        <v>363</v>
      </c>
      <c r="W215" s="149">
        <f>$G$88*W190+$G$89</f>
        <v>1.5743515708696523</v>
      </c>
      <c r="AC215" s="10" t="s">
        <v>363</v>
      </c>
      <c r="AD215" s="149">
        <f>$G$88*AD190+$G$89</f>
        <v>1.5092218850435828</v>
      </c>
      <c r="AJ215" s="10" t="s">
        <v>363</v>
      </c>
      <c r="AK215" s="149">
        <f>$G$88*AK190+$G$89</f>
        <v>1.4440921992175133</v>
      </c>
      <c r="AQ215" s="10" t="s">
        <v>363</v>
      </c>
      <c r="AR215" s="149">
        <f>$G$88*AR190+$G$89</f>
        <v>1.3789625133914436</v>
      </c>
      <c r="AX215" s="10" t="s">
        <v>363</v>
      </c>
      <c r="AY215" s="149">
        <f>$G$88*AY190+$G$89</f>
        <v>1.2487031417393046</v>
      </c>
    </row>
    <row r="216" spans="1:53" x14ac:dyDescent="0.25">
      <c r="A216" t="s">
        <v>341</v>
      </c>
      <c r="B216" s="149">
        <f>(B214*B215)^0.5</f>
        <v>11.208970766356099</v>
      </c>
      <c r="C216" t="s">
        <v>85</v>
      </c>
      <c r="H216" t="s">
        <v>341</v>
      </c>
      <c r="I216" s="149">
        <f>(I214*I215)^0.5</f>
        <v>12.477842479338085</v>
      </c>
      <c r="J216" t="s">
        <v>85</v>
      </c>
      <c r="O216" t="s">
        <v>341</v>
      </c>
      <c r="P216" s="149">
        <f>(P214*P215)^0.5</f>
        <v>11.141525178699677</v>
      </c>
      <c r="Q216" t="s">
        <v>85</v>
      </c>
      <c r="V216" t="s">
        <v>341</v>
      </c>
      <c r="W216" s="149">
        <f>(W214*W215)^0.5</f>
        <v>10.917979612468868</v>
      </c>
      <c r="X216" t="s">
        <v>85</v>
      </c>
      <c r="AC216" t="s">
        <v>341</v>
      </c>
      <c r="AD216" s="149">
        <f>(AD214*AD215)^0.5</f>
        <v>10.689760255916539</v>
      </c>
      <c r="AE216" t="s">
        <v>85</v>
      </c>
      <c r="AJ216" t="s">
        <v>341</v>
      </c>
      <c r="AK216" s="149">
        <f>(AK214*AK215)^0.5</f>
        <v>10.456561090514407</v>
      </c>
      <c r="AL216" t="s">
        <v>85</v>
      </c>
      <c r="AQ216" t="s">
        <v>341</v>
      </c>
      <c r="AR216" s="149">
        <f>(AR214*AR215)^0.5</f>
        <v>10.21804116992816</v>
      </c>
      <c r="AS216" t="s">
        <v>85</v>
      </c>
      <c r="AX216" t="s">
        <v>341</v>
      </c>
      <c r="AY216" s="149">
        <f>(AY214*AY215)^0.5</f>
        <v>9.7234642166113208</v>
      </c>
      <c r="AZ216" t="s">
        <v>85</v>
      </c>
    </row>
    <row r="217" spans="1:53" x14ac:dyDescent="0.25">
      <c r="A217" t="s">
        <v>347</v>
      </c>
      <c r="B217" s="149">
        <f>B216*(2.7/$B$32)</f>
        <v>12.105688427664589</v>
      </c>
      <c r="C217" t="s">
        <v>85</v>
      </c>
      <c r="H217" t="s">
        <v>347</v>
      </c>
      <c r="I217" s="149">
        <f>I216*(2.7/$B$32)</f>
        <v>13.476069877685132</v>
      </c>
      <c r="J217" t="s">
        <v>85</v>
      </c>
      <c r="O217" t="s">
        <v>347</v>
      </c>
      <c r="P217" s="149">
        <f>P216*(2.7/$B$32)</f>
        <v>12.032847192995652</v>
      </c>
      <c r="Q217" t="s">
        <v>85</v>
      </c>
      <c r="V217" t="s">
        <v>347</v>
      </c>
      <c r="W217" s="149">
        <f>W216*(2.7/$B$32)</f>
        <v>11.791417981466378</v>
      </c>
      <c r="X217" t="s">
        <v>85</v>
      </c>
      <c r="AC217" t="s">
        <v>347</v>
      </c>
      <c r="AD217" s="149">
        <f>AD216*(2.7/$B$32)</f>
        <v>11.544941076389863</v>
      </c>
      <c r="AE217" t="s">
        <v>85</v>
      </c>
      <c r="AJ217" t="s">
        <v>347</v>
      </c>
      <c r="AK217" s="149">
        <f>AK216*(2.7/$B$32)</f>
        <v>11.293085977755561</v>
      </c>
      <c r="AL217" t="s">
        <v>85</v>
      </c>
      <c r="AQ217" t="s">
        <v>347</v>
      </c>
      <c r="AR217" s="149">
        <f>AR216*(2.7/$B$32)</f>
        <v>11.035484463522414</v>
      </c>
      <c r="AS217" t="s">
        <v>85</v>
      </c>
      <c r="AX217" t="s">
        <v>347</v>
      </c>
      <c r="AY217" s="149">
        <f>AY216*(2.7/$B$32)</f>
        <v>10.501341353940226</v>
      </c>
      <c r="AZ217" t="s">
        <v>85</v>
      </c>
    </row>
    <row r="219" spans="1:53" x14ac:dyDescent="0.25">
      <c r="A219" t="s">
        <v>153</v>
      </c>
      <c r="B219" s="178">
        <f>TREND($E$98:$E$99,B196:B197,$B$29,1)</f>
        <v>9.0027962325129494</v>
      </c>
      <c r="H219" t="s">
        <v>153</v>
      </c>
      <c r="I219" s="178">
        <f>TREND($E$98:$E$99,I196:I197,$B$29,1)</f>
        <v>7.6387361972837162</v>
      </c>
      <c r="O219" t="s">
        <v>153</v>
      </c>
      <c r="P219" s="178">
        <f>TREND($E$98:$E$99,P196:P197,$B$29,1)</f>
        <v>6.9567061796690988</v>
      </c>
      <c r="V219" t="s">
        <v>153</v>
      </c>
      <c r="W219" s="178">
        <f>TREND($E$98:$E$99,W196:W197,$B$29,1)</f>
        <v>6.5474881691003279</v>
      </c>
      <c r="AC219" t="s">
        <v>153</v>
      </c>
      <c r="AD219" s="178">
        <f>TREND($E$98:$E$99,AD196:AD197,$B$29,1)</f>
        <v>6.2746761620544813</v>
      </c>
      <c r="AJ219" t="s">
        <v>153</v>
      </c>
      <c r="AK219" s="178">
        <f>TREND($E$98:$E$99,AK196:AK197,$B$29,1)</f>
        <v>6.0798104427360196</v>
      </c>
      <c r="AQ219" t="s">
        <v>153</v>
      </c>
      <c r="AR219" s="178">
        <f>TREND($E$98:$E$99,AR196:AR197,$B$29,1)</f>
        <v>5.933661153247173</v>
      </c>
      <c r="AX219" t="s">
        <v>153</v>
      </c>
      <c r="AY219" s="178">
        <f>TREND($E$98:$E$99,AY196:AY197,$B$29,1)</f>
        <v>5.7290521479627872</v>
      </c>
    </row>
    <row r="220" spans="1:53" x14ac:dyDescent="0.25">
      <c r="A220" t="s">
        <v>348</v>
      </c>
      <c r="B220" s="149">
        <f>B219*$B$32</f>
        <v>22.506990581282373</v>
      </c>
      <c r="C220" t="s">
        <v>85</v>
      </c>
      <c r="H220" t="s">
        <v>348</v>
      </c>
      <c r="I220" s="149">
        <f>I219*$B$32</f>
        <v>19.096840493209292</v>
      </c>
      <c r="J220" t="s">
        <v>85</v>
      </c>
      <c r="O220" t="s">
        <v>348</v>
      </c>
      <c r="P220" s="149">
        <f>P219*$B$32</f>
        <v>17.391765449172748</v>
      </c>
      <c r="Q220" t="s">
        <v>85</v>
      </c>
      <c r="V220" t="s">
        <v>348</v>
      </c>
      <c r="W220" s="149">
        <f>W219*$B$32</f>
        <v>16.368720422750819</v>
      </c>
      <c r="X220" t="s">
        <v>85</v>
      </c>
      <c r="AC220" t="s">
        <v>348</v>
      </c>
      <c r="AD220" s="149">
        <f>AD219*$B$32</f>
        <v>15.686690405136204</v>
      </c>
      <c r="AE220" t="s">
        <v>85</v>
      </c>
      <c r="AJ220" t="s">
        <v>348</v>
      </c>
      <c r="AK220" s="149">
        <f>AK219*$B$32</f>
        <v>15.199526106840048</v>
      </c>
      <c r="AL220" t="s">
        <v>85</v>
      </c>
      <c r="AQ220" t="s">
        <v>348</v>
      </c>
      <c r="AR220" s="149">
        <f>AR219*$B$32</f>
        <v>14.834152883117932</v>
      </c>
      <c r="AS220" t="s">
        <v>85</v>
      </c>
      <c r="AX220" t="s">
        <v>348</v>
      </c>
      <c r="AY220" s="149">
        <f>AY219*$B$32</f>
        <v>14.322630369906967</v>
      </c>
      <c r="AZ220" t="s">
        <v>85</v>
      </c>
    </row>
    <row r="221" spans="1:53" x14ac:dyDescent="0.25">
      <c r="B221" s="149"/>
      <c r="I221" s="149"/>
      <c r="P221" s="149"/>
      <c r="W221" s="149"/>
      <c r="AD221" s="149"/>
      <c r="AK221" s="149"/>
      <c r="AR221" s="149"/>
      <c r="AY221" s="149"/>
    </row>
    <row r="222" spans="1:53" x14ac:dyDescent="0.25">
      <c r="A222" t="s">
        <v>349</v>
      </c>
      <c r="B222" s="149">
        <f>MIN(B217,B220)</f>
        <v>12.105688427664589</v>
      </c>
      <c r="C222" t="s">
        <v>85</v>
      </c>
      <c r="H222" t="s">
        <v>349</v>
      </c>
      <c r="I222" s="149">
        <f>MIN(I217,I220)</f>
        <v>13.476069877685132</v>
      </c>
      <c r="J222" t="s">
        <v>85</v>
      </c>
      <c r="O222" t="s">
        <v>349</v>
      </c>
      <c r="P222" s="149">
        <f>MIN(P217,P220)</f>
        <v>12.032847192995652</v>
      </c>
      <c r="Q222" t="s">
        <v>85</v>
      </c>
      <c r="V222" t="s">
        <v>349</v>
      </c>
      <c r="W222" s="149">
        <f>MIN(W217,W220)</f>
        <v>11.791417981466378</v>
      </c>
      <c r="X222" t="s">
        <v>85</v>
      </c>
      <c r="AC222" t="s">
        <v>349</v>
      </c>
      <c r="AD222" s="149">
        <f>MIN(AD217,AD220)</f>
        <v>11.544941076389863</v>
      </c>
      <c r="AE222" t="s">
        <v>85</v>
      </c>
      <c r="AJ222" t="s">
        <v>349</v>
      </c>
      <c r="AK222" s="149">
        <f>MIN(AK217,AK220)</f>
        <v>11.293085977755561</v>
      </c>
      <c r="AL222" t="s">
        <v>85</v>
      </c>
      <c r="AQ222" t="s">
        <v>349</v>
      </c>
      <c r="AR222" s="149">
        <f>MIN(AR217,AR220)</f>
        <v>11.035484463522414</v>
      </c>
      <c r="AS222" t="s">
        <v>85</v>
      </c>
      <c r="AX222" t="s">
        <v>349</v>
      </c>
      <c r="AY222" s="149">
        <f>MIN(AY217,AY220)</f>
        <v>10.501341353940226</v>
      </c>
      <c r="AZ222" t="s">
        <v>85</v>
      </c>
    </row>
    <row r="223" spans="1:53" x14ac:dyDescent="0.25">
      <c r="A223" t="s">
        <v>350</v>
      </c>
      <c r="B223" s="178">
        <f>B222*(12/$B$31)*$B$43</f>
        <v>12.105688427664589</v>
      </c>
      <c r="C223" t="s">
        <v>85</v>
      </c>
      <c r="H223" t="s">
        <v>350</v>
      </c>
      <c r="I223" s="178">
        <f>I222*(12/$B$31)*$B$43</f>
        <v>13.476069877685132</v>
      </c>
      <c r="J223" t="s">
        <v>85</v>
      </c>
      <c r="O223" t="s">
        <v>350</v>
      </c>
      <c r="P223" s="178">
        <f>P222*(12/$B$31)*$B$43</f>
        <v>12.032847192995652</v>
      </c>
      <c r="Q223" t="s">
        <v>85</v>
      </c>
      <c r="V223" t="s">
        <v>350</v>
      </c>
      <c r="W223" s="178">
        <f>W222*(12/$B$31)*$B$43</f>
        <v>11.791417981466378</v>
      </c>
      <c r="X223" t="s">
        <v>85</v>
      </c>
      <c r="AC223" t="s">
        <v>350</v>
      </c>
      <c r="AD223" s="178">
        <f>AD222*(12/$B$31)*$B$43</f>
        <v>11.544941076389863</v>
      </c>
      <c r="AE223" t="s">
        <v>85</v>
      </c>
      <c r="AJ223" t="s">
        <v>350</v>
      </c>
      <c r="AK223" s="178">
        <f>AK222*(12/$B$31)*$B$43</f>
        <v>11.293085977755561</v>
      </c>
      <c r="AL223" t="s">
        <v>85</v>
      </c>
      <c r="AQ223" t="s">
        <v>350</v>
      </c>
      <c r="AR223" s="178">
        <f>AR222*(12/$B$31)*$B$43</f>
        <v>11.035484463522414</v>
      </c>
      <c r="AS223" t="s">
        <v>85</v>
      </c>
      <c r="AX223" t="s">
        <v>350</v>
      </c>
      <c r="AY223" s="178">
        <f>AY222*(12/$B$31)*$B$43</f>
        <v>10.501341353940226</v>
      </c>
      <c r="AZ223" t="s">
        <v>85</v>
      </c>
    </row>
    <row r="224" spans="1:53" x14ac:dyDescent="0.25">
      <c r="A224" t="s">
        <v>308</v>
      </c>
      <c r="B224" s="149">
        <f>B223/B215</f>
        <v>7.4116459761211768</v>
      </c>
      <c r="C224" t="s">
        <v>85</v>
      </c>
      <c r="H224" t="s">
        <v>308</v>
      </c>
      <c r="I224" s="149">
        <f>I223/I215</f>
        <v>8.229843481394985</v>
      </c>
      <c r="J224" t="s">
        <v>85</v>
      </c>
      <c r="O224" t="s">
        <v>308</v>
      </c>
      <c r="P224" s="149">
        <f>P223/P215</f>
        <v>7.3394234571776371</v>
      </c>
      <c r="Q224" t="s">
        <v>85</v>
      </c>
      <c r="V224" t="s">
        <v>308</v>
      </c>
      <c r="W224" s="149">
        <f>W223/W215</f>
        <v>7.4896981078711313</v>
      </c>
      <c r="X224" t="s">
        <v>85</v>
      </c>
      <c r="AC224" t="s">
        <v>308</v>
      </c>
      <c r="AD224" s="149">
        <f>AD223/AD215</f>
        <v>7.6495982405241048</v>
      </c>
      <c r="AE224" t="s">
        <v>85</v>
      </c>
      <c r="AJ224" t="s">
        <v>308</v>
      </c>
      <c r="AK224" s="149">
        <f>AK223/AK215</f>
        <v>7.8201973418835458</v>
      </c>
      <c r="AL224" t="s">
        <v>85</v>
      </c>
      <c r="AQ224" t="s">
        <v>308</v>
      </c>
      <c r="AR224" s="149">
        <f>AR223/AR215</f>
        <v>8.0027443504476103</v>
      </c>
      <c r="AS224" t="s">
        <v>85</v>
      </c>
      <c r="AX224" t="s">
        <v>308</v>
      </c>
      <c r="AY224" s="149">
        <f>AY223/AY215</f>
        <v>8.4097981360990453</v>
      </c>
      <c r="AZ224" t="s">
        <v>85</v>
      </c>
    </row>
    <row r="226" spans="1:55" x14ac:dyDescent="0.25">
      <c r="A226" s="3"/>
      <c r="B226" s="6"/>
      <c r="D226" s="5"/>
      <c r="E226" s="5"/>
      <c r="F226" s="5"/>
      <c r="H226" s="3"/>
      <c r="I226" s="6"/>
      <c r="K226" s="5"/>
      <c r="L226" s="5"/>
      <c r="M226" s="5"/>
      <c r="O226" s="3"/>
      <c r="P226" s="6"/>
      <c r="R226" s="5"/>
      <c r="S226" s="5"/>
      <c r="T226" s="5"/>
      <c r="V226" s="3"/>
      <c r="W226" s="6"/>
      <c r="Y226" s="5"/>
      <c r="Z226" s="5"/>
      <c r="AA226" s="5"/>
      <c r="AC226" s="3"/>
      <c r="AD226" s="6"/>
      <c r="AF226" s="5"/>
      <c r="AG226" s="5"/>
      <c r="AH226" s="5"/>
      <c r="AJ226" s="3"/>
      <c r="AK226" s="6"/>
      <c r="AM226" s="5"/>
      <c r="AN226" s="5"/>
      <c r="AO226" s="5"/>
      <c r="AQ226" s="3"/>
      <c r="AR226" s="6"/>
      <c r="AT226" s="5"/>
      <c r="AU226" s="5"/>
      <c r="AV226" s="5"/>
      <c r="AX226" s="3"/>
      <c r="AY226" s="6"/>
      <c r="BA226" s="5"/>
      <c r="BB226" s="5"/>
      <c r="BC226" s="5"/>
    </row>
    <row r="227" spans="1:55" x14ac:dyDescent="0.25">
      <c r="A227" s="3" t="s">
        <v>159</v>
      </c>
      <c r="B227" s="9"/>
      <c r="F227" s="5"/>
      <c r="H227" s="3" t="s">
        <v>159</v>
      </c>
      <c r="I227" s="7"/>
      <c r="M227" s="5"/>
      <c r="O227" s="3" t="s">
        <v>159</v>
      </c>
      <c r="P227" s="7"/>
      <c r="T227" s="5"/>
      <c r="V227" s="3" t="s">
        <v>159</v>
      </c>
      <c r="W227" s="7"/>
      <c r="AA227" s="5"/>
      <c r="AC227" s="3" t="s">
        <v>159</v>
      </c>
      <c r="AD227" s="7"/>
      <c r="AH227" s="5"/>
      <c r="AJ227" s="3" t="s">
        <v>159</v>
      </c>
      <c r="AK227" s="7"/>
      <c r="AO227" s="5"/>
      <c r="AQ227" s="3" t="s">
        <v>159</v>
      </c>
      <c r="AR227" s="7"/>
      <c r="AV227" s="5"/>
      <c r="AX227" s="3" t="s">
        <v>159</v>
      </c>
      <c r="AY227" s="7"/>
      <c r="BC227" s="5"/>
    </row>
    <row r="228" spans="1:55" x14ac:dyDescent="0.25">
      <c r="A228" s="8" t="s">
        <v>357</v>
      </c>
      <c r="B228" s="184">
        <f>$B$27/(AVERAGE(B223,B205)*AVERAGE(B224,B206))</f>
        <v>2.4910786064003529</v>
      </c>
      <c r="C228" t="s">
        <v>92</v>
      </c>
      <c r="F228" s="5"/>
      <c r="H228" s="8" t="s">
        <v>357</v>
      </c>
      <c r="I228" s="184">
        <f t="shared" ref="I228" si="36">$B$27/(AVERAGE(I223,I205)*AVERAGE(I224,I206))</f>
        <v>2.3013655176042485</v>
      </c>
      <c r="J228" t="s">
        <v>427</v>
      </c>
      <c r="M228" s="5"/>
      <c r="O228" s="8" t="s">
        <v>357</v>
      </c>
      <c r="P228" s="184">
        <f t="shared" ref="P228" si="37">$B$27/(AVERAGE(P223,P205)*AVERAGE(P224,P206))</f>
        <v>2.8417147726246559</v>
      </c>
      <c r="Q228" t="s">
        <v>428</v>
      </c>
      <c r="T228" s="5"/>
      <c r="V228" s="8" t="s">
        <v>357</v>
      </c>
      <c r="W228" s="184">
        <f t="shared" ref="W228" si="38">$B$27/(AVERAGE(W223,W205)*AVERAGE(W224,W206))</f>
        <v>2.8874583001075989</v>
      </c>
      <c r="X228" t="s">
        <v>429</v>
      </c>
      <c r="AA228" s="5"/>
      <c r="AC228" s="8" t="s">
        <v>357</v>
      </c>
      <c r="AD228" s="184">
        <f t="shared" ref="AD228" si="39">$B$27/(AVERAGE(AD223,AD205)*AVERAGE(AD224,AD206))</f>
        <v>2.9157301507125544</v>
      </c>
      <c r="AE228" t="s">
        <v>430</v>
      </c>
      <c r="AH228" s="5"/>
      <c r="AJ228" s="8" t="s">
        <v>357</v>
      </c>
      <c r="AK228" s="184">
        <f t="shared" ref="AK228" si="40">$B$27/(AVERAGE(AK223,AK205)*AVERAGE(AK224,AK206))</f>
        <v>2.9292652735298881</v>
      </c>
      <c r="AL228" t="s">
        <v>431</v>
      </c>
      <c r="AO228" s="5"/>
      <c r="AQ228" s="8" t="s">
        <v>357</v>
      </c>
      <c r="AR228" s="184">
        <f t="shared" ref="AR228" si="41">$B$27/(AVERAGE(AR223,AR205)*AVERAGE(AR224,AR206))</f>
        <v>2.929265273529889</v>
      </c>
      <c r="AS228" t="s">
        <v>432</v>
      </c>
      <c r="AV228" s="5"/>
      <c r="AX228" s="8" t="s">
        <v>357</v>
      </c>
      <c r="AY228" s="184">
        <f t="shared" ref="AY228" si="42">$B$27/(AVERAGE(AY223,AY205)*AVERAGE(AY224,AY206))</f>
        <v>2.9292652735298894</v>
      </c>
      <c r="AZ228" t="s">
        <v>433</v>
      </c>
      <c r="BC228" s="5"/>
    </row>
    <row r="229" spans="1:55" x14ac:dyDescent="0.25">
      <c r="A229" t="s">
        <v>158</v>
      </c>
      <c r="B229" s="6">
        <f>IF(B228&gt;10,10,IF(B228&lt;2,2,B228))</f>
        <v>2.4910786064003529</v>
      </c>
      <c r="C229" t="s">
        <v>92</v>
      </c>
      <c r="F229" s="5"/>
      <c r="H229" t="s">
        <v>158</v>
      </c>
      <c r="I229" s="6">
        <f>IF(I228&gt;10,10,IF(I228&lt;2,2,I228))</f>
        <v>2.3013655176042485</v>
      </c>
      <c r="J229" t="s">
        <v>92</v>
      </c>
      <c r="M229" s="5"/>
      <c r="O229" t="s">
        <v>158</v>
      </c>
      <c r="P229" s="6">
        <f>IF(P228&gt;10,10,IF(P228&lt;2,2,P228))</f>
        <v>2.8417147726246559</v>
      </c>
      <c r="Q229" t="s">
        <v>92</v>
      </c>
      <c r="T229" s="5"/>
      <c r="V229" t="s">
        <v>158</v>
      </c>
      <c r="W229" s="6">
        <f>IF(W228&gt;10,10,IF(W228&lt;2,2,W228))</f>
        <v>2.8874583001075989</v>
      </c>
      <c r="X229" t="s">
        <v>92</v>
      </c>
      <c r="AA229" s="5"/>
      <c r="AC229" t="s">
        <v>158</v>
      </c>
      <c r="AD229" s="6">
        <f>IF(AD228&gt;10,10,IF(AD228&lt;2,2,AD228))</f>
        <v>2.9157301507125544</v>
      </c>
      <c r="AE229" t="s">
        <v>92</v>
      </c>
      <c r="AH229" s="5"/>
      <c r="AJ229" t="s">
        <v>158</v>
      </c>
      <c r="AK229" s="6">
        <f>IF(AK228&gt;10,10,IF(AK228&lt;2,2,AK228))</f>
        <v>2.9292652735298881</v>
      </c>
      <c r="AL229" t="s">
        <v>92</v>
      </c>
      <c r="AO229" s="5"/>
      <c r="AQ229" t="s">
        <v>158</v>
      </c>
      <c r="AR229" s="6">
        <f>IF(AR228&gt;10,10,IF(AR228&lt;2,2,AR228))</f>
        <v>2.929265273529889</v>
      </c>
      <c r="AS229" t="s">
        <v>92</v>
      </c>
      <c r="AV229" s="5"/>
      <c r="AX229" t="s">
        <v>158</v>
      </c>
      <c r="AY229" s="6">
        <f>IF(AY228&gt;10,10,IF(AY228&lt;2,2,AY228))</f>
        <v>2.9292652735298894</v>
      </c>
      <c r="AZ229" t="s">
        <v>92</v>
      </c>
      <c r="BC229" s="5"/>
    </row>
    <row r="230" spans="1:55" x14ac:dyDescent="0.25">
      <c r="A230" t="s">
        <v>25</v>
      </c>
      <c r="B230" s="6">
        <f>$B$27^2*D230+$B$27*E230+F230</f>
        <v>7.6549999999999994</v>
      </c>
      <c r="D230" s="13">
        <v>-1.794E-4</v>
      </c>
      <c r="E230" s="13">
        <v>0.10580000000000001</v>
      </c>
      <c r="F230" s="13">
        <v>-1.131</v>
      </c>
      <c r="H230" t="s">
        <v>25</v>
      </c>
      <c r="I230" s="6">
        <f>$B$27^2*K230+$B$27*L230+M230</f>
        <v>0</v>
      </c>
      <c r="K230" s="13"/>
      <c r="L230" s="12"/>
      <c r="M230" s="12"/>
      <c r="O230" t="s">
        <v>25</v>
      </c>
      <c r="P230" s="6">
        <f>$B$27^2*R230+$B$27*S230+T230</f>
        <v>4.9540000000000006</v>
      </c>
      <c r="R230" s="13">
        <v>-1.1519999999999999E-4</v>
      </c>
      <c r="S230" s="13">
        <v>8.1170000000000006E-2</v>
      </c>
      <c r="T230" s="13">
        <v>-2.0110000000000001</v>
      </c>
      <c r="V230" t="s">
        <v>25</v>
      </c>
      <c r="W230" s="6">
        <f>$B$27^2*Y230+$B$27*Z230+AA230</f>
        <v>0</v>
      </c>
      <c r="Y230" s="13"/>
      <c r="Z230" s="13"/>
      <c r="AA230" s="13"/>
      <c r="AC230" t="s">
        <v>25</v>
      </c>
      <c r="AD230" s="6">
        <f>$B$27^2*AF230+$B$27*AG230+AH230</f>
        <v>6.7570000000000006</v>
      </c>
      <c r="AF230" s="145">
        <v>-1.4239999999999999E-4</v>
      </c>
      <c r="AG230" s="145">
        <v>9.4899999999999998E-2</v>
      </c>
      <c r="AH230" s="145">
        <v>-1.3089999999999999</v>
      </c>
      <c r="AJ230" t="s">
        <v>25</v>
      </c>
      <c r="AK230" s="6">
        <f>$B$27^2*AM230+$B$27*AN230+AO230</f>
        <v>6.7570000000000006</v>
      </c>
      <c r="AM230" s="145">
        <v>-1.4239999999999999E-4</v>
      </c>
      <c r="AN230" s="145">
        <v>9.4899999999999998E-2</v>
      </c>
      <c r="AO230" s="145">
        <v>-1.3089999999999999</v>
      </c>
      <c r="AQ230" t="s">
        <v>25</v>
      </c>
      <c r="AR230" s="6">
        <f>$B$27^2*AT230+$B$27*AU230+AV230</f>
        <v>6.7570000000000006</v>
      </c>
      <c r="AT230" s="145">
        <v>-1.4239999999999999E-4</v>
      </c>
      <c r="AU230" s="145">
        <v>9.4899999999999998E-2</v>
      </c>
      <c r="AV230" s="145">
        <v>-1.3089999999999999</v>
      </c>
      <c r="AX230" t="s">
        <v>25</v>
      </c>
      <c r="AY230" s="6">
        <f>$B$27^2*BA230+$B$27*BB230+BC230</f>
        <v>6.7570000000000006</v>
      </c>
      <c r="BA230" s="145">
        <v>-1.4239999999999999E-4</v>
      </c>
      <c r="BB230" s="145">
        <v>9.4899999999999998E-2</v>
      </c>
      <c r="BC230" s="145">
        <v>-1.3089999999999999</v>
      </c>
    </row>
    <row r="231" spans="1:55" x14ac:dyDescent="0.25">
      <c r="A231" t="s">
        <v>26</v>
      </c>
      <c r="B231">
        <f ca="1">FORECAST($B$32,OFFSET($B$121:$B$125,MATCH($B$32,$A$121:$A$125,1)-1,0,2), OFFSET($A$121:$A$125,MATCH($B$32,$A$121:$A$125,1)-1,0,2))</f>
        <v>0.76553644227900963</v>
      </c>
      <c r="G231" s="5"/>
      <c r="H231" t="s">
        <v>26</v>
      </c>
      <c r="I231">
        <f ca="1">FORECAST($B$32,OFFSET($B$121:$B$125,MATCH($B$32,$A$121:$A$125,1)-1,0,2), OFFSET($A$121:$A$125,MATCH($B$32,$A$121:$A$125,1)-1,0,2))</f>
        <v>0.76553644227900963</v>
      </c>
      <c r="O231" t="s">
        <v>26</v>
      </c>
      <c r="P231">
        <f ca="1">FORECAST($B$32,OFFSET($B$121:$B$125,MATCH($B$32,$A$121:$A$125,1)-1,0,2), OFFSET($A$121:$A$125,MATCH($B$32,$A$121:$A$125,1)-1,0,2))</f>
        <v>0.76553644227900963</v>
      </c>
      <c r="V231" t="s">
        <v>26</v>
      </c>
      <c r="W231">
        <f ca="1">FORECAST($B$32,OFFSET($B$121:$B$125,MATCH($B$32,$A$121:$A$125,1)-1,0,2), OFFSET($A$121:$A$125,MATCH($B$32,$A$121:$A$125,1)-1,0,2))</f>
        <v>0.76553644227900963</v>
      </c>
      <c r="AC231" t="s">
        <v>26</v>
      </c>
      <c r="AD231">
        <f ca="1">FORECAST($B$32,OFFSET($B$121:$B$125,MATCH($B$32,$A$121:$A$125,1)-1,0,2), OFFSET($A$121:$A$125,MATCH($B$32,$A$121:$A$125,1)-1,0,2))</f>
        <v>0.76553644227900963</v>
      </c>
      <c r="AJ231" t="s">
        <v>26</v>
      </c>
      <c r="AK231">
        <f ca="1">FORECAST($B$32,OFFSET($B$121:$B$125,MATCH($B$32,$A$121:$A$125,1)-1,0,2), OFFSET($A$121:$A$125,MATCH($B$32,$A$121:$A$125,1)-1,0,2))</f>
        <v>0.76553644227900963</v>
      </c>
      <c r="AQ231" t="s">
        <v>26</v>
      </c>
      <c r="AR231">
        <f ca="1">FORECAST($B$32,OFFSET($B$121:$B$125,MATCH($B$32,$A$121:$A$125,1)-1,0,2), OFFSET($A$121:$A$125,MATCH($B$32,$A$121:$A$125,1)-1,0,2))</f>
        <v>0.76553644227900963</v>
      </c>
      <c r="AX231" t="s">
        <v>26</v>
      </c>
      <c r="AY231">
        <f ca="1">FORECAST($B$32,OFFSET($B$121:$B$125,MATCH($B$32,$A$121:$A$125,1)-1,0,2), OFFSET($A$121:$A$125,MATCH($B$32,$A$121:$A$125,1)-1,0,2))</f>
        <v>0.76553644227900963</v>
      </c>
    </row>
    <row r="232" spans="1:55" x14ac:dyDescent="0.25">
      <c r="A232" t="s">
        <v>27</v>
      </c>
      <c r="B232">
        <f ca="1">B230*B231</f>
        <v>5.8601814656458187</v>
      </c>
      <c r="H232" t="s">
        <v>27</v>
      </c>
      <c r="I232">
        <f ca="1">I230*I231</f>
        <v>0</v>
      </c>
      <c r="O232" t="s">
        <v>27</v>
      </c>
      <c r="P232">
        <f ca="1">P230*P231</f>
        <v>3.7924675350502142</v>
      </c>
      <c r="V232" t="s">
        <v>27</v>
      </c>
      <c r="W232">
        <f ca="1">W230*W231</f>
        <v>0</v>
      </c>
      <c r="AC232" t="s">
        <v>27</v>
      </c>
      <c r="AD232">
        <f ca="1">AD230*AD231</f>
        <v>5.1727297404792685</v>
      </c>
      <c r="AJ232" t="s">
        <v>27</v>
      </c>
      <c r="AK232">
        <f ca="1">AK230*AK231</f>
        <v>5.1727297404792685</v>
      </c>
      <c r="AQ232" t="s">
        <v>27</v>
      </c>
      <c r="AR232">
        <f ca="1">AR230*AR231</f>
        <v>5.1727297404792685</v>
      </c>
      <c r="AX232" t="s">
        <v>27</v>
      </c>
      <c r="AY232">
        <f ca="1">AY230*AY231</f>
        <v>5.1727297404792685</v>
      </c>
    </row>
    <row r="233" spans="1:55" x14ac:dyDescent="0.25">
      <c r="A233" t="s">
        <v>28</v>
      </c>
      <c r="B233">
        <f ca="1">B232*E233</f>
        <v>13.021323216665008</v>
      </c>
      <c r="E233">
        <v>2.222</v>
      </c>
      <c r="H233" t="s">
        <v>28</v>
      </c>
      <c r="I233">
        <f ca="1">I232*L233+M233</f>
        <v>0</v>
      </c>
      <c r="O233" t="s">
        <v>28</v>
      </c>
      <c r="P233">
        <f ca="1">P232*S233+T233</f>
        <v>8.4268628628815758</v>
      </c>
      <c r="S233">
        <v>2.222</v>
      </c>
      <c r="V233" t="s">
        <v>28</v>
      </c>
      <c r="W233">
        <f ca="1">W232*Z233+AA233</f>
        <v>0</v>
      </c>
      <c r="AC233" t="s">
        <v>28</v>
      </c>
      <c r="AD233">
        <f ca="1">AD232*AG233+AH233</f>
        <v>11.493805483344934</v>
      </c>
      <c r="AG233">
        <v>2.222</v>
      </c>
      <c r="AJ233" t="s">
        <v>28</v>
      </c>
      <c r="AK233">
        <f ca="1">AK232*AN233+AO233</f>
        <v>11.493805483344934</v>
      </c>
      <c r="AN233">
        <v>2.222</v>
      </c>
      <c r="AQ233" t="s">
        <v>28</v>
      </c>
      <c r="AR233">
        <f ca="1">AR232*AU233+AV233</f>
        <v>11.493805483344934</v>
      </c>
      <c r="AU233">
        <v>2.222</v>
      </c>
      <c r="AX233" t="s">
        <v>28</v>
      </c>
      <c r="AY233">
        <f ca="1">AY232*BB233+BC233</f>
        <v>11.493805483344934</v>
      </c>
      <c r="BB233">
        <v>2.222</v>
      </c>
    </row>
    <row r="235" spans="1:55" x14ac:dyDescent="0.25">
      <c r="A235" t="s">
        <v>234</v>
      </c>
      <c r="B235" s="6" t="e">
        <f ca="1">B233*(D235*$B$229^2+E235*$B$229+F235)*$B$40*$B$38</f>
        <v>#REF!</v>
      </c>
      <c r="D235" s="5">
        <v>-4.5100000000000001E-3</v>
      </c>
      <c r="E235" s="5">
        <v>9.5170000000000005E-2</v>
      </c>
      <c r="F235" s="5">
        <v>0.49930000000000002</v>
      </c>
      <c r="H235" t="s">
        <v>29</v>
      </c>
      <c r="I235" s="6" t="e">
        <f ca="1">I233*(K235*$B$35^2+L235*$B$35+M235)*$B$40*$B$38</f>
        <v>#REF!</v>
      </c>
      <c r="K235" s="5"/>
      <c r="L235" s="5"/>
      <c r="M235" s="5"/>
      <c r="O235" t="s">
        <v>29</v>
      </c>
      <c r="P235" s="6" t="e">
        <f ca="1">P233*(R235*$B$35^2+S235*$B$35+T235)*$B$40*$B$38</f>
        <v>#REF!</v>
      </c>
      <c r="R235" s="5">
        <v>-4.5100000000000001E-3</v>
      </c>
      <c r="S235" s="5">
        <v>9.5170000000000005E-2</v>
      </c>
      <c r="T235" s="5">
        <v>0.49930000000000002</v>
      </c>
      <c r="V235" t="s">
        <v>29</v>
      </c>
      <c r="W235" s="6" t="e">
        <f ca="1">W233*(Y235*$B$35^2+Z235*$B$35+AA235)*$B$40*$B$38</f>
        <v>#REF!</v>
      </c>
      <c r="Y235" s="5"/>
      <c r="Z235" s="5"/>
      <c r="AA235" s="5"/>
      <c r="AC235" t="s">
        <v>29</v>
      </c>
      <c r="AD235" s="6" t="e">
        <f ca="1">AD233*(AF235*$B$35^2+AG235*$B$35+AH235)*$B$40*$B$38</f>
        <v>#REF!</v>
      </c>
      <c r="AF235" s="5">
        <v>-4.5100000000000001E-3</v>
      </c>
      <c r="AG235" s="5">
        <v>9.5170000000000005E-2</v>
      </c>
      <c r="AH235" s="5">
        <v>0.49930000000000002</v>
      </c>
      <c r="AJ235" t="s">
        <v>29</v>
      </c>
      <c r="AK235" s="6" t="e">
        <f ca="1">AK233*(AM235*$B$35^2+AN235*$B$35+AO235)*$B$40*$B$38</f>
        <v>#REF!</v>
      </c>
      <c r="AM235" s="5">
        <v>-4.5100000000000001E-3</v>
      </c>
      <c r="AN235" s="5">
        <v>9.5170000000000005E-2</v>
      </c>
      <c r="AO235" s="5">
        <v>0.49930000000000002</v>
      </c>
      <c r="AQ235" t="s">
        <v>29</v>
      </c>
      <c r="AR235" s="6" t="e">
        <f ca="1">AR233*(AT235*$B$35^2+AU235*$B$35+AV235)*$B$40*$B$38</f>
        <v>#REF!</v>
      </c>
      <c r="AT235" s="5">
        <v>-4.5100000000000001E-3</v>
      </c>
      <c r="AU235" s="5">
        <v>9.5170000000000005E-2</v>
      </c>
      <c r="AV235" s="5">
        <v>0.49930000000000002</v>
      </c>
      <c r="AX235" t="s">
        <v>29</v>
      </c>
      <c r="AY235" s="6" t="e">
        <f ca="1">AY233*(BA235*$B$35^2+BB235*$B$35+BC235)*$B$40*$B$38</f>
        <v>#REF!</v>
      </c>
      <c r="BA235" s="5">
        <v>-4.5100000000000001E-3</v>
      </c>
      <c r="BB235" s="5">
        <v>9.5170000000000005E-2</v>
      </c>
      <c r="BC235" s="5">
        <v>0.49930000000000002</v>
      </c>
    </row>
    <row r="236" spans="1:55" x14ac:dyDescent="0.25">
      <c r="A236" t="s">
        <v>235</v>
      </c>
      <c r="B236" s="6" t="e">
        <f ca="1">1*B235</f>
        <v>#REF!</v>
      </c>
      <c r="D236" s="5"/>
      <c r="E236" s="5"/>
      <c r="F236" s="5"/>
      <c r="H236" t="s">
        <v>235</v>
      </c>
      <c r="I236" s="6" t="e">
        <f t="shared" ref="I236" ca="1" si="43">1*I235</f>
        <v>#REF!</v>
      </c>
      <c r="K236" s="5"/>
      <c r="L236" s="5"/>
      <c r="M236" s="5"/>
      <c r="O236" t="s">
        <v>235</v>
      </c>
      <c r="P236" s="6" t="e">
        <f t="shared" ref="P236" ca="1" si="44">1*P235</f>
        <v>#REF!</v>
      </c>
      <c r="R236" s="5"/>
      <c r="S236" s="5"/>
      <c r="T236" s="5"/>
      <c r="V236" t="s">
        <v>235</v>
      </c>
      <c r="W236" s="6" t="e">
        <f t="shared" ref="W236" ca="1" si="45">1*W235</f>
        <v>#REF!</v>
      </c>
      <c r="Y236" s="5"/>
      <c r="Z236" s="5"/>
      <c r="AA236" s="5"/>
      <c r="AC236" t="s">
        <v>235</v>
      </c>
      <c r="AD236" s="6" t="e">
        <f t="shared" ref="AD236" ca="1" si="46">1*AD235</f>
        <v>#REF!</v>
      </c>
      <c r="AF236" s="5"/>
      <c r="AG236" s="5"/>
      <c r="AH236" s="5"/>
      <c r="AJ236" t="s">
        <v>235</v>
      </c>
      <c r="AK236" s="6" t="e">
        <f t="shared" ref="AK236" ca="1" si="47">1*AK235</f>
        <v>#REF!</v>
      </c>
      <c r="AM236" s="5"/>
      <c r="AN236" s="5"/>
      <c r="AO236" s="5"/>
      <c r="AQ236" t="s">
        <v>235</v>
      </c>
      <c r="AR236" s="6" t="e">
        <f t="shared" ref="AR236" ca="1" si="48">1*AR235</f>
        <v>#REF!</v>
      </c>
      <c r="AT236" s="5"/>
      <c r="AU236" s="5"/>
      <c r="AV236" s="5"/>
      <c r="AX236" t="s">
        <v>235</v>
      </c>
      <c r="AY236" s="6" t="e">
        <f t="shared" ref="AY236" ca="1" si="49">1*AY235</f>
        <v>#REF!</v>
      </c>
      <c r="BA236" s="5"/>
      <c r="BB236" s="5"/>
      <c r="BC236" s="5"/>
    </row>
    <row r="237" spans="1:55" x14ac:dyDescent="0.25">
      <c r="A237" t="s">
        <v>236</v>
      </c>
      <c r="B237" s="6" t="e">
        <f ca="1">B236*1.5</f>
        <v>#REF!</v>
      </c>
      <c r="D237" s="5"/>
      <c r="E237" s="5"/>
      <c r="F237" s="5"/>
      <c r="H237" t="s">
        <v>236</v>
      </c>
      <c r="I237" s="6" t="e">
        <f t="shared" ref="I237" ca="1" si="50">I236*1.5</f>
        <v>#REF!</v>
      </c>
      <c r="K237" s="5"/>
      <c r="L237" s="5"/>
      <c r="M237" s="5"/>
      <c r="O237" t="s">
        <v>236</v>
      </c>
      <c r="P237" s="6" t="e">
        <f t="shared" ref="P237" ca="1" si="51">P236*1.5</f>
        <v>#REF!</v>
      </c>
      <c r="R237" s="5"/>
      <c r="S237" s="5"/>
      <c r="T237" s="5"/>
      <c r="V237" t="s">
        <v>236</v>
      </c>
      <c r="W237" s="6" t="e">
        <f t="shared" ref="W237" ca="1" si="52">W236*1.5</f>
        <v>#REF!</v>
      </c>
      <c r="Y237" s="5"/>
      <c r="Z237" s="5"/>
      <c r="AA237" s="5"/>
      <c r="AC237" t="s">
        <v>236</v>
      </c>
      <c r="AD237" s="6" t="e">
        <f t="shared" ref="AD237" ca="1" si="53">AD236*1.5</f>
        <v>#REF!</v>
      </c>
      <c r="AF237" s="5"/>
      <c r="AG237" s="5"/>
      <c r="AH237" s="5"/>
      <c r="AJ237" t="s">
        <v>236</v>
      </c>
      <c r="AK237" s="6" t="e">
        <f t="shared" ref="AK237" ca="1" si="54">AK236*1.5</f>
        <v>#REF!</v>
      </c>
      <c r="AM237" s="5"/>
      <c r="AN237" s="5"/>
      <c r="AO237" s="5"/>
      <c r="AQ237" t="s">
        <v>236</v>
      </c>
      <c r="AR237" s="6" t="e">
        <f t="shared" ref="AR237" ca="1" si="55">AR236*1.5</f>
        <v>#REF!</v>
      </c>
      <c r="AT237" s="5"/>
      <c r="AU237" s="5"/>
      <c r="AV237" s="5"/>
      <c r="AX237" t="s">
        <v>236</v>
      </c>
      <c r="AY237" s="6" t="e">
        <f t="shared" ref="AY237" ca="1" si="56">AY236*1.5</f>
        <v>#REF!</v>
      </c>
      <c r="BA237" s="5"/>
      <c r="BB237" s="5"/>
      <c r="BC237" s="5"/>
    </row>
    <row r="238" spans="1:55" x14ac:dyDescent="0.25">
      <c r="N238" s="7"/>
      <c r="Z238" s="4"/>
      <c r="AR238" s="4"/>
    </row>
    <row r="239" spans="1:55" ht="20.25" thickBot="1" x14ac:dyDescent="0.35">
      <c r="A239" s="2" t="s">
        <v>100</v>
      </c>
    </row>
    <row r="240" spans="1:55" ht="15.75" thickTop="1" x14ac:dyDescent="0.25">
      <c r="A240" s="3" t="s">
        <v>76</v>
      </c>
      <c r="B240" s="177">
        <f>A145</f>
        <v>200</v>
      </c>
      <c r="C240" s="177">
        <f>H145</f>
        <v>300</v>
      </c>
      <c r="D240" s="177">
        <f>O145</f>
        <v>400</v>
      </c>
      <c r="E240" s="177">
        <f>V145</f>
        <v>500</v>
      </c>
      <c r="F240" s="177">
        <f>AC145</f>
        <v>600</v>
      </c>
      <c r="G240" s="177">
        <f>AJ145</f>
        <v>700</v>
      </c>
      <c r="H240" s="177">
        <f>AQ145</f>
        <v>800</v>
      </c>
      <c r="I240" s="177">
        <f>AX145</f>
        <v>1000</v>
      </c>
    </row>
    <row r="241" spans="1:44" x14ac:dyDescent="0.25">
      <c r="A241" s="3" t="s">
        <v>40</v>
      </c>
      <c r="B241" s="97">
        <f>$B$27</f>
        <v>100</v>
      </c>
      <c r="C241" s="97">
        <f t="shared" ref="C241:I241" si="57">$B$27</f>
        <v>100</v>
      </c>
      <c r="D241" s="97">
        <f t="shared" si="57"/>
        <v>100</v>
      </c>
      <c r="E241" s="97">
        <f t="shared" si="57"/>
        <v>100</v>
      </c>
      <c r="F241" s="97">
        <f t="shared" si="57"/>
        <v>100</v>
      </c>
      <c r="G241" s="97">
        <f t="shared" si="57"/>
        <v>100</v>
      </c>
      <c r="H241" s="97">
        <f t="shared" si="57"/>
        <v>100</v>
      </c>
      <c r="I241" s="97">
        <f t="shared" si="57"/>
        <v>100</v>
      </c>
      <c r="N241" s="6"/>
      <c r="Z241" s="6"/>
      <c r="AR241" s="6"/>
    </row>
    <row r="242" spans="1:44" x14ac:dyDescent="0.25">
      <c r="A242" s="3" t="s">
        <v>31</v>
      </c>
      <c r="B242" s="149">
        <f>B155</f>
        <v>94.868329805051388</v>
      </c>
      <c r="C242" s="149">
        <f>I155</f>
        <v>142.30249470757707</v>
      </c>
      <c r="D242" s="149">
        <f>P155</f>
        <v>189.73665961010278</v>
      </c>
      <c r="E242" s="149">
        <f>W155</f>
        <v>237.17082451262846</v>
      </c>
      <c r="F242" s="149">
        <f>AD155</f>
        <v>284.60498941515414</v>
      </c>
      <c r="G242" s="149">
        <f>AK155</f>
        <v>332.03915431767985</v>
      </c>
      <c r="H242" s="149">
        <f>AR155</f>
        <v>379.47331922020555</v>
      </c>
      <c r="I242" s="149">
        <f>AY155</f>
        <v>474.34164902525691</v>
      </c>
      <c r="N242" s="6"/>
      <c r="Z242" s="6"/>
      <c r="AR242" s="6"/>
    </row>
    <row r="243" spans="1:44" x14ac:dyDescent="0.25">
      <c r="A243" s="3" t="s">
        <v>41</v>
      </c>
      <c r="B243" s="97">
        <f>$B$29</f>
        <v>100</v>
      </c>
      <c r="C243" s="97">
        <f t="shared" ref="C243:E243" si="58">$B$29</f>
        <v>100</v>
      </c>
      <c r="D243" s="97">
        <f t="shared" si="58"/>
        <v>100</v>
      </c>
      <c r="E243" s="97">
        <f t="shared" si="58"/>
        <v>100</v>
      </c>
      <c r="F243" s="97">
        <f>$B$29</f>
        <v>100</v>
      </c>
      <c r="G243" s="97">
        <f t="shared" ref="G243:I243" si="59">$B$29</f>
        <v>100</v>
      </c>
      <c r="H243" s="97">
        <f t="shared" si="59"/>
        <v>100</v>
      </c>
      <c r="I243" s="97">
        <f t="shared" si="59"/>
        <v>100</v>
      </c>
      <c r="N243" s="6"/>
      <c r="Z243" s="6"/>
      <c r="AR243" s="6"/>
    </row>
    <row r="244" spans="1:44" x14ac:dyDescent="0.25">
      <c r="A244" s="3" t="s">
        <v>51</v>
      </c>
      <c r="B244" s="149">
        <f>B156</f>
        <v>32.573689767798143</v>
      </c>
      <c r="C244" s="149">
        <f>I156</f>
        <v>48.860534651697208</v>
      </c>
      <c r="D244" s="149">
        <f>P156</f>
        <v>65.147379535596286</v>
      </c>
      <c r="E244" s="149">
        <f>W156</f>
        <v>81.434224419495351</v>
      </c>
      <c r="F244" s="149">
        <f>AD156</f>
        <v>97.721069303394415</v>
      </c>
      <c r="G244" s="149">
        <f>AK156</f>
        <v>114.00791418729349</v>
      </c>
      <c r="H244" s="149">
        <f>AR156</f>
        <v>130.29475907119257</v>
      </c>
      <c r="I244" s="149">
        <f>AY156</f>
        <v>162.8684488389907</v>
      </c>
    </row>
    <row r="245" spans="1:44" x14ac:dyDescent="0.25">
      <c r="A245" s="3" t="s">
        <v>32</v>
      </c>
      <c r="B245" s="162">
        <f>$B$28</f>
        <v>1</v>
      </c>
      <c r="C245" s="162">
        <f t="shared" ref="C245:I245" si="60">$B$28</f>
        <v>1</v>
      </c>
      <c r="D245" s="162">
        <f t="shared" si="60"/>
        <v>1</v>
      </c>
      <c r="E245" s="162">
        <f t="shared" si="60"/>
        <v>1</v>
      </c>
      <c r="F245" s="162">
        <f t="shared" si="60"/>
        <v>1</v>
      </c>
      <c r="G245" s="162">
        <f t="shared" si="60"/>
        <v>1</v>
      </c>
      <c r="H245" s="162">
        <f t="shared" si="60"/>
        <v>1</v>
      </c>
      <c r="I245" s="162">
        <f t="shared" si="60"/>
        <v>1</v>
      </c>
    </row>
    <row r="246" spans="1:44" x14ac:dyDescent="0.25">
      <c r="A246" s="3" t="s">
        <v>33</v>
      </c>
      <c r="B246" s="163">
        <f>B157</f>
        <v>0.32573689767798142</v>
      </c>
      <c r="C246" s="163">
        <f>I157</f>
        <v>0.48860534651697207</v>
      </c>
      <c r="D246" s="163">
        <f>P157</f>
        <v>0.65147379535596284</v>
      </c>
      <c r="E246" s="163">
        <f>W157</f>
        <v>0.81434224419495349</v>
      </c>
      <c r="F246" s="163">
        <f>AD157</f>
        <v>0.97721069303394414</v>
      </c>
      <c r="G246" s="185">
        <f>AK157</f>
        <v>1.140079141872935</v>
      </c>
      <c r="H246" s="185">
        <f>AR157</f>
        <v>1.3029475907119257</v>
      </c>
      <c r="I246" s="185">
        <f>AY157</f>
        <v>1.628684488389907</v>
      </c>
    </row>
    <row r="247" spans="1:44" x14ac:dyDescent="0.25">
      <c r="A247" s="3" t="s">
        <v>171</v>
      </c>
      <c r="B247" s="97">
        <f>B153</f>
        <v>16.666666666666668</v>
      </c>
      <c r="C247" s="97">
        <f>I153</f>
        <v>7.4074074074074074</v>
      </c>
      <c r="D247" s="97">
        <f>P153</f>
        <v>4.166666666666667</v>
      </c>
      <c r="E247" s="97">
        <f>W153</f>
        <v>2.6666666666666661</v>
      </c>
      <c r="F247" s="97">
        <f>AD153</f>
        <v>1.8518518518518519</v>
      </c>
      <c r="G247" s="97">
        <f>AK153</f>
        <v>1.3605442176870746</v>
      </c>
      <c r="H247" s="97">
        <f>AR153</f>
        <v>1.0416666666666667</v>
      </c>
      <c r="I247" s="97">
        <f>AY153</f>
        <v>0.66666666666666652</v>
      </c>
    </row>
    <row r="248" spans="1:44" x14ac:dyDescent="0.25">
      <c r="A248" s="3" t="s">
        <v>34</v>
      </c>
      <c r="B248" s="97">
        <f>B154</f>
        <v>23.472222222222221</v>
      </c>
      <c r="C248" s="97">
        <f>I154</f>
        <v>10.4320987654321</v>
      </c>
      <c r="D248" s="97">
        <f>P154</f>
        <v>5.8680555555555554</v>
      </c>
      <c r="E248" s="97">
        <f>W154</f>
        <v>3.7555555555555551</v>
      </c>
      <c r="F248" s="97">
        <f>AD154</f>
        <v>2.6080246913580249</v>
      </c>
      <c r="G248" s="97">
        <f>AK154</f>
        <v>1.9160997732426301</v>
      </c>
      <c r="H248" s="97">
        <f>AR154</f>
        <v>1.4670138888888888</v>
      </c>
      <c r="I248" s="97">
        <f>AY154</f>
        <v>0.93888888888888877</v>
      </c>
    </row>
    <row r="249" spans="1:44" x14ac:dyDescent="0.25">
      <c r="A249" s="3" t="s">
        <v>58</v>
      </c>
      <c r="B249" s="97">
        <f>$B$10</f>
        <v>15</v>
      </c>
      <c r="C249" s="97">
        <f t="shared" ref="C249:I249" si="61">$B$10</f>
        <v>15</v>
      </c>
      <c r="D249" s="97">
        <f t="shared" si="61"/>
        <v>15</v>
      </c>
      <c r="E249" s="97">
        <f t="shared" si="61"/>
        <v>15</v>
      </c>
      <c r="F249" s="97">
        <f t="shared" si="61"/>
        <v>15</v>
      </c>
      <c r="G249" s="97">
        <f t="shared" si="61"/>
        <v>15</v>
      </c>
      <c r="H249" s="97">
        <f t="shared" si="61"/>
        <v>15</v>
      </c>
      <c r="I249" s="97">
        <f t="shared" si="61"/>
        <v>15</v>
      </c>
    </row>
    <row r="250" spans="1:44" x14ac:dyDescent="0.25">
      <c r="A250" s="3" t="s">
        <v>35</v>
      </c>
      <c r="B250" s="149">
        <f>B172</f>
        <v>45.690430568477822</v>
      </c>
      <c r="C250" s="149">
        <f>I172</f>
        <v>37.084890751571848</v>
      </c>
      <c r="D250" s="149">
        <f>P172</f>
        <v>31.014995511794293</v>
      </c>
      <c r="E250" s="149">
        <f>W172</f>
        <v>28.657277618744367</v>
      </c>
      <c r="F250" s="149">
        <f>AD172</f>
        <v>26.511371310719497</v>
      </c>
      <c r="G250" s="149">
        <f>AK172</f>
        <v>24.550659133992365</v>
      </c>
      <c r="H250" s="149">
        <f>AR172</f>
        <v>22.749605544798296</v>
      </c>
      <c r="I250" s="149">
        <f>AY172</f>
        <v>19.542050861093088</v>
      </c>
    </row>
    <row r="251" spans="1:44" x14ac:dyDescent="0.25">
      <c r="A251" s="3" t="s">
        <v>36</v>
      </c>
      <c r="B251" s="149">
        <f>B173</f>
        <v>30.690430568477822</v>
      </c>
      <c r="C251" s="149">
        <f>I173</f>
        <v>22.084890751571848</v>
      </c>
      <c r="D251" s="149">
        <f>P173</f>
        <v>16.014995511794293</v>
      </c>
      <c r="E251" s="149">
        <f>W173</f>
        <v>13.657277618744367</v>
      </c>
      <c r="F251" s="149">
        <f>AD173</f>
        <v>11.511371310719497</v>
      </c>
      <c r="G251" s="149">
        <f>AK173</f>
        <v>9.5506591339923652</v>
      </c>
      <c r="H251" s="149">
        <f>AR173</f>
        <v>7.7496055447982961</v>
      </c>
      <c r="I251" s="149">
        <f>AY173</f>
        <v>4.5420508610930881</v>
      </c>
    </row>
    <row r="252" spans="1:44" x14ac:dyDescent="0.25">
      <c r="A252" s="3" t="s">
        <v>233</v>
      </c>
      <c r="B252" s="149" t="e">
        <f ca="1">B237</f>
        <v>#REF!</v>
      </c>
      <c r="C252" s="149" t="e">
        <f ca="1">I237</f>
        <v>#REF!</v>
      </c>
      <c r="D252" s="149" t="e">
        <f ca="1">P237</f>
        <v>#REF!</v>
      </c>
      <c r="E252" s="149" t="e">
        <f ca="1">W237</f>
        <v>#REF!</v>
      </c>
      <c r="F252" s="149" t="e">
        <f ca="1">AD237</f>
        <v>#REF!</v>
      </c>
      <c r="G252" s="149" t="e">
        <f ca="1">AK237</f>
        <v>#REF!</v>
      </c>
      <c r="H252" s="149" t="e">
        <f ca="1">AR237</f>
        <v>#REF!</v>
      </c>
      <c r="I252" s="149" t="e">
        <f ca="1">AY237</f>
        <v>#REF!</v>
      </c>
    </row>
    <row r="253" spans="1:44" x14ac:dyDescent="0.25">
      <c r="A253" s="3" t="s">
        <v>43</v>
      </c>
      <c r="B253" s="149" t="e">
        <f ca="1">B236</f>
        <v>#REF!</v>
      </c>
      <c r="C253" s="149" t="e">
        <f ca="1">I236</f>
        <v>#REF!</v>
      </c>
      <c r="D253" s="149" t="e">
        <f ca="1">P236</f>
        <v>#REF!</v>
      </c>
      <c r="E253" s="149" t="e">
        <f ca="1">W236</f>
        <v>#REF!</v>
      </c>
      <c r="F253" s="149" t="e">
        <f ca="1">AD236</f>
        <v>#REF!</v>
      </c>
      <c r="G253" s="149" t="e">
        <f ca="1">AK236</f>
        <v>#REF!</v>
      </c>
      <c r="H253" s="149" t="e">
        <f ca="1">AR236</f>
        <v>#REF!</v>
      </c>
      <c r="I253" s="149" t="e">
        <f ca="1">AY236</f>
        <v>#REF!</v>
      </c>
    </row>
    <row r="254" spans="1:44" x14ac:dyDescent="0.25">
      <c r="A254" s="167" t="s">
        <v>335</v>
      </c>
      <c r="B254" s="149">
        <f>B188</f>
        <v>0.15</v>
      </c>
      <c r="C254" s="149">
        <f>I188</f>
        <v>0.22853981633974482</v>
      </c>
      <c r="D254" s="149">
        <f>P188</f>
        <v>0.30707963267948968</v>
      </c>
      <c r="E254" s="149">
        <f>W188</f>
        <v>0.30707963267948968</v>
      </c>
      <c r="F254" s="149">
        <f>AD188</f>
        <v>0.30707963267948968</v>
      </c>
      <c r="G254" s="149">
        <f>AK188</f>
        <v>0.30707963267948968</v>
      </c>
      <c r="H254" s="149">
        <f>AR188</f>
        <v>0.30707963267948968</v>
      </c>
      <c r="I254" s="149">
        <f>AY188</f>
        <v>0.30707963267948968</v>
      </c>
    </row>
    <row r="255" spans="1:44" x14ac:dyDescent="0.25">
      <c r="A255" s="167" t="s">
        <v>366</v>
      </c>
      <c r="B255" s="149">
        <f>B190</f>
        <v>1.3333333333333335</v>
      </c>
      <c r="C255" s="149">
        <f>I190</f>
        <v>1.3126815484704129</v>
      </c>
      <c r="D255" s="149">
        <f>P190</f>
        <v>1.302593716521391</v>
      </c>
      <c r="E255" s="149">
        <f>W190</f>
        <v>1.6282421456517386</v>
      </c>
      <c r="F255" s="149">
        <f>AD190</f>
        <v>1.9538905747820863</v>
      </c>
      <c r="G255" s="149">
        <f>AK190</f>
        <v>2.2795390039124337</v>
      </c>
      <c r="H255" s="149">
        <f>AR190</f>
        <v>2.605187433042782</v>
      </c>
      <c r="I255" s="149">
        <f>AY190</f>
        <v>3.2564842913034773</v>
      </c>
    </row>
    <row r="256" spans="1:44" x14ac:dyDescent="0.25">
      <c r="A256" s="3" t="s">
        <v>340</v>
      </c>
      <c r="B256" s="148">
        <f>B205</f>
        <v>4.0890408457419598</v>
      </c>
      <c r="C256" s="148">
        <f>I205</f>
        <v>3.3942390008864334</v>
      </c>
      <c r="D256" s="148">
        <f>P205</f>
        <v>3.1583842772519604</v>
      </c>
      <c r="E256" s="148">
        <f>W205</f>
        <v>2.9766266462775905</v>
      </c>
      <c r="F256" s="148">
        <f>AD205</f>
        <v>2.8441340105075592</v>
      </c>
      <c r="G256" s="149">
        <f>AK205</f>
        <v>2.749532772227826</v>
      </c>
      <c r="H256" s="149">
        <f>AR205</f>
        <v>2.6868144145570629</v>
      </c>
      <c r="I256" s="149">
        <f>AY205</f>
        <v>2.5567663490638273</v>
      </c>
    </row>
    <row r="257" spans="1:14" x14ac:dyDescent="0.25">
      <c r="A257" s="3" t="s">
        <v>341</v>
      </c>
      <c r="B257" s="149">
        <f>B223</f>
        <v>12.105688427664589</v>
      </c>
      <c r="C257" s="149">
        <f>I223</f>
        <v>13.476069877685132</v>
      </c>
      <c r="D257" s="149">
        <f>P223</f>
        <v>12.032847192995652</v>
      </c>
      <c r="E257" s="149">
        <f>W223</f>
        <v>11.791417981466378</v>
      </c>
      <c r="F257" s="149">
        <f>AD223</f>
        <v>11.544941076389863</v>
      </c>
      <c r="G257" s="149">
        <f>AK223</f>
        <v>11.293085977755561</v>
      </c>
      <c r="H257" s="149">
        <f>AR223</f>
        <v>11.035484463522414</v>
      </c>
      <c r="I257" s="149">
        <f>AY223</f>
        <v>10.501341353940226</v>
      </c>
    </row>
    <row r="258" spans="1:14" x14ac:dyDescent="0.25">
      <c r="A258" s="3" t="s">
        <v>342</v>
      </c>
      <c r="B258" s="148">
        <f>B206</f>
        <v>2.5034943953522197</v>
      </c>
      <c r="C258" s="148">
        <f>I206</f>
        <v>2.0728636738517898</v>
      </c>
      <c r="D258" s="148">
        <f>P206</f>
        <v>1.9264534219912328</v>
      </c>
      <c r="E258" s="148">
        <f>W206</f>
        <v>1.8907000833577083</v>
      </c>
      <c r="F258" s="148">
        <f>AD206</f>
        <v>1.884503556894437</v>
      </c>
      <c r="G258" s="149">
        <f>AK206</f>
        <v>1.9039869986955615</v>
      </c>
      <c r="H258" s="149">
        <f>AR206</f>
        <v>1.9484318017819544</v>
      </c>
      <c r="I258" s="149">
        <f>AY206</f>
        <v>2.0475373718548799</v>
      </c>
    </row>
    <row r="259" spans="1:14" x14ac:dyDescent="0.25">
      <c r="A259" s="3" t="s">
        <v>308</v>
      </c>
      <c r="B259" s="149">
        <f>B224</f>
        <v>7.4116459761211768</v>
      </c>
      <c r="C259" s="149">
        <f>I224</f>
        <v>8.229843481394985</v>
      </c>
      <c r="D259" s="149">
        <f>P224</f>
        <v>7.3394234571776371</v>
      </c>
      <c r="E259" s="149">
        <f>W224</f>
        <v>7.4896981078711313</v>
      </c>
      <c r="F259" s="149">
        <f>AD224</f>
        <v>7.6495982405241048</v>
      </c>
      <c r="G259" s="149">
        <f>AK224</f>
        <v>7.8201973418835458</v>
      </c>
      <c r="H259" s="149">
        <f>AR224</f>
        <v>8.0027443504476103</v>
      </c>
      <c r="I259" s="149">
        <f>AY224</f>
        <v>8.4097981360990453</v>
      </c>
    </row>
    <row r="260" spans="1:14" x14ac:dyDescent="0.25">
      <c r="A260" s="3" t="s">
        <v>371</v>
      </c>
      <c r="B260" s="149">
        <f>B256*B258</f>
        <v>10.236890839681298</v>
      </c>
      <c r="C260" s="149">
        <f t="shared" ref="C260:I261" si="62">C256*C258</f>
        <v>7.0357947253084809</v>
      </c>
      <c r="D260" s="149">
        <f t="shared" si="62"/>
        <v>6.0844801988753456</v>
      </c>
      <c r="E260" s="149">
        <f t="shared" si="62"/>
        <v>5.6279082482418161</v>
      </c>
      <c r="F260" s="149">
        <f t="shared" si="62"/>
        <v>5.3597806590859358</v>
      </c>
      <c r="G260" s="149">
        <f t="shared" si="62"/>
        <v>5.2350746508091452</v>
      </c>
      <c r="H260" s="149">
        <f t="shared" si="62"/>
        <v>5.2350746508091452</v>
      </c>
      <c r="I260" s="149">
        <f t="shared" si="62"/>
        <v>5.2350746508091452</v>
      </c>
    </row>
    <row r="261" spans="1:14" x14ac:dyDescent="0.25">
      <c r="A261" s="3" t="s">
        <v>372</v>
      </c>
      <c r="B261" s="149">
        <f>B257*B259</f>
        <v>89.723076923076945</v>
      </c>
      <c r="C261" s="149">
        <f t="shared" si="62"/>
        <v>110.9059458376903</v>
      </c>
      <c r="D261" s="149">
        <f t="shared" si="62"/>
        <v>88.314160944906376</v>
      </c>
      <c r="E261" s="149">
        <f t="shared" si="62"/>
        <v>88.314160944906362</v>
      </c>
      <c r="F261" s="149">
        <f t="shared" si="62"/>
        <v>88.314160944906362</v>
      </c>
      <c r="G261" s="149">
        <f t="shared" si="62"/>
        <v>88.314160944906391</v>
      </c>
      <c r="H261" s="149">
        <f t="shared" si="62"/>
        <v>88.314160944906376</v>
      </c>
      <c r="I261" s="149">
        <f t="shared" si="62"/>
        <v>88.314160944906348</v>
      </c>
    </row>
    <row r="262" spans="1:14" x14ac:dyDescent="0.25">
      <c r="A262" s="3" t="s">
        <v>37</v>
      </c>
      <c r="B262" s="97">
        <f>B193</f>
        <v>2.2999999999999998</v>
      </c>
      <c r="C262" s="97">
        <f>I193</f>
        <v>2.2999999999999998</v>
      </c>
      <c r="D262" s="97">
        <f>P193</f>
        <v>2.2999999999999998</v>
      </c>
      <c r="E262" s="97">
        <f>W193</f>
        <v>2.2999999999999998</v>
      </c>
      <c r="F262" s="97">
        <f>AD193</f>
        <v>2.2999999999999998</v>
      </c>
      <c r="G262" s="149">
        <f>AK193</f>
        <v>2.2999999999999998</v>
      </c>
      <c r="H262" s="149">
        <f>AR193</f>
        <v>2.2999999999999998</v>
      </c>
      <c r="I262" s="149">
        <f>AY193</f>
        <v>2.2999999999999998</v>
      </c>
    </row>
    <row r="263" spans="1:14" x14ac:dyDescent="0.25">
      <c r="A263" s="167" t="s">
        <v>169</v>
      </c>
      <c r="B263" s="149">
        <f>B184</f>
        <v>5.6588424210451675</v>
      </c>
      <c r="C263" s="149">
        <f>I184</f>
        <v>3.3953054526271007</v>
      </c>
      <c r="D263" s="149">
        <f>P184</f>
        <v>2.4252181804479291</v>
      </c>
      <c r="E263" s="149">
        <f>W184</f>
        <v>2.4252181804479291</v>
      </c>
      <c r="F263" s="149">
        <f>AD184</f>
        <v>2.4252181804479291</v>
      </c>
      <c r="G263" s="149">
        <f>AK184</f>
        <v>2.4252181804479291</v>
      </c>
      <c r="H263" s="149">
        <f>AR184</f>
        <v>2.4252181804479291</v>
      </c>
      <c r="I263" s="149">
        <f>AY184</f>
        <v>2.4252181804479291</v>
      </c>
    </row>
    <row r="264" spans="1:14" x14ac:dyDescent="0.25">
      <c r="A264" s="167" t="s">
        <v>310</v>
      </c>
      <c r="B264" s="149">
        <f>$B$186</f>
        <v>3.3333333333333335</v>
      </c>
      <c r="C264" s="149">
        <f>$I$186</f>
        <v>2.2222222222222223</v>
      </c>
      <c r="D264" s="149">
        <f>$P$186</f>
        <v>1.6666666666666667</v>
      </c>
      <c r="E264" s="149">
        <f>$W$186</f>
        <v>1.3333333333333335</v>
      </c>
      <c r="F264" s="149">
        <f>$AD$186</f>
        <v>1.1111111111111112</v>
      </c>
      <c r="G264" s="149">
        <f>AK186</f>
        <v>0.95238095238095244</v>
      </c>
      <c r="H264" s="149">
        <f>AR186</f>
        <v>0.83333333333333337</v>
      </c>
      <c r="I264" s="149">
        <f>AY186</f>
        <v>0.66666666666666674</v>
      </c>
    </row>
    <row r="265" spans="1:14" x14ac:dyDescent="0.25">
      <c r="A265" s="3" t="s">
        <v>173</v>
      </c>
      <c r="B265" s="161" t="str">
        <f>$B$183</f>
        <v>DN150</v>
      </c>
      <c r="C265" s="161" t="str">
        <f>$I$183</f>
        <v>DN200</v>
      </c>
      <c r="D265" s="161" t="str">
        <f>$P$183</f>
        <v>DN250</v>
      </c>
      <c r="E265" s="161" t="str">
        <f>$W$183</f>
        <v>DN250</v>
      </c>
      <c r="F265" s="161" t="str">
        <f>$AD$183</f>
        <v>DN250</v>
      </c>
      <c r="G265" s="149" t="str">
        <f>AK183</f>
        <v>DN250</v>
      </c>
      <c r="H265" s="149" t="str">
        <f>AR183</f>
        <v>DN250</v>
      </c>
      <c r="I265" s="149" t="str">
        <f>AY183</f>
        <v>DN250</v>
      </c>
      <c r="J265" s="96"/>
      <c r="N265" s="11"/>
    </row>
    <row r="266" spans="1:14" x14ac:dyDescent="0.25">
      <c r="A266" s="3" t="s">
        <v>166</v>
      </c>
      <c r="B266" s="161"/>
      <c r="C266" s="161"/>
      <c r="D266" s="161"/>
      <c r="E266" s="161"/>
      <c r="F266" s="161"/>
      <c r="G266" s="149"/>
      <c r="H266" s="149"/>
      <c r="I266" s="149"/>
      <c r="J266" s="96"/>
      <c r="N266" s="11"/>
    </row>
    <row r="267" spans="1:14" x14ac:dyDescent="0.25">
      <c r="A267" s="3"/>
      <c r="B267" s="161"/>
      <c r="C267" s="161"/>
      <c r="D267" s="161"/>
      <c r="E267" s="161"/>
      <c r="F267" s="161"/>
      <c r="G267" s="149"/>
      <c r="H267" s="149"/>
      <c r="I267" s="149"/>
      <c r="J267" s="96"/>
      <c r="N267" s="11"/>
    </row>
    <row r="268" spans="1:14" ht="20.25" thickBot="1" x14ac:dyDescent="0.35">
      <c r="A268" s="2" t="s">
        <v>101</v>
      </c>
      <c r="B268" s="96"/>
      <c r="C268" s="4"/>
      <c r="D268" s="4"/>
      <c r="E268" s="4"/>
      <c r="F268" s="4"/>
      <c r="N268" s="11"/>
    </row>
    <row r="269" spans="1:14" ht="15.75" thickTop="1" x14ac:dyDescent="0.25">
      <c r="A269" s="3" t="s">
        <v>76</v>
      </c>
      <c r="B269" s="177">
        <f t="shared" ref="B269:I269" si="63">B240</f>
        <v>200</v>
      </c>
      <c r="C269" s="177">
        <f t="shared" si="63"/>
        <v>300</v>
      </c>
      <c r="D269" s="177">
        <f t="shared" si="63"/>
        <v>400</v>
      </c>
      <c r="E269" s="177">
        <f t="shared" si="63"/>
        <v>500</v>
      </c>
      <c r="F269" s="177">
        <f t="shared" si="63"/>
        <v>600</v>
      </c>
      <c r="G269" s="177">
        <f t="shared" si="63"/>
        <v>700</v>
      </c>
      <c r="H269" s="177">
        <f t="shared" si="63"/>
        <v>800</v>
      </c>
      <c r="I269" s="177">
        <f t="shared" si="63"/>
        <v>1000</v>
      </c>
      <c r="N269" s="11"/>
    </row>
    <row r="270" spans="1:14" x14ac:dyDescent="0.25">
      <c r="A270" s="3" t="s">
        <v>439</v>
      </c>
      <c r="B270" s="97">
        <f t="shared" ref="B270:I273" si="64">ROUND(B241*$B$4,0)</f>
        <v>100</v>
      </c>
      <c r="C270" s="97">
        <f t="shared" si="64"/>
        <v>100</v>
      </c>
      <c r="D270" s="97">
        <f t="shared" si="64"/>
        <v>100</v>
      </c>
      <c r="E270" s="97">
        <f t="shared" si="64"/>
        <v>100</v>
      </c>
      <c r="F270" s="97">
        <f t="shared" si="64"/>
        <v>100</v>
      </c>
      <c r="G270" s="97">
        <f t="shared" si="64"/>
        <v>100</v>
      </c>
      <c r="H270" s="97">
        <f t="shared" si="64"/>
        <v>100</v>
      </c>
      <c r="I270" s="97">
        <f t="shared" si="64"/>
        <v>100</v>
      </c>
      <c r="N270" s="11"/>
    </row>
    <row r="271" spans="1:14" x14ac:dyDescent="0.25">
      <c r="A271" s="3" t="s">
        <v>440</v>
      </c>
      <c r="B271" s="97">
        <f t="shared" si="64"/>
        <v>95</v>
      </c>
      <c r="C271" s="97">
        <f t="shared" si="64"/>
        <v>142</v>
      </c>
      <c r="D271" s="97">
        <f t="shared" si="64"/>
        <v>190</v>
      </c>
      <c r="E271" s="97">
        <f t="shared" si="64"/>
        <v>237</v>
      </c>
      <c r="F271" s="97">
        <f t="shared" si="64"/>
        <v>285</v>
      </c>
      <c r="G271" s="97">
        <f t="shared" si="64"/>
        <v>332</v>
      </c>
      <c r="H271" s="97">
        <f t="shared" si="64"/>
        <v>379</v>
      </c>
      <c r="I271" s="97">
        <f t="shared" si="64"/>
        <v>474</v>
      </c>
      <c r="N271" s="11"/>
    </row>
    <row r="272" spans="1:14" x14ac:dyDescent="0.25">
      <c r="A272" s="3" t="s">
        <v>441</v>
      </c>
      <c r="B272" s="97">
        <f t="shared" si="64"/>
        <v>100</v>
      </c>
      <c r="C272" s="97">
        <f t="shared" si="64"/>
        <v>100</v>
      </c>
      <c r="D272" s="97">
        <f t="shared" si="64"/>
        <v>100</v>
      </c>
      <c r="E272" s="97">
        <f t="shared" si="64"/>
        <v>100</v>
      </c>
      <c r="F272" s="97">
        <f t="shared" si="64"/>
        <v>100</v>
      </c>
      <c r="G272" s="97">
        <f t="shared" si="64"/>
        <v>100</v>
      </c>
      <c r="H272" s="97">
        <f t="shared" si="64"/>
        <v>100</v>
      </c>
      <c r="I272" s="97">
        <f t="shared" si="64"/>
        <v>100</v>
      </c>
      <c r="N272" s="11"/>
    </row>
    <row r="273" spans="1:14" x14ac:dyDescent="0.25">
      <c r="A273" s="3" t="s">
        <v>442</v>
      </c>
      <c r="B273" s="97">
        <f t="shared" si="64"/>
        <v>33</v>
      </c>
      <c r="C273" s="97">
        <f t="shared" si="64"/>
        <v>49</v>
      </c>
      <c r="D273" s="97">
        <f t="shared" si="64"/>
        <v>65</v>
      </c>
      <c r="E273" s="97">
        <f t="shared" si="64"/>
        <v>81</v>
      </c>
      <c r="F273" s="97">
        <f t="shared" si="64"/>
        <v>98</v>
      </c>
      <c r="G273" s="97">
        <f t="shared" si="64"/>
        <v>114</v>
      </c>
      <c r="H273" s="97">
        <f t="shared" si="64"/>
        <v>130</v>
      </c>
      <c r="I273" s="97">
        <f t="shared" si="64"/>
        <v>163</v>
      </c>
      <c r="N273" s="11"/>
    </row>
    <row r="274" spans="1:14" x14ac:dyDescent="0.25">
      <c r="A274" s="3" t="s">
        <v>32</v>
      </c>
      <c r="B274" s="185">
        <f t="shared" ref="B274:I274" si="65">B245</f>
        <v>1</v>
      </c>
      <c r="C274" s="185">
        <f t="shared" si="65"/>
        <v>1</v>
      </c>
      <c r="D274" s="185">
        <f t="shared" si="65"/>
        <v>1</v>
      </c>
      <c r="E274" s="185">
        <f t="shared" si="65"/>
        <v>1</v>
      </c>
      <c r="F274" s="185">
        <f t="shared" si="65"/>
        <v>1</v>
      </c>
      <c r="G274" s="185">
        <f t="shared" si="65"/>
        <v>1</v>
      </c>
      <c r="H274" s="185">
        <f t="shared" si="65"/>
        <v>1</v>
      </c>
      <c r="I274" s="185">
        <f t="shared" si="65"/>
        <v>1</v>
      </c>
      <c r="N274" s="11"/>
    </row>
    <row r="275" spans="1:14" x14ac:dyDescent="0.25">
      <c r="A275" s="3" t="s">
        <v>33</v>
      </c>
      <c r="B275" s="180">
        <f t="shared" ref="B275:H275" si="66">ROUND(B246,2)</f>
        <v>0.33</v>
      </c>
      <c r="C275" s="180">
        <f t="shared" si="66"/>
        <v>0.49</v>
      </c>
      <c r="D275" s="180">
        <f t="shared" si="66"/>
        <v>0.65</v>
      </c>
      <c r="E275" s="180">
        <f t="shared" si="66"/>
        <v>0.81</v>
      </c>
      <c r="F275" s="180">
        <f t="shared" si="66"/>
        <v>0.98</v>
      </c>
      <c r="G275" s="180">
        <f t="shared" si="66"/>
        <v>1.1399999999999999</v>
      </c>
      <c r="H275" s="180">
        <f t="shared" si="66"/>
        <v>1.3</v>
      </c>
      <c r="I275" s="180">
        <f>ROUND(I246,2)</f>
        <v>1.63</v>
      </c>
      <c r="N275" s="11"/>
    </row>
    <row r="276" spans="1:14" x14ac:dyDescent="0.25">
      <c r="A276" s="3" t="s">
        <v>171</v>
      </c>
      <c r="B276" s="97">
        <f t="shared" ref="B276:I277" si="67">IF(B247&gt;1,ROUND(B247,1),"&lt; 1")</f>
        <v>16.7</v>
      </c>
      <c r="C276" s="97">
        <f t="shared" si="67"/>
        <v>7.4</v>
      </c>
      <c r="D276" s="97">
        <f t="shared" si="67"/>
        <v>4.2</v>
      </c>
      <c r="E276" s="97">
        <f t="shared" si="67"/>
        <v>2.7</v>
      </c>
      <c r="F276" s="97">
        <f t="shared" si="67"/>
        <v>1.9</v>
      </c>
      <c r="G276" s="97">
        <f t="shared" si="67"/>
        <v>1.4</v>
      </c>
      <c r="H276" s="97">
        <f t="shared" si="67"/>
        <v>1</v>
      </c>
      <c r="I276" s="97" t="str">
        <f t="shared" si="67"/>
        <v>&lt; 1</v>
      </c>
      <c r="N276" s="11"/>
    </row>
    <row r="277" spans="1:14" x14ac:dyDescent="0.25">
      <c r="A277" s="3" t="s">
        <v>34</v>
      </c>
      <c r="B277" s="97">
        <f t="shared" si="67"/>
        <v>23.5</v>
      </c>
      <c r="C277" s="97">
        <f t="shared" si="67"/>
        <v>10.4</v>
      </c>
      <c r="D277" s="97">
        <f t="shared" si="67"/>
        <v>5.9</v>
      </c>
      <c r="E277" s="97">
        <f t="shared" si="67"/>
        <v>3.8</v>
      </c>
      <c r="F277" s="97">
        <f t="shared" si="67"/>
        <v>2.6</v>
      </c>
      <c r="G277" s="97">
        <f t="shared" si="67"/>
        <v>1.9</v>
      </c>
      <c r="H277" s="97">
        <f t="shared" si="67"/>
        <v>1.5</v>
      </c>
      <c r="I277" s="97" t="str">
        <f t="shared" si="67"/>
        <v>&lt; 1</v>
      </c>
      <c r="N277" s="11"/>
    </row>
    <row r="278" spans="1:14" x14ac:dyDescent="0.25">
      <c r="A278" s="3" t="s">
        <v>58</v>
      </c>
      <c r="B278" s="97">
        <f t="shared" ref="B278:I278" si="68">B249</f>
        <v>15</v>
      </c>
      <c r="C278" s="97">
        <f t="shared" si="68"/>
        <v>15</v>
      </c>
      <c r="D278" s="97">
        <f t="shared" si="68"/>
        <v>15</v>
      </c>
      <c r="E278" s="97">
        <f t="shared" si="68"/>
        <v>15</v>
      </c>
      <c r="F278" s="97">
        <f t="shared" si="68"/>
        <v>15</v>
      </c>
      <c r="G278" s="97">
        <f t="shared" si="68"/>
        <v>15</v>
      </c>
      <c r="H278" s="97">
        <f t="shared" si="68"/>
        <v>15</v>
      </c>
      <c r="I278" s="97">
        <f t="shared" si="68"/>
        <v>15</v>
      </c>
      <c r="N278" s="11"/>
    </row>
    <row r="279" spans="1:14" x14ac:dyDescent="0.25">
      <c r="A279" s="3" t="s">
        <v>35</v>
      </c>
      <c r="B279" s="97">
        <f t="shared" ref="B279:I279" si="69">IF(B250&gt;=15,ROUND(B250,1),"&lt; 15")</f>
        <v>45.7</v>
      </c>
      <c r="C279" s="97">
        <f t="shared" si="69"/>
        <v>37.1</v>
      </c>
      <c r="D279" s="97">
        <f t="shared" si="69"/>
        <v>31</v>
      </c>
      <c r="E279" s="97">
        <f t="shared" si="69"/>
        <v>28.7</v>
      </c>
      <c r="F279" s="97">
        <f t="shared" si="69"/>
        <v>26.5</v>
      </c>
      <c r="G279" s="97">
        <f t="shared" si="69"/>
        <v>24.6</v>
      </c>
      <c r="H279" s="97">
        <f t="shared" si="69"/>
        <v>22.7</v>
      </c>
      <c r="I279" s="97">
        <f t="shared" si="69"/>
        <v>19.5</v>
      </c>
      <c r="N279" s="11"/>
    </row>
    <row r="280" spans="1:14" x14ac:dyDescent="0.25">
      <c r="A280" s="3" t="s">
        <v>36</v>
      </c>
      <c r="B280" s="97">
        <f t="shared" ref="B280:I280" si="70">IF(B251&gt;=10,ROUND(B251,1),"&lt; 10")</f>
        <v>30.7</v>
      </c>
      <c r="C280" s="97">
        <f t="shared" si="70"/>
        <v>22.1</v>
      </c>
      <c r="D280" s="97">
        <f t="shared" si="70"/>
        <v>16</v>
      </c>
      <c r="E280" s="97">
        <f t="shared" si="70"/>
        <v>13.7</v>
      </c>
      <c r="F280" s="97">
        <f t="shared" si="70"/>
        <v>11.5</v>
      </c>
      <c r="G280" s="97" t="str">
        <f t="shared" si="70"/>
        <v>&lt; 10</v>
      </c>
      <c r="H280" s="97" t="str">
        <f t="shared" si="70"/>
        <v>&lt; 10</v>
      </c>
      <c r="I280" s="97" t="str">
        <f t="shared" si="70"/>
        <v>&lt; 10</v>
      </c>
      <c r="N280" s="11"/>
    </row>
    <row r="281" spans="1:14" x14ac:dyDescent="0.25">
      <c r="A281" s="3" t="s">
        <v>437</v>
      </c>
      <c r="B281" s="149" t="str">
        <f t="shared" ref="B281:I282" ca="1" si="71">IFERROR(MIN(ROUND(B252,1),15),"≈ 0.0")</f>
        <v>≈ 0.0</v>
      </c>
      <c r="C281" s="149" t="str">
        <f t="shared" ca="1" si="71"/>
        <v>≈ 0.0</v>
      </c>
      <c r="D281" s="149" t="str">
        <f t="shared" ca="1" si="71"/>
        <v>≈ 0.0</v>
      </c>
      <c r="E281" s="149" t="str">
        <f t="shared" ca="1" si="71"/>
        <v>≈ 0.0</v>
      </c>
      <c r="F281" s="149" t="str">
        <f t="shared" ca="1" si="71"/>
        <v>≈ 0.0</v>
      </c>
      <c r="G281" s="149" t="str">
        <f t="shared" ca="1" si="71"/>
        <v>≈ 0.0</v>
      </c>
      <c r="H281" s="149" t="str">
        <f t="shared" ca="1" si="71"/>
        <v>≈ 0.0</v>
      </c>
      <c r="I281" s="149" t="str">
        <f t="shared" ca="1" si="71"/>
        <v>≈ 0.0</v>
      </c>
      <c r="N281" s="11"/>
    </row>
    <row r="282" spans="1:14" x14ac:dyDescent="0.25">
      <c r="A282" s="3" t="s">
        <v>438</v>
      </c>
      <c r="B282" s="149" t="str">
        <f t="shared" ca="1" si="71"/>
        <v>≈ 0.0</v>
      </c>
      <c r="C282" s="149" t="str">
        <f t="shared" ca="1" si="71"/>
        <v>≈ 0.0</v>
      </c>
      <c r="D282" s="149" t="str">
        <f t="shared" ca="1" si="71"/>
        <v>≈ 0.0</v>
      </c>
      <c r="E282" s="149" t="str">
        <f t="shared" ca="1" si="71"/>
        <v>≈ 0.0</v>
      </c>
      <c r="F282" s="149" t="str">
        <f t="shared" ca="1" si="71"/>
        <v>≈ 0.0</v>
      </c>
      <c r="G282" s="149" t="str">
        <f t="shared" ca="1" si="71"/>
        <v>≈ 0.0</v>
      </c>
      <c r="H282" s="149" t="str">
        <f t="shared" ca="1" si="71"/>
        <v>≈ 0.0</v>
      </c>
      <c r="I282" s="149" t="str">
        <f t="shared" ca="1" si="71"/>
        <v>≈ 0.0</v>
      </c>
      <c r="N282" s="11"/>
    </row>
    <row r="283" spans="1:14" x14ac:dyDescent="0.25">
      <c r="A283" s="3" t="s">
        <v>340</v>
      </c>
      <c r="B283" s="97">
        <f t="shared" ref="B283:I286" si="72">IF(B$321,"-",ROUND(B256,1))</f>
        <v>4.0999999999999996</v>
      </c>
      <c r="C283" s="97">
        <f t="shared" si="72"/>
        <v>3.4</v>
      </c>
      <c r="D283" s="97">
        <f t="shared" si="72"/>
        <v>3.2</v>
      </c>
      <c r="E283" s="97">
        <f t="shared" si="72"/>
        <v>3</v>
      </c>
      <c r="F283" s="97">
        <f t="shared" si="72"/>
        <v>2.8</v>
      </c>
      <c r="G283" s="97">
        <f t="shared" si="72"/>
        <v>2.7</v>
      </c>
      <c r="H283" s="97">
        <f t="shared" si="72"/>
        <v>2.7</v>
      </c>
      <c r="I283" s="97">
        <f t="shared" si="72"/>
        <v>2.6</v>
      </c>
      <c r="N283" s="11"/>
    </row>
    <row r="284" spans="1:14" x14ac:dyDescent="0.25">
      <c r="A284" s="3" t="s">
        <v>341</v>
      </c>
      <c r="B284" s="97">
        <f t="shared" si="72"/>
        <v>12.1</v>
      </c>
      <c r="C284" s="97">
        <f t="shared" si="72"/>
        <v>13.5</v>
      </c>
      <c r="D284" s="97">
        <f t="shared" si="72"/>
        <v>12</v>
      </c>
      <c r="E284" s="97">
        <f t="shared" si="72"/>
        <v>11.8</v>
      </c>
      <c r="F284" s="97">
        <f t="shared" si="72"/>
        <v>11.5</v>
      </c>
      <c r="G284" s="97">
        <f t="shared" si="72"/>
        <v>11.3</v>
      </c>
      <c r="H284" s="97">
        <f t="shared" si="72"/>
        <v>11</v>
      </c>
      <c r="I284" s="97">
        <f t="shared" si="72"/>
        <v>10.5</v>
      </c>
      <c r="N284" s="11"/>
    </row>
    <row r="285" spans="1:14" x14ac:dyDescent="0.25">
      <c r="A285" s="3" t="s">
        <v>342</v>
      </c>
      <c r="B285" s="97">
        <f t="shared" si="72"/>
        <v>2.5</v>
      </c>
      <c r="C285" s="97">
        <f t="shared" si="72"/>
        <v>2.1</v>
      </c>
      <c r="D285" s="97">
        <f t="shared" si="72"/>
        <v>1.9</v>
      </c>
      <c r="E285" s="97">
        <f t="shared" si="72"/>
        <v>1.9</v>
      </c>
      <c r="F285" s="97">
        <f t="shared" si="72"/>
        <v>1.9</v>
      </c>
      <c r="G285" s="97">
        <f t="shared" si="72"/>
        <v>1.9</v>
      </c>
      <c r="H285" s="97">
        <f t="shared" si="72"/>
        <v>1.9</v>
      </c>
      <c r="I285" s="97">
        <f t="shared" si="72"/>
        <v>2</v>
      </c>
      <c r="N285" s="11"/>
    </row>
    <row r="286" spans="1:14" x14ac:dyDescent="0.25">
      <c r="A286" s="3" t="s">
        <v>308</v>
      </c>
      <c r="B286" s="97">
        <f t="shared" si="72"/>
        <v>7.4</v>
      </c>
      <c r="C286" s="97">
        <f t="shared" si="72"/>
        <v>8.1999999999999993</v>
      </c>
      <c r="D286" s="97">
        <f t="shared" si="72"/>
        <v>7.3</v>
      </c>
      <c r="E286" s="97">
        <f t="shared" si="72"/>
        <v>7.5</v>
      </c>
      <c r="F286" s="97">
        <f t="shared" si="72"/>
        <v>7.6</v>
      </c>
      <c r="G286" s="97">
        <f t="shared" si="72"/>
        <v>7.8</v>
      </c>
      <c r="H286" s="97">
        <f t="shared" si="72"/>
        <v>8</v>
      </c>
      <c r="I286" s="97">
        <f t="shared" si="72"/>
        <v>8.4</v>
      </c>
      <c r="N286" s="11"/>
    </row>
    <row r="287" spans="1:14" x14ac:dyDescent="0.25">
      <c r="A287" s="3" t="s">
        <v>371</v>
      </c>
      <c r="B287" s="97">
        <f t="shared" ref="B287:I287" si="73">IF(ISERR(B260),"-",ROUND(B260,1))</f>
        <v>10.199999999999999</v>
      </c>
      <c r="C287" s="97">
        <f t="shared" si="73"/>
        <v>7</v>
      </c>
      <c r="D287" s="97">
        <f t="shared" si="73"/>
        <v>6.1</v>
      </c>
      <c r="E287" s="97">
        <f t="shared" si="73"/>
        <v>5.6</v>
      </c>
      <c r="F287" s="97">
        <f t="shared" si="73"/>
        <v>5.4</v>
      </c>
      <c r="G287" s="97">
        <f t="shared" si="73"/>
        <v>5.2</v>
      </c>
      <c r="H287" s="97">
        <f t="shared" si="73"/>
        <v>5.2</v>
      </c>
      <c r="I287" s="97">
        <f t="shared" si="73"/>
        <v>5.2</v>
      </c>
      <c r="N287" s="11"/>
    </row>
    <row r="288" spans="1:14" x14ac:dyDescent="0.25">
      <c r="A288" s="3" t="s">
        <v>372</v>
      </c>
      <c r="B288" s="97">
        <f t="shared" ref="B288:I288" si="74">IF(ISERR(B261),"",ROUND(B261,1))</f>
        <v>89.7</v>
      </c>
      <c r="C288" s="97">
        <f t="shared" si="74"/>
        <v>110.9</v>
      </c>
      <c r="D288" s="97">
        <f t="shared" si="74"/>
        <v>88.3</v>
      </c>
      <c r="E288" s="97">
        <f t="shared" si="74"/>
        <v>88.3</v>
      </c>
      <c r="F288" s="97">
        <f t="shared" si="74"/>
        <v>88.3</v>
      </c>
      <c r="G288" s="97">
        <f t="shared" si="74"/>
        <v>88.3</v>
      </c>
      <c r="H288" s="97">
        <f t="shared" si="74"/>
        <v>88.3</v>
      </c>
      <c r="I288" s="97">
        <f t="shared" si="74"/>
        <v>88.3</v>
      </c>
      <c r="N288" s="11"/>
    </row>
    <row r="289" spans="1:14" x14ac:dyDescent="0.25">
      <c r="A289" s="3" t="s">
        <v>37</v>
      </c>
      <c r="B289" s="97">
        <f t="shared" ref="B289:I289" si="75">ROUND(B262,1)</f>
        <v>2.2999999999999998</v>
      </c>
      <c r="C289" s="97">
        <f t="shared" si="75"/>
        <v>2.2999999999999998</v>
      </c>
      <c r="D289" s="97">
        <f t="shared" si="75"/>
        <v>2.2999999999999998</v>
      </c>
      <c r="E289" s="97">
        <f t="shared" si="75"/>
        <v>2.2999999999999998</v>
      </c>
      <c r="F289" s="97">
        <f t="shared" si="75"/>
        <v>2.2999999999999998</v>
      </c>
      <c r="G289" s="149">
        <f t="shared" si="75"/>
        <v>2.2999999999999998</v>
      </c>
      <c r="H289" s="149">
        <f t="shared" si="75"/>
        <v>2.2999999999999998</v>
      </c>
      <c r="I289" s="149">
        <f t="shared" si="75"/>
        <v>2.2999999999999998</v>
      </c>
      <c r="N289" s="11"/>
    </row>
    <row r="290" spans="1:14" x14ac:dyDescent="0.25">
      <c r="A290" s="3" t="s">
        <v>169</v>
      </c>
      <c r="B290" s="149">
        <f t="shared" ref="B290:I291" si="76">ROUND(B263,2)</f>
        <v>5.66</v>
      </c>
      <c r="C290" s="149">
        <f t="shared" si="76"/>
        <v>3.4</v>
      </c>
      <c r="D290" s="149">
        <f t="shared" si="76"/>
        <v>2.4300000000000002</v>
      </c>
      <c r="E290" s="149">
        <f t="shared" si="76"/>
        <v>2.4300000000000002</v>
      </c>
      <c r="F290" s="149">
        <f t="shared" si="76"/>
        <v>2.4300000000000002</v>
      </c>
      <c r="G290" s="149">
        <f t="shared" si="76"/>
        <v>2.4300000000000002</v>
      </c>
      <c r="H290" s="149">
        <f t="shared" si="76"/>
        <v>2.4300000000000002</v>
      </c>
      <c r="I290" s="149">
        <f t="shared" si="76"/>
        <v>2.4300000000000002</v>
      </c>
      <c r="N290" s="11"/>
    </row>
    <row r="291" spans="1:14" x14ac:dyDescent="0.25">
      <c r="A291" s="3" t="s">
        <v>310</v>
      </c>
      <c r="B291" s="149">
        <f t="shared" si="76"/>
        <v>3.33</v>
      </c>
      <c r="C291" s="149">
        <f t="shared" si="76"/>
        <v>2.2200000000000002</v>
      </c>
      <c r="D291" s="149">
        <f t="shared" si="76"/>
        <v>1.67</v>
      </c>
      <c r="E291" s="149">
        <f t="shared" si="76"/>
        <v>1.33</v>
      </c>
      <c r="F291" s="149">
        <f t="shared" si="76"/>
        <v>1.1100000000000001</v>
      </c>
      <c r="G291" s="149">
        <f t="shared" si="76"/>
        <v>0.95</v>
      </c>
      <c r="H291" s="149">
        <f t="shared" si="76"/>
        <v>0.83</v>
      </c>
      <c r="I291" s="149">
        <f t="shared" si="76"/>
        <v>0.67</v>
      </c>
      <c r="N291" s="11"/>
    </row>
    <row r="292" spans="1:14" x14ac:dyDescent="0.25">
      <c r="A292" s="3" t="s">
        <v>173</v>
      </c>
      <c r="B292" s="123" t="str">
        <f t="shared" ref="B292:I292" si="77">B265</f>
        <v>DN150</v>
      </c>
      <c r="C292" s="123" t="str">
        <f t="shared" si="77"/>
        <v>DN200</v>
      </c>
      <c r="D292" s="123" t="str">
        <f t="shared" si="77"/>
        <v>DN250</v>
      </c>
      <c r="E292" s="123" t="str">
        <f t="shared" si="77"/>
        <v>DN250</v>
      </c>
      <c r="F292" s="123" t="str">
        <f t="shared" si="77"/>
        <v>DN250</v>
      </c>
      <c r="G292" s="123" t="str">
        <f t="shared" si="77"/>
        <v>DN250</v>
      </c>
      <c r="H292" s="123" t="str">
        <f t="shared" si="77"/>
        <v>DN250</v>
      </c>
      <c r="I292" s="123" t="str">
        <f t="shared" si="77"/>
        <v>DN250</v>
      </c>
      <c r="N292" s="11"/>
    </row>
    <row r="293" spans="1:14" x14ac:dyDescent="0.25">
      <c r="A293" s="3"/>
      <c r="B293" s="96"/>
      <c r="C293" s="4"/>
      <c r="D293" s="4"/>
      <c r="E293" s="4"/>
      <c r="F293" s="4"/>
      <c r="N293" s="11"/>
    </row>
    <row r="294" spans="1:14" x14ac:dyDescent="0.25">
      <c r="A294" s="3"/>
      <c r="B294" s="96"/>
      <c r="C294" s="4"/>
      <c r="D294" s="4"/>
      <c r="E294" s="4"/>
      <c r="F294" s="4"/>
      <c r="N294" s="11"/>
    </row>
    <row r="295" spans="1:14" ht="20.25" thickBot="1" x14ac:dyDescent="0.35">
      <c r="A295" s="2" t="s">
        <v>101</v>
      </c>
      <c r="B295" s="4"/>
      <c r="C295" s="4"/>
      <c r="D295" s="4"/>
      <c r="E295" s="4"/>
      <c r="F295" s="4"/>
      <c r="N295" s="11"/>
    </row>
    <row r="296" spans="1:14" ht="15.75" thickTop="1" x14ac:dyDescent="0.25">
      <c r="A296" s="3" t="s">
        <v>76</v>
      </c>
      <c r="B296" s="177">
        <f>B269</f>
        <v>200</v>
      </c>
      <c r="C296" s="177">
        <f t="shared" ref="C296:I296" si="78">C269</f>
        <v>300</v>
      </c>
      <c r="D296" s="177">
        <f t="shared" si="78"/>
        <v>400</v>
      </c>
      <c r="E296" s="177">
        <f t="shared" si="78"/>
        <v>500</v>
      </c>
      <c r="F296" s="177">
        <f t="shared" si="78"/>
        <v>600</v>
      </c>
      <c r="G296" s="177">
        <f t="shared" si="78"/>
        <v>700</v>
      </c>
      <c r="H296" s="177">
        <f t="shared" si="78"/>
        <v>800</v>
      </c>
      <c r="I296" s="177">
        <f t="shared" si="78"/>
        <v>1000</v>
      </c>
      <c r="N296" s="11"/>
    </row>
    <row r="297" spans="1:14" x14ac:dyDescent="0.25">
      <c r="A297" s="3" t="str">
        <f>"Selected Airflow "&amp;C3</f>
        <v>Selected Airflow [L/s]</v>
      </c>
      <c r="B297" s="177">
        <f t="shared" ref="B297:I297" si="79">B270</f>
        <v>100</v>
      </c>
      <c r="C297" s="177">
        <f t="shared" si="79"/>
        <v>100</v>
      </c>
      <c r="D297" s="177">
        <f t="shared" si="79"/>
        <v>100</v>
      </c>
      <c r="E297" s="177">
        <f t="shared" si="79"/>
        <v>100</v>
      </c>
      <c r="F297" s="177">
        <f t="shared" si="79"/>
        <v>100</v>
      </c>
      <c r="G297" s="177">
        <f t="shared" si="79"/>
        <v>100</v>
      </c>
      <c r="H297" s="177">
        <f t="shared" si="79"/>
        <v>100</v>
      </c>
      <c r="I297" s="177">
        <f t="shared" si="79"/>
        <v>100</v>
      </c>
      <c r="N297" s="11"/>
    </row>
    <row r="298" spans="1:14" x14ac:dyDescent="0.25">
      <c r="A298" s="3" t="str">
        <f>"Airflow @ Max Static Pressure"&amp;C3</f>
        <v>Airflow @ Max Static Pressure[L/s]</v>
      </c>
      <c r="B298" s="177">
        <f t="shared" ref="B298:I298" si="80">B271</f>
        <v>95</v>
      </c>
      <c r="C298" s="177">
        <f t="shared" si="80"/>
        <v>142</v>
      </c>
      <c r="D298" s="177">
        <f t="shared" si="80"/>
        <v>190</v>
      </c>
      <c r="E298" s="177">
        <f t="shared" si="80"/>
        <v>237</v>
      </c>
      <c r="F298" s="177">
        <f t="shared" si="80"/>
        <v>285</v>
      </c>
      <c r="G298" s="177">
        <f t="shared" si="80"/>
        <v>332</v>
      </c>
      <c r="H298" s="177">
        <f t="shared" si="80"/>
        <v>379</v>
      </c>
      <c r="I298" s="177">
        <f t="shared" si="80"/>
        <v>474</v>
      </c>
      <c r="N298" s="11"/>
    </row>
    <row r="299" spans="1:14" x14ac:dyDescent="0.25">
      <c r="A299" s="3" t="str">
        <f>"Min Selected Airflow "&amp;C3</f>
        <v>Min Selected Airflow [L/s]</v>
      </c>
      <c r="B299" s="177">
        <f t="shared" ref="B299:I299" si="81">B272</f>
        <v>100</v>
      </c>
      <c r="C299" s="177">
        <f t="shared" si="81"/>
        <v>100</v>
      </c>
      <c r="D299" s="177">
        <f t="shared" si="81"/>
        <v>100</v>
      </c>
      <c r="E299" s="177">
        <f t="shared" si="81"/>
        <v>100</v>
      </c>
      <c r="F299" s="177">
        <f t="shared" si="81"/>
        <v>100</v>
      </c>
      <c r="G299" s="177">
        <f t="shared" si="81"/>
        <v>100</v>
      </c>
      <c r="H299" s="177">
        <f t="shared" si="81"/>
        <v>100</v>
      </c>
      <c r="I299" s="177">
        <f t="shared" si="81"/>
        <v>100</v>
      </c>
      <c r="N299" s="255" t="s">
        <v>444</v>
      </c>
    </row>
    <row r="300" spans="1:14" x14ac:dyDescent="0.25">
      <c r="A300" s="3" t="str">
        <f>"Min Permissible Airflow @ "&amp;B11&amp;" K"</f>
        <v>Min Permissible Airflow @ -12 K</v>
      </c>
      <c r="B300" s="177">
        <f>IF(B275&gt;1,"-",B273)</f>
        <v>33</v>
      </c>
      <c r="C300" s="177">
        <f t="shared" ref="C300:I300" si="82">IF(C275&gt;1,"-",C273)</f>
        <v>49</v>
      </c>
      <c r="D300" s="177">
        <f t="shared" si="82"/>
        <v>65</v>
      </c>
      <c r="E300" s="177">
        <f t="shared" si="82"/>
        <v>81</v>
      </c>
      <c r="F300" s="177">
        <f t="shared" si="82"/>
        <v>98</v>
      </c>
      <c r="G300" s="177" t="str">
        <f t="shared" si="82"/>
        <v>-</v>
      </c>
      <c r="H300" s="177" t="str">
        <f t="shared" si="82"/>
        <v>-</v>
      </c>
      <c r="I300" s="177" t="str">
        <f t="shared" si="82"/>
        <v>-</v>
      </c>
      <c r="N300" s="11"/>
    </row>
    <row r="301" spans="1:14" x14ac:dyDescent="0.25">
      <c r="A301" s="3" t="s">
        <v>32</v>
      </c>
      <c r="B301" s="177">
        <f t="shared" ref="B301:I301" si="83">B274</f>
        <v>1</v>
      </c>
      <c r="C301" s="177">
        <f t="shared" si="83"/>
        <v>1</v>
      </c>
      <c r="D301" s="177">
        <f t="shared" si="83"/>
        <v>1</v>
      </c>
      <c r="E301" s="177">
        <f t="shared" si="83"/>
        <v>1</v>
      </c>
      <c r="F301" s="177">
        <f t="shared" si="83"/>
        <v>1</v>
      </c>
      <c r="G301" s="177">
        <f t="shared" si="83"/>
        <v>1</v>
      </c>
      <c r="H301" s="177">
        <f t="shared" si="83"/>
        <v>1</v>
      </c>
      <c r="I301" s="177">
        <f t="shared" si="83"/>
        <v>1</v>
      </c>
      <c r="N301" s="11"/>
    </row>
    <row r="302" spans="1:14" x14ac:dyDescent="0.25">
      <c r="A302" s="3" t="s">
        <v>33</v>
      </c>
      <c r="B302" s="177">
        <f>IF(B275&gt;1,"-",B275)</f>
        <v>0.33</v>
      </c>
      <c r="C302" s="177">
        <f t="shared" ref="C302:I302" si="84">IF(C275&gt;1,"-",C275)</f>
        <v>0.49</v>
      </c>
      <c r="D302" s="177">
        <f t="shared" si="84"/>
        <v>0.65</v>
      </c>
      <c r="E302" s="177">
        <f t="shared" si="84"/>
        <v>0.81</v>
      </c>
      <c r="F302" s="177">
        <f t="shared" si="84"/>
        <v>0.98</v>
      </c>
      <c r="G302" s="177" t="str">
        <f t="shared" si="84"/>
        <v>-</v>
      </c>
      <c r="H302" s="177" t="str">
        <f t="shared" si="84"/>
        <v>-</v>
      </c>
      <c r="I302" s="177" t="str">
        <f t="shared" si="84"/>
        <v>-</v>
      </c>
      <c r="N302" s="11"/>
    </row>
    <row r="303" spans="1:14" x14ac:dyDescent="0.25">
      <c r="A303" s="3" t="s">
        <v>171</v>
      </c>
      <c r="B303" s="177">
        <f t="shared" ref="B303:I303" si="85">B276</f>
        <v>16.7</v>
      </c>
      <c r="C303" s="177">
        <f t="shared" si="85"/>
        <v>7.4</v>
      </c>
      <c r="D303" s="177">
        <f t="shared" si="85"/>
        <v>4.2</v>
      </c>
      <c r="E303" s="177">
        <f t="shared" si="85"/>
        <v>2.7</v>
      </c>
      <c r="F303" s="177">
        <f t="shared" si="85"/>
        <v>1.9</v>
      </c>
      <c r="G303" s="177">
        <f t="shared" si="85"/>
        <v>1.4</v>
      </c>
      <c r="H303" s="177">
        <f t="shared" si="85"/>
        <v>1</v>
      </c>
      <c r="I303" s="177" t="str">
        <f t="shared" si="85"/>
        <v>&lt; 1</v>
      </c>
      <c r="N303" s="11"/>
    </row>
    <row r="304" spans="1:14" x14ac:dyDescent="0.25">
      <c r="A304" s="3" t="s">
        <v>34</v>
      </c>
      <c r="B304" s="177">
        <f t="shared" ref="B304:I304" si="86">B277</f>
        <v>23.5</v>
      </c>
      <c r="C304" s="177">
        <f t="shared" si="86"/>
        <v>10.4</v>
      </c>
      <c r="D304" s="177">
        <f t="shared" si="86"/>
        <v>5.9</v>
      </c>
      <c r="E304" s="177">
        <f t="shared" si="86"/>
        <v>3.8</v>
      </c>
      <c r="F304" s="177">
        <f t="shared" si="86"/>
        <v>2.6</v>
      </c>
      <c r="G304" s="177">
        <f t="shared" si="86"/>
        <v>1.9</v>
      </c>
      <c r="H304" s="177">
        <f t="shared" si="86"/>
        <v>1.5</v>
      </c>
      <c r="I304" s="177" t="str">
        <f t="shared" si="86"/>
        <v>&lt; 1</v>
      </c>
      <c r="N304" s="11"/>
    </row>
    <row r="305" spans="1:14" x14ac:dyDescent="0.25">
      <c r="A305" s="3" t="s">
        <v>58</v>
      </c>
      <c r="B305" s="177">
        <f t="shared" ref="B305:I305" si="87">B278</f>
        <v>15</v>
      </c>
      <c r="C305" s="177">
        <f t="shared" si="87"/>
        <v>15</v>
      </c>
      <c r="D305" s="177">
        <f t="shared" si="87"/>
        <v>15</v>
      </c>
      <c r="E305" s="177">
        <f t="shared" si="87"/>
        <v>15</v>
      </c>
      <c r="F305" s="177">
        <f t="shared" si="87"/>
        <v>15</v>
      </c>
      <c r="G305" s="177">
        <f t="shared" si="87"/>
        <v>15</v>
      </c>
      <c r="H305" s="177">
        <f t="shared" si="87"/>
        <v>15</v>
      </c>
      <c r="I305" s="177">
        <f t="shared" si="87"/>
        <v>15</v>
      </c>
      <c r="N305" s="11"/>
    </row>
    <row r="306" spans="1:14" x14ac:dyDescent="0.25">
      <c r="A306" s="3" t="s">
        <v>35</v>
      </c>
      <c r="B306" s="177">
        <f t="shared" ref="B306:I306" si="88">B279</f>
        <v>45.7</v>
      </c>
      <c r="C306" s="177">
        <f t="shared" si="88"/>
        <v>37.1</v>
      </c>
      <c r="D306" s="177">
        <f t="shared" si="88"/>
        <v>31</v>
      </c>
      <c r="E306" s="177">
        <f t="shared" si="88"/>
        <v>28.7</v>
      </c>
      <c r="F306" s="177">
        <f t="shared" si="88"/>
        <v>26.5</v>
      </c>
      <c r="G306" s="177">
        <f t="shared" si="88"/>
        <v>24.6</v>
      </c>
      <c r="H306" s="177">
        <f t="shared" si="88"/>
        <v>22.7</v>
      </c>
      <c r="I306" s="177">
        <f t="shared" si="88"/>
        <v>19.5</v>
      </c>
      <c r="N306" s="11"/>
    </row>
    <row r="307" spans="1:14" x14ac:dyDescent="0.25">
      <c r="A307" s="3" t="s">
        <v>36</v>
      </c>
      <c r="B307" s="177">
        <f t="shared" ref="B307:I307" si="89">B280</f>
        <v>30.7</v>
      </c>
      <c r="C307" s="177">
        <f t="shared" si="89"/>
        <v>22.1</v>
      </c>
      <c r="D307" s="177">
        <f t="shared" si="89"/>
        <v>16</v>
      </c>
      <c r="E307" s="177">
        <f t="shared" si="89"/>
        <v>13.7</v>
      </c>
      <c r="F307" s="177">
        <f t="shared" si="89"/>
        <v>11.5</v>
      </c>
      <c r="G307" s="177" t="str">
        <f t="shared" si="89"/>
        <v>&lt; 10</v>
      </c>
      <c r="H307" s="177" t="str">
        <f t="shared" si="89"/>
        <v>&lt; 10</v>
      </c>
      <c r="I307" s="177" t="str">
        <f t="shared" si="89"/>
        <v>&lt; 10</v>
      </c>
      <c r="N307" s="11"/>
    </row>
    <row r="308" spans="1:14" x14ac:dyDescent="0.25">
      <c r="A308" s="3" t="s">
        <v>233</v>
      </c>
      <c r="B308" s="177" t="str">
        <f t="shared" ref="B308:I308" ca="1" si="90">B281</f>
        <v>≈ 0.0</v>
      </c>
      <c r="C308" s="177" t="str">
        <f t="shared" ca="1" si="90"/>
        <v>≈ 0.0</v>
      </c>
      <c r="D308" s="177" t="str">
        <f t="shared" ca="1" si="90"/>
        <v>≈ 0.0</v>
      </c>
      <c r="E308" s="177" t="str">
        <f t="shared" ca="1" si="90"/>
        <v>≈ 0.0</v>
      </c>
      <c r="F308" s="177" t="str">
        <f t="shared" ca="1" si="90"/>
        <v>≈ 0.0</v>
      </c>
      <c r="G308" s="177" t="str">
        <f t="shared" ca="1" si="90"/>
        <v>≈ 0.0</v>
      </c>
      <c r="H308" s="177" t="str">
        <f t="shared" ca="1" si="90"/>
        <v>≈ 0.0</v>
      </c>
      <c r="I308" s="177" t="str">
        <f t="shared" ca="1" si="90"/>
        <v>≈ 0.0</v>
      </c>
      <c r="N308" s="11"/>
    </row>
    <row r="309" spans="1:14" x14ac:dyDescent="0.25">
      <c r="A309" s="3" t="s">
        <v>43</v>
      </c>
      <c r="B309" s="177" t="str">
        <f t="shared" ref="B309:I309" ca="1" si="91">B282</f>
        <v>≈ 0.0</v>
      </c>
      <c r="C309" s="177" t="str">
        <f t="shared" ca="1" si="91"/>
        <v>≈ 0.0</v>
      </c>
      <c r="D309" s="177" t="str">
        <f t="shared" ca="1" si="91"/>
        <v>≈ 0.0</v>
      </c>
      <c r="E309" s="177" t="str">
        <f t="shared" ca="1" si="91"/>
        <v>≈ 0.0</v>
      </c>
      <c r="F309" s="177" t="str">
        <f t="shared" ca="1" si="91"/>
        <v>≈ 0.0</v>
      </c>
      <c r="G309" s="177" t="str">
        <f t="shared" ca="1" si="91"/>
        <v>≈ 0.0</v>
      </c>
      <c r="H309" s="177" t="str">
        <f t="shared" ca="1" si="91"/>
        <v>≈ 0.0</v>
      </c>
      <c r="I309" s="177" t="str">
        <f t="shared" ca="1" si="91"/>
        <v>≈ 0.0</v>
      </c>
      <c r="N309" s="11"/>
    </row>
    <row r="310" spans="1:14" x14ac:dyDescent="0.25">
      <c r="A310" s="3" t="s">
        <v>340</v>
      </c>
      <c r="B310" s="177" t="str">
        <f>IFERROR(TEXT(B283,"0.0"),B283)&amp;B$322</f>
        <v>4.1</v>
      </c>
      <c r="C310" s="177" t="str">
        <f t="shared" ref="C310:I310" si="92">IFERROR(TEXT(C283,"0.0"),C283)&amp;C$322</f>
        <v>3.4</v>
      </c>
      <c r="D310" s="177" t="str">
        <f t="shared" si="92"/>
        <v>3.2</v>
      </c>
      <c r="E310" s="177" t="str">
        <f t="shared" si="92"/>
        <v>3.0</v>
      </c>
      <c r="F310" s="177" t="str">
        <f t="shared" si="92"/>
        <v>2.8</v>
      </c>
      <c r="G310" s="177" t="str">
        <f t="shared" si="92"/>
        <v>2.7</v>
      </c>
      <c r="H310" s="177" t="str">
        <f t="shared" si="92"/>
        <v>2.7</v>
      </c>
      <c r="I310" s="177" t="str">
        <f t="shared" si="92"/>
        <v>2.6</v>
      </c>
      <c r="N310" s="11"/>
    </row>
    <row r="311" spans="1:14" x14ac:dyDescent="0.25">
      <c r="A311" s="3" t="s">
        <v>341</v>
      </c>
      <c r="B311" s="177" t="str">
        <f t="shared" ref="B311:I313" si="93">IFERROR(TEXT(B284,"0.0"),B284)&amp;B$322</f>
        <v>12.1</v>
      </c>
      <c r="C311" s="177" t="str">
        <f t="shared" si="93"/>
        <v>13.5</v>
      </c>
      <c r="D311" s="177" t="str">
        <f t="shared" si="93"/>
        <v>12.0</v>
      </c>
      <c r="E311" s="177" t="str">
        <f t="shared" si="93"/>
        <v>11.8</v>
      </c>
      <c r="F311" s="177" t="str">
        <f t="shared" si="93"/>
        <v>11.5</v>
      </c>
      <c r="G311" s="177" t="str">
        <f t="shared" si="93"/>
        <v>11.3</v>
      </c>
      <c r="H311" s="177" t="str">
        <f t="shared" si="93"/>
        <v>11.0</v>
      </c>
      <c r="I311" s="177" t="str">
        <f t="shared" si="93"/>
        <v>10.5</v>
      </c>
      <c r="N311" s="11"/>
    </row>
    <row r="312" spans="1:14" x14ac:dyDescent="0.25">
      <c r="A312" s="3" t="s">
        <v>342</v>
      </c>
      <c r="B312" s="177" t="str">
        <f t="shared" si="93"/>
        <v>2.5</v>
      </c>
      <c r="C312" s="177" t="str">
        <f t="shared" si="93"/>
        <v>2.1</v>
      </c>
      <c r="D312" s="177" t="str">
        <f t="shared" si="93"/>
        <v>1.9</v>
      </c>
      <c r="E312" s="177" t="str">
        <f t="shared" si="93"/>
        <v>1.9</v>
      </c>
      <c r="F312" s="177" t="str">
        <f t="shared" si="93"/>
        <v>1.9</v>
      </c>
      <c r="G312" s="177" t="str">
        <f t="shared" si="93"/>
        <v>1.9</v>
      </c>
      <c r="H312" s="177" t="str">
        <f t="shared" si="93"/>
        <v>1.9</v>
      </c>
      <c r="I312" s="177" t="str">
        <f t="shared" si="93"/>
        <v>2.0</v>
      </c>
    </row>
    <row r="313" spans="1:14" x14ac:dyDescent="0.25">
      <c r="A313" s="3" t="s">
        <v>308</v>
      </c>
      <c r="B313" s="177" t="str">
        <f t="shared" si="93"/>
        <v>7.4</v>
      </c>
      <c r="C313" s="177" t="str">
        <f t="shared" si="93"/>
        <v>8.2</v>
      </c>
      <c r="D313" s="177" t="str">
        <f t="shared" si="93"/>
        <v>7.3</v>
      </c>
      <c r="E313" s="177" t="str">
        <f t="shared" si="93"/>
        <v>7.5</v>
      </c>
      <c r="F313" s="177" t="str">
        <f t="shared" si="93"/>
        <v>7.6</v>
      </c>
      <c r="G313" s="177" t="str">
        <f t="shared" si="93"/>
        <v>7.8</v>
      </c>
      <c r="H313" s="177" t="str">
        <f t="shared" si="93"/>
        <v>8.0</v>
      </c>
      <c r="I313" s="177" t="str">
        <f t="shared" si="93"/>
        <v>8.4</v>
      </c>
    </row>
    <row r="314" spans="1:14" x14ac:dyDescent="0.25">
      <c r="A314" s="3" t="s">
        <v>371</v>
      </c>
      <c r="B314" s="177">
        <f t="shared" ref="B314:I314" si="94">B287</f>
        <v>10.199999999999999</v>
      </c>
      <c r="C314" s="177">
        <f t="shared" si="94"/>
        <v>7</v>
      </c>
      <c r="D314" s="177">
        <f t="shared" si="94"/>
        <v>6.1</v>
      </c>
      <c r="E314" s="177">
        <f t="shared" si="94"/>
        <v>5.6</v>
      </c>
      <c r="F314" s="177">
        <f t="shared" si="94"/>
        <v>5.4</v>
      </c>
      <c r="G314" s="177">
        <f t="shared" si="94"/>
        <v>5.2</v>
      </c>
      <c r="H314" s="177">
        <f t="shared" si="94"/>
        <v>5.2</v>
      </c>
      <c r="I314" s="177">
        <f t="shared" si="94"/>
        <v>5.2</v>
      </c>
    </row>
    <row r="315" spans="1:14" x14ac:dyDescent="0.25">
      <c r="A315" s="3" t="s">
        <v>372</v>
      </c>
      <c r="B315" s="177">
        <f t="shared" ref="B315:I315" si="95">B288</f>
        <v>89.7</v>
      </c>
      <c r="C315" s="177">
        <f t="shared" si="95"/>
        <v>110.9</v>
      </c>
      <c r="D315" s="177">
        <f t="shared" si="95"/>
        <v>88.3</v>
      </c>
      <c r="E315" s="177">
        <f t="shared" si="95"/>
        <v>88.3</v>
      </c>
      <c r="F315" s="177">
        <f t="shared" si="95"/>
        <v>88.3</v>
      </c>
      <c r="G315" s="177">
        <f t="shared" si="95"/>
        <v>88.3</v>
      </c>
      <c r="H315" s="177">
        <f t="shared" si="95"/>
        <v>88.3</v>
      </c>
      <c r="I315" s="177">
        <f t="shared" si="95"/>
        <v>88.3</v>
      </c>
    </row>
    <row r="316" spans="1:14" x14ac:dyDescent="0.25">
      <c r="A316" s="3" t="s">
        <v>37</v>
      </c>
      <c r="B316" s="177">
        <f t="shared" ref="B316:I316" si="96">B289</f>
        <v>2.2999999999999998</v>
      </c>
      <c r="C316" s="177">
        <f t="shared" si="96"/>
        <v>2.2999999999999998</v>
      </c>
      <c r="D316" s="177">
        <f t="shared" si="96"/>
        <v>2.2999999999999998</v>
      </c>
      <c r="E316" s="177">
        <f t="shared" si="96"/>
        <v>2.2999999999999998</v>
      </c>
      <c r="F316" s="177">
        <f t="shared" si="96"/>
        <v>2.2999999999999998</v>
      </c>
      <c r="G316" s="177">
        <f t="shared" si="96"/>
        <v>2.2999999999999998</v>
      </c>
      <c r="H316" s="177">
        <f t="shared" si="96"/>
        <v>2.2999999999999998</v>
      </c>
      <c r="I316" s="177">
        <f t="shared" si="96"/>
        <v>2.2999999999999998</v>
      </c>
    </row>
    <row r="317" spans="1:14" x14ac:dyDescent="0.25">
      <c r="A317" s="167" t="s">
        <v>169</v>
      </c>
      <c r="B317" s="177">
        <f t="shared" ref="B317:I317" si="97">B290</f>
        <v>5.66</v>
      </c>
      <c r="C317" s="177">
        <f t="shared" si="97"/>
        <v>3.4</v>
      </c>
      <c r="D317" s="177">
        <f t="shared" si="97"/>
        <v>2.4300000000000002</v>
      </c>
      <c r="E317" s="177">
        <f t="shared" si="97"/>
        <v>2.4300000000000002</v>
      </c>
      <c r="F317" s="177">
        <f t="shared" si="97"/>
        <v>2.4300000000000002</v>
      </c>
      <c r="G317" s="177">
        <f t="shared" si="97"/>
        <v>2.4300000000000002</v>
      </c>
      <c r="H317" s="177">
        <f t="shared" si="97"/>
        <v>2.4300000000000002</v>
      </c>
      <c r="I317" s="177">
        <f t="shared" si="97"/>
        <v>2.4300000000000002</v>
      </c>
      <c r="N317" s="11"/>
    </row>
    <row r="318" spans="1:14" x14ac:dyDescent="0.25">
      <c r="A318" s="167" t="s">
        <v>310</v>
      </c>
      <c r="B318" s="177">
        <f t="shared" ref="B318:I318" si="98">B291</f>
        <v>3.33</v>
      </c>
      <c r="C318" s="177">
        <f t="shared" si="98"/>
        <v>2.2200000000000002</v>
      </c>
      <c r="D318" s="177">
        <f t="shared" si="98"/>
        <v>1.67</v>
      </c>
      <c r="E318" s="177">
        <f t="shared" si="98"/>
        <v>1.33</v>
      </c>
      <c r="F318" s="177">
        <f t="shared" si="98"/>
        <v>1.1100000000000001</v>
      </c>
      <c r="G318" s="177">
        <f t="shared" si="98"/>
        <v>0.95</v>
      </c>
      <c r="H318" s="177">
        <f t="shared" si="98"/>
        <v>0.83</v>
      </c>
      <c r="I318" s="177">
        <f t="shared" si="98"/>
        <v>0.67</v>
      </c>
      <c r="N318" s="11"/>
    </row>
    <row r="319" spans="1:14" x14ac:dyDescent="0.25">
      <c r="A319" s="3" t="s">
        <v>173</v>
      </c>
      <c r="B319" s="177" t="str">
        <f t="shared" ref="B319:I319" si="99">B292</f>
        <v>DN150</v>
      </c>
      <c r="C319" s="177" t="str">
        <f t="shared" si="99"/>
        <v>DN200</v>
      </c>
      <c r="D319" s="177" t="str">
        <f t="shared" si="99"/>
        <v>DN250</v>
      </c>
      <c r="E319" s="177" t="str">
        <f t="shared" si="99"/>
        <v>DN250</v>
      </c>
      <c r="F319" s="177" t="str">
        <f t="shared" si="99"/>
        <v>DN250</v>
      </c>
      <c r="G319" s="177" t="str">
        <f t="shared" si="99"/>
        <v>DN250</v>
      </c>
      <c r="H319" s="177" t="str">
        <f t="shared" si="99"/>
        <v>DN250</v>
      </c>
      <c r="I319" s="177" t="str">
        <f t="shared" si="99"/>
        <v>DN250</v>
      </c>
    </row>
    <row r="320" spans="1:14" x14ac:dyDescent="0.25">
      <c r="A320" s="3"/>
      <c r="B320" s="123"/>
      <c r="C320" s="123"/>
      <c r="D320" s="123"/>
      <c r="E320" s="123"/>
      <c r="F320" s="123"/>
      <c r="G320" s="123"/>
      <c r="H320" s="123"/>
      <c r="I320" s="123"/>
    </row>
    <row r="321" spans="1:10" x14ac:dyDescent="0.25">
      <c r="A321" s="3" t="s">
        <v>424</v>
      </c>
      <c r="B321" s="4" t="b">
        <f t="shared" ref="B321:I321" si="100">IF(ISERROR(B256),TRUE,B256&gt;B257*1.15)</f>
        <v>0</v>
      </c>
      <c r="C321" s="4" t="b">
        <f t="shared" si="100"/>
        <v>0</v>
      </c>
      <c r="D321" s="4" t="b">
        <f t="shared" si="100"/>
        <v>0</v>
      </c>
      <c r="E321" s="4" t="b">
        <f t="shared" si="100"/>
        <v>0</v>
      </c>
      <c r="F321" s="4" t="b">
        <f t="shared" si="100"/>
        <v>0</v>
      </c>
      <c r="G321" s="4" t="b">
        <f t="shared" si="100"/>
        <v>0</v>
      </c>
      <c r="H321" s="4" t="b">
        <f t="shared" si="100"/>
        <v>0</v>
      </c>
      <c r="I321" s="4" t="b">
        <f t="shared" si="100"/>
        <v>0</v>
      </c>
    </row>
    <row r="322" spans="1:10" x14ac:dyDescent="0.25">
      <c r="A322" s="3" t="s">
        <v>443</v>
      </c>
      <c r="B322" s="4" t="str">
        <f>IF(AND(B333,NOT(B321))," ¹","")</f>
        <v/>
      </c>
      <c r="C322" s="4" t="str">
        <f t="shared" ref="C322:I322" si="101">IF(AND(C333,NOT(C321))," ¹","")</f>
        <v/>
      </c>
      <c r="D322" s="4" t="str">
        <f t="shared" si="101"/>
        <v/>
      </c>
      <c r="E322" s="4" t="str">
        <f t="shared" si="101"/>
        <v/>
      </c>
      <c r="F322" s="4" t="str">
        <f t="shared" si="101"/>
        <v/>
      </c>
      <c r="G322" s="4" t="str">
        <f t="shared" si="101"/>
        <v/>
      </c>
      <c r="H322" s="4" t="str">
        <f t="shared" si="101"/>
        <v/>
      </c>
      <c r="I322" s="4" t="str">
        <f t="shared" si="101"/>
        <v/>
      </c>
    </row>
    <row r="324" spans="1:10" x14ac:dyDescent="0.25">
      <c r="A324" s="3" t="s">
        <v>162</v>
      </c>
      <c r="B324" s="4"/>
      <c r="C324" s="4"/>
      <c r="D324" s="4"/>
      <c r="E324" s="4"/>
      <c r="F324" s="4"/>
      <c r="J324" s="241"/>
    </row>
    <row r="325" spans="1:10" x14ac:dyDescent="0.25">
      <c r="A325" t="s">
        <v>304</v>
      </c>
      <c r="B325" s="4" t="b">
        <f t="shared" ref="B325:I325" si="102">NOT(ISNUMBER((B303)))</f>
        <v>0</v>
      </c>
      <c r="C325" s="4" t="b">
        <f t="shared" si="102"/>
        <v>0</v>
      </c>
      <c r="D325" s="4" t="b">
        <f t="shared" si="102"/>
        <v>0</v>
      </c>
      <c r="E325" s="4" t="b">
        <f t="shared" si="102"/>
        <v>0</v>
      </c>
      <c r="F325" s="4" t="b">
        <f t="shared" si="102"/>
        <v>0</v>
      </c>
      <c r="G325" s="4" t="b">
        <f t="shared" si="102"/>
        <v>0</v>
      </c>
      <c r="H325" s="4" t="b">
        <f t="shared" si="102"/>
        <v>0</v>
      </c>
      <c r="I325" s="4" t="b">
        <f t="shared" si="102"/>
        <v>1</v>
      </c>
      <c r="J325" s="256" t="s">
        <v>401</v>
      </c>
    </row>
    <row r="326" spans="1:10" x14ac:dyDescent="0.25">
      <c r="A326" t="s">
        <v>305</v>
      </c>
      <c r="B326" s="4" t="b">
        <f t="shared" ref="B326:I326" si="103">B303&gt;$B$30</f>
        <v>1</v>
      </c>
      <c r="C326" s="4" t="b">
        <f t="shared" si="103"/>
        <v>0</v>
      </c>
      <c r="D326" s="4" t="b">
        <f t="shared" si="103"/>
        <v>0</v>
      </c>
      <c r="E326" s="4" t="b">
        <f t="shared" si="103"/>
        <v>0</v>
      </c>
      <c r="F326" s="4" t="b">
        <f t="shared" si="103"/>
        <v>0</v>
      </c>
      <c r="G326" s="4" t="b">
        <f t="shared" si="103"/>
        <v>0</v>
      </c>
      <c r="H326" s="4" t="b">
        <f t="shared" si="103"/>
        <v>0</v>
      </c>
      <c r="I326" s="4" t="b">
        <f t="shared" si="103"/>
        <v>1</v>
      </c>
      <c r="J326" s="241"/>
    </row>
    <row r="327" spans="1:10" x14ac:dyDescent="0.25">
      <c r="A327" t="s">
        <v>307</v>
      </c>
      <c r="B327" s="4" t="b">
        <f>OR(B325:B326)</f>
        <v>1</v>
      </c>
      <c r="C327" s="4" t="b">
        <f>OR(C325:C326)</f>
        <v>0</v>
      </c>
      <c r="D327" s="4" t="b">
        <f t="shared" ref="D327:F327" si="104">OR(D325:D326)</f>
        <v>0</v>
      </c>
      <c r="E327" s="4" t="b">
        <f t="shared" si="104"/>
        <v>0</v>
      </c>
      <c r="F327" s="4" t="b">
        <f t="shared" si="104"/>
        <v>0</v>
      </c>
      <c r="G327" s="4" t="b">
        <f t="shared" ref="G327:I327" si="105">OR(G325:G326)</f>
        <v>0</v>
      </c>
      <c r="H327" s="4" t="b">
        <f t="shared" si="105"/>
        <v>0</v>
      </c>
      <c r="I327" s="4" t="b">
        <f t="shared" si="105"/>
        <v>1</v>
      </c>
      <c r="J327" s="241"/>
    </row>
    <row r="328" spans="1:10" x14ac:dyDescent="0.25">
      <c r="A328" s="3"/>
      <c r="B328" s="4"/>
      <c r="C328" s="4"/>
      <c r="D328" s="4"/>
      <c r="E328" s="4"/>
      <c r="F328" s="4"/>
      <c r="G328" s="4"/>
      <c r="H328" s="4"/>
      <c r="I328" s="4"/>
      <c r="J328" s="241"/>
    </row>
    <row r="329" spans="1:10" x14ac:dyDescent="0.25">
      <c r="A329" t="s">
        <v>423</v>
      </c>
      <c r="B329" s="4" t="str">
        <f t="shared" ref="B329:I329" si="106">IF(B306&gt;50,"R",IF(B306&gt;45,"A",FALSE))</f>
        <v>A</v>
      </c>
      <c r="C329" s="4" t="b">
        <f t="shared" si="106"/>
        <v>0</v>
      </c>
      <c r="D329" s="4" t="b">
        <f t="shared" si="106"/>
        <v>0</v>
      </c>
      <c r="E329" s="4" t="b">
        <f t="shared" si="106"/>
        <v>0</v>
      </c>
      <c r="F329" s="4" t="b">
        <f t="shared" si="106"/>
        <v>0</v>
      </c>
      <c r="G329" s="4" t="b">
        <f t="shared" si="106"/>
        <v>0</v>
      </c>
      <c r="H329" s="4" t="b">
        <f t="shared" si="106"/>
        <v>0</v>
      </c>
      <c r="I329" s="4" t="b">
        <f t="shared" si="106"/>
        <v>0</v>
      </c>
      <c r="J329" s="241"/>
    </row>
    <row r="330" spans="1:10" x14ac:dyDescent="0.25">
      <c r="B330" s="4"/>
      <c r="C330" s="4"/>
      <c r="D330" s="4"/>
      <c r="E330" s="4"/>
      <c r="F330" s="4"/>
      <c r="G330" s="4"/>
      <c r="H330" s="4"/>
      <c r="I330" s="4"/>
      <c r="J330" s="241"/>
    </row>
    <row r="331" spans="1:10" x14ac:dyDescent="0.25">
      <c r="A331" t="s">
        <v>163</v>
      </c>
      <c r="B331" s="4" t="b">
        <f t="shared" ref="B331:I331" si="107">ROUND(B297,1)&gt;ROUND(B298,1)</f>
        <v>1</v>
      </c>
      <c r="C331" s="4" t="b">
        <f t="shared" si="107"/>
        <v>0</v>
      </c>
      <c r="D331" s="4" t="b">
        <f t="shared" si="107"/>
        <v>0</v>
      </c>
      <c r="E331" s="4" t="b">
        <f t="shared" si="107"/>
        <v>0</v>
      </c>
      <c r="F331" s="4" t="b">
        <f t="shared" si="107"/>
        <v>0</v>
      </c>
      <c r="G331" s="4" t="b">
        <f t="shared" si="107"/>
        <v>0</v>
      </c>
      <c r="H331" s="4" t="b">
        <f t="shared" si="107"/>
        <v>0</v>
      </c>
      <c r="I331" s="4" t="b">
        <f t="shared" si="107"/>
        <v>0</v>
      </c>
      <c r="J331" s="241"/>
    </row>
    <row r="332" spans="1:10" x14ac:dyDescent="0.25">
      <c r="A332" t="s">
        <v>164</v>
      </c>
      <c r="B332" s="4" t="b">
        <f>OR(ROUND(B272,1)&lt;ROUND(B273,1),B275&gt;1)</f>
        <v>0</v>
      </c>
      <c r="C332" s="4" t="b">
        <f t="shared" ref="C332:I332" si="108">OR(ROUND(C272,1)&lt;ROUND(C273,1),C275&gt;1)</f>
        <v>0</v>
      </c>
      <c r="D332" s="4" t="b">
        <f t="shared" si="108"/>
        <v>0</v>
      </c>
      <c r="E332" s="4" t="b">
        <f t="shared" si="108"/>
        <v>0</v>
      </c>
      <c r="F332" s="4" t="b">
        <f t="shared" si="108"/>
        <v>0</v>
      </c>
      <c r="G332" s="4" t="b">
        <f t="shared" si="108"/>
        <v>1</v>
      </c>
      <c r="H332" s="4" t="b">
        <f t="shared" si="108"/>
        <v>1</v>
      </c>
      <c r="I332" s="4" t="b">
        <f t="shared" si="108"/>
        <v>1</v>
      </c>
      <c r="J332" s="241"/>
    </row>
    <row r="333" spans="1:10" x14ac:dyDescent="0.25">
      <c r="A333" t="s">
        <v>402</v>
      </c>
      <c r="B333" s="4" t="b">
        <f>OR(B283="-",B283&gt;B284)</f>
        <v>0</v>
      </c>
      <c r="C333" s="4" t="b">
        <f t="shared" ref="C333:I333" si="109">OR(C283="-",C283&gt;C284)</f>
        <v>0</v>
      </c>
      <c r="D333" s="4" t="b">
        <f t="shared" si="109"/>
        <v>0</v>
      </c>
      <c r="E333" s="4" t="b">
        <f t="shared" si="109"/>
        <v>0</v>
      </c>
      <c r="F333" s="4" t="b">
        <f t="shared" si="109"/>
        <v>0</v>
      </c>
      <c r="G333" s="4" t="b">
        <f t="shared" si="109"/>
        <v>0</v>
      </c>
      <c r="H333" s="4" t="b">
        <f t="shared" si="109"/>
        <v>0</v>
      </c>
      <c r="I333" s="4" t="b">
        <f t="shared" si="109"/>
        <v>0</v>
      </c>
    </row>
    <row r="334" spans="1:10" x14ac:dyDescent="0.25">
      <c r="A334" t="s">
        <v>446</v>
      </c>
      <c r="B334" s="4" t="b">
        <f>AND(B333,NOT(B321))</f>
        <v>0</v>
      </c>
      <c r="C334" s="4" t="b">
        <f t="shared" ref="C334:I334" si="110">AND(C333,NOT(C321))</f>
        <v>0</v>
      </c>
      <c r="D334" s="4" t="b">
        <f t="shared" si="110"/>
        <v>0</v>
      </c>
      <c r="E334" s="4" t="b">
        <f t="shared" si="110"/>
        <v>0</v>
      </c>
      <c r="F334" s="4" t="b">
        <f t="shared" si="110"/>
        <v>0</v>
      </c>
      <c r="G334" s="4" t="b">
        <f t="shared" si="110"/>
        <v>0</v>
      </c>
      <c r="H334" s="4" t="b">
        <f t="shared" si="110"/>
        <v>0</v>
      </c>
      <c r="I334" s="4" t="b">
        <f t="shared" si="110"/>
        <v>0</v>
      </c>
      <c r="J334" s="257" t="str">
        <f>IF(OR(B334:I334),data!B174,"")</f>
        <v/>
      </c>
    </row>
    <row r="335" spans="1:10" x14ac:dyDescent="0.25">
      <c r="A335" s="3"/>
      <c r="B335" s="4"/>
      <c r="C335" s="4"/>
      <c r="D335" s="4"/>
      <c r="E335" s="4"/>
      <c r="F335" s="4"/>
      <c r="G335" s="4"/>
      <c r="H335" s="4"/>
      <c r="I335" s="4"/>
      <c r="J335" s="241"/>
    </row>
    <row r="336" spans="1:10" x14ac:dyDescent="0.25">
      <c r="A336" t="s">
        <v>421</v>
      </c>
      <c r="B336" s="123" t="str">
        <f t="shared" ref="B336:I336" si="111">IF(B317&lt;=3.5,FALSE,IF(B317&lt;=4,"A","R"))</f>
        <v>R</v>
      </c>
      <c r="C336" s="123" t="b">
        <f t="shared" si="111"/>
        <v>0</v>
      </c>
      <c r="D336" s="123" t="b">
        <f t="shared" si="111"/>
        <v>0</v>
      </c>
      <c r="E336" s="123" t="b">
        <f t="shared" si="111"/>
        <v>0</v>
      </c>
      <c r="F336" s="123" t="b">
        <f t="shared" si="111"/>
        <v>0</v>
      </c>
      <c r="G336" s="123" t="b">
        <f t="shared" si="111"/>
        <v>0</v>
      </c>
      <c r="H336" s="123" t="b">
        <f t="shared" si="111"/>
        <v>0</v>
      </c>
      <c r="I336" s="123" t="b">
        <f t="shared" si="111"/>
        <v>0</v>
      </c>
      <c r="J336" s="257" t="str">
        <f>IF(data!D175 = FALSE,"",data!B175)</f>
        <v>- Warning: High spigot velocity. Recommend increasing 'Neck Height'.</v>
      </c>
    </row>
    <row r="337" spans="1:10" x14ac:dyDescent="0.25">
      <c r="A337" t="s">
        <v>422</v>
      </c>
      <c r="B337" s="4" t="b">
        <f>B336="R"</f>
        <v>1</v>
      </c>
      <c r="C337" s="4" t="b">
        <f t="shared" ref="C337:I337" si="112">C336="R"</f>
        <v>0</v>
      </c>
      <c r="D337" s="4" t="b">
        <f t="shared" si="112"/>
        <v>0</v>
      </c>
      <c r="E337" s="4" t="b">
        <f t="shared" si="112"/>
        <v>0</v>
      </c>
      <c r="F337" s="4" t="b">
        <f t="shared" si="112"/>
        <v>0</v>
      </c>
      <c r="G337" s="4" t="b">
        <f t="shared" si="112"/>
        <v>0</v>
      </c>
      <c r="H337" s="4" t="b">
        <f t="shared" si="112"/>
        <v>0</v>
      </c>
      <c r="I337" s="4" t="b">
        <f t="shared" si="112"/>
        <v>0</v>
      </c>
      <c r="J337" s="256" t="b">
        <f>AND(B337:I337)</f>
        <v>0</v>
      </c>
    </row>
    <row r="338" spans="1:10" x14ac:dyDescent="0.25">
      <c r="B338" s="4"/>
      <c r="C338" s="4"/>
      <c r="D338" s="4"/>
      <c r="E338" s="4"/>
      <c r="F338" s="4"/>
      <c r="G338" s="4"/>
      <c r="H338" s="4"/>
      <c r="I338" s="4"/>
      <c r="J338" s="241"/>
    </row>
    <row r="339" spans="1:10" x14ac:dyDescent="0.25">
      <c r="J339" s="241"/>
    </row>
    <row r="340" spans="1:10" x14ac:dyDescent="0.25">
      <c r="B340" s="4"/>
      <c r="C340" s="4"/>
      <c r="D340" s="4"/>
      <c r="E340" s="4"/>
      <c r="F340" s="4"/>
      <c r="G340" s="4"/>
      <c r="H340" s="4"/>
      <c r="I340" s="4"/>
      <c r="J340" s="241"/>
    </row>
    <row r="341" spans="1:10" x14ac:dyDescent="0.25">
      <c r="B341" s="4"/>
      <c r="C341" s="4"/>
      <c r="D341" s="4"/>
      <c r="E341" s="4"/>
      <c r="F341" s="4"/>
      <c r="G341" s="4"/>
      <c r="H341" s="4"/>
      <c r="I341" s="4"/>
      <c r="J341" s="241"/>
    </row>
    <row r="342" spans="1:10" x14ac:dyDescent="0.25">
      <c r="A342" t="s">
        <v>165</v>
      </c>
      <c r="B342" s="4" t="b">
        <f>OR(B325:B333,B337)</f>
        <v>1</v>
      </c>
      <c r="C342" s="4" t="b">
        <f t="shared" ref="C342:I342" si="113">OR(C325:C333,C337)</f>
        <v>0</v>
      </c>
      <c r="D342" s="4" t="b">
        <f t="shared" si="113"/>
        <v>0</v>
      </c>
      <c r="E342" s="4" t="b">
        <f t="shared" si="113"/>
        <v>0</v>
      </c>
      <c r="F342" s="4" t="b">
        <f t="shared" si="113"/>
        <v>0</v>
      </c>
      <c r="G342" s="4" t="b">
        <f t="shared" si="113"/>
        <v>1</v>
      </c>
      <c r="H342" s="4" t="b">
        <f t="shared" si="113"/>
        <v>1</v>
      </c>
      <c r="I342" s="4" t="b">
        <f t="shared" si="113"/>
        <v>1</v>
      </c>
      <c r="J342" s="241"/>
    </row>
    <row r="343" spans="1:10" x14ac:dyDescent="0.25">
      <c r="A343" s="3"/>
      <c r="B343" s="4"/>
      <c r="C343" s="4"/>
      <c r="D343" s="4"/>
      <c r="E343" s="4"/>
      <c r="F343" s="4"/>
      <c r="J343" s="241"/>
    </row>
    <row r="344" spans="1:10" x14ac:dyDescent="0.25">
      <c r="A344" s="3"/>
      <c r="B344" s="4"/>
      <c r="C344" s="4"/>
      <c r="D344" s="4"/>
      <c r="E344" s="4"/>
      <c r="F344" s="4"/>
    </row>
    <row r="345" spans="1:10" x14ac:dyDescent="0.25">
      <c r="A345" s="3"/>
      <c r="B345" s="4"/>
      <c r="C345" s="4"/>
      <c r="D345" s="4"/>
    </row>
    <row r="346" spans="1:10" x14ac:dyDescent="0.25">
      <c r="A346" s="3"/>
      <c r="B346" s="4"/>
      <c r="C346" s="4"/>
    </row>
    <row r="347" spans="1:10" x14ac:dyDescent="0.25">
      <c r="A347" s="3"/>
      <c r="B347" s="4"/>
      <c r="C347" s="4"/>
    </row>
    <row r="348" spans="1:10" x14ac:dyDescent="0.25">
      <c r="A348" s="3"/>
      <c r="B348" s="4"/>
      <c r="C348" s="4"/>
    </row>
    <row r="349" spans="1:10" x14ac:dyDescent="0.25">
      <c r="A349" s="3"/>
      <c r="B349" s="4"/>
      <c r="C349" s="4"/>
    </row>
    <row r="350" spans="1:10" x14ac:dyDescent="0.25">
      <c r="A350" s="3"/>
      <c r="B350" s="4"/>
      <c r="C350" s="4"/>
    </row>
    <row r="351" spans="1:10" x14ac:dyDescent="0.25">
      <c r="A351" s="3"/>
    </row>
    <row r="352" spans="1:10" x14ac:dyDescent="0.25">
      <c r="A352" s="3"/>
    </row>
  </sheetData>
  <sheetProtection selectLockedCells="1" selectUnlockedCells="1"/>
  <mergeCells count="13">
    <mergeCell ref="G46:L46"/>
    <mergeCell ref="J47:K47"/>
    <mergeCell ref="G47:G48"/>
    <mergeCell ref="H47:H48"/>
    <mergeCell ref="I47:I48"/>
    <mergeCell ref="L47:L48"/>
    <mergeCell ref="AX159:AY159"/>
    <mergeCell ref="A129:C129"/>
    <mergeCell ref="C47:D47"/>
    <mergeCell ref="E47:F47"/>
    <mergeCell ref="B64:D64"/>
    <mergeCell ref="B84:D84"/>
    <mergeCell ref="E101:G105"/>
  </mergeCells>
  <phoneticPr fontId="4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K175"/>
  <sheetViews>
    <sheetView topLeftCell="A139" zoomScaleNormal="100" workbookViewId="0">
      <selection activeCell="D174" sqref="D174"/>
    </sheetView>
  </sheetViews>
  <sheetFormatPr defaultRowHeight="15" x14ac:dyDescent="0.25"/>
  <cols>
    <col min="1" max="1" width="12.28515625" customWidth="1"/>
    <col min="2" max="2" width="20.5703125" customWidth="1"/>
    <col min="3" max="3" width="9.7109375" customWidth="1"/>
    <col min="4" max="4" width="17.42578125" customWidth="1"/>
    <col min="5" max="6" width="11.5703125" customWidth="1"/>
    <col min="7" max="7" width="13.28515625" customWidth="1"/>
    <col min="8" max="8" width="9.28515625" customWidth="1"/>
    <col min="9" max="9" width="11.85546875" customWidth="1"/>
    <col min="10" max="11" width="11" customWidth="1"/>
    <col min="16" max="16" width="38" customWidth="1"/>
  </cols>
  <sheetData>
    <row r="1" spans="1:5" x14ac:dyDescent="0.25">
      <c r="A1" t="s">
        <v>9</v>
      </c>
    </row>
    <row r="2" spans="1:5" x14ac:dyDescent="0.25">
      <c r="A2" s="1">
        <v>0.95</v>
      </c>
      <c r="B2">
        <v>0.2</v>
      </c>
    </row>
    <row r="3" spans="1:5" x14ac:dyDescent="0.25">
      <c r="A3" s="1">
        <v>0.9</v>
      </c>
      <c r="B3">
        <v>0.25</v>
      </c>
    </row>
    <row r="4" spans="1:5" x14ac:dyDescent="0.25">
      <c r="A4" s="1">
        <v>0.8</v>
      </c>
      <c r="B4">
        <v>0.28999999999999998</v>
      </c>
    </row>
    <row r="5" spans="1:5" x14ac:dyDescent="0.25">
      <c r="A5" s="1">
        <v>0.7</v>
      </c>
      <c r="B5">
        <v>0.33</v>
      </c>
    </row>
    <row r="6" spans="1:5" x14ac:dyDescent="0.25">
      <c r="A6" s="1"/>
    </row>
    <row r="7" spans="1:5" x14ac:dyDescent="0.25">
      <c r="A7" s="120" t="s">
        <v>42</v>
      </c>
    </row>
    <row r="8" spans="1:5" x14ac:dyDescent="0.25">
      <c r="B8" s="62">
        <f>IF(C8=5,"&lt;slots&gt;",C8)</f>
        <v>1</v>
      </c>
      <c r="C8" s="23">
        <v>1</v>
      </c>
    </row>
    <row r="9" spans="1:5" x14ac:dyDescent="0.25">
      <c r="B9" s="62"/>
      <c r="C9" s="23"/>
    </row>
    <row r="10" spans="1:5" x14ac:dyDescent="0.25">
      <c r="A10" s="3" t="s">
        <v>76</v>
      </c>
      <c r="B10" s="62"/>
      <c r="C10" s="23"/>
    </row>
    <row r="11" spans="1:5" x14ac:dyDescent="0.25">
      <c r="A11" s="3"/>
      <c r="B11" s="62" t="s">
        <v>202</v>
      </c>
      <c r="C11" s="23" t="s">
        <v>203</v>
      </c>
      <c r="D11" t="s">
        <v>266</v>
      </c>
      <c r="E11" t="s">
        <v>119</v>
      </c>
    </row>
    <row r="12" spans="1:5" x14ac:dyDescent="0.25">
      <c r="B12">
        <v>1</v>
      </c>
      <c r="C12" t="s">
        <v>123</v>
      </c>
      <c r="D12" t="s">
        <v>125</v>
      </c>
      <c r="E12" t="s">
        <v>268</v>
      </c>
    </row>
    <row r="13" spans="1:5" x14ac:dyDescent="0.25">
      <c r="B13">
        <v>2</v>
      </c>
      <c r="C13" t="s">
        <v>264</v>
      </c>
      <c r="D13" t="s">
        <v>125</v>
      </c>
      <c r="E13" t="s">
        <v>269</v>
      </c>
    </row>
    <row r="14" spans="1:5" x14ac:dyDescent="0.25">
      <c r="B14">
        <v>3</v>
      </c>
      <c r="C14" t="s">
        <v>94</v>
      </c>
      <c r="D14" t="s">
        <v>267</v>
      </c>
      <c r="E14" t="s">
        <v>274</v>
      </c>
    </row>
    <row r="15" spans="1:5" x14ac:dyDescent="0.25">
      <c r="B15" s="62"/>
      <c r="C15" s="23"/>
    </row>
    <row r="16" spans="1:5" x14ac:dyDescent="0.25">
      <c r="A16" t="s">
        <v>76</v>
      </c>
      <c r="B16" s="23">
        <v>1</v>
      </c>
      <c r="C16" s="61" t="str">
        <f>VLOOKUP(B16,B12:D14,2,0)</f>
        <v>N1200</v>
      </c>
      <c r="D16" t="str">
        <f>VLOOKUP(B16,B12:D14,3,0)</f>
        <v>Neck</v>
      </c>
      <c r="E16" t="str">
        <f>VLOOKUP(B16,B12:E14,4,0)</f>
        <v>1200 mm neck length</v>
      </c>
    </row>
    <row r="17" spans="1:11" x14ac:dyDescent="0.25">
      <c r="B17" s="23"/>
      <c r="C17" s="61"/>
    </row>
    <row r="18" spans="1:11" x14ac:dyDescent="0.25">
      <c r="A18" s="3" t="s">
        <v>285</v>
      </c>
      <c r="B18" s="23"/>
      <c r="C18" s="61"/>
    </row>
    <row r="19" spans="1:11" x14ac:dyDescent="0.25">
      <c r="A19">
        <v>75</v>
      </c>
      <c r="B19" s="23"/>
      <c r="C19" s="61"/>
    </row>
    <row r="20" spans="1:11" x14ac:dyDescent="0.25">
      <c r="A20">
        <v>100</v>
      </c>
      <c r="B20" s="23"/>
      <c r="C20" s="61"/>
    </row>
    <row r="21" spans="1:11" x14ac:dyDescent="0.25">
      <c r="A21">
        <v>125</v>
      </c>
      <c r="B21" s="23"/>
      <c r="C21" s="61"/>
    </row>
    <row r="22" spans="1:11" x14ac:dyDescent="0.25">
      <c r="A22">
        <v>150</v>
      </c>
      <c r="B22" s="23"/>
      <c r="C22" s="61"/>
    </row>
    <row r="23" spans="1:11" x14ac:dyDescent="0.25">
      <c r="A23">
        <v>200</v>
      </c>
      <c r="B23" s="23"/>
      <c r="C23" s="61"/>
    </row>
    <row r="24" spans="1:11" x14ac:dyDescent="0.25">
      <c r="B24" s="62"/>
      <c r="C24" s="23"/>
    </row>
    <row r="25" spans="1:11" x14ac:dyDescent="0.25">
      <c r="A25" s="3" t="s">
        <v>265</v>
      </c>
      <c r="B25" s="62"/>
      <c r="C25" s="23"/>
      <c r="K25" s="84"/>
    </row>
    <row r="26" spans="1:11" x14ac:dyDescent="0.25">
      <c r="B26" s="62" t="s">
        <v>202</v>
      </c>
      <c r="C26" s="62" t="s">
        <v>272</v>
      </c>
      <c r="D26" s="23" t="s">
        <v>203</v>
      </c>
      <c r="E26" t="s">
        <v>271</v>
      </c>
      <c r="F26" s="62"/>
      <c r="G26" s="23"/>
      <c r="I26" s="62"/>
    </row>
    <row r="27" spans="1:11" x14ac:dyDescent="0.25">
      <c r="B27" s="62">
        <v>1</v>
      </c>
      <c r="C27" s="62">
        <f ca="1">C118</f>
        <v>10.199999999999999</v>
      </c>
      <c r="D27" s="23" t="str">
        <f ca="1">"1"&amp;C118</f>
        <v>110.2</v>
      </c>
      <c r="E27" t="str">
        <f ca="1">"recommended (" &amp; C118 &amp;")"</f>
        <v>recommended (10.2)</v>
      </c>
    </row>
    <row r="28" spans="1:11" x14ac:dyDescent="0.25">
      <c r="B28" s="62">
        <v>2</v>
      </c>
      <c r="C28" s="62" t="s">
        <v>273</v>
      </c>
      <c r="D28" s="23" t="s">
        <v>231</v>
      </c>
      <c r="E28" t="s">
        <v>275</v>
      </c>
    </row>
    <row r="31" spans="1:11" x14ac:dyDescent="0.25">
      <c r="B31" s="62"/>
      <c r="C31" s="62"/>
      <c r="D31" s="121"/>
      <c r="E31" s="121"/>
      <c r="F31" s="121"/>
      <c r="G31" s="121"/>
      <c r="H31" s="121"/>
    </row>
    <row r="32" spans="1:11" x14ac:dyDescent="0.25">
      <c r="A32" t="s">
        <v>75</v>
      </c>
      <c r="B32" s="23">
        <v>1</v>
      </c>
      <c r="C32" s="10">
        <f ca="1">VLOOKUP(B32,B26:E28,2,0)</f>
        <v>10.199999999999999</v>
      </c>
      <c r="D32" s="61" t="str">
        <f ca="1">VLOOKUP(B32,B26:E28,3,0)</f>
        <v>110.2</v>
      </c>
      <c r="E32" s="10" t="str">
        <f ca="1">VLOOKUP(B32,B26:E28,4,0)</f>
        <v>recommended (10.2)</v>
      </c>
    </row>
    <row r="34" spans="1:4" x14ac:dyDescent="0.25">
      <c r="A34" s="3" t="s">
        <v>124</v>
      </c>
      <c r="C34" t="s">
        <v>203</v>
      </c>
      <c r="D34" t="s">
        <v>119</v>
      </c>
    </row>
    <row r="35" spans="1:4" x14ac:dyDescent="0.25">
      <c r="A35" s="3"/>
      <c r="B35">
        <v>1</v>
      </c>
      <c r="C35" t="s">
        <v>222</v>
      </c>
      <c r="D35" t="s">
        <v>224</v>
      </c>
    </row>
    <row r="36" spans="1:4" x14ac:dyDescent="0.25">
      <c r="A36" s="3"/>
      <c r="B36">
        <v>2</v>
      </c>
      <c r="C36" t="s">
        <v>223</v>
      </c>
      <c r="D36" t="s">
        <v>243</v>
      </c>
    </row>
    <row r="37" spans="1:4" x14ac:dyDescent="0.25">
      <c r="B37">
        <v>1</v>
      </c>
      <c r="C37" s="3" t="str">
        <f>VLOOKUP(B37,B35:D36,2,0)</f>
        <v>SF</v>
      </c>
      <c r="D37" s="3" t="str">
        <f>VLOOKUP(B37,B35:D36,3,0)</f>
        <v>with side flanges</v>
      </c>
    </row>
    <row r="38" spans="1:4" x14ac:dyDescent="0.25">
      <c r="A38" t="s">
        <v>202</v>
      </c>
    </row>
    <row r="40" spans="1:4" x14ac:dyDescent="0.25">
      <c r="A40" s="3" t="s">
        <v>198</v>
      </c>
    </row>
    <row r="41" spans="1:4" x14ac:dyDescent="0.25">
      <c r="A41" s="3"/>
      <c r="C41" t="s">
        <v>203</v>
      </c>
      <c r="D41" t="s">
        <v>119</v>
      </c>
    </row>
    <row r="42" spans="1:4" x14ac:dyDescent="0.25">
      <c r="B42">
        <v>1</v>
      </c>
      <c r="C42" t="s">
        <v>206</v>
      </c>
      <c r="D42" t="s">
        <v>225</v>
      </c>
    </row>
    <row r="43" spans="1:4" x14ac:dyDescent="0.25">
      <c r="B43">
        <v>2</v>
      </c>
      <c r="C43" t="s">
        <v>205</v>
      </c>
      <c r="D43" t="s">
        <v>226</v>
      </c>
    </row>
    <row r="44" spans="1:4" x14ac:dyDescent="0.25">
      <c r="B44">
        <v>3</v>
      </c>
      <c r="C44" t="s">
        <v>284</v>
      </c>
      <c r="D44" t="s">
        <v>227</v>
      </c>
    </row>
    <row r="45" spans="1:4" x14ac:dyDescent="0.25">
      <c r="B45" s="109">
        <v>4</v>
      </c>
      <c r="C45" t="s">
        <v>204</v>
      </c>
      <c r="D45" t="s">
        <v>207</v>
      </c>
    </row>
    <row r="46" spans="1:4" x14ac:dyDescent="0.25">
      <c r="A46" t="s">
        <v>202</v>
      </c>
      <c r="B46">
        <v>1</v>
      </c>
      <c r="C46" s="3" t="str">
        <f>VLOOKUP(B46,B42:D45,2,0)</f>
        <v>E2</v>
      </c>
      <c r="D46" s="3" t="str">
        <f>VLOOKUP(B46,B42:D45,3,0)</f>
        <v>with two end flanges</v>
      </c>
    </row>
    <row r="48" spans="1:4" x14ac:dyDescent="0.25">
      <c r="A48" s="3" t="s">
        <v>199</v>
      </c>
      <c r="C48" t="s">
        <v>203</v>
      </c>
      <c r="D48" t="s">
        <v>119</v>
      </c>
    </row>
    <row r="49" spans="1:4" x14ac:dyDescent="0.25">
      <c r="B49">
        <v>1</v>
      </c>
      <c r="C49" t="s">
        <v>208</v>
      </c>
      <c r="D49" t="s">
        <v>244</v>
      </c>
    </row>
    <row r="50" spans="1:4" x14ac:dyDescent="0.25">
      <c r="B50">
        <v>2</v>
      </c>
      <c r="C50" t="s">
        <v>209</v>
      </c>
      <c r="D50" t="s">
        <v>242</v>
      </c>
    </row>
    <row r="51" spans="1:4" x14ac:dyDescent="0.25">
      <c r="A51" t="s">
        <v>202</v>
      </c>
      <c r="B51">
        <v>1</v>
      </c>
      <c r="C51" s="3" t="str">
        <f>VLOOKUP(B51,B49:D50,2,0)</f>
        <v>F0</v>
      </c>
      <c r="D51" s="3" t="str">
        <f>VLOOKUP(B51,B49:D50,3,0)</f>
        <v>fixing by others; without accessories</v>
      </c>
    </row>
    <row r="53" spans="1:4" x14ac:dyDescent="0.25">
      <c r="A53" s="3" t="s">
        <v>77</v>
      </c>
      <c r="B53" s="61" t="str">
        <f>IF(C53=1,"RAL9003",IF(C53=2,"RAL9005","&lt;colour&gt;"))</f>
        <v>RAL9003</v>
      </c>
      <c r="C53" s="23">
        <v>1</v>
      </c>
      <c r="D53" t="e">
        <f>'BAW-FD'!#REF!</f>
        <v>#REF!</v>
      </c>
    </row>
    <row r="54" spans="1:4" x14ac:dyDescent="0.25">
      <c r="A54" s="3" t="s">
        <v>78</v>
      </c>
      <c r="B54" s="61" t="str">
        <f>IF(C54=1,"B","W")</f>
        <v>B</v>
      </c>
      <c r="C54" s="23">
        <v>1</v>
      </c>
    </row>
    <row r="55" spans="1:4" x14ac:dyDescent="0.25">
      <c r="B55" s="61"/>
      <c r="C55" s="23"/>
    </row>
    <row r="56" spans="1:4" x14ac:dyDescent="0.25">
      <c r="A56" s="3" t="s">
        <v>210</v>
      </c>
    </row>
    <row r="57" spans="1:4" x14ac:dyDescent="0.25">
      <c r="B57">
        <v>1</v>
      </c>
      <c r="C57" t="s">
        <v>216</v>
      </c>
      <c r="D57" t="s">
        <v>213</v>
      </c>
    </row>
    <row r="58" spans="1:4" x14ac:dyDescent="0.25">
      <c r="B58">
        <v>2</v>
      </c>
      <c r="C58" t="s">
        <v>214</v>
      </c>
      <c r="D58" t="s">
        <v>200</v>
      </c>
    </row>
    <row r="59" spans="1:4" x14ac:dyDescent="0.25">
      <c r="B59">
        <v>3</v>
      </c>
      <c r="C59" t="s">
        <v>215</v>
      </c>
      <c r="D59" t="s">
        <v>201</v>
      </c>
    </row>
    <row r="60" spans="1:4" x14ac:dyDescent="0.25">
      <c r="A60" t="s">
        <v>202</v>
      </c>
      <c r="B60">
        <v>1</v>
      </c>
      <c r="C60" s="3" t="str">
        <f>VLOOKUP(B60,B57:D59,2,0)</f>
        <v>K0</v>
      </c>
      <c r="D60" s="3" t="str">
        <f>VLOOKUP(B60,B57:D59,3,0)</f>
        <v>no connection box</v>
      </c>
    </row>
    <row r="61" spans="1:4" x14ac:dyDescent="0.25">
      <c r="C61" s="3"/>
      <c r="D61" s="3"/>
    </row>
    <row r="62" spans="1:4" x14ac:dyDescent="0.25">
      <c r="B62">
        <v>0</v>
      </c>
      <c r="C62" s="3" t="s">
        <v>217</v>
      </c>
      <c r="D62" s="3" t="s">
        <v>217</v>
      </c>
    </row>
    <row r="63" spans="1:4" x14ac:dyDescent="0.25">
      <c r="B63">
        <v>1</v>
      </c>
      <c r="C63" t="s">
        <v>211</v>
      </c>
      <c r="D63" t="s">
        <v>218</v>
      </c>
    </row>
    <row r="64" spans="1:4" x14ac:dyDescent="0.25">
      <c r="B64">
        <v>2</v>
      </c>
      <c r="C64" t="s">
        <v>212</v>
      </c>
      <c r="D64" t="s">
        <v>219</v>
      </c>
    </row>
    <row r="65" spans="1:10" x14ac:dyDescent="0.25">
      <c r="A65" t="s">
        <v>202</v>
      </c>
      <c r="B65">
        <v>1</v>
      </c>
    </row>
    <row r="66" spans="1:10" x14ac:dyDescent="0.25">
      <c r="B66">
        <f>IF(B60=1,0,B65)</f>
        <v>0</v>
      </c>
      <c r="C66" s="3" t="str">
        <f>VLOOKUP(B66,B62:D64,2,0)</f>
        <v xml:space="preserve"> </v>
      </c>
      <c r="D66" s="3" t="str">
        <f>VLOOKUP(B66,B62:D64,3,0)</f>
        <v xml:space="preserve"> </v>
      </c>
    </row>
    <row r="67" spans="1:10" x14ac:dyDescent="0.25">
      <c r="A67" s="3" t="s">
        <v>202</v>
      </c>
      <c r="C67" t="str">
        <f>C60&amp;C66</f>
        <v xml:space="preserve">K0 </v>
      </c>
      <c r="D67" t="str">
        <f>D60&amp;" "&amp;D66</f>
        <v xml:space="preserve">no connection box  </v>
      </c>
    </row>
    <row r="70" spans="1:10" x14ac:dyDescent="0.25">
      <c r="A70" t="s">
        <v>66</v>
      </c>
    </row>
    <row r="71" spans="1:10" x14ac:dyDescent="0.25">
      <c r="B71" t="s">
        <v>67</v>
      </c>
      <c r="C71" t="s">
        <v>68</v>
      </c>
      <c r="D71" t="s">
        <v>74</v>
      </c>
      <c r="E71" t="s">
        <v>69</v>
      </c>
      <c r="F71" t="s">
        <v>70</v>
      </c>
      <c r="G71" t="s">
        <v>71</v>
      </c>
      <c r="H71" t="s">
        <v>72</v>
      </c>
      <c r="I71" t="s">
        <v>73</v>
      </c>
      <c r="J71" t="s">
        <v>220</v>
      </c>
    </row>
    <row r="72" spans="1:10" x14ac:dyDescent="0.25">
      <c r="A72" t="s">
        <v>270</v>
      </c>
      <c r="B72" t="str">
        <f>C16&amp;"-"</f>
        <v>N1200-</v>
      </c>
      <c r="C72" t="str">
        <f>B8&amp;"-"</f>
        <v>1-</v>
      </c>
      <c r="D72" t="str">
        <f ca="1">D32&amp;"-"</f>
        <v>110.2-</v>
      </c>
      <c r="E72" t="str">
        <f>C37&amp;"-"</f>
        <v>SF-</v>
      </c>
      <c r="F72" t="str">
        <f>C46&amp;"-"</f>
        <v>E2-</v>
      </c>
      <c r="G72" t="str">
        <f>C51&amp;"-"</f>
        <v>F0-</v>
      </c>
      <c r="H72" t="str">
        <f>B53&amp;"-"</f>
        <v>RAL9003-</v>
      </c>
      <c r="I72" t="str">
        <f>B54&amp;"-"</f>
        <v>B-</v>
      </c>
      <c r="J72" t="str">
        <f>C67</f>
        <v xml:space="preserve">K0 </v>
      </c>
    </row>
    <row r="75" spans="1:10" x14ac:dyDescent="0.25">
      <c r="B75" t="str">
        <f ca="1">IF(OR(B8=0,B16=0),"Please select length and number of slots",CONCATENATE(A72,B72,C72,D72,E72,F72,G72,H72,I72,J72))</f>
        <v xml:space="preserve">SMARTEMP LMW-AD-N1200-1-110.2-SF-E2-F0-RAL9003-B-K0 </v>
      </c>
    </row>
    <row r="80" spans="1:10" x14ac:dyDescent="0.25">
      <c r="A80" t="s">
        <v>81</v>
      </c>
    </row>
    <row r="83" spans="1:4" x14ac:dyDescent="0.25">
      <c r="A83" s="3" t="s">
        <v>113</v>
      </c>
    </row>
    <row r="84" spans="1:4" x14ac:dyDescent="0.25">
      <c r="A84" t="s">
        <v>76</v>
      </c>
      <c r="B84" t="str">
        <f>IF(B16=3,"Custom Face Length",IF(B16=0,"please select a length",D16&amp;" "&amp;RIGHT(C16,4)&amp;" mm"))</f>
        <v>Neck 1200 mm</v>
      </c>
    </row>
    <row r="85" spans="1:4" x14ac:dyDescent="0.25">
      <c r="A85" t="s">
        <v>42</v>
      </c>
      <c r="B85">
        <f>IF(C8=9,"Custom Slots",IF(C8=0,"please select number of",B8))</f>
        <v>1</v>
      </c>
    </row>
    <row r="86" spans="1:4" x14ac:dyDescent="0.25">
      <c r="A86" t="s">
        <v>114</v>
      </c>
      <c r="B86" t="str">
        <f>B84&amp;" × "&amp;B85&amp;" slots"</f>
        <v>Neck 1200 mm × 1 slots</v>
      </c>
    </row>
    <row r="87" spans="1:4" x14ac:dyDescent="0.25">
      <c r="A87" t="s">
        <v>115</v>
      </c>
      <c r="B87" t="str">
        <f>IF('BAW-FD equations'!B19=1,"Closed Ceiling","Freely Suspended")</f>
        <v>Closed Ceiling</v>
      </c>
    </row>
    <row r="91" spans="1:4" x14ac:dyDescent="0.25">
      <c r="A91" s="3" t="s">
        <v>119</v>
      </c>
      <c r="B91" t="str">
        <f>C91&amp;" with "&amp;D91</f>
        <v>1200 mm neck length with 1 slots</v>
      </c>
      <c r="C91" t="str">
        <f>E16</f>
        <v>1200 mm neck length</v>
      </c>
      <c r="D91" t="str">
        <f>IF(C8=0,"(number of slots not selected)",B8&amp;" slots")</f>
        <v>1 slots</v>
      </c>
    </row>
    <row r="92" spans="1:4" x14ac:dyDescent="0.25">
      <c r="B92" t="str">
        <f ca="1">"Discharge direction '"&amp;D32&amp;"'"</f>
        <v>Discharge direction '110.2'</v>
      </c>
    </row>
    <row r="93" spans="1:4" x14ac:dyDescent="0.25">
      <c r="B93" t="str">
        <f>D37</f>
        <v>with side flanges</v>
      </c>
    </row>
    <row r="94" spans="1:4" x14ac:dyDescent="0.25">
      <c r="B94" t="str">
        <f>D46</f>
        <v>with two end flanges</v>
      </c>
    </row>
    <row r="95" spans="1:4" x14ac:dyDescent="0.25">
      <c r="B95" t="str">
        <f>D51</f>
        <v>fixing by others; without accessories</v>
      </c>
    </row>
    <row r="96" spans="1:4" x14ac:dyDescent="0.25">
      <c r="B96" t="str">
        <f>"profile powder coated to "&amp;C96&amp;" with "&amp;D96&amp; " barrels"</f>
        <v>profile powder coated to RAL9003 with black barrels</v>
      </c>
      <c r="C96" t="str">
        <f>IF(C53=3,"custom colour",B53)</f>
        <v>RAL9003</v>
      </c>
      <c r="D96" t="str">
        <f>IF(C54=1,"black","white")</f>
        <v>black</v>
      </c>
    </row>
    <row r="97" spans="1:4" x14ac:dyDescent="0.25">
      <c r="B97" t="str">
        <f>D67</f>
        <v xml:space="preserve">no connection box  </v>
      </c>
    </row>
    <row r="99" spans="1:4" x14ac:dyDescent="0.25">
      <c r="D99" t="s">
        <v>181</v>
      </c>
    </row>
    <row r="100" spans="1:4" x14ac:dyDescent="0.25">
      <c r="A100">
        <v>0</v>
      </c>
      <c r="B100" t="s">
        <v>42</v>
      </c>
      <c r="C100">
        <f ca="1">OFFSET('BAW-FD equations'!$B$296,data!A100,data!$C$8-1)</f>
        <v>200</v>
      </c>
    </row>
    <row r="101" spans="1:4" x14ac:dyDescent="0.25">
      <c r="A101">
        <v>1</v>
      </c>
      <c r="B101" t="s">
        <v>237</v>
      </c>
      <c r="C101">
        <f ca="1">OFFSET('BAW-FD equations'!$B$296,data!A101,data!$C$8-1)</f>
        <v>100</v>
      </c>
    </row>
    <row r="102" spans="1:4" x14ac:dyDescent="0.25">
      <c r="A102">
        <v>2</v>
      </c>
      <c r="B102" t="s">
        <v>175</v>
      </c>
      <c r="C102">
        <f ca="1">OFFSET('BAW-FD equations'!$B$296,data!A102,data!$C$8-1)</f>
        <v>95</v>
      </c>
    </row>
    <row r="103" spans="1:4" x14ac:dyDescent="0.25">
      <c r="A103">
        <v>3</v>
      </c>
      <c r="B103" t="s">
        <v>238</v>
      </c>
      <c r="C103">
        <f ca="1">OFFSET('BAW-FD equations'!$B$296,data!A103,data!$C$8-1)</f>
        <v>100</v>
      </c>
    </row>
    <row r="104" spans="1:4" ht="14.45" customHeight="1" x14ac:dyDescent="0.25">
      <c r="A104">
        <v>4</v>
      </c>
      <c r="B104" t="s">
        <v>176</v>
      </c>
      <c r="C104">
        <f ca="1">OFFSET('BAW-FD equations'!$B$296,data!A104,data!$C$8-1)</f>
        <v>33</v>
      </c>
    </row>
    <row r="105" spans="1:4" ht="14.45" customHeight="1" x14ac:dyDescent="0.25">
      <c r="A105">
        <v>5</v>
      </c>
      <c r="B105" t="s">
        <v>32</v>
      </c>
      <c r="C105">
        <f ca="1">OFFSET('BAW-FD equations'!$B$296,data!A105,data!$C$8-1)</f>
        <v>1</v>
      </c>
      <c r="D105">
        <f ca="1">C105*100</f>
        <v>100</v>
      </c>
    </row>
    <row r="106" spans="1:4" x14ac:dyDescent="0.25">
      <c r="A106">
        <v>6</v>
      </c>
      <c r="B106" t="s">
        <v>33</v>
      </c>
      <c r="C106">
        <f ca="1">OFFSET('BAW-FD equations'!$B$296,data!A106,data!$C$8-1)</f>
        <v>0.33</v>
      </c>
    </row>
    <row r="107" spans="1:4" x14ac:dyDescent="0.25">
      <c r="A107">
        <v>7</v>
      </c>
      <c r="B107" t="s">
        <v>171</v>
      </c>
      <c r="C107">
        <f ca="1">OFFSET('BAW-FD equations'!$B$296,data!A107,data!$C$8-1)</f>
        <v>16.7</v>
      </c>
    </row>
    <row r="108" spans="1:4" x14ac:dyDescent="0.25">
      <c r="A108">
        <v>8</v>
      </c>
      <c r="B108" t="s">
        <v>34</v>
      </c>
      <c r="C108">
        <f ca="1">OFFSET('BAW-FD equations'!$B$296,data!A108,data!$C$8-1)</f>
        <v>23.5</v>
      </c>
    </row>
    <row r="109" spans="1:4" x14ac:dyDescent="0.25">
      <c r="A109">
        <v>9</v>
      </c>
      <c r="B109" t="s">
        <v>58</v>
      </c>
      <c r="C109">
        <f ca="1">OFFSET('BAW-FD equations'!$B$296,data!A109,data!$C$8-1)</f>
        <v>15</v>
      </c>
    </row>
    <row r="110" spans="1:4" x14ac:dyDescent="0.25">
      <c r="A110">
        <v>10</v>
      </c>
      <c r="B110" t="s">
        <v>35</v>
      </c>
      <c r="C110">
        <f ca="1">OFFSET('BAW-FD equations'!$B$296,data!A110,data!$C$8-1)</f>
        <v>45.7</v>
      </c>
    </row>
    <row r="111" spans="1:4" x14ac:dyDescent="0.25">
      <c r="A111">
        <v>11</v>
      </c>
      <c r="B111" t="s">
        <v>36</v>
      </c>
      <c r="C111">
        <f ca="1">OFFSET('BAW-FD equations'!$B$296,data!A111,data!$C$8-1)</f>
        <v>30.7</v>
      </c>
    </row>
    <row r="112" spans="1:4" x14ac:dyDescent="0.25">
      <c r="A112">
        <v>12</v>
      </c>
      <c r="B112" t="s">
        <v>279</v>
      </c>
      <c r="C112" t="str">
        <f ca="1">OFFSET('BAW-FD equations'!$B$296,data!A112,data!$C$8-1)</f>
        <v>≈ 0.0</v>
      </c>
    </row>
    <row r="113" spans="1:3" x14ac:dyDescent="0.25">
      <c r="A113">
        <v>13</v>
      </c>
      <c r="B113" t="s">
        <v>280</v>
      </c>
      <c r="C113" t="str">
        <f ca="1">OFFSET('BAW-FD equations'!$B$296,data!A113,data!$C$8-1)</f>
        <v>≈ 0.0</v>
      </c>
    </row>
    <row r="114" spans="1:3" x14ac:dyDescent="0.25">
      <c r="A114">
        <v>14</v>
      </c>
      <c r="B114" t="s">
        <v>38</v>
      </c>
      <c r="C114" t="str">
        <f ca="1">OFFSET('BAW-FD equations'!$B$296,data!A114,data!$C$8-1)</f>
        <v>4.1</v>
      </c>
    </row>
    <row r="115" spans="1:3" x14ac:dyDescent="0.25">
      <c r="A115">
        <v>15</v>
      </c>
      <c r="B115" t="s">
        <v>263</v>
      </c>
      <c r="C115" t="str">
        <f ca="1">OFFSET('BAW-FD equations'!$B$296,data!A115,data!$C$8-1)</f>
        <v>12.1</v>
      </c>
    </row>
    <row r="116" spans="1:3" x14ac:dyDescent="0.25">
      <c r="A116">
        <v>16</v>
      </c>
      <c r="B116" t="s">
        <v>39</v>
      </c>
      <c r="C116" t="str">
        <f ca="1">OFFSET('BAW-FD equations'!$B$296,data!A116,data!$C$8-1)</f>
        <v>2.5</v>
      </c>
    </row>
    <row r="117" spans="1:3" x14ac:dyDescent="0.25">
      <c r="A117">
        <v>17</v>
      </c>
      <c r="B117" t="s">
        <v>37</v>
      </c>
      <c r="C117" t="str">
        <f ca="1">OFFSET('BAW-FD equations'!$B$296,data!A117,data!$C$8-1)</f>
        <v>7.4</v>
      </c>
    </row>
    <row r="118" spans="1:3" x14ac:dyDescent="0.25">
      <c r="A118">
        <v>18</v>
      </c>
      <c r="B118" t="s">
        <v>60</v>
      </c>
      <c r="C118">
        <f ca="1">OFFSET('BAW-FD equations'!$B$296,data!A118,data!$C$8-1)</f>
        <v>10.199999999999999</v>
      </c>
    </row>
    <row r="119" spans="1:3" x14ac:dyDescent="0.25">
      <c r="A119">
        <v>19</v>
      </c>
      <c r="B119" t="s">
        <v>99</v>
      </c>
      <c r="C119">
        <f ca="1">OFFSET('BAW-FD equations'!$B$296,data!A119,data!$C$8-1)</f>
        <v>89.7</v>
      </c>
    </row>
    <row r="120" spans="1:3" x14ac:dyDescent="0.25">
      <c r="A120">
        <v>20</v>
      </c>
      <c r="B120" t="s">
        <v>86</v>
      </c>
      <c r="C120">
        <f ca="1">OFFSET('BAW-FD equations'!$B$296,data!A120,data!$C$8-1)</f>
        <v>2.2999999999999998</v>
      </c>
    </row>
    <row r="121" spans="1:3" x14ac:dyDescent="0.25">
      <c r="A121">
        <v>21</v>
      </c>
      <c r="B121" t="s">
        <v>93</v>
      </c>
      <c r="C121">
        <f ca="1">OFFSET('BAW-FD equations'!$B$296,data!A121,data!$C$8-1)</f>
        <v>5.66</v>
      </c>
    </row>
    <row r="122" spans="1:3" x14ac:dyDescent="0.25">
      <c r="A122">
        <v>22</v>
      </c>
      <c r="B122" t="s">
        <v>138</v>
      </c>
      <c r="C122">
        <f ca="1">OFFSET('BAW-FD equations'!$B$296,data!A122,data!$C$8-1)</f>
        <v>3.33</v>
      </c>
    </row>
    <row r="123" spans="1:3" x14ac:dyDescent="0.25">
      <c r="A123">
        <v>23</v>
      </c>
      <c r="B123" t="s">
        <v>97</v>
      </c>
      <c r="C123" t="str">
        <f ca="1">OFFSET('BAW-FD equations'!$B$296,data!A123,data!$C$8-1)</f>
        <v>DN150</v>
      </c>
    </row>
    <row r="124" spans="1:3" x14ac:dyDescent="0.25">
      <c r="A124">
        <v>24</v>
      </c>
      <c r="B124" t="s">
        <v>173</v>
      </c>
      <c r="C124">
        <f ca="1">OFFSET('BAW-FD equations'!$B$296,data!A124,data!$C$8-1)</f>
        <v>0</v>
      </c>
    </row>
    <row r="125" spans="1:3" x14ac:dyDescent="0.25">
      <c r="A125">
        <v>25</v>
      </c>
      <c r="C125" t="b">
        <f ca="1">OFFSET('BAW-FD equations'!$B$296,data!A125,data!$C$8-1)</f>
        <v>0</v>
      </c>
    </row>
    <row r="127" spans="1:3" x14ac:dyDescent="0.25">
      <c r="A127" t="s">
        <v>180</v>
      </c>
      <c r="B127">
        <f>'BAW-FD'!E15</f>
        <v>-12</v>
      </c>
    </row>
    <row r="128" spans="1:3" x14ac:dyDescent="0.25">
      <c r="A128" t="s">
        <v>188</v>
      </c>
      <c r="B128" t="e">
        <f>'BAW-FD'!#REF!</f>
        <v>#REF!</v>
      </c>
    </row>
    <row r="129" spans="1:6" x14ac:dyDescent="0.25">
      <c r="A129" t="s">
        <v>191</v>
      </c>
      <c r="B129">
        <f>'BAW-FD equations'!B22</f>
        <v>1</v>
      </c>
    </row>
    <row r="130" spans="1:6" x14ac:dyDescent="0.25">
      <c r="A130" t="s">
        <v>197</v>
      </c>
      <c r="B130">
        <f>'BAW-FD'!E19</f>
        <v>2.5</v>
      </c>
    </row>
    <row r="131" spans="1:6" x14ac:dyDescent="0.25">
      <c r="A131" t="s">
        <v>102</v>
      </c>
      <c r="B131" t="str">
        <f>'BAW-FD equations'!D3</f>
        <v>L/s</v>
      </c>
      <c r="C131" t="str">
        <f>'BAW-FD equations'!C4</f>
        <v>L/s</v>
      </c>
    </row>
    <row r="133" spans="1:6" x14ac:dyDescent="0.25">
      <c r="A133" s="3" t="s">
        <v>113</v>
      </c>
    </row>
    <row r="134" spans="1:6" x14ac:dyDescent="0.25">
      <c r="B134" t="s">
        <v>178</v>
      </c>
    </row>
    <row r="135" spans="1:6" x14ac:dyDescent="0.25">
      <c r="A135" t="s">
        <v>177</v>
      </c>
      <c r="B135" t="str">
        <f ca="1">C101&amp;" "&amp;B131&amp;" @ "&amp; C108 &amp; " Pa total (" &amp;C107&amp; " Pa static)"</f>
        <v>100 L/s @ 23.5 Pa total (16.7 Pa static)</v>
      </c>
    </row>
    <row r="136" spans="1:6" x14ac:dyDescent="0.25">
      <c r="A136" t="s">
        <v>179</v>
      </c>
      <c r="B136" t="str">
        <f ca="1">C103&amp;" "&amp;B131&amp;" ("&amp;D105&amp;"% turndown to) @ ΔT = "&amp;B127&amp;" K"</f>
        <v>100 L/s (100% turndown to) @ ΔT = -12 K</v>
      </c>
    </row>
    <row r="137" spans="1:6" x14ac:dyDescent="0.25">
      <c r="A137" t="s">
        <v>240</v>
      </c>
      <c r="B137" t="str">
        <f ca="1">"+ "&amp;C112&amp;" K for perimeter zones; + "&amp;C113&amp;" K for centre zones"</f>
        <v>+ ≈ 0.0 K for perimeter zones; + ≈ 0.0 K for centre zones</v>
      </c>
    </row>
    <row r="138" spans="1:6" x14ac:dyDescent="0.25">
      <c r="A138" t="s">
        <v>182</v>
      </c>
      <c r="B138" t="str">
        <f ca="1">"Discharge barrels set to 1"&amp;data!C118</f>
        <v>Discharge barrels set to 110.2</v>
      </c>
    </row>
    <row r="140" spans="1:6" x14ac:dyDescent="0.25">
      <c r="A140" s="3" t="s">
        <v>183</v>
      </c>
    </row>
    <row r="141" spans="1:6" x14ac:dyDescent="0.25">
      <c r="A141" t="s">
        <v>20</v>
      </c>
      <c r="B141" t="str">
        <f ca="1">C110 &amp; " dB(A)/m"</f>
        <v>45.7 dB(A)/m</v>
      </c>
    </row>
    <row r="142" spans="1:6" x14ac:dyDescent="0.25">
      <c r="A142" t="s">
        <v>21</v>
      </c>
      <c r="B142" t="str">
        <f ca="1">C111&amp; " NC/m"</f>
        <v>30.7 NC/m</v>
      </c>
    </row>
    <row r="143" spans="1:6" x14ac:dyDescent="0.25">
      <c r="A143" t="s">
        <v>184</v>
      </c>
      <c r="B143" t="str">
        <f ca="1">C124&amp; " mm"</f>
        <v>0 mm</v>
      </c>
    </row>
    <row r="144" spans="1:6" x14ac:dyDescent="0.25">
      <c r="F144" s="103"/>
    </row>
    <row r="145" spans="1:2" x14ac:dyDescent="0.25">
      <c r="A145" t="s">
        <v>161</v>
      </c>
    </row>
    <row r="146" spans="1:2" x14ac:dyDescent="0.25">
      <c r="A146" t="s">
        <v>9</v>
      </c>
      <c r="B146" s="1" t="str">
        <f xml:space="preserve"> "≥ " &amp; 'BAW-FD equations'!B36*100&amp; "%"</f>
        <v>≥ 80%</v>
      </c>
    </row>
    <row r="147" spans="1:2" x14ac:dyDescent="0.25">
      <c r="A147" t="s">
        <v>185</v>
      </c>
      <c r="B147" t="str">
        <f ca="1">C119 &amp;" m/s"</f>
        <v>89.7 m/s</v>
      </c>
    </row>
    <row r="148" spans="1:2" x14ac:dyDescent="0.25">
      <c r="A148" t="s">
        <v>186</v>
      </c>
      <c r="B148" s="103" t="e">
        <f ca="1">C120*100 &amp;"% @ room temperature of "&amp;B128&amp;"°C"</f>
        <v>#REF!</v>
      </c>
    </row>
    <row r="149" spans="1:2" x14ac:dyDescent="0.25">
      <c r="A149" t="s">
        <v>98</v>
      </c>
      <c r="B149" t="str">
        <f ca="1">C121*100&amp;"%"</f>
        <v>566%</v>
      </c>
    </row>
    <row r="150" spans="1:2" x14ac:dyDescent="0.25">
      <c r="A150" t="s">
        <v>111</v>
      </c>
      <c r="B150" t="str">
        <f ca="1">"Category "&amp;C123</f>
        <v>Category DN150</v>
      </c>
    </row>
    <row r="151" spans="1:2" x14ac:dyDescent="0.25">
      <c r="A151" t="s">
        <v>187</v>
      </c>
      <c r="B151" t="str">
        <f ca="1">"-"&amp;C122&amp;" &lt; PMV &lt; +"&amp;C122</f>
        <v>-3.33 &lt; PMV &lt; +3.33</v>
      </c>
    </row>
    <row r="153" spans="1:2" x14ac:dyDescent="0.25">
      <c r="A153" s="3" t="s">
        <v>116</v>
      </c>
    </row>
    <row r="155" spans="1:2" x14ac:dyDescent="0.25">
      <c r="A155" t="s">
        <v>30</v>
      </c>
      <c r="B155" t="str">
        <f ca="1">C116</f>
        <v>2.5</v>
      </c>
    </row>
    <row r="156" spans="1:2" x14ac:dyDescent="0.25">
      <c r="A156" t="s">
        <v>24</v>
      </c>
      <c r="B156" t="str">
        <f ca="1">C114</f>
        <v>4.1</v>
      </c>
    </row>
    <row r="158" spans="1:2" x14ac:dyDescent="0.25">
      <c r="A158" t="s">
        <v>178</v>
      </c>
      <c r="B158" t="str">
        <f ca="1">"C Max = " &amp; B156&amp; " m"</f>
        <v>C Max = 4.1 m</v>
      </c>
    </row>
    <row r="159" spans="1:2" x14ac:dyDescent="0.25">
      <c r="B159" t="str">
        <f ca="1">"C Min = " &amp; B155&amp; " m"</f>
        <v>C Min = 2.5 m</v>
      </c>
    </row>
    <row r="160" spans="1:2" x14ac:dyDescent="0.25">
      <c r="B160" t="str">
        <f>IF($B$129=1,"Average",IF($B$129=2,"Selected",IF($B$129=3,"Nominal")))</f>
        <v>Average</v>
      </c>
    </row>
    <row r="161" spans="1:4" x14ac:dyDescent="0.25">
      <c r="A161" t="s">
        <v>192</v>
      </c>
      <c r="B161" s="6" t="e">
        <f>'BAW-FD equations'!#REF!</f>
        <v>#REF!</v>
      </c>
      <c r="C161" t="s">
        <v>85</v>
      </c>
    </row>
    <row r="162" spans="1:4" x14ac:dyDescent="0.25">
      <c r="B162" s="6" t="e">
        <f>'BAW-FD equations'!#REF!</f>
        <v>#REF!</v>
      </c>
      <c r="C162" s="6" t="e">
        <f>'BAW-FD equations'!#REF!</f>
        <v>#REF!</v>
      </c>
    </row>
    <row r="163" spans="1:4" x14ac:dyDescent="0.25">
      <c r="B163" t="e">
        <f>B160&amp;" C = "&amp;B161&amp; " m"</f>
        <v>#REF!</v>
      </c>
    </row>
    <row r="165" spans="1:4" x14ac:dyDescent="0.25">
      <c r="A165" t="s">
        <v>194</v>
      </c>
      <c r="B165" t="str">
        <f ca="1">IF($B$129=3,"",B158)</f>
        <v>C Max = 4.1 m</v>
      </c>
      <c r="C165">
        <v>1</v>
      </c>
      <c r="D165" t="e">
        <f>"Specific Airflow Rate @ Average C = "&amp;B161&amp;" m: "&amp;B162&amp;" " &amp;C162</f>
        <v>#REF!</v>
      </c>
    </row>
    <row r="166" spans="1:4" x14ac:dyDescent="0.25">
      <c r="A166" t="s">
        <v>193</v>
      </c>
      <c r="B166" t="str">
        <f ca="1">IF($B$129=3,B158,B159)</f>
        <v>C Min = 2.5 m</v>
      </c>
      <c r="C166">
        <v>2</v>
      </c>
      <c r="D166" t="e">
        <f>"Specific Airflow Rate @ Selected C = "&amp;B161&amp;" m: "&amp;B162&amp;" " &amp;C162</f>
        <v>#REF!</v>
      </c>
    </row>
    <row r="167" spans="1:4" x14ac:dyDescent="0.25">
      <c r="A167" t="s">
        <v>195</v>
      </c>
      <c r="B167" t="e">
        <f>IF($B$129=3,B159,B163)</f>
        <v>#REF!</v>
      </c>
      <c r="C167">
        <v>3</v>
      </c>
      <c r="D167" t="e">
        <f>"Specific Airflow Rate = "&amp;B162&amp;" "&amp;C162</f>
        <v>#REF!</v>
      </c>
    </row>
    <row r="168" spans="1:4" x14ac:dyDescent="0.25">
      <c r="A168" t="s">
        <v>196</v>
      </c>
      <c r="B168" t="e">
        <f>VLOOKUP(B129,C165:D167,2,0)</f>
        <v>#REF!</v>
      </c>
    </row>
    <row r="170" spans="1:4" x14ac:dyDescent="0.25">
      <c r="A170" t="s">
        <v>136</v>
      </c>
      <c r="B170" t="str">
        <f xml:space="preserve"> "Selected Diffuser Height = "&amp;B130&amp;" m"</f>
        <v>Selected Diffuser Height = 2.5 m</v>
      </c>
    </row>
    <row r="171" spans="1:4" x14ac:dyDescent="0.25">
      <c r="B171" t="str">
        <f ca="1" xml:space="preserve"> "Min Recommended Diffuser Height = "&amp;C117&amp;" m"</f>
        <v>Min Recommended Diffuser Height = 7.4 m</v>
      </c>
    </row>
    <row r="173" spans="1:4" x14ac:dyDescent="0.25">
      <c r="A173" t="s">
        <v>61</v>
      </c>
    </row>
    <row r="174" spans="1:4" x14ac:dyDescent="0.25">
      <c r="A174" t="s">
        <v>426</v>
      </c>
      <c r="B174" s="84" t="s">
        <v>445</v>
      </c>
    </row>
    <row r="175" spans="1:4" x14ac:dyDescent="0.25">
      <c r="A175" t="s">
        <v>311</v>
      </c>
      <c r="B175" t="str">
        <f>"- Warning: "&amp;C175&amp;" spigot velocity. Recommend increasing 'Neck Height'."</f>
        <v>- Warning: High spigot velocity. Recommend increasing 'Neck Height'.</v>
      </c>
      <c r="C175" t="str">
        <f>IF(COUNTIF('BAW-FD equations'!B336:I336,"R")&gt;0,"High","Slightly high")</f>
        <v>High</v>
      </c>
      <c r="D175" t="str">
        <f>IF(COUNTIF('BAW-FD equations'!B336:I336,"R")&gt;0,"R",IF(COUNTIF('BAW-FD equations'!B336:I336,"A")&gt;0,"A",FALSE))</f>
        <v>R</v>
      </c>
    </row>
  </sheetData>
  <sheetProtection selectLockedCells="1" selectUnlockedCells="1"/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Y39"/>
  <sheetViews>
    <sheetView zoomScale="85" zoomScaleNormal="85" workbookViewId="0">
      <selection activeCell="H8" sqref="H8"/>
    </sheetView>
  </sheetViews>
  <sheetFormatPr defaultRowHeight="15" x14ac:dyDescent="0.25"/>
  <cols>
    <col min="9" max="10" width="9.28515625" customWidth="1"/>
  </cols>
  <sheetData>
    <row r="1" spans="2:25" x14ac:dyDescent="0.25">
      <c r="B1" s="47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50"/>
    </row>
    <row r="2" spans="2:25" ht="21" x14ac:dyDescent="0.35">
      <c r="B2" s="51"/>
      <c r="C2" s="29"/>
      <c r="D2" s="30" t="s">
        <v>54</v>
      </c>
      <c r="E2" s="28"/>
      <c r="F2" s="28"/>
      <c r="G2" s="28"/>
      <c r="H2" s="31"/>
      <c r="I2" s="31"/>
      <c r="J2" s="31"/>
      <c r="K2" s="31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52"/>
    </row>
    <row r="3" spans="2:25" ht="21" x14ac:dyDescent="0.35">
      <c r="B3" s="51"/>
      <c r="C3" s="29"/>
      <c r="D3" s="32" t="s">
        <v>277</v>
      </c>
      <c r="E3" s="28"/>
      <c r="F3" s="28"/>
      <c r="G3" s="28"/>
      <c r="H3" s="31"/>
      <c r="I3" s="31"/>
      <c r="J3" s="31"/>
      <c r="K3" s="31"/>
      <c r="L3" s="28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52"/>
    </row>
    <row r="4" spans="2:25" ht="22.5" x14ac:dyDescent="0.3">
      <c r="B4" s="51"/>
      <c r="C4" s="29"/>
      <c r="D4" s="33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53"/>
    </row>
    <row r="5" spans="2:25" ht="19.5" x14ac:dyDescent="0.3">
      <c r="B5" s="54"/>
      <c r="C5" s="59"/>
      <c r="D5" s="59"/>
      <c r="E5" s="59"/>
      <c r="F5" s="59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55"/>
    </row>
    <row r="6" spans="2:25" ht="20.25" thickBot="1" x14ac:dyDescent="0.35">
      <c r="B6" s="54"/>
      <c r="C6" s="283" t="s">
        <v>82</v>
      </c>
      <c r="D6" s="283"/>
      <c r="E6" s="283"/>
      <c r="F6" s="283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55"/>
    </row>
    <row r="7" spans="2:25" ht="20.25" thickTop="1" x14ac:dyDescent="0.3">
      <c r="B7" s="54"/>
      <c r="C7" s="59"/>
      <c r="D7" s="59"/>
      <c r="E7" s="59"/>
      <c r="F7" s="59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55"/>
    </row>
    <row r="8" spans="2:25" ht="15.75" x14ac:dyDescent="0.25">
      <c r="B8" s="54"/>
      <c r="C8" s="60"/>
      <c r="D8" s="16"/>
      <c r="E8" s="16"/>
      <c r="F8" s="16"/>
      <c r="G8" s="68"/>
      <c r="H8" s="70" t="s">
        <v>13</v>
      </c>
      <c r="I8" s="70" t="s">
        <v>44</v>
      </c>
      <c r="J8" s="70" t="s">
        <v>282</v>
      </c>
      <c r="K8" s="70" t="s">
        <v>283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55"/>
    </row>
    <row r="9" spans="2:25" ht="19.5" x14ac:dyDescent="0.3">
      <c r="B9" s="54"/>
      <c r="C9" s="59"/>
      <c r="D9" s="16"/>
      <c r="E9" s="16"/>
      <c r="F9" s="16"/>
      <c r="G9" s="125" t="s">
        <v>129</v>
      </c>
      <c r="H9" s="71">
        <v>31</v>
      </c>
      <c r="I9" s="71">
        <v>59</v>
      </c>
      <c r="J9" s="71">
        <v>87</v>
      </c>
      <c r="K9" s="71">
        <v>115</v>
      </c>
      <c r="L9" s="114" t="s">
        <v>128</v>
      </c>
      <c r="M9" s="16"/>
      <c r="N9" s="16"/>
      <c r="O9" s="16"/>
      <c r="P9" s="114"/>
      <c r="Q9" s="16"/>
      <c r="R9" s="16"/>
      <c r="S9" s="16"/>
      <c r="T9" s="16"/>
      <c r="U9" s="16"/>
      <c r="V9" s="16"/>
      <c r="W9" s="16"/>
      <c r="X9" s="16"/>
      <c r="Y9" s="55"/>
    </row>
    <row r="10" spans="2:25" ht="15.75" x14ac:dyDescent="0.25">
      <c r="B10" s="54"/>
      <c r="C10" s="60"/>
      <c r="D10" s="16"/>
      <c r="E10" s="16"/>
      <c r="F10" s="16"/>
      <c r="G10" s="124" t="s">
        <v>130</v>
      </c>
      <c r="H10" s="72">
        <v>48</v>
      </c>
      <c r="I10" s="72">
        <v>76</v>
      </c>
      <c r="J10" s="72">
        <v>104</v>
      </c>
      <c r="K10" s="72">
        <v>132</v>
      </c>
      <c r="L10" s="114" t="s">
        <v>128</v>
      </c>
      <c r="M10" s="16"/>
      <c r="N10" s="16"/>
      <c r="O10" s="16"/>
      <c r="P10" s="114"/>
      <c r="Q10" s="16"/>
      <c r="R10" s="16"/>
      <c r="S10" s="16"/>
      <c r="T10" s="16"/>
      <c r="U10" s="16"/>
      <c r="V10" s="16"/>
      <c r="W10" s="16"/>
      <c r="X10" s="16"/>
      <c r="Y10" s="55"/>
    </row>
    <row r="11" spans="2:25" ht="15.75" x14ac:dyDescent="0.25">
      <c r="B11" s="54"/>
      <c r="C11" s="60"/>
      <c r="D11" s="16"/>
      <c r="E11" s="16"/>
      <c r="F11" s="16"/>
      <c r="G11" s="124" t="s">
        <v>131</v>
      </c>
      <c r="H11" s="72">
        <v>27</v>
      </c>
      <c r="I11" s="72">
        <v>55</v>
      </c>
      <c r="J11" s="72">
        <v>83</v>
      </c>
      <c r="K11" s="72">
        <v>111</v>
      </c>
      <c r="L11" s="114" t="s">
        <v>128</v>
      </c>
      <c r="M11" s="16"/>
      <c r="N11" s="16"/>
      <c r="O11" s="16"/>
      <c r="P11" s="114"/>
      <c r="Q11" s="16"/>
      <c r="R11" s="16"/>
      <c r="S11" s="16"/>
      <c r="T11" s="16"/>
      <c r="U11" s="16"/>
      <c r="V11" s="16"/>
      <c r="W11" s="16"/>
      <c r="X11" s="16"/>
      <c r="Y11" s="55"/>
    </row>
    <row r="12" spans="2:25" ht="15.75" x14ac:dyDescent="0.25">
      <c r="B12" s="54"/>
      <c r="C12" s="60"/>
      <c r="D12" s="16"/>
      <c r="E12" s="16"/>
      <c r="F12" s="16"/>
      <c r="G12" s="124" t="s">
        <v>132</v>
      </c>
      <c r="H12" s="72">
        <v>200</v>
      </c>
      <c r="I12" s="72">
        <v>255</v>
      </c>
      <c r="J12" s="72">
        <v>300</v>
      </c>
      <c r="K12" s="72">
        <v>325</v>
      </c>
      <c r="L12" s="114" t="s">
        <v>128</v>
      </c>
      <c r="M12" s="16"/>
      <c r="N12" s="16"/>
      <c r="O12" s="16"/>
      <c r="P12" s="114"/>
      <c r="Q12" s="16"/>
      <c r="R12" s="16"/>
      <c r="S12" s="16"/>
      <c r="T12" s="16"/>
      <c r="U12" s="16"/>
      <c r="V12" s="16"/>
      <c r="W12" s="16"/>
      <c r="X12" s="16"/>
      <c r="Y12" s="55"/>
    </row>
    <row r="13" spans="2:25" ht="19.5" x14ac:dyDescent="0.3">
      <c r="B13" s="54"/>
      <c r="C13" s="59"/>
      <c r="D13" s="16"/>
      <c r="E13" s="16"/>
      <c r="F13" s="16"/>
      <c r="G13" s="124" t="s">
        <v>133</v>
      </c>
      <c r="H13" s="72">
        <v>81</v>
      </c>
      <c r="I13" s="72">
        <v>109</v>
      </c>
      <c r="J13" s="72">
        <v>137</v>
      </c>
      <c r="K13" s="72">
        <v>165</v>
      </c>
      <c r="L13" s="114" t="s">
        <v>128</v>
      </c>
      <c r="M13" s="16"/>
      <c r="N13" s="16"/>
      <c r="O13" s="16"/>
      <c r="P13" s="114"/>
      <c r="Q13" s="16"/>
      <c r="R13" s="16"/>
      <c r="S13" s="16"/>
      <c r="T13" s="16"/>
      <c r="U13" s="16"/>
      <c r="V13" s="16"/>
      <c r="W13" s="16"/>
      <c r="X13" s="16"/>
      <c r="Y13" s="55"/>
    </row>
    <row r="14" spans="2:25" ht="15.75" x14ac:dyDescent="0.25">
      <c r="B14" s="54"/>
      <c r="C14" s="60"/>
      <c r="D14" s="16"/>
      <c r="E14" s="16"/>
      <c r="F14" s="16"/>
      <c r="G14" s="124" t="s">
        <v>134</v>
      </c>
      <c r="H14" s="72">
        <v>124</v>
      </c>
      <c r="I14" s="72">
        <v>179</v>
      </c>
      <c r="J14" s="72">
        <v>224</v>
      </c>
      <c r="K14" s="72">
        <v>249</v>
      </c>
      <c r="L14" s="114" t="s">
        <v>128</v>
      </c>
      <c r="M14" s="16"/>
      <c r="N14" s="16"/>
      <c r="O14" s="16"/>
      <c r="P14" s="114"/>
      <c r="Q14" s="16"/>
      <c r="R14" s="16"/>
      <c r="S14" s="16"/>
      <c r="T14" s="16"/>
      <c r="U14" s="16"/>
      <c r="V14" s="16"/>
      <c r="W14" s="16"/>
      <c r="X14" s="16"/>
      <c r="Y14" s="55"/>
    </row>
    <row r="15" spans="2:25" ht="19.5" x14ac:dyDescent="0.3">
      <c r="B15" s="54"/>
      <c r="C15" s="128"/>
      <c r="D15" s="69"/>
      <c r="E15" s="69"/>
      <c r="F15" s="69"/>
      <c r="G15" s="126" t="s">
        <v>135</v>
      </c>
      <c r="H15" s="73">
        <v>149</v>
      </c>
      <c r="I15" s="73">
        <v>224</v>
      </c>
      <c r="J15" s="73">
        <v>249</v>
      </c>
      <c r="K15" s="73">
        <v>279</v>
      </c>
      <c r="L15" s="114" t="s">
        <v>128</v>
      </c>
      <c r="M15" s="16"/>
      <c r="N15" s="16"/>
      <c r="O15" s="16"/>
      <c r="P15" s="114"/>
      <c r="Q15" s="16"/>
      <c r="R15" s="16"/>
      <c r="S15" s="16"/>
      <c r="T15" s="16"/>
      <c r="U15" s="16"/>
      <c r="V15" s="16"/>
      <c r="W15" s="16"/>
      <c r="X15" s="16"/>
      <c r="Y15" s="55"/>
    </row>
    <row r="16" spans="2:25" ht="15.75" x14ac:dyDescent="0.25">
      <c r="B16" s="54"/>
      <c r="C16" s="60"/>
      <c r="D16" s="16"/>
      <c r="E16" s="16"/>
      <c r="F16" s="16"/>
      <c r="G16" s="16"/>
      <c r="H16" s="21"/>
      <c r="I16" s="74"/>
      <c r="J16" s="74"/>
      <c r="K16" s="74"/>
      <c r="L16" s="74"/>
      <c r="M16" s="74"/>
      <c r="N16" s="74"/>
      <c r="O16" s="17" t="s">
        <v>65</v>
      </c>
      <c r="P16" s="16" t="s">
        <v>83</v>
      </c>
      <c r="Q16" s="16"/>
      <c r="R16" s="16"/>
      <c r="S16" s="16"/>
      <c r="T16" s="16"/>
      <c r="U16" s="16"/>
      <c r="V16" s="16"/>
      <c r="W16" s="16"/>
      <c r="X16" s="16"/>
      <c r="Y16" s="55"/>
    </row>
    <row r="17" spans="1:25" ht="19.5" x14ac:dyDescent="0.3">
      <c r="B17" s="54"/>
      <c r="C17" s="59"/>
      <c r="D17" s="59"/>
      <c r="E17" s="59"/>
      <c r="F17" s="59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55"/>
    </row>
    <row r="18" spans="1:25" ht="19.5" x14ac:dyDescent="0.3">
      <c r="B18" s="54"/>
      <c r="C18" s="60"/>
      <c r="D18" s="59"/>
      <c r="E18" s="59"/>
      <c r="F18" s="59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55"/>
    </row>
    <row r="19" spans="1:25" ht="19.5" x14ac:dyDescent="0.3">
      <c r="B19" s="54"/>
      <c r="C19" s="60"/>
      <c r="D19" s="59"/>
      <c r="E19" s="59"/>
      <c r="F19" s="5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55"/>
    </row>
    <row r="20" spans="1:25" ht="19.5" x14ac:dyDescent="0.3">
      <c r="B20" s="54"/>
      <c r="C20" s="60"/>
      <c r="D20" s="59"/>
      <c r="E20" s="59"/>
      <c r="F20" s="59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55"/>
    </row>
    <row r="21" spans="1:25" ht="19.5" x14ac:dyDescent="0.3">
      <c r="B21" s="54"/>
      <c r="C21" s="59"/>
      <c r="D21" s="59"/>
      <c r="E21" s="59"/>
      <c r="F21" s="59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55"/>
    </row>
    <row r="22" spans="1:25" ht="19.350000000000001" customHeight="1" x14ac:dyDescent="0.25">
      <c r="A22" s="12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55"/>
    </row>
    <row r="23" spans="1:25" ht="19.350000000000001" customHeight="1" x14ac:dyDescent="0.25">
      <c r="A23" s="12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55"/>
    </row>
    <row r="24" spans="1:25" ht="19.350000000000001" customHeight="1" x14ac:dyDescent="0.25">
      <c r="A24" s="12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55"/>
    </row>
    <row r="25" spans="1:25" ht="20.25" customHeight="1" x14ac:dyDescent="0.25">
      <c r="A25" s="12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55"/>
    </row>
    <row r="26" spans="1:25" ht="20.25" customHeight="1" x14ac:dyDescent="0.25">
      <c r="A26" s="12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55"/>
    </row>
    <row r="27" spans="1:25" ht="20.25" customHeight="1" x14ac:dyDescent="0.25">
      <c r="A27" s="12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55"/>
    </row>
    <row r="28" spans="1:25" ht="20.25" customHeight="1" x14ac:dyDescent="0.25">
      <c r="A28" s="12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55"/>
    </row>
    <row r="29" spans="1:25" ht="20.25" customHeight="1" x14ac:dyDescent="0.25">
      <c r="A29" s="12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55"/>
    </row>
    <row r="30" spans="1:25" ht="20.25" customHeight="1" x14ac:dyDescent="0.25">
      <c r="A30" s="12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55"/>
    </row>
    <row r="31" spans="1:25" ht="20.25" customHeight="1" x14ac:dyDescent="0.25">
      <c r="A31" s="12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55"/>
    </row>
    <row r="32" spans="1:25" ht="19.350000000000001" customHeight="1" x14ac:dyDescent="0.25">
      <c r="A32" s="12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55"/>
    </row>
    <row r="33" spans="1:25" ht="19.350000000000001" customHeight="1" x14ac:dyDescent="0.25">
      <c r="A33" s="12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55"/>
    </row>
    <row r="34" spans="1:25" ht="15.95" customHeight="1" x14ac:dyDescent="0.25">
      <c r="A34" s="12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55"/>
    </row>
    <row r="35" spans="1:25" ht="15.95" customHeight="1" x14ac:dyDescent="0.25">
      <c r="A35" s="12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55"/>
    </row>
    <row r="36" spans="1:25" x14ac:dyDescent="0.25">
      <c r="A36" s="12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55"/>
    </row>
    <row r="37" spans="1:25" x14ac:dyDescent="0.25">
      <c r="A37" s="12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55"/>
    </row>
    <row r="38" spans="1:25" x14ac:dyDescent="0.25">
      <c r="A38" s="12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55"/>
    </row>
    <row r="39" spans="1:25" x14ac:dyDescent="0.25"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8"/>
    </row>
  </sheetData>
  <sheetProtection sheet="1" selectLockedCells="1"/>
  <mergeCells count="1">
    <mergeCell ref="C6:F6"/>
  </mergeCells>
  <phoneticPr fontId="46" type="noConversion"/>
  <conditionalFormatting sqref="G10:G15 I16:N16">
    <cfRule type="expression" dxfId="2" priority="1">
      <formula>OR(#REF!&gt;#REF!,#REF!&lt;#REF!)</formula>
    </cfRule>
  </conditionalFormatting>
  <conditionalFormatting sqref="H8:K15">
    <cfRule type="expression" dxfId="1" priority="2">
      <formula>OR(#REF!&gt;#REF!,#REF!&lt;#REF!)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53"/>
  <sheetViews>
    <sheetView view="pageLayout" topLeftCell="A5" zoomScale="130" zoomScaleNormal="100" zoomScalePageLayoutView="130" workbookViewId="0">
      <selection activeCell="D8" sqref="D8"/>
    </sheetView>
  </sheetViews>
  <sheetFormatPr defaultColWidth="9" defaultRowHeight="15" x14ac:dyDescent="0.25"/>
  <cols>
    <col min="1" max="1" width="27.5703125" style="90" customWidth="1"/>
    <col min="2" max="3" width="7.42578125" style="90" customWidth="1"/>
    <col min="4" max="4" width="27.5703125" style="90" customWidth="1"/>
    <col min="5" max="6" width="7.42578125" style="90" customWidth="1"/>
    <col min="7" max="16384" width="9" style="90"/>
  </cols>
  <sheetData>
    <row r="1" spans="1:6" ht="25.5" customHeight="1" x14ac:dyDescent="0.25">
      <c r="B1" s="91" t="s">
        <v>288</v>
      </c>
      <c r="C1" s="92"/>
      <c r="D1" s="92"/>
      <c r="E1" s="93"/>
      <c r="F1" s="93"/>
    </row>
    <row r="2" spans="1:6" ht="13.9" customHeight="1" x14ac:dyDescent="0.25">
      <c r="A2" s="98"/>
      <c r="B2" s="98"/>
      <c r="C2" s="98"/>
      <c r="D2" s="98"/>
      <c r="E2" s="98"/>
      <c r="F2" s="98"/>
    </row>
    <row r="3" spans="1:6" ht="13.9" customHeight="1" x14ac:dyDescent="0.25">
      <c r="A3" s="99" t="s">
        <v>105</v>
      </c>
      <c r="B3" s="284" t="str">
        <f>'BAW-FD'!D5</f>
        <v>&lt;Project Name&gt;</v>
      </c>
      <c r="C3" s="284"/>
      <c r="D3" s="284"/>
      <c r="E3" s="284"/>
      <c r="F3" s="284"/>
    </row>
    <row r="4" spans="1:6" ht="13.9" customHeight="1" x14ac:dyDescent="0.25">
      <c r="A4" s="100" t="s">
        <v>46</v>
      </c>
      <c r="B4" s="284" t="s">
        <v>118</v>
      </c>
      <c r="C4" s="284"/>
      <c r="D4" s="284"/>
      <c r="E4" s="284"/>
      <c r="F4" s="284"/>
    </row>
    <row r="5" spans="1:6" ht="13.9" customHeight="1" x14ac:dyDescent="0.25">
      <c r="A5" s="100" t="s">
        <v>106</v>
      </c>
      <c r="B5" s="284" t="s">
        <v>118</v>
      </c>
      <c r="C5" s="284"/>
      <c r="D5" s="284"/>
      <c r="E5" s="284"/>
      <c r="F5" s="284"/>
    </row>
    <row r="6" spans="1:6" ht="13.9" customHeight="1" x14ac:dyDescent="0.25">
      <c r="A6" s="98"/>
      <c r="B6" s="98"/>
      <c r="C6" s="98"/>
      <c r="D6" s="98"/>
      <c r="E6" s="98"/>
      <c r="F6" s="98"/>
    </row>
    <row r="7" spans="1:6" ht="13.9" customHeight="1" x14ac:dyDescent="0.25">
      <c r="A7" s="99" t="s">
        <v>107</v>
      </c>
      <c r="B7" s="98" t="s">
        <v>289</v>
      </c>
      <c r="C7" s="98"/>
      <c r="D7" s="98"/>
      <c r="E7" s="98"/>
      <c r="F7" s="98"/>
    </row>
    <row r="8" spans="1:6" ht="13.9" customHeight="1" x14ac:dyDescent="0.25">
      <c r="A8" s="98"/>
      <c r="B8" s="98" t="s">
        <v>286</v>
      </c>
      <c r="C8" s="98"/>
      <c r="D8" s="98"/>
      <c r="E8" s="98"/>
      <c r="F8" s="98"/>
    </row>
    <row r="9" spans="1:6" ht="13.9" customHeight="1" x14ac:dyDescent="0.25">
      <c r="A9" s="98" t="s">
        <v>108</v>
      </c>
      <c r="B9" s="98"/>
      <c r="C9" s="98"/>
      <c r="D9" s="98"/>
      <c r="E9" s="98"/>
      <c r="F9" s="98"/>
    </row>
    <row r="10" spans="1:6" ht="13.9" customHeight="1" x14ac:dyDescent="0.25">
      <c r="A10" s="98" t="s">
        <v>46</v>
      </c>
      <c r="B10" s="98" t="str">
        <f>data!B87</f>
        <v>Closed Ceiling</v>
      </c>
      <c r="C10" s="98"/>
      <c r="D10" s="98"/>
      <c r="E10" s="98"/>
      <c r="F10" s="98"/>
    </row>
    <row r="11" spans="1:6" ht="13.9" customHeight="1" x14ac:dyDescent="0.25">
      <c r="C11" s="98"/>
      <c r="D11" s="98"/>
      <c r="E11" s="98"/>
      <c r="F11" s="98"/>
    </row>
    <row r="12" spans="1:6" ht="13.9" customHeight="1" x14ac:dyDescent="0.25">
      <c r="A12" s="98"/>
      <c r="B12" s="98"/>
      <c r="C12" s="98"/>
      <c r="D12" s="98"/>
      <c r="E12" s="98"/>
      <c r="F12" s="98"/>
    </row>
    <row r="13" spans="1:6" ht="13.9" customHeight="1" x14ac:dyDescent="0.25">
      <c r="A13" s="99" t="s">
        <v>113</v>
      </c>
      <c r="B13" s="95"/>
      <c r="C13" s="98"/>
      <c r="D13" s="99"/>
      <c r="E13" s="98"/>
      <c r="F13" s="98"/>
    </row>
    <row r="14" spans="1:6" ht="13.9" customHeight="1" x14ac:dyDescent="0.25">
      <c r="A14" s="98" t="s">
        <v>121</v>
      </c>
      <c r="B14" s="101" t="str">
        <f ca="1">data!B135</f>
        <v>100 L/s @ 23.5 Pa total (16.7 Pa static)</v>
      </c>
      <c r="C14" s="98"/>
      <c r="D14" s="98"/>
      <c r="E14" s="101"/>
      <c r="F14" s="98"/>
    </row>
    <row r="15" spans="1:6" ht="13.9" customHeight="1" x14ac:dyDescent="0.25">
      <c r="A15" s="98" t="s">
        <v>239</v>
      </c>
      <c r="B15" s="98" t="str">
        <f ca="1">data!B136</f>
        <v>100 L/s (100% turndown to) @ ΔT = -12 K</v>
      </c>
      <c r="C15" s="98"/>
      <c r="D15" s="98"/>
      <c r="E15" s="98"/>
      <c r="F15" s="101"/>
    </row>
    <row r="16" spans="1:6" ht="13.9" customHeight="1" x14ac:dyDescent="0.25">
      <c r="A16" s="98" t="s">
        <v>189</v>
      </c>
      <c r="B16" s="102" t="str">
        <f ca="1">data!B137</f>
        <v>+ ≈ 0.0 K for perimeter zones; + ≈ 0.0 K for centre zones</v>
      </c>
      <c r="C16" s="98"/>
      <c r="D16" s="98"/>
      <c r="E16" s="101"/>
      <c r="F16" s="98"/>
    </row>
    <row r="17" spans="1:6" ht="13.9" customHeight="1" x14ac:dyDescent="0.25">
      <c r="A17" s="98" t="s">
        <v>241</v>
      </c>
      <c r="B17" s="101" t="str">
        <f ca="1">data!B138</f>
        <v>Discharge barrels set to 110.2</v>
      </c>
      <c r="C17" s="98"/>
      <c r="D17" s="98"/>
      <c r="E17" s="101"/>
      <c r="F17" s="98"/>
    </row>
    <row r="18" spans="1:6" ht="13.9" customHeight="1" x14ac:dyDescent="0.25">
      <c r="A18" s="98"/>
      <c r="B18" s="101"/>
      <c r="C18" s="98"/>
      <c r="D18" s="98"/>
      <c r="E18" s="101"/>
      <c r="F18" s="98"/>
    </row>
    <row r="19" spans="1:6" ht="13.9" customHeight="1" x14ac:dyDescent="0.25">
      <c r="A19" s="99" t="s">
        <v>109</v>
      </c>
      <c r="B19" s="98"/>
      <c r="C19" s="98"/>
      <c r="D19" s="98"/>
      <c r="E19" s="102"/>
      <c r="F19" s="98"/>
    </row>
    <row r="20" spans="1:6" ht="13.9" customHeight="1" x14ac:dyDescent="0.25">
      <c r="A20" s="98" t="s">
        <v>112</v>
      </c>
      <c r="B20" s="101" t="str">
        <f ca="1">data!B141</f>
        <v>45.7 dB(A)/m</v>
      </c>
      <c r="C20" s="98"/>
      <c r="D20" s="98"/>
      <c r="E20" s="98"/>
      <c r="F20" s="98"/>
    </row>
    <row r="21" spans="1:6" ht="13.9" customHeight="1" x14ac:dyDescent="0.25">
      <c r="A21" s="98" t="s">
        <v>174</v>
      </c>
      <c r="B21" s="101" t="str">
        <f ca="1">data!B142</f>
        <v>30.7 NC/m</v>
      </c>
      <c r="C21" s="98"/>
      <c r="D21" s="116" t="s">
        <v>122</v>
      </c>
      <c r="E21" s="98"/>
      <c r="F21" s="98"/>
    </row>
    <row r="22" spans="1:6" ht="13.9" customHeight="1" x14ac:dyDescent="0.25">
      <c r="A22" s="286" t="s">
        <v>190</v>
      </c>
      <c r="B22" s="98" t="str">
        <f ca="1">data!B143</f>
        <v>0 mm</v>
      </c>
      <c r="E22" s="98"/>
      <c r="F22" s="98"/>
    </row>
    <row r="23" spans="1:6" ht="13.9" customHeight="1" x14ac:dyDescent="0.25">
      <c r="A23" s="286"/>
      <c r="E23" s="98"/>
      <c r="F23" s="98"/>
    </row>
    <row r="24" spans="1:6" ht="13.9" customHeight="1" x14ac:dyDescent="0.25">
      <c r="A24" s="98"/>
      <c r="B24" s="98"/>
      <c r="C24" s="98"/>
      <c r="D24" s="98"/>
      <c r="E24" s="98"/>
      <c r="F24" s="98"/>
    </row>
    <row r="25" spans="1:6" ht="13.9" customHeight="1" x14ac:dyDescent="0.25">
      <c r="A25" s="99" t="s">
        <v>110</v>
      </c>
      <c r="B25" s="98"/>
      <c r="C25" s="98"/>
      <c r="D25" s="98"/>
      <c r="E25" s="98"/>
      <c r="F25" s="98"/>
    </row>
    <row r="26" spans="1:6" ht="13.9" customHeight="1" x14ac:dyDescent="0.25">
      <c r="A26" s="98" t="s">
        <v>9</v>
      </c>
      <c r="B26" s="104" t="str">
        <f>data!B146</f>
        <v>≥ 80%</v>
      </c>
      <c r="C26" s="98"/>
      <c r="D26" s="98"/>
      <c r="E26" s="98"/>
      <c r="F26" s="98"/>
    </row>
    <row r="27" spans="1:6" ht="13.9" customHeight="1" x14ac:dyDescent="0.25">
      <c r="A27" s="98" t="s">
        <v>185</v>
      </c>
      <c r="B27" s="104" t="str">
        <f ca="1">data!B147</f>
        <v>89.7 m/s</v>
      </c>
      <c r="C27" s="98"/>
      <c r="D27" s="98"/>
      <c r="E27" s="98"/>
      <c r="F27" s="98"/>
    </row>
    <row r="28" spans="1:6" ht="13.9" customHeight="1" x14ac:dyDescent="0.25">
      <c r="A28" s="98" t="s">
        <v>186</v>
      </c>
      <c r="B28" s="104" t="e">
        <f ca="1">data!B148</f>
        <v>#REF!</v>
      </c>
      <c r="C28" s="98"/>
      <c r="D28" s="98"/>
      <c r="E28" s="98"/>
      <c r="F28" s="98"/>
    </row>
    <row r="29" spans="1:6" ht="13.9" customHeight="1" x14ac:dyDescent="0.25">
      <c r="A29" s="98" t="s">
        <v>98</v>
      </c>
      <c r="B29" s="104" t="str">
        <f ca="1">data!B149</f>
        <v>566%</v>
      </c>
      <c r="C29" s="98"/>
      <c r="D29" s="98"/>
      <c r="E29" s="98"/>
      <c r="F29" s="98"/>
    </row>
    <row r="30" spans="1:6" ht="13.9" customHeight="1" x14ac:dyDescent="0.25">
      <c r="A30" s="98" t="s">
        <v>111</v>
      </c>
      <c r="B30" s="104" t="str">
        <f ca="1">data!B150</f>
        <v>Category DN150</v>
      </c>
      <c r="C30" s="98"/>
      <c r="D30" s="98"/>
      <c r="E30" s="98"/>
      <c r="F30" s="98"/>
    </row>
    <row r="31" spans="1:6" ht="13.9" customHeight="1" x14ac:dyDescent="0.25">
      <c r="A31" s="98" t="s">
        <v>187</v>
      </c>
      <c r="B31" s="104" t="str">
        <f ca="1">data!B151</f>
        <v>-3.33 &lt; PMV &lt; +3.33</v>
      </c>
      <c r="C31" s="98"/>
      <c r="D31" s="98"/>
      <c r="E31" s="98"/>
      <c r="F31" s="98"/>
    </row>
    <row r="32" spans="1:6" ht="13.9" customHeight="1" x14ac:dyDescent="0.25">
      <c r="A32" s="115" t="s">
        <v>221</v>
      </c>
      <c r="B32" s="98"/>
      <c r="C32" s="98"/>
      <c r="D32" s="98"/>
      <c r="E32" s="98"/>
      <c r="F32" s="98"/>
    </row>
    <row r="33" spans="1:6" ht="13.9" customHeight="1" x14ac:dyDescent="0.25">
      <c r="A33" s="98"/>
      <c r="B33" s="98"/>
      <c r="C33" s="98"/>
      <c r="D33" s="98"/>
      <c r="E33" s="98"/>
      <c r="F33" s="98"/>
    </row>
    <row r="34" spans="1:6" ht="13.9" customHeight="1" x14ac:dyDescent="0.25">
      <c r="A34" s="98"/>
      <c r="B34" s="98"/>
      <c r="C34" s="98"/>
      <c r="D34" s="98"/>
      <c r="E34" s="98"/>
      <c r="F34" s="98"/>
    </row>
    <row r="35" spans="1:6" ht="13.9" customHeight="1" x14ac:dyDescent="0.25">
      <c r="A35" s="98"/>
      <c r="B35" s="98"/>
      <c r="C35" s="98"/>
      <c r="D35" s="98"/>
      <c r="E35" s="98"/>
      <c r="F35" s="98"/>
    </row>
    <row r="36" spans="1:6" ht="13.9" customHeight="1" x14ac:dyDescent="0.25">
      <c r="A36" s="98"/>
      <c r="B36" s="98"/>
      <c r="C36" s="98"/>
      <c r="D36" s="98"/>
      <c r="E36" s="98"/>
      <c r="F36" s="98"/>
    </row>
    <row r="37" spans="1:6" ht="13.9" customHeight="1" x14ac:dyDescent="0.25"/>
    <row r="38" spans="1:6" ht="13.9" customHeight="1" x14ac:dyDescent="0.25"/>
    <row r="39" spans="1:6" ht="13.9" customHeight="1" x14ac:dyDescent="0.25"/>
    <row r="40" spans="1:6" ht="13.9" customHeight="1" x14ac:dyDescent="0.25"/>
    <row r="41" spans="1:6" ht="13.9" customHeight="1" x14ac:dyDescent="0.25"/>
    <row r="42" spans="1:6" ht="13.9" customHeight="1" x14ac:dyDescent="0.25"/>
    <row r="43" spans="1:6" ht="13.9" customHeight="1" x14ac:dyDescent="0.25"/>
    <row r="44" spans="1:6" ht="13.9" customHeight="1" x14ac:dyDescent="0.25">
      <c r="A44" s="99" t="s">
        <v>119</v>
      </c>
      <c r="B44" s="98" t="str">
        <f>data!B91</f>
        <v>1200 mm neck length with 1 slots</v>
      </c>
      <c r="C44" s="98"/>
      <c r="D44" s="98"/>
      <c r="E44" s="98"/>
      <c r="F44" s="98"/>
    </row>
    <row r="45" spans="1:6" ht="13.9" customHeight="1" x14ac:dyDescent="0.25">
      <c r="A45" s="98"/>
      <c r="B45" s="98" t="str">
        <f ca="1">data!B92</f>
        <v>Discharge direction '110.2'</v>
      </c>
      <c r="C45" s="98"/>
      <c r="D45" s="98"/>
      <c r="E45" s="98"/>
      <c r="F45" s="98"/>
    </row>
    <row r="46" spans="1:6" ht="13.9" customHeight="1" x14ac:dyDescent="0.25">
      <c r="A46" s="98"/>
      <c r="B46" s="98" t="str">
        <f>data!B93</f>
        <v>with side flanges</v>
      </c>
      <c r="C46" s="98"/>
      <c r="D46" s="98"/>
      <c r="E46" s="98"/>
      <c r="F46" s="98"/>
    </row>
    <row r="47" spans="1:6" ht="13.9" customHeight="1" x14ac:dyDescent="0.25">
      <c r="A47" s="98"/>
      <c r="B47" s="98" t="str">
        <f>data!B94</f>
        <v>with two end flanges</v>
      </c>
      <c r="C47" s="98"/>
      <c r="D47" s="98"/>
      <c r="E47" s="98"/>
      <c r="F47" s="98"/>
    </row>
    <row r="48" spans="1:6" ht="13.9" customHeight="1" x14ac:dyDescent="0.25">
      <c r="A48" s="98"/>
      <c r="B48" s="98" t="str">
        <f>data!B95</f>
        <v>fixing by others; without accessories</v>
      </c>
      <c r="C48" s="98"/>
      <c r="D48" s="98"/>
      <c r="E48" s="98"/>
      <c r="F48" s="98"/>
    </row>
    <row r="49" spans="1:6" ht="13.9" customHeight="1" x14ac:dyDescent="0.25">
      <c r="B49" s="98" t="str">
        <f>data!B96</f>
        <v>profile powder coated to RAL9003 with black barrels</v>
      </c>
    </row>
    <row r="50" spans="1:6" ht="13.9" customHeight="1" x14ac:dyDescent="0.25">
      <c r="A50" s="98"/>
      <c r="B50" s="98" t="str">
        <f>data!B97</f>
        <v xml:space="preserve">no connection box  </v>
      </c>
      <c r="C50" s="98"/>
      <c r="D50" s="98"/>
      <c r="E50" s="98"/>
      <c r="F50" s="98"/>
    </row>
    <row r="51" spans="1:6" ht="13.9" customHeight="1" x14ac:dyDescent="0.25">
      <c r="A51" s="98"/>
      <c r="B51" s="98"/>
      <c r="C51" s="98"/>
      <c r="D51" s="98"/>
      <c r="E51" s="98"/>
      <c r="F51" s="98"/>
    </row>
    <row r="52" spans="1:6" ht="13.9" customHeight="1" x14ac:dyDescent="0.25">
      <c r="A52" s="99" t="s">
        <v>120</v>
      </c>
      <c r="B52" s="285" t="e">
        <f>'BAW-FD'!#REF!</f>
        <v>#REF!</v>
      </c>
      <c r="C52" s="285"/>
      <c r="D52" s="285"/>
      <c r="E52" s="285"/>
      <c r="F52" s="285"/>
    </row>
    <row r="53" spans="1:6" ht="13.9" customHeight="1" x14ac:dyDescent="0.25">
      <c r="A53" s="94"/>
      <c r="B53" s="94"/>
      <c r="C53" s="94"/>
      <c r="D53" s="94"/>
      <c r="E53" s="94"/>
      <c r="F53" s="94"/>
    </row>
  </sheetData>
  <sheetProtection selectLockedCells="1"/>
  <mergeCells count="5">
    <mergeCell ref="B3:F3"/>
    <mergeCell ref="B4:F4"/>
    <mergeCell ref="B5:F5"/>
    <mergeCell ref="B52:F52"/>
    <mergeCell ref="A22:A23"/>
  </mergeCells>
  <pageMargins left="0.7" right="0.7" top="0.75" bottom="0.55729166666666663" header="0.3" footer="0.3"/>
  <pageSetup paperSize="9" orientation="portrait" horizontalDpi="4294967293" verticalDpi="4294967293" r:id="rId1"/>
  <headerFooter>
    <oddFooter>&amp;R&amp;10&amp;K01+031© 2021 SMARTAIR DIFFUSION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4560" r:id="rId4">
          <objectPr defaultSize="0" r:id="rId5">
            <anchor moveWithCells="1">
              <from>
                <xdr:col>3</xdr:col>
                <xdr:colOff>485775</xdr:colOff>
                <xdr:row>34</xdr:row>
                <xdr:rowOff>57150</xdr:rowOff>
              </from>
              <to>
                <xdr:col>5</xdr:col>
                <xdr:colOff>390525</xdr:colOff>
                <xdr:row>42</xdr:row>
                <xdr:rowOff>19050</xdr:rowOff>
              </to>
            </anchor>
          </objectPr>
        </oleObject>
      </mc:Choice>
      <mc:Fallback>
        <oleObject progId="Visio.Drawing.15" shapeId="4560" r:id="rId4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C729C27-308C-479E-A2CC-32CFD2C8CE30}">
            <xm:f>NOT(ISNUMBER(data!$B$85))</xm:f>
            <x14:dxf>
              <font>
                <color rgb="FFC00000"/>
              </font>
            </x14:dxf>
          </x14:cfRule>
          <xm:sqref>B9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504A946ECCA4C952722432686889E" ma:contentTypeVersion="19" ma:contentTypeDescription="Create a new document." ma:contentTypeScope="" ma:versionID="2c1fe32afe362c856b92412d62fab649">
  <xsd:schema xmlns:xsd="http://www.w3.org/2001/XMLSchema" xmlns:xs="http://www.w3.org/2001/XMLSchema" xmlns:p="http://schemas.microsoft.com/office/2006/metadata/properties" xmlns:ns2="14bbb3e3-3c65-4cbd-bb41-bc965094d10a" xmlns:ns3="376dd4ba-df4a-4846-a89c-1b53ce3cc703" targetNamespace="http://schemas.microsoft.com/office/2006/metadata/properties" ma:root="true" ma:fieldsID="5313c752f8e228464c10051a9fb60533" ns2:_="" ns3:_="">
    <xsd:import namespace="14bbb3e3-3c65-4cbd-bb41-bc965094d10a"/>
    <xsd:import namespace="376dd4ba-df4a-4846-a89c-1b53ce3cc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bb3e3-3c65-4cbd-bb41-bc965094d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099de3-f43e-464c-81e1-892210f71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d4ba-df4a-4846-a89c-1b53ce3cc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1b3306-80d9-4625-86be-7037c69e3b39}" ma:internalName="TaxCatchAll" ma:showField="CatchAllData" ma:web="376dd4ba-df4a-4846-a89c-1b53ce3cc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bbb3e3-3c65-4cbd-bb41-bc965094d10a">
      <Terms xmlns="http://schemas.microsoft.com/office/infopath/2007/PartnerControls"/>
    </lcf76f155ced4ddcb4097134ff3c332f>
    <TaxCatchAll xmlns="376dd4ba-df4a-4846-a89c-1b53ce3cc703" xsi:nil="true"/>
  </documentManagement>
</p:properties>
</file>

<file path=customXml/itemProps1.xml><?xml version="1.0" encoding="utf-8"?>
<ds:datastoreItem xmlns:ds="http://schemas.openxmlformats.org/officeDocument/2006/customXml" ds:itemID="{3332EF19-CAA8-40CB-BE44-1950B5435D1E}"/>
</file>

<file path=customXml/itemProps2.xml><?xml version="1.0" encoding="utf-8"?>
<ds:datastoreItem xmlns:ds="http://schemas.openxmlformats.org/officeDocument/2006/customXml" ds:itemID="{D3D0F088-88C0-4290-9542-775674C18C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49E2FF-16FD-4D2B-8295-C446092386EC}">
  <ds:schemaRefs>
    <ds:schemaRef ds:uri="http://schemas.microsoft.com/office/2006/metadata/properties"/>
    <ds:schemaRef ds:uri="http://schemas.microsoft.com/office/infopath/2007/PartnerControls"/>
    <ds:schemaRef ds:uri="14bbb3e3-3c65-4cbd-bb41-bc965094d10a"/>
    <ds:schemaRef ds:uri="376dd4ba-df4a-4846-a89c-1b53ce3cc7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BAW-FD</vt:lpstr>
      <vt:lpstr>BAW-FD equations</vt:lpstr>
      <vt:lpstr>data</vt:lpstr>
      <vt:lpstr>Dimensions</vt:lpstr>
      <vt:lpstr>Selection Summary</vt:lpstr>
      <vt:lpstr>adpi.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Smartair Diffusion</dc:creator>
  <cp:lastModifiedBy>Peter Tran</cp:lastModifiedBy>
  <cp:lastPrinted>2017-06-26T04:13:07Z</cp:lastPrinted>
  <dcterms:created xsi:type="dcterms:W3CDTF">2016-09-15T03:33:21Z</dcterms:created>
  <dcterms:modified xsi:type="dcterms:W3CDTF">2025-11-19T11:31:45Z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0x010100E34504A946ECCA4C952722432686889E</vt:lpwstr>
  </property>
  <property fmtid="{D5CDD505-2E9C-101B-9397-08002B2CF9AE}" pid="3" name="Order">
    <vt:r8>4889600</vt:r8>
  </property>
  <property fmtid="{D5CDD505-2E9C-101B-9397-08002B2CF9AE}" pid="4" name="MediaServiceImageTags">
    <vt:lpwstr/>
  </property>
</Properties>
</file>