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eter.tran\Documents\ASF-AD\"/>
    </mc:Choice>
  </mc:AlternateContent>
  <bookViews>
    <workbookView xWindow="0" yWindow="0" windowWidth="25140" windowHeight="11910"/>
  </bookViews>
  <sheets>
    <sheet name="ASF-AD" sheetId="1" r:id="rId1"/>
    <sheet name="ASF-ADequations" sheetId="5" state="hidden" r:id="rId2"/>
    <sheet name="ASF-AD Acoustic Data" sheetId="6" r:id="rId3"/>
  </sheets>
  <definedNames>
    <definedName name="adpi.">#REF!</definedName>
  </definedNames>
  <calcPr calcId="152511" concurrentCalc="0"/>
</workbook>
</file>

<file path=xl/calcChain.xml><?xml version="1.0" encoding="utf-8"?>
<calcChain xmlns="http://schemas.openxmlformats.org/spreadsheetml/2006/main">
  <c r="E26" i="1" l="1"/>
  <c r="C10" i="5"/>
  <c r="D133" i="5"/>
  <c r="C133" i="5"/>
  <c r="C135" i="5"/>
  <c r="C132" i="5"/>
  <c r="C136" i="5"/>
  <c r="B139" i="5"/>
  <c r="D31" i="1"/>
  <c r="C134" i="5"/>
  <c r="C137" i="5"/>
  <c r="D137" i="5"/>
  <c r="D136" i="5"/>
  <c r="D135" i="5"/>
  <c r="D134" i="5"/>
  <c r="D132" i="5"/>
  <c r="B4" i="5"/>
  <c r="B8" i="5"/>
  <c r="L17" i="5"/>
  <c r="M17" i="5"/>
  <c r="J17" i="5"/>
  <c r="B36" i="5"/>
  <c r="C36" i="5"/>
  <c r="L36" i="5"/>
  <c r="L50" i="5"/>
  <c r="D36" i="5"/>
  <c r="M36" i="5"/>
  <c r="M50" i="5"/>
  <c r="E36" i="5"/>
  <c r="N36" i="5"/>
  <c r="N50" i="5"/>
  <c r="F36" i="5"/>
  <c r="O36" i="5"/>
  <c r="O50" i="5"/>
  <c r="G36" i="5"/>
  <c r="P36" i="5"/>
  <c r="P50" i="5"/>
  <c r="H36" i="5"/>
  <c r="Q36" i="5"/>
  <c r="Q50" i="5"/>
  <c r="R50" i="5"/>
  <c r="T17" i="5"/>
  <c r="U17" i="5"/>
  <c r="R17" i="5"/>
  <c r="B37" i="5"/>
  <c r="C37" i="5"/>
  <c r="L37" i="5"/>
  <c r="L51" i="5"/>
  <c r="D37" i="5"/>
  <c r="M37" i="5"/>
  <c r="M51" i="5"/>
  <c r="E37" i="5"/>
  <c r="N37" i="5"/>
  <c r="N51" i="5"/>
  <c r="F37" i="5"/>
  <c r="O37" i="5"/>
  <c r="O51" i="5"/>
  <c r="G37" i="5"/>
  <c r="P37" i="5"/>
  <c r="P51" i="5"/>
  <c r="H37" i="5"/>
  <c r="Q37" i="5"/>
  <c r="Q51" i="5"/>
  <c r="R51" i="5"/>
  <c r="AB17" i="5"/>
  <c r="AC17" i="5"/>
  <c r="Z17" i="5"/>
  <c r="B38" i="5"/>
  <c r="C38" i="5"/>
  <c r="L38" i="5"/>
  <c r="L52" i="5"/>
  <c r="D38" i="5"/>
  <c r="M38" i="5"/>
  <c r="M52" i="5"/>
  <c r="E38" i="5"/>
  <c r="N38" i="5"/>
  <c r="N52" i="5"/>
  <c r="F38" i="5"/>
  <c r="O38" i="5"/>
  <c r="O52" i="5"/>
  <c r="G38" i="5"/>
  <c r="P38" i="5"/>
  <c r="P52" i="5"/>
  <c r="H38" i="5"/>
  <c r="Q38" i="5"/>
  <c r="Q52" i="5"/>
  <c r="R52" i="5"/>
  <c r="AJ17" i="5"/>
  <c r="AK17" i="5"/>
  <c r="AH17" i="5"/>
  <c r="B39" i="5"/>
  <c r="C39" i="5"/>
  <c r="L39" i="5"/>
  <c r="L53" i="5"/>
  <c r="D39" i="5"/>
  <c r="M39" i="5"/>
  <c r="M53" i="5"/>
  <c r="E39" i="5"/>
  <c r="N39" i="5"/>
  <c r="N53" i="5"/>
  <c r="F39" i="5"/>
  <c r="O39" i="5"/>
  <c r="O53" i="5"/>
  <c r="G39" i="5"/>
  <c r="P39" i="5"/>
  <c r="P53" i="5"/>
  <c r="H39" i="5"/>
  <c r="Q39" i="5"/>
  <c r="Q53" i="5"/>
  <c r="R53" i="5"/>
  <c r="B17" i="5"/>
  <c r="B35" i="5"/>
  <c r="C35" i="5"/>
  <c r="L35" i="5"/>
  <c r="L49" i="5"/>
  <c r="D35" i="5"/>
  <c r="M35" i="5"/>
  <c r="M49" i="5"/>
  <c r="E35" i="5"/>
  <c r="N35" i="5"/>
  <c r="N49" i="5"/>
  <c r="F35" i="5"/>
  <c r="O35" i="5"/>
  <c r="O49" i="5"/>
  <c r="G35" i="5"/>
  <c r="P35" i="5"/>
  <c r="P49" i="5"/>
  <c r="H35" i="5"/>
  <c r="Q35" i="5"/>
  <c r="Q49" i="5"/>
  <c r="R49" i="5"/>
  <c r="AZ17" i="5"/>
  <c r="AX17" i="5"/>
  <c r="B74" i="5"/>
  <c r="C74" i="5"/>
  <c r="L74" i="5"/>
  <c r="L86" i="5"/>
  <c r="D74" i="5"/>
  <c r="M74" i="5"/>
  <c r="M86" i="5"/>
  <c r="E74" i="5"/>
  <c r="N74" i="5"/>
  <c r="N86" i="5"/>
  <c r="F74" i="5"/>
  <c r="O74" i="5"/>
  <c r="O86" i="5"/>
  <c r="G74" i="5"/>
  <c r="P74" i="5"/>
  <c r="P86" i="5"/>
  <c r="H74" i="5"/>
  <c r="Q74" i="5"/>
  <c r="Q86" i="5"/>
  <c r="R86" i="5"/>
  <c r="BH17" i="5"/>
  <c r="BF17" i="5"/>
  <c r="B75" i="5"/>
  <c r="C75" i="5"/>
  <c r="L75" i="5"/>
  <c r="L87" i="5"/>
  <c r="D75" i="5"/>
  <c r="M75" i="5"/>
  <c r="M87" i="5"/>
  <c r="E75" i="5"/>
  <c r="N75" i="5"/>
  <c r="N87" i="5"/>
  <c r="F75" i="5"/>
  <c r="O75" i="5"/>
  <c r="O87" i="5"/>
  <c r="G75" i="5"/>
  <c r="P75" i="5"/>
  <c r="P87" i="5"/>
  <c r="H75" i="5"/>
  <c r="Q75" i="5"/>
  <c r="Q87" i="5"/>
  <c r="R87" i="5"/>
  <c r="BP17" i="5"/>
  <c r="BN17" i="5"/>
  <c r="B76" i="5"/>
  <c r="C76" i="5"/>
  <c r="L76" i="5"/>
  <c r="L88" i="5"/>
  <c r="D76" i="5"/>
  <c r="M76" i="5"/>
  <c r="M88" i="5"/>
  <c r="E76" i="5"/>
  <c r="N76" i="5"/>
  <c r="N88" i="5"/>
  <c r="F76" i="5"/>
  <c r="O76" i="5"/>
  <c r="O88" i="5"/>
  <c r="G76" i="5"/>
  <c r="P76" i="5"/>
  <c r="P88" i="5"/>
  <c r="H76" i="5"/>
  <c r="Q76" i="5"/>
  <c r="Q88" i="5"/>
  <c r="R88" i="5"/>
  <c r="AR17" i="5"/>
  <c r="AP17" i="5"/>
  <c r="B73" i="5"/>
  <c r="C73" i="5"/>
  <c r="L73" i="5"/>
  <c r="L85" i="5"/>
  <c r="D73" i="5"/>
  <c r="M73" i="5"/>
  <c r="M85" i="5"/>
  <c r="E73" i="5"/>
  <c r="N73" i="5"/>
  <c r="N85" i="5"/>
  <c r="F73" i="5"/>
  <c r="O73" i="5"/>
  <c r="O85" i="5"/>
  <c r="G73" i="5"/>
  <c r="P73" i="5"/>
  <c r="P85" i="5"/>
  <c r="H73" i="5"/>
  <c r="Q73" i="5"/>
  <c r="Q85" i="5"/>
  <c r="R85" i="5"/>
  <c r="AH16" i="5"/>
  <c r="F26" i="5"/>
  <c r="H20" i="1"/>
  <c r="Z16" i="5"/>
  <c r="E26" i="5"/>
  <c r="G20" i="1"/>
  <c r="R16" i="5"/>
  <c r="D26" i="5"/>
  <c r="F20" i="1"/>
  <c r="J16" i="5"/>
  <c r="C26" i="5"/>
  <c r="E20" i="1"/>
  <c r="B16" i="5"/>
  <c r="B26" i="5"/>
  <c r="D20" i="1"/>
  <c r="BN16" i="5"/>
  <c r="BF16" i="5"/>
  <c r="AX16" i="5"/>
  <c r="AP16" i="5"/>
  <c r="B27" i="5"/>
  <c r="D26" i="6"/>
  <c r="E26" i="6"/>
  <c r="F26" i="6"/>
  <c r="C46" i="5"/>
  <c r="D46" i="5"/>
  <c r="E46" i="5"/>
  <c r="F46" i="5"/>
  <c r="G46" i="5"/>
  <c r="H46" i="5"/>
  <c r="I46" i="5"/>
  <c r="AH14" i="5"/>
  <c r="C45" i="5"/>
  <c r="D45" i="5"/>
  <c r="E45" i="5"/>
  <c r="F45" i="5"/>
  <c r="G45" i="5"/>
  <c r="H45" i="5"/>
  <c r="I45" i="5"/>
  <c r="Z14" i="5"/>
  <c r="C44" i="5"/>
  <c r="D44" i="5"/>
  <c r="E44" i="5"/>
  <c r="F44" i="5"/>
  <c r="G44" i="5"/>
  <c r="H44" i="5"/>
  <c r="I44" i="5"/>
  <c r="R14" i="5"/>
  <c r="C43" i="5"/>
  <c r="D43" i="5"/>
  <c r="E43" i="5"/>
  <c r="F43" i="5"/>
  <c r="G43" i="5"/>
  <c r="H43" i="5"/>
  <c r="I43" i="5"/>
  <c r="J14" i="5"/>
  <c r="C42" i="5"/>
  <c r="D42" i="5"/>
  <c r="E42" i="5"/>
  <c r="F42" i="5"/>
  <c r="G42" i="5"/>
  <c r="H42" i="5"/>
  <c r="I42" i="5"/>
  <c r="B14" i="5"/>
  <c r="C82" i="5"/>
  <c r="D82" i="5"/>
  <c r="E82" i="5"/>
  <c r="F82" i="5"/>
  <c r="G82" i="5"/>
  <c r="H82" i="5"/>
  <c r="I82" i="5"/>
  <c r="BN14" i="5"/>
  <c r="C81" i="5"/>
  <c r="D81" i="5"/>
  <c r="E81" i="5"/>
  <c r="F81" i="5"/>
  <c r="G81" i="5"/>
  <c r="H81" i="5"/>
  <c r="I81" i="5"/>
  <c r="BF14" i="5"/>
  <c r="C80" i="5"/>
  <c r="D80" i="5"/>
  <c r="E80" i="5"/>
  <c r="F80" i="5"/>
  <c r="G80" i="5"/>
  <c r="H80" i="5"/>
  <c r="I80" i="5"/>
  <c r="AX14" i="5"/>
  <c r="C79" i="5"/>
  <c r="D79" i="5"/>
  <c r="E79" i="5"/>
  <c r="F79" i="5"/>
  <c r="G79" i="5"/>
  <c r="H79" i="5"/>
  <c r="I79" i="5"/>
  <c r="AP14" i="5"/>
  <c r="L109" i="6"/>
  <c r="M109" i="6"/>
  <c r="N109" i="6"/>
  <c r="O109" i="6"/>
  <c r="P109" i="6"/>
  <c r="Q109" i="6"/>
  <c r="L81" i="6"/>
  <c r="M81" i="6"/>
  <c r="N81" i="6"/>
  <c r="O81" i="6"/>
  <c r="P81" i="6"/>
  <c r="Q81" i="6"/>
  <c r="L54" i="6"/>
  <c r="M54" i="6"/>
  <c r="N54" i="6"/>
  <c r="O54" i="6"/>
  <c r="P54" i="6"/>
  <c r="Q54" i="6"/>
  <c r="L26" i="6"/>
  <c r="M26" i="6"/>
  <c r="N26" i="6"/>
  <c r="O26" i="6"/>
  <c r="P26" i="6"/>
  <c r="Q26" i="6"/>
  <c r="D139" i="6"/>
  <c r="E139" i="6"/>
  <c r="F139" i="6"/>
  <c r="G139" i="6"/>
  <c r="H139" i="6"/>
  <c r="I139" i="6"/>
  <c r="D110" i="6"/>
  <c r="E110" i="6"/>
  <c r="F110" i="6"/>
  <c r="G110" i="6"/>
  <c r="H110" i="6"/>
  <c r="I110" i="6"/>
  <c r="D81" i="6"/>
  <c r="E81" i="6"/>
  <c r="F81" i="6"/>
  <c r="G81" i="6"/>
  <c r="H81" i="6"/>
  <c r="I81" i="6"/>
  <c r="D54" i="6"/>
  <c r="E54" i="6"/>
  <c r="F54" i="6"/>
  <c r="G54" i="6"/>
  <c r="H54" i="6"/>
  <c r="I54" i="6"/>
  <c r="G26" i="6"/>
  <c r="H26" i="6"/>
  <c r="I26" i="6"/>
  <c r="C86" i="5"/>
  <c r="C93" i="5"/>
  <c r="L59" i="6"/>
  <c r="L118" i="6"/>
  <c r="L82" i="5"/>
  <c r="M82" i="5"/>
  <c r="N82" i="5"/>
  <c r="O82" i="5"/>
  <c r="P82" i="5"/>
  <c r="Q82" i="5"/>
  <c r="R82" i="5"/>
  <c r="L117" i="6"/>
  <c r="L116" i="6"/>
  <c r="L90" i="6"/>
  <c r="L81" i="5"/>
  <c r="M81" i="5"/>
  <c r="N81" i="5"/>
  <c r="O81" i="5"/>
  <c r="P81" i="5"/>
  <c r="Q81" i="5"/>
  <c r="R81" i="5"/>
  <c r="L89" i="6"/>
  <c r="L88" i="6"/>
  <c r="L62" i="6"/>
  <c r="L80" i="5"/>
  <c r="M80" i="5"/>
  <c r="N80" i="5"/>
  <c r="O80" i="5"/>
  <c r="P80" i="5"/>
  <c r="Q80" i="5"/>
  <c r="R80" i="5"/>
  <c r="L61" i="6"/>
  <c r="H88" i="5"/>
  <c r="H95" i="5"/>
  <c r="G88" i="5"/>
  <c r="G95" i="5"/>
  <c r="F88" i="5"/>
  <c r="F95" i="5"/>
  <c r="E88" i="5"/>
  <c r="E95" i="5"/>
  <c r="D88" i="5"/>
  <c r="D95" i="5"/>
  <c r="C88" i="5"/>
  <c r="C95" i="5"/>
  <c r="H87" i="5"/>
  <c r="H94" i="5"/>
  <c r="G87" i="5"/>
  <c r="G94" i="5"/>
  <c r="F87" i="5"/>
  <c r="F94" i="5"/>
  <c r="E87" i="5"/>
  <c r="E94" i="5"/>
  <c r="D87" i="5"/>
  <c r="D94" i="5"/>
  <c r="C87" i="5"/>
  <c r="C94" i="5"/>
  <c r="H86" i="5"/>
  <c r="H93" i="5"/>
  <c r="G86" i="5"/>
  <c r="G93" i="5"/>
  <c r="F86" i="5"/>
  <c r="F93" i="5"/>
  <c r="E86" i="5"/>
  <c r="E93" i="5"/>
  <c r="D86" i="5"/>
  <c r="D93" i="5"/>
  <c r="H85" i="5"/>
  <c r="H92" i="5"/>
  <c r="G85" i="5"/>
  <c r="G92" i="5"/>
  <c r="F85" i="5"/>
  <c r="F92" i="5"/>
  <c r="E85" i="5"/>
  <c r="E92" i="5"/>
  <c r="D85" i="5"/>
  <c r="D92" i="5"/>
  <c r="C85" i="5"/>
  <c r="C92" i="5"/>
  <c r="L79" i="5"/>
  <c r="M79" i="5"/>
  <c r="N79" i="5"/>
  <c r="O79" i="5"/>
  <c r="P79" i="5"/>
  <c r="Q79" i="5"/>
  <c r="R79" i="5"/>
  <c r="B88" i="5"/>
  <c r="B87" i="5"/>
  <c r="B86" i="5"/>
  <c r="B85" i="5"/>
  <c r="G54" i="5"/>
  <c r="H54" i="5"/>
  <c r="G53" i="5"/>
  <c r="H53" i="5"/>
  <c r="G52" i="5"/>
  <c r="H52" i="5"/>
  <c r="G51" i="5"/>
  <c r="H51" i="5"/>
  <c r="G50" i="5"/>
  <c r="H50" i="5"/>
  <c r="P46" i="5"/>
  <c r="Q46" i="5"/>
  <c r="L46" i="5"/>
  <c r="M46" i="5"/>
  <c r="N46" i="5"/>
  <c r="O46" i="5"/>
  <c r="R46" i="5"/>
  <c r="H61" i="5"/>
  <c r="G61" i="5"/>
  <c r="F54" i="5"/>
  <c r="F61" i="5"/>
  <c r="E54" i="5"/>
  <c r="E61" i="5"/>
  <c r="D54" i="5"/>
  <c r="D61" i="5"/>
  <c r="C54" i="5"/>
  <c r="C61" i="5"/>
  <c r="P45" i="5"/>
  <c r="Q45" i="5"/>
  <c r="L45" i="5"/>
  <c r="M45" i="5"/>
  <c r="N45" i="5"/>
  <c r="O45" i="5"/>
  <c r="R45" i="5"/>
  <c r="H60" i="5"/>
  <c r="G60" i="5"/>
  <c r="F53" i="5"/>
  <c r="F60" i="5"/>
  <c r="E53" i="5"/>
  <c r="E60" i="5"/>
  <c r="D53" i="5"/>
  <c r="D60" i="5"/>
  <c r="C53" i="5"/>
  <c r="C60" i="5"/>
  <c r="P44" i="5"/>
  <c r="Q44" i="5"/>
  <c r="L44" i="5"/>
  <c r="M44" i="5"/>
  <c r="N44" i="5"/>
  <c r="O44" i="5"/>
  <c r="R44" i="5"/>
  <c r="H59" i="5"/>
  <c r="G59" i="5"/>
  <c r="F52" i="5"/>
  <c r="F59" i="5"/>
  <c r="E52" i="5"/>
  <c r="E59" i="5"/>
  <c r="D52" i="5"/>
  <c r="D59" i="5"/>
  <c r="C52" i="5"/>
  <c r="C59" i="5"/>
  <c r="P43" i="5"/>
  <c r="Q43" i="5"/>
  <c r="L43" i="5"/>
  <c r="M43" i="5"/>
  <c r="N43" i="5"/>
  <c r="O43" i="5"/>
  <c r="R43" i="5"/>
  <c r="H58" i="5"/>
  <c r="G58" i="5"/>
  <c r="F51" i="5"/>
  <c r="F58" i="5"/>
  <c r="E51" i="5"/>
  <c r="E58" i="5"/>
  <c r="D51" i="5"/>
  <c r="D58" i="5"/>
  <c r="C51" i="5"/>
  <c r="C58" i="5"/>
  <c r="P42" i="5"/>
  <c r="Q42" i="5"/>
  <c r="L42" i="5"/>
  <c r="M42" i="5"/>
  <c r="N42" i="5"/>
  <c r="O42" i="5"/>
  <c r="R42" i="5"/>
  <c r="H57" i="5"/>
  <c r="G57" i="5"/>
  <c r="F50" i="5"/>
  <c r="F57" i="5"/>
  <c r="E50" i="5"/>
  <c r="E57" i="5"/>
  <c r="D50" i="5"/>
  <c r="D57" i="5"/>
  <c r="C50" i="5"/>
  <c r="C57" i="5"/>
  <c r="H49" i="5"/>
  <c r="G49" i="5"/>
  <c r="F49" i="5"/>
  <c r="E49" i="5"/>
  <c r="D49" i="5"/>
  <c r="C49" i="5"/>
  <c r="B9" i="5"/>
  <c r="F28" i="5"/>
  <c r="E28" i="5"/>
  <c r="D28" i="5"/>
  <c r="C28" i="5"/>
  <c r="B28" i="5"/>
  <c r="BN27" i="5"/>
  <c r="BF27" i="5"/>
  <c r="AX27" i="5"/>
  <c r="AP27" i="5"/>
  <c r="F27" i="5"/>
  <c r="E27" i="5"/>
  <c r="D27" i="5"/>
  <c r="C27" i="5"/>
  <c r="BN25" i="5"/>
  <c r="BF25" i="5"/>
  <c r="AX25" i="5"/>
  <c r="AP25" i="5"/>
  <c r="F24" i="5"/>
  <c r="F25" i="5"/>
  <c r="E24" i="5"/>
  <c r="E25" i="5"/>
  <c r="D24" i="5"/>
  <c r="D25" i="5"/>
  <c r="C24" i="5"/>
  <c r="C25" i="5"/>
  <c r="B24" i="5"/>
  <c r="B25" i="5"/>
  <c r="BN24" i="5"/>
  <c r="BF24" i="5"/>
  <c r="AX24" i="5"/>
  <c r="AP24" i="5"/>
  <c r="BN23" i="5"/>
  <c r="BF23" i="5"/>
  <c r="AX23" i="5"/>
  <c r="AP23" i="5"/>
  <c r="F23" i="5"/>
  <c r="E23" i="5"/>
  <c r="D23" i="5"/>
  <c r="C23" i="5"/>
  <c r="B23" i="5"/>
  <c r="BN22" i="5"/>
  <c r="BF22" i="5"/>
  <c r="AX22" i="5"/>
  <c r="AP22" i="5"/>
  <c r="BN21" i="5"/>
  <c r="BF21" i="5"/>
  <c r="AX21" i="5"/>
  <c r="AP21" i="5"/>
  <c r="BN20" i="5"/>
  <c r="BF20" i="5"/>
  <c r="AX20" i="5"/>
  <c r="AP20" i="5"/>
  <c r="AH19" i="5"/>
  <c r="Z19" i="5"/>
  <c r="R19" i="5"/>
  <c r="J19" i="5"/>
  <c r="D17" i="5"/>
  <c r="D146" i="6"/>
  <c r="D145" i="6"/>
  <c r="D144" i="6"/>
  <c r="I143" i="6"/>
  <c r="H143" i="6"/>
  <c r="G143" i="6"/>
  <c r="F143" i="6"/>
  <c r="E143" i="6"/>
  <c r="D143" i="6"/>
  <c r="D118" i="6"/>
  <c r="D117" i="6"/>
  <c r="D116" i="6"/>
  <c r="Q115" i="6"/>
  <c r="P115" i="6"/>
  <c r="O115" i="6"/>
  <c r="N115" i="6"/>
  <c r="M115" i="6"/>
  <c r="L115" i="6"/>
  <c r="I115" i="6"/>
  <c r="H115" i="6"/>
  <c r="G115" i="6"/>
  <c r="F115" i="6"/>
  <c r="E115" i="6"/>
  <c r="D115" i="6"/>
  <c r="D90" i="6"/>
  <c r="D89" i="6"/>
  <c r="D88" i="6"/>
  <c r="Q87" i="6"/>
  <c r="P87" i="6"/>
  <c r="O87" i="6"/>
  <c r="N87" i="6"/>
  <c r="M87" i="6"/>
  <c r="L87" i="6"/>
  <c r="I87" i="6"/>
  <c r="H87" i="6"/>
  <c r="G87" i="6"/>
  <c r="F87" i="6"/>
  <c r="E87" i="6"/>
  <c r="D87" i="6"/>
  <c r="L60" i="6"/>
  <c r="D62" i="6"/>
  <c r="D61" i="6"/>
  <c r="D60" i="6"/>
  <c r="Q59" i="6"/>
  <c r="P59" i="6"/>
  <c r="O59" i="6"/>
  <c r="N59" i="6"/>
  <c r="M59" i="6"/>
  <c r="I59" i="6"/>
  <c r="H59" i="6"/>
  <c r="G59" i="6"/>
  <c r="F59" i="6"/>
  <c r="E59" i="6"/>
  <c r="D59" i="6"/>
  <c r="L34" i="6"/>
  <c r="D34" i="6"/>
  <c r="L33" i="6"/>
  <c r="D33" i="6"/>
  <c r="L32" i="6"/>
  <c r="D32" i="6"/>
  <c r="Q31" i="6"/>
  <c r="P31" i="6"/>
  <c r="O31" i="6"/>
  <c r="N31" i="6"/>
  <c r="M31" i="6"/>
  <c r="L31" i="6"/>
  <c r="I31" i="6"/>
  <c r="H31" i="6"/>
  <c r="G31" i="6"/>
  <c r="F31" i="6"/>
  <c r="E31" i="6"/>
  <c r="D31" i="6"/>
  <c r="H22" i="1"/>
  <c r="G22" i="1"/>
  <c r="F22" i="1"/>
  <c r="E22" i="1"/>
  <c r="D22" i="1"/>
  <c r="H21" i="1"/>
  <c r="G21" i="1"/>
  <c r="F21" i="1"/>
  <c r="E21" i="1"/>
  <c r="D21" i="1"/>
  <c r="H19" i="1"/>
  <c r="G19" i="1"/>
  <c r="F19" i="1"/>
  <c r="E19" i="1"/>
  <c r="D19" i="1"/>
  <c r="H18" i="1"/>
  <c r="G18" i="1"/>
  <c r="F18" i="1"/>
  <c r="E18" i="1"/>
  <c r="D18" i="1"/>
  <c r="H17" i="1"/>
  <c r="G17" i="1"/>
  <c r="F17" i="1"/>
  <c r="E17" i="1"/>
  <c r="D17" i="1"/>
</calcChain>
</file>

<file path=xl/sharedStrings.xml><?xml version="1.0" encoding="utf-8"?>
<sst xmlns="http://schemas.openxmlformats.org/spreadsheetml/2006/main" count="263" uniqueCount="120">
  <si>
    <t>Inputs</t>
  </si>
  <si>
    <t>Airflow Rate</t>
  </si>
  <si>
    <t>Input Values</t>
  </si>
  <si>
    <t>Results</t>
  </si>
  <si>
    <r>
      <t xml:space="preserve">SMARTEMP </t>
    </r>
    <r>
      <rPr>
        <sz val="14"/>
        <color rgb="FFFF9900"/>
        <rFont val="Calibri"/>
        <family val="2"/>
        <scheme val="minor"/>
      </rPr>
      <t>PRODUCT SELECTION CALCULATOR</t>
    </r>
  </si>
  <si>
    <t>L/s</t>
  </si>
  <si>
    <t>Total Pressure Loss (Pa)</t>
  </si>
  <si>
    <t>SPL (dB(A))</t>
  </si>
  <si>
    <t>click to see product on smartair.asia</t>
  </si>
  <si>
    <t>Maximum Permissible Pressure</t>
  </si>
  <si>
    <t>Pa</t>
  </si>
  <si>
    <t>Sound Power Level (dB(A))</t>
  </si>
  <si>
    <t>Auditorium Floor Swirl Diffuser [ASF-AD]</t>
  </si>
  <si>
    <t>Basket A1</t>
  </si>
  <si>
    <t>Basket A2</t>
  </si>
  <si>
    <t>Basket</t>
  </si>
  <si>
    <t>A1</t>
  </si>
  <si>
    <t>A2</t>
  </si>
  <si>
    <t>V</t>
  </si>
  <si>
    <t>A4</t>
  </si>
  <si>
    <t>For assembly halls with non-critical acoustical criteria, such as lecture theatres.</t>
  </si>
  <si>
    <t>For acoustically stringent assembly halls such as opera houses.</t>
  </si>
  <si>
    <t>Max Permissible Pressure Loss (Pa)</t>
  </si>
  <si>
    <t>Max pressure</t>
  </si>
  <si>
    <t>Max Pressure</t>
  </si>
  <si>
    <t xml:space="preserve">Key: </t>
  </si>
  <si>
    <t>Suitable</t>
  </si>
  <si>
    <t>Not Suitable</t>
  </si>
  <si>
    <t>SWL (dB(A))</t>
  </si>
  <si>
    <t>SWL</t>
  </si>
  <si>
    <t>P</t>
  </si>
  <si>
    <t>Q</t>
  </si>
  <si>
    <t>dB</t>
  </si>
  <si>
    <t>Acoustic A2</t>
  </si>
  <si>
    <t>125 Hz</t>
  </si>
  <si>
    <t>4000 Hz</t>
  </si>
  <si>
    <t>2000 Hz</t>
  </si>
  <si>
    <t>1000 Hz</t>
  </si>
  <si>
    <t>500 Hz</t>
  </si>
  <si>
    <t>250 Hz</t>
  </si>
  <si>
    <t>+B</t>
  </si>
  <si>
    <t>A*LOG</t>
  </si>
  <si>
    <t>Acoustic A1</t>
  </si>
  <si>
    <t>NC</t>
  </si>
  <si>
    <t>dBA</t>
  </si>
  <si>
    <t>Validation</t>
  </si>
  <si>
    <t>S Pressure L</t>
  </si>
  <si>
    <t>NC 15</t>
  </si>
  <si>
    <t>NC 20</t>
  </si>
  <si>
    <t>NC 25</t>
  </si>
  <si>
    <t>NC 30</t>
  </si>
  <si>
    <t>NC 35</t>
  </si>
  <si>
    <t>Display</t>
  </si>
  <si>
    <t>SPL</t>
  </si>
  <si>
    <t>Sound Power Level [dB(A)]</t>
  </si>
  <si>
    <t>Sound Pressure Level [dB(A)]</t>
  </si>
  <si>
    <t>Sound Pressure Level [NC]</t>
  </si>
  <si>
    <t>Sound Power Level (dB)</t>
  </si>
  <si>
    <t>Sound Pressure Level (dB(A)) *</t>
  </si>
  <si>
    <t>Sound Pressure Level (NC) *</t>
  </si>
  <si>
    <t>SPL (NC)</t>
  </si>
  <si>
    <t>*</t>
  </si>
  <si>
    <t>Refer to 'ASF-AD Acoustic Data' worksheet for detailed acoustic data</t>
  </si>
  <si>
    <t>Auditorium Floor Swirl Diffuser [ASF-AD] Acoustic Data</t>
  </si>
  <si>
    <t>Basket A1 100% Setting</t>
  </si>
  <si>
    <t>Basket A2 100% Setting</t>
  </si>
  <si>
    <t>Basket A1 80% Setting</t>
  </si>
  <si>
    <t>Basket A2 80% Setting</t>
  </si>
  <si>
    <t>Basket A1 60% Setting</t>
  </si>
  <si>
    <t>Basket A2 60% Setting</t>
  </si>
  <si>
    <t>Basket A1 40% Setting</t>
  </si>
  <si>
    <t>Basket A2 40% Setting</t>
  </si>
  <si>
    <t>Basket A1 20% Setting</t>
  </si>
  <si>
    <t>diffuser per seat</t>
  </si>
  <si>
    <t>Estimated sound pressure level for seated occupant based on one</t>
  </si>
  <si>
    <t>default 20 Pa</t>
  </si>
  <si>
    <t>Copyright © 2017 SMARTAIR DIFFUSION</t>
  </si>
  <si>
    <t>Units</t>
  </si>
  <si>
    <t>Units Type</t>
  </si>
  <si>
    <t>2.4L/s</t>
  </si>
  <si>
    <r>
      <t>m</t>
    </r>
    <r>
      <rPr>
        <vertAlign val="superscript"/>
        <sz val="11"/>
        <color theme="1" tint="0.34998626667073579"/>
        <rFont val="Calibri"/>
        <family val="2"/>
        <scheme val="minor"/>
      </rPr>
      <t>3</t>
    </r>
    <r>
      <rPr>
        <sz val="11"/>
        <color theme="1" tint="0.34998626667073579"/>
        <rFont val="Calibri"/>
        <family val="2"/>
        <scheme val="minor"/>
      </rPr>
      <t>/h</t>
    </r>
  </si>
  <si>
    <t>Units multiplier</t>
  </si>
  <si>
    <t>Product Selection &amp; Code Generator</t>
  </si>
  <si>
    <t>Material</t>
  </si>
  <si>
    <t>Mounting Ring</t>
  </si>
  <si>
    <t>Colour</t>
  </si>
  <si>
    <t>Connection</t>
  </si>
  <si>
    <t>Product Code</t>
  </si>
  <si>
    <t>Aluminium</t>
  </si>
  <si>
    <t>Polycarbonate *</t>
  </si>
  <si>
    <t>No basket</t>
  </si>
  <si>
    <t>No damper</t>
  </si>
  <si>
    <t>No mounting ring</t>
  </si>
  <si>
    <t>v 2.0 [08/2017]</t>
  </si>
  <si>
    <t>No connection *</t>
  </si>
  <si>
    <t>With rubber collar *</t>
  </si>
  <si>
    <t>Product Selection</t>
  </si>
  <si>
    <t>material</t>
  </si>
  <si>
    <t>basket</t>
  </si>
  <si>
    <t>damper</t>
  </si>
  <si>
    <t>mounting ring</t>
  </si>
  <si>
    <t>colour</t>
  </si>
  <si>
    <t>connection</t>
  </si>
  <si>
    <t>Radio</t>
  </si>
  <si>
    <t>Connection box</t>
  </si>
  <si>
    <t>custom ^</t>
  </si>
  <si>
    <t>RAL9005 (jet black)</t>
  </si>
  <si>
    <t>ST * (standard grey/alu)</t>
  </si>
  <si>
    <t>Code</t>
  </si>
  <si>
    <t xml:space="preserve">^ contact Smartair for custom colours </t>
  </si>
  <si>
    <t>* indicates standard/default option</t>
  </si>
  <si>
    <r>
      <t xml:space="preserve">Basket </t>
    </r>
    <r>
      <rPr>
        <vertAlign val="superscript"/>
        <sz val="10"/>
        <color theme="1"/>
        <rFont val="Calibri"/>
        <family val="2"/>
        <scheme val="minor"/>
      </rPr>
      <t>1</t>
    </r>
  </si>
  <si>
    <r>
      <rPr>
        <vertAlign val="superscript"/>
        <sz val="10"/>
        <color theme="1"/>
        <rFont val="Calibri"/>
        <family val="2"/>
        <scheme val="minor"/>
      </rPr>
      <t>1</t>
    </r>
    <r>
      <rPr>
        <sz val="10"/>
        <color theme="1"/>
        <rFont val="Calibri"/>
        <family val="2"/>
        <scheme val="minor"/>
      </rPr>
      <t xml:space="preserve"> only with mounting ring</t>
    </r>
  </si>
  <si>
    <r>
      <t xml:space="preserve">Dampers </t>
    </r>
    <r>
      <rPr>
        <vertAlign val="superscript"/>
        <sz val="10"/>
        <color theme="1"/>
        <rFont val="Calibri"/>
        <family val="2"/>
        <scheme val="minor"/>
      </rPr>
      <t>2</t>
    </r>
  </si>
  <si>
    <r>
      <rPr>
        <vertAlign val="superscript"/>
        <sz val="10"/>
        <color theme="1"/>
        <rFont val="Calibri"/>
        <family val="2"/>
        <scheme val="minor"/>
      </rPr>
      <t>2</t>
    </r>
    <r>
      <rPr>
        <sz val="10"/>
        <color theme="1"/>
        <rFont val="Calibri"/>
        <family val="2"/>
        <scheme val="minor"/>
      </rPr>
      <t xml:space="preserve"> only with basket</t>
    </r>
  </si>
  <si>
    <r>
      <t xml:space="preserve">With claw fastener </t>
    </r>
    <r>
      <rPr>
        <vertAlign val="superscript"/>
        <sz val="10"/>
        <color theme="1"/>
        <rFont val="Calibri"/>
        <family val="2"/>
        <scheme val="minor"/>
      </rPr>
      <t>4</t>
    </r>
  </si>
  <si>
    <r>
      <t>Damper *</t>
    </r>
    <r>
      <rPr>
        <vertAlign val="superscript"/>
        <sz val="10"/>
        <color theme="1"/>
        <rFont val="Calibri"/>
        <family val="2"/>
        <scheme val="minor"/>
      </rPr>
      <t>3</t>
    </r>
  </si>
  <si>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 xml:space="preserve"> damper to be set on-site (by others)</t>
    </r>
  </si>
  <si>
    <r>
      <rPr>
        <vertAlign val="superscript"/>
        <sz val="10"/>
        <color theme="1"/>
        <rFont val="Calibri"/>
        <family val="2"/>
        <scheme val="minor"/>
      </rPr>
      <t xml:space="preserve">4 </t>
    </r>
    <r>
      <rPr>
        <sz val="10"/>
        <color theme="1"/>
        <rFont val="Calibri"/>
        <family val="2"/>
        <scheme val="minor"/>
      </rPr>
      <t>only available with aluminium ring</t>
    </r>
  </si>
  <si>
    <t>Damper Setting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</si>
</sst>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5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1"/>
      <color theme="1" tint="0.499984740745262"/>
      <name val="Calibri"/>
      <family val="2"/>
      <scheme val="minor"/>
    </font>
    <font>
      <b/>
      <sz val="11"/>
      <name val="Calibri"/>
      <family val="2"/>
      <scheme val="minor"/>
    </font>
    <font>
      <sz val="9"/>
      <color theme="1" tint="0.499984740745262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1"/>
      <color theme="3"/>
      <name val="Calibri"/>
      <family val="2"/>
      <scheme val="minor"/>
    </font>
    <font>
      <b/>
      <sz val="16"/>
      <color rgb="FFFF9900"/>
      <name val="Calibri"/>
      <family val="2"/>
      <scheme val="minor"/>
    </font>
    <font>
      <sz val="14"/>
      <color rgb="FFFF9900"/>
      <name val="Calibri"/>
      <family val="2"/>
      <scheme val="minor"/>
    </font>
    <font>
      <b/>
      <sz val="11"/>
      <color theme="0" tint="-0.34998626667073579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2"/>
      <color theme="3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FF9900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9"/>
      <name val="Calibri"/>
      <family val="2"/>
      <scheme val="minor"/>
    </font>
    <font>
      <i/>
      <sz val="10"/>
      <color theme="1" tint="0.499984740745262"/>
      <name val="Calibri"/>
      <family val="2"/>
      <scheme val="minor"/>
    </font>
    <font>
      <b/>
      <sz val="12"/>
      <color theme="0" tint="-0.499984740745262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Arial"/>
      <family val="2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color theme="0" tint="-0.499984740745262"/>
      <name val="Calibri"/>
      <family val="2"/>
      <scheme val="minor"/>
    </font>
    <font>
      <vertAlign val="superscript"/>
      <sz val="11"/>
      <color theme="1" tint="0.34998626667073579"/>
      <name val="Calibri"/>
      <family val="2"/>
      <scheme val="minor"/>
    </font>
    <font>
      <sz val="8"/>
      <color rgb="FF000000"/>
      <name val="Segoe UI"/>
      <family val="2"/>
    </font>
    <font>
      <i/>
      <sz val="12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5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 style="double">
        <color rgb="FFFF8001"/>
      </bottom>
      <diagonal/>
    </border>
    <border>
      <left style="thin">
        <color theme="1" tint="0.14996795556505021"/>
      </left>
      <right/>
      <top style="thin">
        <color theme="1" tint="0.14996795556505021"/>
      </top>
      <bottom/>
      <diagonal/>
    </border>
    <border>
      <left/>
      <right/>
      <top style="thin">
        <color theme="1" tint="0.14996795556505021"/>
      </top>
      <bottom/>
      <diagonal/>
    </border>
    <border>
      <left style="thin">
        <color theme="1" tint="0.14996795556505021"/>
      </left>
      <right/>
      <top/>
      <bottom/>
      <diagonal/>
    </border>
    <border>
      <left/>
      <right/>
      <top/>
      <bottom style="thick">
        <color theme="0" tint="-0.24994659260841701"/>
      </bottom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theme="0" tint="-0.249977111117893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auto="1"/>
      </left>
      <right style="thin">
        <color auto="1"/>
      </right>
      <top/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theme="1"/>
      </top>
      <bottom/>
      <diagonal/>
    </border>
    <border>
      <left/>
      <right/>
      <top/>
      <bottom style="thick">
        <color theme="0" tint="-0.34998626667073579"/>
      </bottom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 style="thin">
        <color theme="1"/>
      </right>
      <top style="thin">
        <color theme="1"/>
      </top>
      <bottom style="thin">
        <color theme="0" tint="-0.34998626667073579"/>
      </bottom>
      <diagonal/>
    </border>
    <border>
      <left/>
      <right style="thin">
        <color theme="1"/>
      </right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1"/>
      </top>
      <bottom style="thin">
        <color theme="0" tint="-0.34998626667073579"/>
      </bottom>
      <diagonal/>
    </border>
    <border>
      <left/>
      <right/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 style="medium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 style="medium">
        <color theme="0" tint="-0.249977111117893"/>
      </top>
      <bottom/>
      <diagonal/>
    </border>
  </borders>
  <cellStyleXfs count="8">
    <xf numFmtId="0" fontId="0" fillId="0" borderId="0"/>
    <xf numFmtId="0" fontId="1" fillId="0" borderId="1" applyNumberFormat="0" applyFill="0" applyAlignment="0" applyProtection="0"/>
    <xf numFmtId="0" fontId="3" fillId="0" borderId="2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0" fillId="0" borderId="16" applyNumberFormat="0" applyFill="0" applyAlignment="0" applyProtection="0"/>
    <xf numFmtId="9" fontId="21" fillId="0" borderId="0" applyFont="0" applyFill="0" applyBorder="0" applyAlignment="0" applyProtection="0"/>
  </cellStyleXfs>
  <cellXfs count="185">
    <xf numFmtId="0" fontId="0" fillId="0" borderId="0" xfId="0"/>
    <xf numFmtId="0" fontId="1" fillId="0" borderId="1" xfId="1"/>
    <xf numFmtId="0" fontId="2" fillId="0" borderId="0" xfId="0" applyFont="1"/>
    <xf numFmtId="11" fontId="0" fillId="0" borderId="0" xfId="0" applyNumberFormat="1"/>
    <xf numFmtId="2" fontId="0" fillId="0" borderId="0" xfId="0" applyNumberFormat="1"/>
    <xf numFmtId="0" fontId="0" fillId="0" borderId="0" xfId="0" applyAlignment="1">
      <alignment horizontal="center" vertical="center"/>
    </xf>
    <xf numFmtId="0" fontId="0" fillId="4" borderId="0" xfId="0" applyFill="1"/>
    <xf numFmtId="0" fontId="0" fillId="0" borderId="0" xfId="0" applyFill="1"/>
    <xf numFmtId="0" fontId="0" fillId="4" borderId="0" xfId="0" applyFill="1" applyAlignment="1">
      <alignment horizontal="right"/>
    </xf>
    <xf numFmtId="0" fontId="0" fillId="4" borderId="0" xfId="0" applyFill="1" applyAlignment="1">
      <alignment horizontal="center"/>
    </xf>
    <xf numFmtId="0" fontId="6" fillId="4" borderId="0" xfId="0" applyFont="1" applyFill="1" applyAlignment="1">
      <alignment horizontal="right"/>
    </xf>
    <xf numFmtId="0" fontId="0" fillId="4" borderId="0" xfId="0" applyFill="1" applyBorder="1"/>
    <xf numFmtId="0" fontId="5" fillId="4" borderId="0" xfId="0" applyFont="1" applyFill="1" applyAlignment="1">
      <alignment horizontal="left" vertical="top"/>
    </xf>
    <xf numFmtId="0" fontId="0" fillId="4" borderId="0" xfId="0" applyFill="1" applyAlignment="1">
      <alignment horizontal="center" vertical="center"/>
    </xf>
    <xf numFmtId="0" fontId="7" fillId="3" borderId="3" xfId="2" applyFont="1" applyFill="1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9" fillId="4" borderId="0" xfId="0" applyFont="1" applyFill="1"/>
    <xf numFmtId="0" fontId="0" fillId="2" borderId="4" xfId="0" applyFill="1" applyBorder="1"/>
    <xf numFmtId="0" fontId="0" fillId="2" borderId="5" xfId="0" applyFill="1" applyBorder="1"/>
    <xf numFmtId="0" fontId="0" fillId="2" borderId="0" xfId="0" applyFill="1" applyBorder="1"/>
    <xf numFmtId="0" fontId="0" fillId="2" borderId="6" xfId="0" applyFill="1" applyBorder="1"/>
    <xf numFmtId="0" fontId="13" fillId="2" borderId="0" xfId="0" applyFont="1" applyFill="1" applyBorder="1"/>
    <xf numFmtId="0" fontId="15" fillId="2" borderId="0" xfId="0" applyFont="1" applyFill="1" applyBorder="1" applyAlignment="1">
      <alignment vertical="center"/>
    </xf>
    <xf numFmtId="0" fontId="16" fillId="2" borderId="0" xfId="3" applyFont="1" applyFill="1" applyBorder="1"/>
    <xf numFmtId="0" fontId="11" fillId="2" borderId="0" xfId="3" applyFill="1" applyBorder="1"/>
    <xf numFmtId="0" fontId="17" fillId="4" borderId="0" xfId="4" applyFont="1" applyFill="1" applyBorder="1"/>
    <xf numFmtId="0" fontId="0" fillId="4" borderId="7" xfId="0" applyFill="1" applyBorder="1"/>
    <xf numFmtId="0" fontId="0" fillId="0" borderId="8" xfId="0" applyBorder="1"/>
    <xf numFmtId="0" fontId="0" fillId="0" borderId="8" xfId="0" applyFill="1" applyBorder="1"/>
    <xf numFmtId="0" fontId="0" fillId="0" borderId="8" xfId="0" applyBorder="1" applyAlignment="1">
      <alignment horizontal="center" vertical="center"/>
    </xf>
    <xf numFmtId="0" fontId="0" fillId="0" borderId="9" xfId="0" applyFill="1" applyBorder="1"/>
    <xf numFmtId="0" fontId="0" fillId="0" borderId="9" xfId="0" applyBorder="1"/>
    <xf numFmtId="0" fontId="0" fillId="0" borderId="9" xfId="0" applyBorder="1" applyAlignment="1">
      <alignment horizontal="center" vertical="center"/>
    </xf>
    <xf numFmtId="0" fontId="0" fillId="0" borderId="0" xfId="0" applyBorder="1"/>
    <xf numFmtId="164" fontId="10" fillId="0" borderId="11" xfId="0" applyNumberFormat="1" applyFont="1" applyBorder="1" applyAlignment="1">
      <alignment horizontal="center" vertical="center"/>
    </xf>
    <xf numFmtId="0" fontId="0" fillId="4" borderId="13" xfId="0" applyFill="1" applyBorder="1"/>
    <xf numFmtId="0" fontId="0" fillId="4" borderId="14" xfId="0" applyFill="1" applyBorder="1" applyAlignment="1">
      <alignment horizontal="right"/>
    </xf>
    <xf numFmtId="0" fontId="0" fillId="4" borderId="14" xfId="0" applyFill="1" applyBorder="1"/>
    <xf numFmtId="0" fontId="0" fillId="4" borderId="14" xfId="0" applyFill="1" applyBorder="1" applyAlignment="1">
      <alignment vertical="center"/>
    </xf>
    <xf numFmtId="0" fontId="8" fillId="4" borderId="14" xfId="0" applyFont="1" applyFill="1" applyBorder="1" applyAlignment="1">
      <alignment horizontal="right" vertical="center"/>
    </xf>
    <xf numFmtId="0" fontId="8" fillId="4" borderId="14" xfId="0" applyFont="1" applyFill="1" applyBorder="1" applyAlignment="1">
      <alignment vertical="center"/>
    </xf>
    <xf numFmtId="0" fontId="0" fillId="4" borderId="15" xfId="0" applyFill="1" applyBorder="1"/>
    <xf numFmtId="0" fontId="6" fillId="4" borderId="0" xfId="0" applyFont="1" applyFill="1" applyAlignment="1">
      <alignment horizontal="right"/>
    </xf>
    <xf numFmtId="0" fontId="0" fillId="4" borderId="0" xfId="0" applyFill="1" applyAlignment="1">
      <alignment horizontal="center"/>
    </xf>
    <xf numFmtId="0" fontId="20" fillId="0" borderId="16" xfId="6"/>
    <xf numFmtId="0" fontId="0" fillId="4" borderId="17" xfId="0" applyFill="1" applyBorder="1"/>
    <xf numFmtId="0" fontId="19" fillId="2" borderId="0" xfId="5" applyFont="1" applyFill="1" applyBorder="1" applyAlignment="1">
      <alignment vertical="center"/>
    </xf>
    <xf numFmtId="0" fontId="19" fillId="2" borderId="18" xfId="5" applyFont="1" applyFill="1" applyBorder="1" applyAlignment="1">
      <alignment vertical="center"/>
    </xf>
    <xf numFmtId="9" fontId="0" fillId="0" borderId="0" xfId="0" applyNumberFormat="1"/>
    <xf numFmtId="9" fontId="2" fillId="0" borderId="0" xfId="0" applyNumberFormat="1" applyFont="1"/>
    <xf numFmtId="9" fontId="0" fillId="0" borderId="0" xfId="7" applyFont="1"/>
    <xf numFmtId="9" fontId="10" fillId="0" borderId="10" xfId="0" applyNumberFormat="1" applyFont="1" applyBorder="1" applyAlignment="1">
      <alignment horizontal="center" vertical="center"/>
    </xf>
    <xf numFmtId="0" fontId="23" fillId="4" borderId="0" xfId="0" applyFont="1" applyFill="1" applyAlignment="1">
      <alignment horizontal="left"/>
    </xf>
    <xf numFmtId="0" fontId="6" fillId="4" borderId="0" xfId="0" applyFont="1" applyFill="1" applyAlignment="1">
      <alignment horizontal="center"/>
    </xf>
    <xf numFmtId="0" fontId="10" fillId="4" borderId="20" xfId="0" applyFont="1" applyFill="1" applyBorder="1" applyAlignment="1">
      <alignment horizontal="left" vertical="center"/>
    </xf>
    <xf numFmtId="0" fontId="24" fillId="4" borderId="0" xfId="0" applyFont="1" applyFill="1" applyBorder="1" applyAlignment="1">
      <alignment horizontal="left" vertical="center"/>
    </xf>
    <xf numFmtId="164" fontId="24" fillId="0" borderId="12" xfId="0" applyNumberFormat="1" applyFont="1" applyBorder="1" applyAlignment="1">
      <alignment horizontal="center" vertical="center"/>
    </xf>
    <xf numFmtId="164" fontId="24" fillId="0" borderId="11" xfId="0" applyNumberFormat="1" applyFont="1" applyBorder="1" applyAlignment="1">
      <alignment horizontal="center" vertical="center"/>
    </xf>
    <xf numFmtId="0" fontId="25" fillId="4" borderId="0" xfId="0" applyFont="1" applyFill="1" applyBorder="1" applyAlignment="1">
      <alignment horizontal="right" vertical="center"/>
    </xf>
    <xf numFmtId="0" fontId="25" fillId="3" borderId="21" xfId="0" applyFont="1" applyFill="1" applyBorder="1" applyAlignment="1">
      <alignment horizontal="center" vertical="center"/>
    </xf>
    <xf numFmtId="0" fontId="25" fillId="5" borderId="21" xfId="0" applyFont="1" applyFill="1" applyBorder="1" applyAlignment="1">
      <alignment horizontal="center" vertical="center"/>
    </xf>
    <xf numFmtId="0" fontId="10" fillId="4" borderId="19" xfId="0" applyFont="1" applyFill="1" applyBorder="1" applyAlignment="1">
      <alignment horizontal="left" vertical="center"/>
    </xf>
    <xf numFmtId="164" fontId="10" fillId="0" borderId="23" xfId="0" applyNumberFormat="1" applyFont="1" applyBorder="1" applyAlignment="1">
      <alignment horizontal="center" vertical="center"/>
    </xf>
    <xf numFmtId="164" fontId="10" fillId="0" borderId="22" xfId="0" applyNumberFormat="1" applyFont="1" applyBorder="1" applyAlignment="1">
      <alignment horizontal="center" vertical="center"/>
    </xf>
    <xf numFmtId="0" fontId="0" fillId="0" borderId="0" xfId="0" applyFont="1"/>
    <xf numFmtId="0" fontId="0" fillId="0" borderId="18" xfId="0" applyBorder="1"/>
    <xf numFmtId="0" fontId="0" fillId="0" borderId="0" xfId="0" applyAlignment="1">
      <alignment horizontal="center"/>
    </xf>
    <xf numFmtId="0" fontId="0" fillId="0" borderId="0" xfId="0" applyNumberFormat="1"/>
    <xf numFmtId="0" fontId="0" fillId="0" borderId="0" xfId="0" applyAlignment="1">
      <alignment horizontal="right"/>
    </xf>
    <xf numFmtId="10" fontId="0" fillId="0" borderId="0" xfId="0" applyNumberFormat="1"/>
    <xf numFmtId="0" fontId="0" fillId="0" borderId="0" xfId="0" quotePrefix="1"/>
    <xf numFmtId="0" fontId="0" fillId="0" borderId="24" xfId="0" applyBorder="1"/>
    <xf numFmtId="0" fontId="0" fillId="0" borderId="17" xfId="0" applyBorder="1"/>
    <xf numFmtId="0" fontId="0" fillId="0" borderId="25" xfId="0" applyBorder="1"/>
    <xf numFmtId="0" fontId="0" fillId="0" borderId="19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17" xfId="0" applyNumberFormat="1" applyBorder="1"/>
    <xf numFmtId="0" fontId="0" fillId="0" borderId="25" xfId="0" applyNumberFormat="1" applyBorder="1"/>
    <xf numFmtId="0" fontId="0" fillId="0" borderId="24" xfId="0" applyNumberFormat="1" applyBorder="1"/>
    <xf numFmtId="0" fontId="0" fillId="0" borderId="18" xfId="0" applyNumberFormat="1" applyBorder="1"/>
    <xf numFmtId="0" fontId="0" fillId="0" borderId="0" xfId="0" applyNumberFormat="1" applyBorder="1"/>
    <xf numFmtId="0" fontId="0" fillId="0" borderId="19" xfId="0" applyNumberFormat="1" applyBorder="1"/>
    <xf numFmtId="0" fontId="0" fillId="0" borderId="26" xfId="0" applyNumberFormat="1" applyBorder="1"/>
    <xf numFmtId="0" fontId="0" fillId="0" borderId="27" xfId="0" applyNumberFormat="1" applyBorder="1"/>
    <xf numFmtId="0" fontId="0" fillId="0" borderId="28" xfId="0" applyNumberFormat="1" applyBorder="1"/>
    <xf numFmtId="1" fontId="26" fillId="0" borderId="18" xfId="0" applyNumberFormat="1" applyFont="1" applyFill="1" applyBorder="1"/>
    <xf numFmtId="0" fontId="0" fillId="0" borderId="0" xfId="0" applyNumberFormat="1" applyFont="1"/>
    <xf numFmtId="0" fontId="0" fillId="0" borderId="19" xfId="0" applyFont="1" applyBorder="1"/>
    <xf numFmtId="0" fontId="0" fillId="0" borderId="28" xfId="0" applyFont="1" applyBorder="1"/>
    <xf numFmtId="0" fontId="2" fillId="0" borderId="0" xfId="0" applyFont="1" applyAlignment="1"/>
    <xf numFmtId="0" fontId="0" fillId="0" borderId="0" xfId="0" applyFont="1" applyBorder="1"/>
    <xf numFmtId="0" fontId="2" fillId="0" borderId="0" xfId="0" applyFont="1" applyAlignment="1">
      <alignment horizontal="right"/>
    </xf>
    <xf numFmtId="164" fontId="10" fillId="0" borderId="30" xfId="0" applyNumberFormat="1" applyFont="1" applyBorder="1" applyAlignment="1">
      <alignment horizontal="center" vertical="center"/>
    </xf>
    <xf numFmtId="0" fontId="25" fillId="4" borderId="0" xfId="0" applyFont="1" applyFill="1" applyBorder="1" applyAlignment="1">
      <alignment horizontal="right" vertical="top"/>
    </xf>
    <xf numFmtId="0" fontId="0" fillId="5" borderId="0" xfId="0" applyFill="1"/>
    <xf numFmtId="0" fontId="27" fillId="5" borderId="0" xfId="0" applyFont="1" applyFill="1"/>
    <xf numFmtId="164" fontId="29" fillId="5" borderId="0" xfId="0" applyNumberFormat="1" applyFont="1" applyFill="1" applyBorder="1" applyAlignment="1">
      <alignment horizontal="center"/>
    </xf>
    <xf numFmtId="0" fontId="27" fillId="5" borderId="29" xfId="0" applyFont="1" applyFill="1" applyBorder="1"/>
    <xf numFmtId="0" fontId="27" fillId="5" borderId="17" xfId="0" applyFont="1" applyFill="1" applyBorder="1"/>
    <xf numFmtId="0" fontId="0" fillId="5" borderId="0" xfId="0" applyFill="1" applyBorder="1"/>
    <xf numFmtId="164" fontId="28" fillId="5" borderId="0" xfId="0" applyNumberFormat="1" applyFont="1" applyFill="1" applyBorder="1" applyAlignment="1">
      <alignment horizontal="center"/>
    </xf>
    <xf numFmtId="0" fontId="0" fillId="5" borderId="0" xfId="0" applyFill="1" applyBorder="1" applyAlignment="1">
      <alignment horizontal="center"/>
    </xf>
    <xf numFmtId="164" fontId="0" fillId="5" borderId="0" xfId="0" applyNumberFormat="1" applyFill="1" applyBorder="1" applyAlignment="1">
      <alignment horizontal="center"/>
    </xf>
    <xf numFmtId="0" fontId="28" fillId="5" borderId="0" xfId="0" applyFont="1" applyFill="1"/>
    <xf numFmtId="0" fontId="27" fillId="5" borderId="0" xfId="0" applyFont="1" applyFill="1" applyBorder="1"/>
    <xf numFmtId="164" fontId="28" fillId="5" borderId="0" xfId="0" applyNumberFormat="1" applyFont="1" applyFill="1" applyBorder="1" applyAlignment="1">
      <alignment horizontal="center" vertical="center"/>
    </xf>
    <xf numFmtId="0" fontId="0" fillId="5" borderId="0" xfId="0" applyFill="1" applyAlignment="1">
      <alignment horizontal="left"/>
    </xf>
    <xf numFmtId="0" fontId="5" fillId="5" borderId="31" xfId="1" applyFont="1" applyFill="1" applyBorder="1"/>
    <xf numFmtId="164" fontId="27" fillId="5" borderId="0" xfId="0" applyNumberFormat="1" applyFont="1" applyFill="1" applyBorder="1" applyAlignment="1">
      <alignment horizontal="center"/>
    </xf>
    <xf numFmtId="0" fontId="0" fillId="5" borderId="0" xfId="0" applyFont="1" applyFill="1"/>
    <xf numFmtId="9" fontId="10" fillId="5" borderId="0" xfId="0" applyNumberFormat="1" applyFont="1" applyFill="1" applyBorder="1" applyAlignment="1">
      <alignment horizontal="center" vertical="center"/>
    </xf>
    <xf numFmtId="0" fontId="10" fillId="3" borderId="40" xfId="0" applyFont="1" applyFill="1" applyBorder="1" applyAlignment="1">
      <alignment horizontal="center"/>
    </xf>
    <xf numFmtId="0" fontId="10" fillId="3" borderId="36" xfId="0" applyFont="1" applyFill="1" applyBorder="1" applyAlignment="1">
      <alignment horizontal="center"/>
    </xf>
    <xf numFmtId="0" fontId="0" fillId="5" borderId="32" xfId="0" applyFill="1" applyBorder="1"/>
    <xf numFmtId="1" fontId="10" fillId="3" borderId="36" xfId="0" applyNumberFormat="1" applyFont="1" applyFill="1" applyBorder="1" applyAlignment="1">
      <alignment horizontal="center" vertical="center"/>
    </xf>
    <xf numFmtId="0" fontId="0" fillId="5" borderId="32" xfId="0" applyFill="1" applyBorder="1" applyAlignment="1">
      <alignment vertical="center"/>
    </xf>
    <xf numFmtId="164" fontId="10" fillId="5" borderId="0" xfId="0" applyNumberFormat="1" applyFont="1" applyFill="1" applyBorder="1" applyAlignment="1">
      <alignment horizontal="left" vertical="center"/>
    </xf>
    <xf numFmtId="1" fontId="10" fillId="3" borderId="32" xfId="0" applyNumberFormat="1" applyFont="1" applyFill="1" applyBorder="1" applyAlignment="1">
      <alignment horizontal="center" vertical="center"/>
    </xf>
    <xf numFmtId="1" fontId="10" fillId="5" borderId="41" xfId="0" applyNumberFormat="1" applyFont="1" applyFill="1" applyBorder="1" applyAlignment="1">
      <alignment vertical="center"/>
    </xf>
    <xf numFmtId="0" fontId="2" fillId="5" borderId="0" xfId="0" applyFont="1" applyFill="1" applyBorder="1" applyAlignment="1">
      <alignment vertical="center"/>
    </xf>
    <xf numFmtId="0" fontId="2" fillId="5" borderId="37" xfId="0" applyFont="1" applyFill="1" applyBorder="1" applyAlignment="1">
      <alignment vertical="center"/>
    </xf>
    <xf numFmtId="0" fontId="0" fillId="5" borderId="0" xfId="0" applyFill="1" applyAlignment="1">
      <alignment vertical="center"/>
    </xf>
    <xf numFmtId="1" fontId="10" fillId="5" borderId="32" xfId="0" applyNumberFormat="1" applyFont="1" applyFill="1" applyBorder="1" applyAlignment="1">
      <alignment vertical="center"/>
    </xf>
    <xf numFmtId="164" fontId="10" fillId="5" borderId="0" xfId="0" applyNumberFormat="1" applyFont="1" applyFill="1" applyBorder="1" applyAlignment="1">
      <alignment horizontal="center" vertical="center"/>
    </xf>
    <xf numFmtId="1" fontId="10" fillId="3" borderId="39" xfId="0" applyNumberFormat="1" applyFont="1" applyFill="1" applyBorder="1" applyAlignment="1">
      <alignment horizontal="center" vertical="center"/>
    </xf>
    <xf numFmtId="0" fontId="10" fillId="5" borderId="0" xfId="0" applyFont="1" applyFill="1" applyBorder="1" applyAlignment="1">
      <alignment horizontal="left" vertical="center"/>
    </xf>
    <xf numFmtId="0" fontId="10" fillId="3" borderId="37" xfId="0" applyFont="1" applyFill="1" applyBorder="1" applyAlignment="1">
      <alignment horizontal="center"/>
    </xf>
    <xf numFmtId="1" fontId="10" fillId="3" borderId="34" xfId="0" applyNumberFormat="1" applyFont="1" applyFill="1" applyBorder="1" applyAlignment="1">
      <alignment horizontal="center" vertical="center"/>
    </xf>
    <xf numFmtId="1" fontId="10" fillId="3" borderId="35" xfId="0" applyNumberFormat="1" applyFont="1" applyFill="1" applyBorder="1" applyAlignment="1">
      <alignment horizontal="center" vertical="center"/>
    </xf>
    <xf numFmtId="0" fontId="10" fillId="3" borderId="38" xfId="0" applyFont="1" applyFill="1" applyBorder="1" applyAlignment="1">
      <alignment horizontal="center"/>
    </xf>
    <xf numFmtId="0" fontId="10" fillId="3" borderId="33" xfId="0" applyFont="1" applyFill="1" applyBorder="1" applyAlignment="1">
      <alignment horizontal="center"/>
    </xf>
    <xf numFmtId="1" fontId="10" fillId="3" borderId="43" xfId="0" applyNumberFormat="1" applyFont="1" applyFill="1" applyBorder="1" applyAlignment="1">
      <alignment horizontal="center" vertical="center"/>
    </xf>
    <xf numFmtId="0" fontId="10" fillId="3" borderId="44" xfId="0" applyFont="1" applyFill="1" applyBorder="1" applyAlignment="1">
      <alignment horizontal="center"/>
    </xf>
    <xf numFmtId="9" fontId="10" fillId="5" borderId="43" xfId="0" applyNumberFormat="1" applyFont="1" applyFill="1" applyBorder="1" applyAlignment="1">
      <alignment horizontal="center" vertical="center"/>
    </xf>
    <xf numFmtId="0" fontId="10" fillId="5" borderId="33" xfId="0" applyFont="1" applyFill="1" applyBorder="1" applyAlignment="1">
      <alignment horizontal="left" vertical="center"/>
    </xf>
    <xf numFmtId="164" fontId="10" fillId="5" borderId="42" xfId="0" applyNumberFormat="1" applyFont="1" applyFill="1" applyBorder="1" applyAlignment="1">
      <alignment horizontal="left" vertical="center"/>
    </xf>
    <xf numFmtId="0" fontId="10" fillId="5" borderId="47" xfId="0" applyFont="1" applyFill="1" applyBorder="1" applyAlignment="1">
      <alignment horizontal="left" vertical="center"/>
    </xf>
    <xf numFmtId="164" fontId="10" fillId="5" borderId="48" xfId="0" applyNumberFormat="1" applyFont="1" applyFill="1" applyBorder="1" applyAlignment="1">
      <alignment horizontal="left" vertical="center"/>
    </xf>
    <xf numFmtId="1" fontId="10" fillId="3" borderId="45" xfId="0" applyNumberFormat="1" applyFont="1" applyFill="1" applyBorder="1" applyAlignment="1">
      <alignment horizontal="center" vertical="center"/>
    </xf>
    <xf numFmtId="1" fontId="10" fillId="3" borderId="46" xfId="0" applyNumberFormat="1" applyFont="1" applyFill="1" applyBorder="1" applyAlignment="1">
      <alignment horizontal="center" vertical="center"/>
    </xf>
    <xf numFmtId="0" fontId="2" fillId="5" borderId="0" xfId="0" applyFont="1" applyFill="1"/>
    <xf numFmtId="0" fontId="10" fillId="3" borderId="45" xfId="0" applyFont="1" applyFill="1" applyBorder="1" applyAlignment="1">
      <alignment horizontal="center"/>
    </xf>
    <xf numFmtId="1" fontId="10" fillId="3" borderId="40" xfId="0" applyNumberFormat="1" applyFont="1" applyFill="1" applyBorder="1" applyAlignment="1">
      <alignment horizontal="center" vertical="center"/>
    </xf>
    <xf numFmtId="1" fontId="10" fillId="3" borderId="44" xfId="0" applyNumberFormat="1" applyFont="1" applyFill="1" applyBorder="1" applyAlignment="1">
      <alignment horizontal="center" vertical="center"/>
    </xf>
    <xf numFmtId="0" fontId="28" fillId="5" borderId="0" xfId="0" applyFont="1" applyFill="1" applyAlignment="1">
      <alignment vertical="center"/>
    </xf>
    <xf numFmtId="0" fontId="2" fillId="5" borderId="0" xfId="0" applyFont="1" applyFill="1" applyAlignment="1">
      <alignment vertical="center"/>
    </xf>
    <xf numFmtId="0" fontId="28" fillId="5" borderId="0" xfId="0" applyFont="1" applyFill="1" applyBorder="1"/>
    <xf numFmtId="9" fontId="10" fillId="5" borderId="35" xfId="0" applyNumberFormat="1" applyFont="1" applyFill="1" applyBorder="1" applyAlignment="1">
      <alignment horizontal="center" vertical="center"/>
    </xf>
    <xf numFmtId="0" fontId="10" fillId="5" borderId="50" xfId="0" applyFont="1" applyFill="1" applyBorder="1" applyAlignment="1">
      <alignment horizontal="left" vertical="center"/>
    </xf>
    <xf numFmtId="0" fontId="28" fillId="5" borderId="0" xfId="0" applyFont="1" applyFill="1" applyBorder="1" applyAlignment="1">
      <alignment vertical="center"/>
    </xf>
    <xf numFmtId="0" fontId="10" fillId="5" borderId="51" xfId="0" applyFont="1" applyFill="1" applyBorder="1" applyAlignment="1">
      <alignment horizontal="left" vertical="center"/>
    </xf>
    <xf numFmtId="164" fontId="10" fillId="5" borderId="49" xfId="0" applyNumberFormat="1" applyFont="1" applyFill="1" applyBorder="1" applyAlignment="1">
      <alignment horizontal="left" vertical="center"/>
    </xf>
    <xf numFmtId="0" fontId="10" fillId="5" borderId="0" xfId="0" applyFont="1" applyFill="1" applyBorder="1"/>
    <xf numFmtId="0" fontId="10" fillId="5" borderId="0" xfId="0" applyFont="1" applyFill="1" applyBorder="1" applyAlignment="1">
      <alignment vertical="center"/>
    </xf>
    <xf numFmtId="1" fontId="10" fillId="3" borderId="38" xfId="0" applyNumberFormat="1" applyFont="1" applyFill="1" applyBorder="1" applyAlignment="1">
      <alignment horizontal="center" vertical="center"/>
    </xf>
    <xf numFmtId="0" fontId="25" fillId="4" borderId="0" xfId="0" applyFont="1" applyFill="1" applyAlignment="1">
      <alignment horizontal="left" vertical="top"/>
    </xf>
    <xf numFmtId="0" fontId="25" fillId="4" borderId="0" xfId="0" applyFont="1" applyFill="1" applyAlignment="1"/>
    <xf numFmtId="0" fontId="25" fillId="4" borderId="0" xfId="0" applyFont="1" applyFill="1" applyAlignment="1">
      <alignment horizontal="right"/>
    </xf>
    <xf numFmtId="0" fontId="30" fillId="4" borderId="0" xfId="0" applyFont="1" applyFill="1"/>
    <xf numFmtId="0" fontId="9" fillId="4" borderId="0" xfId="0" applyFont="1" applyFill="1" applyAlignment="1">
      <alignment horizontal="center"/>
    </xf>
    <xf numFmtId="0" fontId="9" fillId="4" borderId="0" xfId="0" applyFont="1" applyFill="1" applyAlignment="1">
      <alignment horizontal="left" vertical="center"/>
    </xf>
    <xf numFmtId="0" fontId="17" fillId="5" borderId="0" xfId="4" applyFont="1" applyFill="1" applyBorder="1"/>
    <xf numFmtId="0" fontId="0" fillId="5" borderId="0" xfId="0" applyFill="1" applyAlignment="1">
      <alignment horizontal="center" vertical="center"/>
    </xf>
    <xf numFmtId="0" fontId="25" fillId="5" borderId="0" xfId="0" applyFont="1" applyFill="1" applyAlignment="1">
      <alignment horizontal="left" vertical="top"/>
    </xf>
    <xf numFmtId="0" fontId="5" fillId="5" borderId="0" xfId="0" applyFont="1" applyFill="1" applyBorder="1" applyAlignment="1">
      <alignment horizontal="left" vertical="center"/>
    </xf>
    <xf numFmtId="0" fontId="10" fillId="5" borderId="52" xfId="0" applyFont="1" applyFill="1" applyBorder="1" applyAlignment="1">
      <alignment horizontal="left" vertical="center"/>
    </xf>
    <xf numFmtId="0" fontId="10" fillId="5" borderId="53" xfId="0" applyFont="1" applyFill="1" applyBorder="1" applyAlignment="1">
      <alignment horizontal="left" vertical="center"/>
    </xf>
    <xf numFmtId="0" fontId="10" fillId="5" borderId="54" xfId="0" applyFont="1" applyFill="1" applyBorder="1" applyAlignment="1">
      <alignment horizontal="left" vertical="center"/>
    </xf>
    <xf numFmtId="0" fontId="10" fillId="5" borderId="0" xfId="0" applyFont="1" applyFill="1" applyBorder="1" applyAlignment="1">
      <alignment horizontal="center" vertical="center"/>
    </xf>
    <xf numFmtId="0" fontId="28" fillId="5" borderId="0" xfId="0" applyFont="1" applyFill="1" applyBorder="1" applyAlignment="1">
      <alignment horizontal="left" vertical="center"/>
    </xf>
    <xf numFmtId="0" fontId="28" fillId="5" borderId="0" xfId="0" applyFont="1" applyFill="1" applyAlignment="1">
      <alignment horizontal="center" vertical="center"/>
    </xf>
    <xf numFmtId="0" fontId="28" fillId="5" borderId="0" xfId="0" applyFont="1" applyFill="1" applyAlignment="1">
      <alignment horizontal="left" vertical="center"/>
    </xf>
    <xf numFmtId="0" fontId="33" fillId="5" borderId="0" xfId="0" applyFont="1" applyFill="1" applyBorder="1" applyAlignment="1">
      <alignment horizontal="left" vertical="center"/>
    </xf>
    <xf numFmtId="0" fontId="25" fillId="5" borderId="0" xfId="0" applyFont="1" applyFill="1" applyAlignment="1">
      <alignment horizontal="left" vertical="center"/>
    </xf>
    <xf numFmtId="0" fontId="25" fillId="5" borderId="0" xfId="0" applyFont="1" applyFill="1" applyAlignment="1">
      <alignment horizontal="left" vertical="center" indent="1"/>
    </xf>
    <xf numFmtId="0" fontId="15" fillId="2" borderId="0" xfId="0" applyFont="1" applyFill="1" applyBorder="1" applyAlignment="1">
      <alignment horizontal="center" vertical="center"/>
    </xf>
    <xf numFmtId="0" fontId="15" fillId="2" borderId="19" xfId="0" applyFont="1" applyFill="1" applyBorder="1" applyAlignment="1">
      <alignment horizontal="center" vertical="center"/>
    </xf>
    <xf numFmtId="0" fontId="5" fillId="4" borderId="7" xfId="1" applyFont="1" applyFill="1" applyBorder="1" applyAlignment="1">
      <alignment horizontal="left"/>
    </xf>
    <xf numFmtId="0" fontId="22" fillId="2" borderId="0" xfId="5" applyFont="1" applyFill="1" applyBorder="1" applyAlignment="1">
      <alignment horizontal="center" vertical="center"/>
    </xf>
    <xf numFmtId="0" fontId="10" fillId="5" borderId="55" xfId="0" applyFont="1" applyFill="1" applyBorder="1" applyAlignment="1">
      <alignment horizontal="center" vertical="center"/>
    </xf>
    <xf numFmtId="0" fontId="20" fillId="0" borderId="0" xfId="6" applyBorder="1" applyAlignment="1">
      <alignment horizontal="left"/>
    </xf>
    <xf numFmtId="0" fontId="0" fillId="0" borderId="0" xfId="0" applyAlignment="1">
      <alignment horizontal="center"/>
    </xf>
    <xf numFmtId="0" fontId="4" fillId="2" borderId="0" xfId="0" applyFont="1" applyFill="1" applyAlignment="1">
      <alignment horizontal="center" vertical="center"/>
    </xf>
  </cellXfs>
  <cellStyles count="8">
    <cellStyle name="Heading 1" xfId="1" builtinId="16"/>
    <cellStyle name="Heading 2" xfId="6" builtinId="17"/>
    <cellStyle name="Heading 4" xfId="4" builtinId="19"/>
    <cellStyle name="Hyperlink" xfId="5" builtinId="8"/>
    <cellStyle name="Linked Cell" xfId="2" builtinId="24"/>
    <cellStyle name="Normal" xfId="0" builtinId="0"/>
    <cellStyle name="Percent" xfId="7" builtinId="5"/>
    <cellStyle name="Title" xfId="3" builtinId="15"/>
  </cellStyles>
  <dxfs count="22">
    <dxf>
      <font>
        <color rgb="FFC00000"/>
      </font>
    </dxf>
    <dxf>
      <font>
        <color theme="0" tint="-0.34998626667073579"/>
      </font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AU"/>
              <a:t>Title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8070009971950816E-2"/>
          <c:y val="0.11799027057383375"/>
          <c:w val="0.79467329580342994"/>
          <c:h val="0.74075445259891803"/>
        </c:manualLayout>
      </c:layout>
      <c:scatterChart>
        <c:scatterStyle val="smoothMarker"/>
        <c:varyColors val="0"/>
        <c:ser>
          <c:idx val="5"/>
          <c:order val="0"/>
          <c:tx>
            <c:v>NC 40</c:v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63</c:v>
              </c:pt>
              <c:pt idx="1">
                <c:v>125</c:v>
              </c:pt>
              <c:pt idx="2">
                <c:v>250</c:v>
              </c:pt>
              <c:pt idx="3">
                <c:v>500</c:v>
              </c:pt>
              <c:pt idx="4">
                <c:v>1000</c:v>
              </c:pt>
              <c:pt idx="5">
                <c:v>2000</c:v>
              </c:pt>
              <c:pt idx="6">
                <c:v>4000</c:v>
              </c:pt>
              <c:pt idx="7">
                <c:v>8000</c:v>
              </c:pt>
            </c:numLit>
          </c:xVal>
          <c:yVal>
            <c:numLit>
              <c:formatCode>General</c:formatCode>
              <c:ptCount val="8"/>
              <c:pt idx="0">
                <c:v>64</c:v>
              </c:pt>
              <c:pt idx="1">
                <c:v>57</c:v>
              </c:pt>
              <c:pt idx="2">
                <c:v>51</c:v>
              </c:pt>
              <c:pt idx="3">
                <c:v>45</c:v>
              </c:pt>
              <c:pt idx="4">
                <c:v>41</c:v>
              </c:pt>
              <c:pt idx="5">
                <c:v>39</c:v>
              </c:pt>
              <c:pt idx="6">
                <c:v>38</c:v>
              </c:pt>
              <c:pt idx="7">
                <c:v>37</c:v>
              </c:pt>
            </c:numLit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06BE-4FA5-921A-69EE7206C132}"/>
            </c:ext>
          </c:extLst>
        </c:ser>
        <c:ser>
          <c:idx val="4"/>
          <c:order val="1"/>
          <c:tx>
            <c:strRef>
              <c:f>'ASF-ADequations'!$A$112</c:f>
              <c:strCache>
                <c:ptCount val="1"/>
                <c:pt idx="0">
                  <c:v>NC 35</c:v>
                </c:pt>
              </c:strCache>
            </c:strRef>
          </c:tx>
          <c:spPr>
            <a:ln w="19050" cap="rnd">
              <a:solidFill>
                <a:schemeClr val="accent5"/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'ASF-ADequations'!$B$107:$I$107</c:f>
              <c:numCache>
                <c:formatCode>General</c:formatCode>
                <c:ptCount val="8"/>
                <c:pt idx="0">
                  <c:v>63</c:v>
                </c:pt>
                <c:pt idx="1">
                  <c:v>125</c:v>
                </c:pt>
                <c:pt idx="2">
                  <c:v>250</c:v>
                </c:pt>
                <c:pt idx="3">
                  <c:v>500</c:v>
                </c:pt>
                <c:pt idx="4">
                  <c:v>1000</c:v>
                </c:pt>
                <c:pt idx="5">
                  <c:v>2000</c:v>
                </c:pt>
                <c:pt idx="6">
                  <c:v>4000</c:v>
                </c:pt>
                <c:pt idx="7">
                  <c:v>8000</c:v>
                </c:pt>
              </c:numCache>
            </c:numRef>
          </c:xVal>
          <c:yVal>
            <c:numRef>
              <c:f>'ASF-ADequations'!$B$112:$I$112</c:f>
              <c:numCache>
                <c:formatCode>General</c:formatCode>
                <c:ptCount val="8"/>
                <c:pt idx="0">
                  <c:v>60</c:v>
                </c:pt>
                <c:pt idx="1">
                  <c:v>53</c:v>
                </c:pt>
                <c:pt idx="2">
                  <c:v>46</c:v>
                </c:pt>
                <c:pt idx="3">
                  <c:v>40</c:v>
                </c:pt>
                <c:pt idx="4">
                  <c:v>36</c:v>
                </c:pt>
                <c:pt idx="5">
                  <c:v>34</c:v>
                </c:pt>
                <c:pt idx="6">
                  <c:v>33</c:v>
                </c:pt>
                <c:pt idx="7">
                  <c:v>32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06BE-4FA5-921A-69EE7206C132}"/>
            </c:ext>
          </c:extLst>
        </c:ser>
        <c:ser>
          <c:idx val="3"/>
          <c:order val="2"/>
          <c:tx>
            <c:strRef>
              <c:f>'ASF-ADequations'!$A$111</c:f>
              <c:strCache>
                <c:ptCount val="1"/>
                <c:pt idx="0">
                  <c:v>NC 30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numRef>
              <c:f>'ASF-ADequations'!$B$107:$I$107</c:f>
              <c:numCache>
                <c:formatCode>General</c:formatCode>
                <c:ptCount val="8"/>
                <c:pt idx="0">
                  <c:v>63</c:v>
                </c:pt>
                <c:pt idx="1">
                  <c:v>125</c:v>
                </c:pt>
                <c:pt idx="2">
                  <c:v>250</c:v>
                </c:pt>
                <c:pt idx="3">
                  <c:v>500</c:v>
                </c:pt>
                <c:pt idx="4">
                  <c:v>1000</c:v>
                </c:pt>
                <c:pt idx="5">
                  <c:v>2000</c:v>
                </c:pt>
                <c:pt idx="6">
                  <c:v>4000</c:v>
                </c:pt>
                <c:pt idx="7">
                  <c:v>8000</c:v>
                </c:pt>
              </c:numCache>
            </c:numRef>
          </c:xVal>
          <c:yVal>
            <c:numRef>
              <c:f>'ASF-ADequations'!$B$111:$I$111</c:f>
              <c:numCache>
                <c:formatCode>General</c:formatCode>
                <c:ptCount val="8"/>
                <c:pt idx="0">
                  <c:v>57</c:v>
                </c:pt>
                <c:pt idx="1">
                  <c:v>48</c:v>
                </c:pt>
                <c:pt idx="2">
                  <c:v>41</c:v>
                </c:pt>
                <c:pt idx="3">
                  <c:v>35</c:v>
                </c:pt>
                <c:pt idx="4">
                  <c:v>31</c:v>
                </c:pt>
                <c:pt idx="5">
                  <c:v>29</c:v>
                </c:pt>
                <c:pt idx="6">
                  <c:v>28</c:v>
                </c:pt>
                <c:pt idx="7">
                  <c:v>27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2-06BE-4FA5-921A-69EE7206C132}"/>
            </c:ext>
          </c:extLst>
        </c:ser>
        <c:ser>
          <c:idx val="2"/>
          <c:order val="3"/>
          <c:tx>
            <c:strRef>
              <c:f>'ASF-ADequations'!$A$110</c:f>
              <c:strCache>
                <c:ptCount val="1"/>
                <c:pt idx="0">
                  <c:v>NC 25</c:v>
                </c:pt>
              </c:strCache>
            </c:strRef>
          </c:tx>
          <c:spPr>
            <a:ln w="19050" cap="rnd">
              <a:solidFill>
                <a:schemeClr val="accent3"/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'ASF-ADequations'!$B$107:$I$107</c:f>
              <c:numCache>
                <c:formatCode>General</c:formatCode>
                <c:ptCount val="8"/>
                <c:pt idx="0">
                  <c:v>63</c:v>
                </c:pt>
                <c:pt idx="1">
                  <c:v>125</c:v>
                </c:pt>
                <c:pt idx="2">
                  <c:v>250</c:v>
                </c:pt>
                <c:pt idx="3">
                  <c:v>500</c:v>
                </c:pt>
                <c:pt idx="4">
                  <c:v>1000</c:v>
                </c:pt>
                <c:pt idx="5">
                  <c:v>2000</c:v>
                </c:pt>
                <c:pt idx="6">
                  <c:v>4000</c:v>
                </c:pt>
                <c:pt idx="7">
                  <c:v>8000</c:v>
                </c:pt>
              </c:numCache>
            </c:numRef>
          </c:xVal>
          <c:yVal>
            <c:numRef>
              <c:f>'ASF-ADequations'!$B$110:$I$110</c:f>
              <c:numCache>
                <c:formatCode>General</c:formatCode>
                <c:ptCount val="8"/>
                <c:pt idx="0">
                  <c:v>54</c:v>
                </c:pt>
                <c:pt idx="1">
                  <c:v>45</c:v>
                </c:pt>
                <c:pt idx="2">
                  <c:v>38</c:v>
                </c:pt>
                <c:pt idx="3">
                  <c:v>31</c:v>
                </c:pt>
                <c:pt idx="4">
                  <c:v>27</c:v>
                </c:pt>
                <c:pt idx="5">
                  <c:v>24</c:v>
                </c:pt>
                <c:pt idx="6">
                  <c:v>22</c:v>
                </c:pt>
                <c:pt idx="7">
                  <c:v>21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3-06BE-4FA5-921A-69EE7206C132}"/>
            </c:ext>
          </c:extLst>
        </c:ser>
        <c:ser>
          <c:idx val="1"/>
          <c:order val="4"/>
          <c:tx>
            <c:strRef>
              <c:f>'ASF-ADequations'!$A$109</c:f>
              <c:strCache>
                <c:ptCount val="1"/>
                <c:pt idx="0">
                  <c:v>NC 20</c:v>
                </c:pt>
              </c:strCache>
            </c:strRef>
          </c:tx>
          <c:spPr>
            <a:ln w="19050" cap="rnd">
              <a:solidFill>
                <a:schemeClr val="accent2"/>
              </a:solidFill>
              <a:prstDash val="solid"/>
              <a:round/>
            </a:ln>
            <a:effectLst/>
          </c:spPr>
          <c:marker>
            <c:symbol val="none"/>
          </c:marker>
          <c:xVal>
            <c:numRef>
              <c:f>'ASF-ADequations'!$B$107:$I$107</c:f>
              <c:numCache>
                <c:formatCode>General</c:formatCode>
                <c:ptCount val="8"/>
                <c:pt idx="0">
                  <c:v>63</c:v>
                </c:pt>
                <c:pt idx="1">
                  <c:v>125</c:v>
                </c:pt>
                <c:pt idx="2">
                  <c:v>250</c:v>
                </c:pt>
                <c:pt idx="3">
                  <c:v>500</c:v>
                </c:pt>
                <c:pt idx="4">
                  <c:v>1000</c:v>
                </c:pt>
                <c:pt idx="5">
                  <c:v>2000</c:v>
                </c:pt>
                <c:pt idx="6">
                  <c:v>4000</c:v>
                </c:pt>
                <c:pt idx="7">
                  <c:v>8000</c:v>
                </c:pt>
              </c:numCache>
            </c:numRef>
          </c:xVal>
          <c:yVal>
            <c:numRef>
              <c:f>'ASF-ADequations'!$B$109:$I$109</c:f>
              <c:numCache>
                <c:formatCode>General</c:formatCode>
                <c:ptCount val="8"/>
                <c:pt idx="0">
                  <c:v>51</c:v>
                </c:pt>
                <c:pt idx="1">
                  <c:v>41</c:v>
                </c:pt>
                <c:pt idx="2">
                  <c:v>33</c:v>
                </c:pt>
                <c:pt idx="3">
                  <c:v>26</c:v>
                </c:pt>
                <c:pt idx="4">
                  <c:v>22</c:v>
                </c:pt>
                <c:pt idx="5">
                  <c:v>19</c:v>
                </c:pt>
                <c:pt idx="6">
                  <c:v>17</c:v>
                </c:pt>
                <c:pt idx="7">
                  <c:v>16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4-06BE-4FA5-921A-69EE7206C132}"/>
            </c:ext>
          </c:extLst>
        </c:ser>
        <c:ser>
          <c:idx val="0"/>
          <c:order val="5"/>
          <c:tx>
            <c:strRef>
              <c:f>'ASF-ADequations'!$A$108</c:f>
              <c:strCache>
                <c:ptCount val="1"/>
                <c:pt idx="0">
                  <c:v>NC 15</c:v>
                </c:pt>
              </c:strCache>
            </c:strRef>
          </c:tx>
          <c:spPr>
            <a:ln w="19050" cap="rnd">
              <a:solidFill>
                <a:schemeClr val="accent1"/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'ASF-ADequations'!$B$107:$I$107</c:f>
              <c:numCache>
                <c:formatCode>General</c:formatCode>
                <c:ptCount val="8"/>
                <c:pt idx="0">
                  <c:v>63</c:v>
                </c:pt>
                <c:pt idx="1">
                  <c:v>125</c:v>
                </c:pt>
                <c:pt idx="2">
                  <c:v>250</c:v>
                </c:pt>
                <c:pt idx="3">
                  <c:v>500</c:v>
                </c:pt>
                <c:pt idx="4">
                  <c:v>1000</c:v>
                </c:pt>
                <c:pt idx="5">
                  <c:v>2000</c:v>
                </c:pt>
                <c:pt idx="6">
                  <c:v>4000</c:v>
                </c:pt>
                <c:pt idx="7">
                  <c:v>8000</c:v>
                </c:pt>
              </c:numCache>
            </c:numRef>
          </c:xVal>
          <c:yVal>
            <c:numRef>
              <c:f>'ASF-ADequations'!$B$108:$I$108</c:f>
              <c:numCache>
                <c:formatCode>General</c:formatCode>
                <c:ptCount val="8"/>
                <c:pt idx="0">
                  <c:v>47</c:v>
                </c:pt>
                <c:pt idx="1">
                  <c:v>36</c:v>
                </c:pt>
                <c:pt idx="2">
                  <c:v>29</c:v>
                </c:pt>
                <c:pt idx="3">
                  <c:v>22</c:v>
                </c:pt>
                <c:pt idx="4">
                  <c:v>17</c:v>
                </c:pt>
                <c:pt idx="5">
                  <c:v>14</c:v>
                </c:pt>
                <c:pt idx="6">
                  <c:v>12</c:v>
                </c:pt>
                <c:pt idx="7">
                  <c:v>11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5-06BE-4FA5-921A-69EE7206C1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7310360"/>
        <c:axId val="557317416"/>
      </c:scatterChart>
      <c:valAx>
        <c:axId val="557310360"/>
        <c:scaling>
          <c:logBase val="2"/>
          <c:orientation val="minMax"/>
          <c:max val="8000"/>
          <c:min val="62.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/>
                  <a:t>Frequency</a:t>
                </a:r>
                <a:r>
                  <a:rPr lang="en-AU" baseline="0"/>
                  <a:t> Band (Hz)</a:t>
                </a:r>
                <a:endParaRPr lang="en-AU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7317416"/>
        <c:crosses val="autoZero"/>
        <c:crossBetween val="midCat"/>
        <c:majorUnit val="2"/>
      </c:valAx>
      <c:valAx>
        <c:axId val="557317416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/>
                  <a:t>dB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731036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8651612096874988"/>
          <c:y val="0.3945264525818849"/>
          <c:w val="0.11348387903125012"/>
          <c:h val="0.4807596978021496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AU" b="1"/>
              <a:t>Basket A1 100%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8070009971950816E-2"/>
          <c:y val="0.11799027057383375"/>
          <c:w val="0.76599941136390193"/>
          <c:h val="0.74075445259891803"/>
        </c:manualLayout>
      </c:layout>
      <c:scatterChart>
        <c:scatterStyle val="smoothMarker"/>
        <c:varyColors val="0"/>
        <c:ser>
          <c:idx val="5"/>
          <c:order val="0"/>
          <c:tx>
            <c:v>NC 40</c:v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63</c:v>
              </c:pt>
              <c:pt idx="1">
                <c:v>125</c:v>
              </c:pt>
              <c:pt idx="2">
                <c:v>250</c:v>
              </c:pt>
              <c:pt idx="3">
                <c:v>500</c:v>
              </c:pt>
              <c:pt idx="4">
                <c:v>1000</c:v>
              </c:pt>
              <c:pt idx="5">
                <c:v>2000</c:v>
              </c:pt>
              <c:pt idx="6">
                <c:v>4000</c:v>
              </c:pt>
              <c:pt idx="7">
                <c:v>8000</c:v>
              </c:pt>
            </c:numLit>
          </c:xVal>
          <c:yVal>
            <c:numLit>
              <c:formatCode>General</c:formatCode>
              <c:ptCount val="8"/>
              <c:pt idx="0">
                <c:v>64</c:v>
              </c:pt>
              <c:pt idx="1">
                <c:v>57</c:v>
              </c:pt>
              <c:pt idx="2">
                <c:v>51</c:v>
              </c:pt>
              <c:pt idx="3">
                <c:v>45</c:v>
              </c:pt>
              <c:pt idx="4">
                <c:v>41</c:v>
              </c:pt>
              <c:pt idx="5">
                <c:v>39</c:v>
              </c:pt>
              <c:pt idx="6">
                <c:v>38</c:v>
              </c:pt>
              <c:pt idx="7">
                <c:v>37</c:v>
              </c:pt>
            </c:numLit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C6C5-479A-AC1B-6051B3F30061}"/>
            </c:ext>
          </c:extLst>
        </c:ser>
        <c:ser>
          <c:idx val="4"/>
          <c:order val="1"/>
          <c:tx>
            <c:strRef>
              <c:f>'ASF-ADequations'!$A$112</c:f>
              <c:strCache>
                <c:ptCount val="1"/>
                <c:pt idx="0">
                  <c:v>NC 35</c:v>
                </c:pt>
              </c:strCache>
            </c:strRef>
          </c:tx>
          <c:spPr>
            <a:ln w="19050" cap="rnd">
              <a:solidFill>
                <a:schemeClr val="accent5"/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'ASF-ADequations'!$B$107:$I$107</c:f>
              <c:numCache>
                <c:formatCode>General</c:formatCode>
                <c:ptCount val="8"/>
                <c:pt idx="0">
                  <c:v>63</c:v>
                </c:pt>
                <c:pt idx="1">
                  <c:v>125</c:v>
                </c:pt>
                <c:pt idx="2">
                  <c:v>250</c:v>
                </c:pt>
                <c:pt idx="3">
                  <c:v>500</c:v>
                </c:pt>
                <c:pt idx="4">
                  <c:v>1000</c:v>
                </c:pt>
                <c:pt idx="5">
                  <c:v>2000</c:v>
                </c:pt>
                <c:pt idx="6">
                  <c:v>4000</c:v>
                </c:pt>
                <c:pt idx="7">
                  <c:v>8000</c:v>
                </c:pt>
              </c:numCache>
            </c:numRef>
          </c:xVal>
          <c:yVal>
            <c:numRef>
              <c:f>'ASF-ADequations'!$B$112:$I$112</c:f>
              <c:numCache>
                <c:formatCode>General</c:formatCode>
                <c:ptCount val="8"/>
                <c:pt idx="0">
                  <c:v>60</c:v>
                </c:pt>
                <c:pt idx="1">
                  <c:v>53</c:v>
                </c:pt>
                <c:pt idx="2">
                  <c:v>46</c:v>
                </c:pt>
                <c:pt idx="3">
                  <c:v>40</c:v>
                </c:pt>
                <c:pt idx="4">
                  <c:v>36</c:v>
                </c:pt>
                <c:pt idx="5">
                  <c:v>34</c:v>
                </c:pt>
                <c:pt idx="6">
                  <c:v>33</c:v>
                </c:pt>
                <c:pt idx="7">
                  <c:v>32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C6C5-479A-AC1B-6051B3F30061}"/>
            </c:ext>
          </c:extLst>
        </c:ser>
        <c:ser>
          <c:idx val="3"/>
          <c:order val="2"/>
          <c:tx>
            <c:strRef>
              <c:f>'ASF-ADequations'!$A$111</c:f>
              <c:strCache>
                <c:ptCount val="1"/>
                <c:pt idx="0">
                  <c:v>NC 30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numRef>
              <c:f>'ASF-ADequations'!$B$107:$I$107</c:f>
              <c:numCache>
                <c:formatCode>General</c:formatCode>
                <c:ptCount val="8"/>
                <c:pt idx="0">
                  <c:v>63</c:v>
                </c:pt>
                <c:pt idx="1">
                  <c:v>125</c:v>
                </c:pt>
                <c:pt idx="2">
                  <c:v>250</c:v>
                </c:pt>
                <c:pt idx="3">
                  <c:v>500</c:v>
                </c:pt>
                <c:pt idx="4">
                  <c:v>1000</c:v>
                </c:pt>
                <c:pt idx="5">
                  <c:v>2000</c:v>
                </c:pt>
                <c:pt idx="6">
                  <c:v>4000</c:v>
                </c:pt>
                <c:pt idx="7">
                  <c:v>8000</c:v>
                </c:pt>
              </c:numCache>
            </c:numRef>
          </c:xVal>
          <c:yVal>
            <c:numRef>
              <c:f>'ASF-ADequations'!$B$111:$I$111</c:f>
              <c:numCache>
                <c:formatCode>General</c:formatCode>
                <c:ptCount val="8"/>
                <c:pt idx="0">
                  <c:v>57</c:v>
                </c:pt>
                <c:pt idx="1">
                  <c:v>48</c:v>
                </c:pt>
                <c:pt idx="2">
                  <c:v>41</c:v>
                </c:pt>
                <c:pt idx="3">
                  <c:v>35</c:v>
                </c:pt>
                <c:pt idx="4">
                  <c:v>31</c:v>
                </c:pt>
                <c:pt idx="5">
                  <c:v>29</c:v>
                </c:pt>
                <c:pt idx="6">
                  <c:v>28</c:v>
                </c:pt>
                <c:pt idx="7">
                  <c:v>27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2-C6C5-479A-AC1B-6051B3F30061}"/>
            </c:ext>
          </c:extLst>
        </c:ser>
        <c:ser>
          <c:idx val="2"/>
          <c:order val="3"/>
          <c:tx>
            <c:strRef>
              <c:f>'ASF-ADequations'!$A$110</c:f>
              <c:strCache>
                <c:ptCount val="1"/>
                <c:pt idx="0">
                  <c:v>NC 25</c:v>
                </c:pt>
              </c:strCache>
            </c:strRef>
          </c:tx>
          <c:spPr>
            <a:ln w="19050" cap="rnd">
              <a:solidFill>
                <a:schemeClr val="accent3"/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'ASF-ADequations'!$B$107:$I$107</c:f>
              <c:numCache>
                <c:formatCode>General</c:formatCode>
                <c:ptCount val="8"/>
                <c:pt idx="0">
                  <c:v>63</c:v>
                </c:pt>
                <c:pt idx="1">
                  <c:v>125</c:v>
                </c:pt>
                <c:pt idx="2">
                  <c:v>250</c:v>
                </c:pt>
                <c:pt idx="3">
                  <c:v>500</c:v>
                </c:pt>
                <c:pt idx="4">
                  <c:v>1000</c:v>
                </c:pt>
                <c:pt idx="5">
                  <c:v>2000</c:v>
                </c:pt>
                <c:pt idx="6">
                  <c:v>4000</c:v>
                </c:pt>
                <c:pt idx="7">
                  <c:v>8000</c:v>
                </c:pt>
              </c:numCache>
            </c:numRef>
          </c:xVal>
          <c:yVal>
            <c:numRef>
              <c:f>'ASF-ADequations'!$B$110:$I$110</c:f>
              <c:numCache>
                <c:formatCode>General</c:formatCode>
                <c:ptCount val="8"/>
                <c:pt idx="0">
                  <c:v>54</c:v>
                </c:pt>
                <c:pt idx="1">
                  <c:v>45</c:v>
                </c:pt>
                <c:pt idx="2">
                  <c:v>38</c:v>
                </c:pt>
                <c:pt idx="3">
                  <c:v>31</c:v>
                </c:pt>
                <c:pt idx="4">
                  <c:v>27</c:v>
                </c:pt>
                <c:pt idx="5">
                  <c:v>24</c:v>
                </c:pt>
                <c:pt idx="6">
                  <c:v>22</c:v>
                </c:pt>
                <c:pt idx="7">
                  <c:v>21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3-C6C5-479A-AC1B-6051B3F30061}"/>
            </c:ext>
          </c:extLst>
        </c:ser>
        <c:ser>
          <c:idx val="1"/>
          <c:order val="4"/>
          <c:tx>
            <c:strRef>
              <c:f>'ASF-ADequations'!$A$109</c:f>
              <c:strCache>
                <c:ptCount val="1"/>
                <c:pt idx="0">
                  <c:v>NC 20</c:v>
                </c:pt>
              </c:strCache>
            </c:strRef>
          </c:tx>
          <c:spPr>
            <a:ln w="19050" cap="rnd">
              <a:solidFill>
                <a:schemeClr val="accent2"/>
              </a:solidFill>
              <a:prstDash val="solid"/>
              <a:round/>
            </a:ln>
            <a:effectLst/>
          </c:spPr>
          <c:marker>
            <c:symbol val="none"/>
          </c:marker>
          <c:xVal>
            <c:numRef>
              <c:f>'ASF-ADequations'!$B$107:$I$107</c:f>
              <c:numCache>
                <c:formatCode>General</c:formatCode>
                <c:ptCount val="8"/>
                <c:pt idx="0">
                  <c:v>63</c:v>
                </c:pt>
                <c:pt idx="1">
                  <c:v>125</c:v>
                </c:pt>
                <c:pt idx="2">
                  <c:v>250</c:v>
                </c:pt>
                <c:pt idx="3">
                  <c:v>500</c:v>
                </c:pt>
                <c:pt idx="4">
                  <c:v>1000</c:v>
                </c:pt>
                <c:pt idx="5">
                  <c:v>2000</c:v>
                </c:pt>
                <c:pt idx="6">
                  <c:v>4000</c:v>
                </c:pt>
                <c:pt idx="7">
                  <c:v>8000</c:v>
                </c:pt>
              </c:numCache>
            </c:numRef>
          </c:xVal>
          <c:yVal>
            <c:numRef>
              <c:f>'ASF-ADequations'!$B$109:$I$109</c:f>
              <c:numCache>
                <c:formatCode>General</c:formatCode>
                <c:ptCount val="8"/>
                <c:pt idx="0">
                  <c:v>51</c:v>
                </c:pt>
                <c:pt idx="1">
                  <c:v>41</c:v>
                </c:pt>
                <c:pt idx="2">
                  <c:v>33</c:v>
                </c:pt>
                <c:pt idx="3">
                  <c:v>26</c:v>
                </c:pt>
                <c:pt idx="4">
                  <c:v>22</c:v>
                </c:pt>
                <c:pt idx="5">
                  <c:v>19</c:v>
                </c:pt>
                <c:pt idx="6">
                  <c:v>17</c:v>
                </c:pt>
                <c:pt idx="7">
                  <c:v>16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4-C6C5-479A-AC1B-6051B3F30061}"/>
            </c:ext>
          </c:extLst>
        </c:ser>
        <c:ser>
          <c:idx val="0"/>
          <c:order val="5"/>
          <c:tx>
            <c:strRef>
              <c:f>'ASF-ADequations'!$A$108</c:f>
              <c:strCache>
                <c:ptCount val="1"/>
                <c:pt idx="0">
                  <c:v>NC 15</c:v>
                </c:pt>
              </c:strCache>
            </c:strRef>
          </c:tx>
          <c:spPr>
            <a:ln w="19050" cap="rnd">
              <a:solidFill>
                <a:schemeClr val="accent1"/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'ASF-ADequations'!$B$107:$I$107</c:f>
              <c:numCache>
                <c:formatCode>General</c:formatCode>
                <c:ptCount val="8"/>
                <c:pt idx="0">
                  <c:v>63</c:v>
                </c:pt>
                <c:pt idx="1">
                  <c:v>125</c:v>
                </c:pt>
                <c:pt idx="2">
                  <c:v>250</c:v>
                </c:pt>
                <c:pt idx="3">
                  <c:v>500</c:v>
                </c:pt>
                <c:pt idx="4">
                  <c:v>1000</c:v>
                </c:pt>
                <c:pt idx="5">
                  <c:v>2000</c:v>
                </c:pt>
                <c:pt idx="6">
                  <c:v>4000</c:v>
                </c:pt>
                <c:pt idx="7">
                  <c:v>8000</c:v>
                </c:pt>
              </c:numCache>
            </c:numRef>
          </c:xVal>
          <c:yVal>
            <c:numRef>
              <c:f>'ASF-ADequations'!$B$108:$I$108</c:f>
              <c:numCache>
                <c:formatCode>General</c:formatCode>
                <c:ptCount val="8"/>
                <c:pt idx="0">
                  <c:v>47</c:v>
                </c:pt>
                <c:pt idx="1">
                  <c:v>36</c:v>
                </c:pt>
                <c:pt idx="2">
                  <c:v>29</c:v>
                </c:pt>
                <c:pt idx="3">
                  <c:v>22</c:v>
                </c:pt>
                <c:pt idx="4">
                  <c:v>17</c:v>
                </c:pt>
                <c:pt idx="5">
                  <c:v>14</c:v>
                </c:pt>
                <c:pt idx="6">
                  <c:v>12</c:v>
                </c:pt>
                <c:pt idx="7">
                  <c:v>11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5-C6C5-479A-AC1B-6051B3F30061}"/>
            </c:ext>
          </c:extLst>
        </c:ser>
        <c:ser>
          <c:idx val="6"/>
          <c:order val="6"/>
          <c:tx>
            <c:v>A1 100%</c:v>
          </c:tx>
          <c:spPr>
            <a:ln w="19050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xVal>
            <c:numRef>
              <c:f>'ASF-AD Acoustic Data'!$D$25:$I$25</c:f>
              <c:numCache>
                <c:formatCode>General</c:formatCode>
                <c:ptCount val="6"/>
                <c:pt idx="0">
                  <c:v>125</c:v>
                </c:pt>
                <c:pt idx="1">
                  <c:v>250</c:v>
                </c:pt>
                <c:pt idx="2">
                  <c:v>500</c:v>
                </c:pt>
                <c:pt idx="3">
                  <c:v>1000</c:v>
                </c:pt>
                <c:pt idx="4">
                  <c:v>2000</c:v>
                </c:pt>
                <c:pt idx="5">
                  <c:v>4000</c:v>
                </c:pt>
              </c:numCache>
            </c:numRef>
          </c:xVal>
          <c:yVal>
            <c:numRef>
              <c:f>'ASF-AD Acoustic Data'!$D$26:$I$26</c:f>
              <c:numCache>
                <c:formatCode>0.0</c:formatCode>
                <c:ptCount val="6"/>
                <c:pt idx="0">
                  <c:v>31.272747374426604</c:v>
                </c:pt>
                <c:pt idx="1">
                  <c:v>28.19769966958718</c:v>
                </c:pt>
                <c:pt idx="2">
                  <c:v>28.340809268977555</c:v>
                </c:pt>
                <c:pt idx="3">
                  <c:v>20.586684142173574</c:v>
                </c:pt>
                <c:pt idx="4">
                  <c:v>16</c:v>
                </c:pt>
                <c:pt idx="5">
                  <c:v>16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6-C6C5-479A-AC1B-6051B3F300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7313496"/>
        <c:axId val="557311536"/>
      </c:scatterChart>
      <c:valAx>
        <c:axId val="557313496"/>
        <c:scaling>
          <c:logBase val="2"/>
          <c:orientation val="minMax"/>
          <c:max val="8000"/>
          <c:min val="62.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 sz="1050"/>
                  <a:t>Frequency</a:t>
                </a:r>
                <a:r>
                  <a:rPr lang="en-AU" sz="1050" baseline="0"/>
                  <a:t> Band (Hz)</a:t>
                </a:r>
                <a:endParaRPr lang="en-AU" sz="1050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7311536"/>
        <c:crosses val="autoZero"/>
        <c:crossBetween val="midCat"/>
        <c:majorUnit val="2"/>
      </c:valAx>
      <c:valAx>
        <c:axId val="557311536"/>
        <c:scaling>
          <c:orientation val="minMax"/>
          <c:min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 sz="1050"/>
                  <a:t>Sound Pressure Level (dB)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731349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8651612096874988"/>
          <c:y val="0.48041853415356217"/>
          <c:w val="0.11348387903125012"/>
          <c:h val="0.348884918387493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AU" b="1"/>
              <a:t>Basket A2 100%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8070009971950816E-2"/>
          <c:y val="0.11799027057383375"/>
          <c:w val="0.76599941136390193"/>
          <c:h val="0.74075445259891803"/>
        </c:manualLayout>
      </c:layout>
      <c:scatterChart>
        <c:scatterStyle val="smoothMarker"/>
        <c:varyColors val="0"/>
        <c:ser>
          <c:idx val="5"/>
          <c:order val="0"/>
          <c:tx>
            <c:v>NC 40</c:v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63</c:v>
              </c:pt>
              <c:pt idx="1">
                <c:v>125</c:v>
              </c:pt>
              <c:pt idx="2">
                <c:v>250</c:v>
              </c:pt>
              <c:pt idx="3">
                <c:v>500</c:v>
              </c:pt>
              <c:pt idx="4">
                <c:v>1000</c:v>
              </c:pt>
              <c:pt idx="5">
                <c:v>2000</c:v>
              </c:pt>
              <c:pt idx="6">
                <c:v>4000</c:v>
              </c:pt>
              <c:pt idx="7">
                <c:v>8000</c:v>
              </c:pt>
            </c:numLit>
          </c:xVal>
          <c:yVal>
            <c:numLit>
              <c:formatCode>General</c:formatCode>
              <c:ptCount val="8"/>
              <c:pt idx="0">
                <c:v>64</c:v>
              </c:pt>
              <c:pt idx="1">
                <c:v>57</c:v>
              </c:pt>
              <c:pt idx="2">
                <c:v>51</c:v>
              </c:pt>
              <c:pt idx="3">
                <c:v>45</c:v>
              </c:pt>
              <c:pt idx="4">
                <c:v>41</c:v>
              </c:pt>
              <c:pt idx="5">
                <c:v>39</c:v>
              </c:pt>
              <c:pt idx="6">
                <c:v>38</c:v>
              </c:pt>
              <c:pt idx="7">
                <c:v>37</c:v>
              </c:pt>
            </c:numLit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F5A0-4390-8FF2-FD25A409E69D}"/>
            </c:ext>
          </c:extLst>
        </c:ser>
        <c:ser>
          <c:idx val="4"/>
          <c:order val="1"/>
          <c:tx>
            <c:strRef>
              <c:f>'ASF-ADequations'!$A$112</c:f>
              <c:strCache>
                <c:ptCount val="1"/>
                <c:pt idx="0">
                  <c:v>NC 35</c:v>
                </c:pt>
              </c:strCache>
            </c:strRef>
          </c:tx>
          <c:spPr>
            <a:ln w="19050" cap="rnd">
              <a:solidFill>
                <a:schemeClr val="accent5"/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'ASF-ADequations'!$B$107:$I$107</c:f>
              <c:numCache>
                <c:formatCode>General</c:formatCode>
                <c:ptCount val="8"/>
                <c:pt idx="0">
                  <c:v>63</c:v>
                </c:pt>
                <c:pt idx="1">
                  <c:v>125</c:v>
                </c:pt>
                <c:pt idx="2">
                  <c:v>250</c:v>
                </c:pt>
                <c:pt idx="3">
                  <c:v>500</c:v>
                </c:pt>
                <c:pt idx="4">
                  <c:v>1000</c:v>
                </c:pt>
                <c:pt idx="5">
                  <c:v>2000</c:v>
                </c:pt>
                <c:pt idx="6">
                  <c:v>4000</c:v>
                </c:pt>
                <c:pt idx="7">
                  <c:v>8000</c:v>
                </c:pt>
              </c:numCache>
            </c:numRef>
          </c:xVal>
          <c:yVal>
            <c:numRef>
              <c:f>'ASF-ADequations'!$B$112:$I$112</c:f>
              <c:numCache>
                <c:formatCode>General</c:formatCode>
                <c:ptCount val="8"/>
                <c:pt idx="0">
                  <c:v>60</c:v>
                </c:pt>
                <c:pt idx="1">
                  <c:v>53</c:v>
                </c:pt>
                <c:pt idx="2">
                  <c:v>46</c:v>
                </c:pt>
                <c:pt idx="3">
                  <c:v>40</c:v>
                </c:pt>
                <c:pt idx="4">
                  <c:v>36</c:v>
                </c:pt>
                <c:pt idx="5">
                  <c:v>34</c:v>
                </c:pt>
                <c:pt idx="6">
                  <c:v>33</c:v>
                </c:pt>
                <c:pt idx="7">
                  <c:v>32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F5A0-4390-8FF2-FD25A409E69D}"/>
            </c:ext>
          </c:extLst>
        </c:ser>
        <c:ser>
          <c:idx val="3"/>
          <c:order val="2"/>
          <c:tx>
            <c:strRef>
              <c:f>'ASF-ADequations'!$A$111</c:f>
              <c:strCache>
                <c:ptCount val="1"/>
                <c:pt idx="0">
                  <c:v>NC 30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numRef>
              <c:f>'ASF-ADequations'!$B$107:$I$107</c:f>
              <c:numCache>
                <c:formatCode>General</c:formatCode>
                <c:ptCount val="8"/>
                <c:pt idx="0">
                  <c:v>63</c:v>
                </c:pt>
                <c:pt idx="1">
                  <c:v>125</c:v>
                </c:pt>
                <c:pt idx="2">
                  <c:v>250</c:v>
                </c:pt>
                <c:pt idx="3">
                  <c:v>500</c:v>
                </c:pt>
                <c:pt idx="4">
                  <c:v>1000</c:v>
                </c:pt>
                <c:pt idx="5">
                  <c:v>2000</c:v>
                </c:pt>
                <c:pt idx="6">
                  <c:v>4000</c:v>
                </c:pt>
                <c:pt idx="7">
                  <c:v>8000</c:v>
                </c:pt>
              </c:numCache>
            </c:numRef>
          </c:xVal>
          <c:yVal>
            <c:numRef>
              <c:f>'ASF-ADequations'!$B$111:$I$111</c:f>
              <c:numCache>
                <c:formatCode>General</c:formatCode>
                <c:ptCount val="8"/>
                <c:pt idx="0">
                  <c:v>57</c:v>
                </c:pt>
                <c:pt idx="1">
                  <c:v>48</c:v>
                </c:pt>
                <c:pt idx="2">
                  <c:v>41</c:v>
                </c:pt>
                <c:pt idx="3">
                  <c:v>35</c:v>
                </c:pt>
                <c:pt idx="4">
                  <c:v>31</c:v>
                </c:pt>
                <c:pt idx="5">
                  <c:v>29</c:v>
                </c:pt>
                <c:pt idx="6">
                  <c:v>28</c:v>
                </c:pt>
                <c:pt idx="7">
                  <c:v>27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2-F5A0-4390-8FF2-FD25A409E69D}"/>
            </c:ext>
          </c:extLst>
        </c:ser>
        <c:ser>
          <c:idx val="2"/>
          <c:order val="3"/>
          <c:tx>
            <c:strRef>
              <c:f>'ASF-ADequations'!$A$110</c:f>
              <c:strCache>
                <c:ptCount val="1"/>
                <c:pt idx="0">
                  <c:v>NC 25</c:v>
                </c:pt>
              </c:strCache>
            </c:strRef>
          </c:tx>
          <c:spPr>
            <a:ln w="19050" cap="rnd">
              <a:solidFill>
                <a:schemeClr val="accent3"/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'ASF-ADequations'!$B$107:$I$107</c:f>
              <c:numCache>
                <c:formatCode>General</c:formatCode>
                <c:ptCount val="8"/>
                <c:pt idx="0">
                  <c:v>63</c:v>
                </c:pt>
                <c:pt idx="1">
                  <c:v>125</c:v>
                </c:pt>
                <c:pt idx="2">
                  <c:v>250</c:v>
                </c:pt>
                <c:pt idx="3">
                  <c:v>500</c:v>
                </c:pt>
                <c:pt idx="4">
                  <c:v>1000</c:v>
                </c:pt>
                <c:pt idx="5">
                  <c:v>2000</c:v>
                </c:pt>
                <c:pt idx="6">
                  <c:v>4000</c:v>
                </c:pt>
                <c:pt idx="7">
                  <c:v>8000</c:v>
                </c:pt>
              </c:numCache>
            </c:numRef>
          </c:xVal>
          <c:yVal>
            <c:numRef>
              <c:f>'ASF-ADequations'!$B$110:$I$110</c:f>
              <c:numCache>
                <c:formatCode>General</c:formatCode>
                <c:ptCount val="8"/>
                <c:pt idx="0">
                  <c:v>54</c:v>
                </c:pt>
                <c:pt idx="1">
                  <c:v>45</c:v>
                </c:pt>
                <c:pt idx="2">
                  <c:v>38</c:v>
                </c:pt>
                <c:pt idx="3">
                  <c:v>31</c:v>
                </c:pt>
                <c:pt idx="4">
                  <c:v>27</c:v>
                </c:pt>
                <c:pt idx="5">
                  <c:v>24</c:v>
                </c:pt>
                <c:pt idx="6">
                  <c:v>22</c:v>
                </c:pt>
                <c:pt idx="7">
                  <c:v>21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3-F5A0-4390-8FF2-FD25A409E69D}"/>
            </c:ext>
          </c:extLst>
        </c:ser>
        <c:ser>
          <c:idx val="1"/>
          <c:order val="4"/>
          <c:tx>
            <c:strRef>
              <c:f>'ASF-ADequations'!$A$109</c:f>
              <c:strCache>
                <c:ptCount val="1"/>
                <c:pt idx="0">
                  <c:v>NC 20</c:v>
                </c:pt>
              </c:strCache>
            </c:strRef>
          </c:tx>
          <c:spPr>
            <a:ln w="19050" cap="rnd">
              <a:solidFill>
                <a:schemeClr val="accent2"/>
              </a:solidFill>
              <a:prstDash val="solid"/>
              <a:round/>
            </a:ln>
            <a:effectLst/>
          </c:spPr>
          <c:marker>
            <c:symbol val="none"/>
          </c:marker>
          <c:xVal>
            <c:numRef>
              <c:f>'ASF-ADequations'!$B$107:$I$107</c:f>
              <c:numCache>
                <c:formatCode>General</c:formatCode>
                <c:ptCount val="8"/>
                <c:pt idx="0">
                  <c:v>63</c:v>
                </c:pt>
                <c:pt idx="1">
                  <c:v>125</c:v>
                </c:pt>
                <c:pt idx="2">
                  <c:v>250</c:v>
                </c:pt>
                <c:pt idx="3">
                  <c:v>500</c:v>
                </c:pt>
                <c:pt idx="4">
                  <c:v>1000</c:v>
                </c:pt>
                <c:pt idx="5">
                  <c:v>2000</c:v>
                </c:pt>
                <c:pt idx="6">
                  <c:v>4000</c:v>
                </c:pt>
                <c:pt idx="7">
                  <c:v>8000</c:v>
                </c:pt>
              </c:numCache>
            </c:numRef>
          </c:xVal>
          <c:yVal>
            <c:numRef>
              <c:f>'ASF-ADequations'!$B$109:$I$109</c:f>
              <c:numCache>
                <c:formatCode>General</c:formatCode>
                <c:ptCount val="8"/>
                <c:pt idx="0">
                  <c:v>51</c:v>
                </c:pt>
                <c:pt idx="1">
                  <c:v>41</c:v>
                </c:pt>
                <c:pt idx="2">
                  <c:v>33</c:v>
                </c:pt>
                <c:pt idx="3">
                  <c:v>26</c:v>
                </c:pt>
                <c:pt idx="4">
                  <c:v>22</c:v>
                </c:pt>
                <c:pt idx="5">
                  <c:v>19</c:v>
                </c:pt>
                <c:pt idx="6">
                  <c:v>17</c:v>
                </c:pt>
                <c:pt idx="7">
                  <c:v>16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4-F5A0-4390-8FF2-FD25A409E69D}"/>
            </c:ext>
          </c:extLst>
        </c:ser>
        <c:ser>
          <c:idx val="0"/>
          <c:order val="5"/>
          <c:tx>
            <c:strRef>
              <c:f>'ASF-ADequations'!$A$108</c:f>
              <c:strCache>
                <c:ptCount val="1"/>
                <c:pt idx="0">
                  <c:v>NC 15</c:v>
                </c:pt>
              </c:strCache>
            </c:strRef>
          </c:tx>
          <c:spPr>
            <a:ln w="19050" cap="rnd">
              <a:solidFill>
                <a:schemeClr val="accent1"/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'ASF-ADequations'!$B$107:$I$107</c:f>
              <c:numCache>
                <c:formatCode>General</c:formatCode>
                <c:ptCount val="8"/>
                <c:pt idx="0">
                  <c:v>63</c:v>
                </c:pt>
                <c:pt idx="1">
                  <c:v>125</c:v>
                </c:pt>
                <c:pt idx="2">
                  <c:v>250</c:v>
                </c:pt>
                <c:pt idx="3">
                  <c:v>500</c:v>
                </c:pt>
                <c:pt idx="4">
                  <c:v>1000</c:v>
                </c:pt>
                <c:pt idx="5">
                  <c:v>2000</c:v>
                </c:pt>
                <c:pt idx="6">
                  <c:v>4000</c:v>
                </c:pt>
                <c:pt idx="7">
                  <c:v>8000</c:v>
                </c:pt>
              </c:numCache>
            </c:numRef>
          </c:xVal>
          <c:yVal>
            <c:numRef>
              <c:f>'ASF-ADequations'!$B$108:$I$108</c:f>
              <c:numCache>
                <c:formatCode>General</c:formatCode>
                <c:ptCount val="8"/>
                <c:pt idx="0">
                  <c:v>47</c:v>
                </c:pt>
                <c:pt idx="1">
                  <c:v>36</c:v>
                </c:pt>
                <c:pt idx="2">
                  <c:v>29</c:v>
                </c:pt>
                <c:pt idx="3">
                  <c:v>22</c:v>
                </c:pt>
                <c:pt idx="4">
                  <c:v>17</c:v>
                </c:pt>
                <c:pt idx="5">
                  <c:v>14</c:v>
                </c:pt>
                <c:pt idx="6">
                  <c:v>12</c:v>
                </c:pt>
                <c:pt idx="7">
                  <c:v>11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5-F5A0-4390-8FF2-FD25A409E69D}"/>
            </c:ext>
          </c:extLst>
        </c:ser>
        <c:ser>
          <c:idx val="6"/>
          <c:order val="6"/>
          <c:tx>
            <c:v>A2 100%</c:v>
          </c:tx>
          <c:spPr>
            <a:ln w="19050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xVal>
            <c:numRef>
              <c:f>'ASF-AD Acoustic Data'!$D$25:$I$25</c:f>
              <c:numCache>
                <c:formatCode>General</c:formatCode>
                <c:ptCount val="6"/>
                <c:pt idx="0">
                  <c:v>125</c:v>
                </c:pt>
                <c:pt idx="1">
                  <c:v>250</c:v>
                </c:pt>
                <c:pt idx="2">
                  <c:v>500</c:v>
                </c:pt>
                <c:pt idx="3">
                  <c:v>1000</c:v>
                </c:pt>
                <c:pt idx="4">
                  <c:v>2000</c:v>
                </c:pt>
                <c:pt idx="5">
                  <c:v>4000</c:v>
                </c:pt>
              </c:numCache>
            </c:numRef>
          </c:xVal>
          <c:yVal>
            <c:numRef>
              <c:f>'ASF-AD Acoustic Data'!$L$26:$Q$26</c:f>
              <c:numCache>
                <c:formatCode>General</c:formatCode>
                <c:ptCount val="6"/>
                <c:pt idx="0">
                  <c:v>23.811682394964919</c:v>
                </c:pt>
                <c:pt idx="1">
                  <c:v>22.47977710445344</c:v>
                </c:pt>
                <c:pt idx="2">
                  <c:v>18.178548310189697</c:v>
                </c:pt>
                <c:pt idx="3">
                  <c:v>16.958196358929172</c:v>
                </c:pt>
                <c:pt idx="4">
                  <c:v>13.783223592239832</c:v>
                </c:pt>
                <c:pt idx="5">
                  <c:v>3.8738130114936027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6-F5A0-4390-8FF2-FD25A409E6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7314280"/>
        <c:axId val="557317024"/>
      </c:scatterChart>
      <c:valAx>
        <c:axId val="557314280"/>
        <c:scaling>
          <c:logBase val="2"/>
          <c:orientation val="minMax"/>
          <c:max val="8000"/>
          <c:min val="62.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 sz="1050"/>
                  <a:t>Frequency</a:t>
                </a:r>
                <a:r>
                  <a:rPr lang="en-AU" sz="1050" baseline="0"/>
                  <a:t> Band (Hz)</a:t>
                </a:r>
                <a:endParaRPr lang="en-AU" sz="1050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7317024"/>
        <c:crosses val="autoZero"/>
        <c:crossBetween val="midCat"/>
        <c:majorUnit val="2"/>
      </c:valAx>
      <c:valAx>
        <c:axId val="557317024"/>
        <c:scaling>
          <c:orientation val="minMax"/>
          <c:min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 sz="1050"/>
                  <a:t>Sound Pressure Level (dB)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731428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7217920340602584"/>
          <c:y val="0.44224427567726116"/>
          <c:w val="0.12782079659397413"/>
          <c:h val="0.387059176863794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AU" b="1"/>
              <a:t>Basket A1 80%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8070009971950816E-2"/>
          <c:y val="0.11799027057383375"/>
          <c:w val="0.76599941136390193"/>
          <c:h val="0.74075445259891803"/>
        </c:manualLayout>
      </c:layout>
      <c:scatterChart>
        <c:scatterStyle val="smoothMarker"/>
        <c:varyColors val="0"/>
        <c:ser>
          <c:idx val="5"/>
          <c:order val="0"/>
          <c:tx>
            <c:v>NC 40</c:v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63</c:v>
              </c:pt>
              <c:pt idx="1">
                <c:v>125</c:v>
              </c:pt>
              <c:pt idx="2">
                <c:v>250</c:v>
              </c:pt>
              <c:pt idx="3">
                <c:v>500</c:v>
              </c:pt>
              <c:pt idx="4">
                <c:v>1000</c:v>
              </c:pt>
              <c:pt idx="5">
                <c:v>2000</c:v>
              </c:pt>
              <c:pt idx="6">
                <c:v>4000</c:v>
              </c:pt>
              <c:pt idx="7">
                <c:v>8000</c:v>
              </c:pt>
            </c:numLit>
          </c:xVal>
          <c:yVal>
            <c:numLit>
              <c:formatCode>General</c:formatCode>
              <c:ptCount val="8"/>
              <c:pt idx="0">
                <c:v>64</c:v>
              </c:pt>
              <c:pt idx="1">
                <c:v>57</c:v>
              </c:pt>
              <c:pt idx="2">
                <c:v>51</c:v>
              </c:pt>
              <c:pt idx="3">
                <c:v>45</c:v>
              </c:pt>
              <c:pt idx="4">
                <c:v>41</c:v>
              </c:pt>
              <c:pt idx="5">
                <c:v>39</c:v>
              </c:pt>
              <c:pt idx="6">
                <c:v>38</c:v>
              </c:pt>
              <c:pt idx="7">
                <c:v>37</c:v>
              </c:pt>
            </c:numLit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269C-4DC4-829F-3AF05AE7E5F2}"/>
            </c:ext>
          </c:extLst>
        </c:ser>
        <c:ser>
          <c:idx val="4"/>
          <c:order val="1"/>
          <c:tx>
            <c:strRef>
              <c:f>'ASF-ADequations'!$A$112</c:f>
              <c:strCache>
                <c:ptCount val="1"/>
                <c:pt idx="0">
                  <c:v>NC 35</c:v>
                </c:pt>
              </c:strCache>
            </c:strRef>
          </c:tx>
          <c:spPr>
            <a:ln w="19050" cap="rnd">
              <a:solidFill>
                <a:schemeClr val="accent5"/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'ASF-ADequations'!$B$107:$I$107</c:f>
              <c:numCache>
                <c:formatCode>General</c:formatCode>
                <c:ptCount val="8"/>
                <c:pt idx="0">
                  <c:v>63</c:v>
                </c:pt>
                <c:pt idx="1">
                  <c:v>125</c:v>
                </c:pt>
                <c:pt idx="2">
                  <c:v>250</c:v>
                </c:pt>
                <c:pt idx="3">
                  <c:v>500</c:v>
                </c:pt>
                <c:pt idx="4">
                  <c:v>1000</c:v>
                </c:pt>
                <c:pt idx="5">
                  <c:v>2000</c:v>
                </c:pt>
                <c:pt idx="6">
                  <c:v>4000</c:v>
                </c:pt>
                <c:pt idx="7">
                  <c:v>8000</c:v>
                </c:pt>
              </c:numCache>
            </c:numRef>
          </c:xVal>
          <c:yVal>
            <c:numRef>
              <c:f>'ASF-ADequations'!$B$112:$I$112</c:f>
              <c:numCache>
                <c:formatCode>General</c:formatCode>
                <c:ptCount val="8"/>
                <c:pt idx="0">
                  <c:v>60</c:v>
                </c:pt>
                <c:pt idx="1">
                  <c:v>53</c:v>
                </c:pt>
                <c:pt idx="2">
                  <c:v>46</c:v>
                </c:pt>
                <c:pt idx="3">
                  <c:v>40</c:v>
                </c:pt>
                <c:pt idx="4">
                  <c:v>36</c:v>
                </c:pt>
                <c:pt idx="5">
                  <c:v>34</c:v>
                </c:pt>
                <c:pt idx="6">
                  <c:v>33</c:v>
                </c:pt>
                <c:pt idx="7">
                  <c:v>32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269C-4DC4-829F-3AF05AE7E5F2}"/>
            </c:ext>
          </c:extLst>
        </c:ser>
        <c:ser>
          <c:idx val="3"/>
          <c:order val="2"/>
          <c:tx>
            <c:strRef>
              <c:f>'ASF-ADequations'!$A$111</c:f>
              <c:strCache>
                <c:ptCount val="1"/>
                <c:pt idx="0">
                  <c:v>NC 30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numRef>
              <c:f>'ASF-ADequations'!$B$107:$I$107</c:f>
              <c:numCache>
                <c:formatCode>General</c:formatCode>
                <c:ptCount val="8"/>
                <c:pt idx="0">
                  <c:v>63</c:v>
                </c:pt>
                <c:pt idx="1">
                  <c:v>125</c:v>
                </c:pt>
                <c:pt idx="2">
                  <c:v>250</c:v>
                </c:pt>
                <c:pt idx="3">
                  <c:v>500</c:v>
                </c:pt>
                <c:pt idx="4">
                  <c:v>1000</c:v>
                </c:pt>
                <c:pt idx="5">
                  <c:v>2000</c:v>
                </c:pt>
                <c:pt idx="6">
                  <c:v>4000</c:v>
                </c:pt>
                <c:pt idx="7">
                  <c:v>8000</c:v>
                </c:pt>
              </c:numCache>
            </c:numRef>
          </c:xVal>
          <c:yVal>
            <c:numRef>
              <c:f>'ASF-ADequations'!$B$111:$I$111</c:f>
              <c:numCache>
                <c:formatCode>General</c:formatCode>
                <c:ptCount val="8"/>
                <c:pt idx="0">
                  <c:v>57</c:v>
                </c:pt>
                <c:pt idx="1">
                  <c:v>48</c:v>
                </c:pt>
                <c:pt idx="2">
                  <c:v>41</c:v>
                </c:pt>
                <c:pt idx="3">
                  <c:v>35</c:v>
                </c:pt>
                <c:pt idx="4">
                  <c:v>31</c:v>
                </c:pt>
                <c:pt idx="5">
                  <c:v>29</c:v>
                </c:pt>
                <c:pt idx="6">
                  <c:v>28</c:v>
                </c:pt>
                <c:pt idx="7">
                  <c:v>27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2-269C-4DC4-829F-3AF05AE7E5F2}"/>
            </c:ext>
          </c:extLst>
        </c:ser>
        <c:ser>
          <c:idx val="2"/>
          <c:order val="3"/>
          <c:tx>
            <c:strRef>
              <c:f>'ASF-ADequations'!$A$110</c:f>
              <c:strCache>
                <c:ptCount val="1"/>
                <c:pt idx="0">
                  <c:v>NC 25</c:v>
                </c:pt>
              </c:strCache>
            </c:strRef>
          </c:tx>
          <c:spPr>
            <a:ln w="19050" cap="rnd">
              <a:solidFill>
                <a:schemeClr val="accent3"/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'ASF-ADequations'!$B$107:$I$107</c:f>
              <c:numCache>
                <c:formatCode>General</c:formatCode>
                <c:ptCount val="8"/>
                <c:pt idx="0">
                  <c:v>63</c:v>
                </c:pt>
                <c:pt idx="1">
                  <c:v>125</c:v>
                </c:pt>
                <c:pt idx="2">
                  <c:v>250</c:v>
                </c:pt>
                <c:pt idx="3">
                  <c:v>500</c:v>
                </c:pt>
                <c:pt idx="4">
                  <c:v>1000</c:v>
                </c:pt>
                <c:pt idx="5">
                  <c:v>2000</c:v>
                </c:pt>
                <c:pt idx="6">
                  <c:v>4000</c:v>
                </c:pt>
                <c:pt idx="7">
                  <c:v>8000</c:v>
                </c:pt>
              </c:numCache>
            </c:numRef>
          </c:xVal>
          <c:yVal>
            <c:numRef>
              <c:f>'ASF-ADequations'!$B$110:$I$110</c:f>
              <c:numCache>
                <c:formatCode>General</c:formatCode>
                <c:ptCount val="8"/>
                <c:pt idx="0">
                  <c:v>54</c:v>
                </c:pt>
                <c:pt idx="1">
                  <c:v>45</c:v>
                </c:pt>
                <c:pt idx="2">
                  <c:v>38</c:v>
                </c:pt>
                <c:pt idx="3">
                  <c:v>31</c:v>
                </c:pt>
                <c:pt idx="4">
                  <c:v>27</c:v>
                </c:pt>
                <c:pt idx="5">
                  <c:v>24</c:v>
                </c:pt>
                <c:pt idx="6">
                  <c:v>22</c:v>
                </c:pt>
                <c:pt idx="7">
                  <c:v>21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3-269C-4DC4-829F-3AF05AE7E5F2}"/>
            </c:ext>
          </c:extLst>
        </c:ser>
        <c:ser>
          <c:idx val="1"/>
          <c:order val="4"/>
          <c:tx>
            <c:strRef>
              <c:f>'ASF-ADequations'!$A$109</c:f>
              <c:strCache>
                <c:ptCount val="1"/>
                <c:pt idx="0">
                  <c:v>NC 20</c:v>
                </c:pt>
              </c:strCache>
            </c:strRef>
          </c:tx>
          <c:spPr>
            <a:ln w="19050" cap="rnd">
              <a:solidFill>
                <a:schemeClr val="accent2"/>
              </a:solidFill>
              <a:prstDash val="solid"/>
              <a:round/>
            </a:ln>
            <a:effectLst/>
          </c:spPr>
          <c:marker>
            <c:symbol val="none"/>
          </c:marker>
          <c:xVal>
            <c:numRef>
              <c:f>'ASF-ADequations'!$B$107:$I$107</c:f>
              <c:numCache>
                <c:formatCode>General</c:formatCode>
                <c:ptCount val="8"/>
                <c:pt idx="0">
                  <c:v>63</c:v>
                </c:pt>
                <c:pt idx="1">
                  <c:v>125</c:v>
                </c:pt>
                <c:pt idx="2">
                  <c:v>250</c:v>
                </c:pt>
                <c:pt idx="3">
                  <c:v>500</c:v>
                </c:pt>
                <c:pt idx="4">
                  <c:v>1000</c:v>
                </c:pt>
                <c:pt idx="5">
                  <c:v>2000</c:v>
                </c:pt>
                <c:pt idx="6">
                  <c:v>4000</c:v>
                </c:pt>
                <c:pt idx="7">
                  <c:v>8000</c:v>
                </c:pt>
              </c:numCache>
            </c:numRef>
          </c:xVal>
          <c:yVal>
            <c:numRef>
              <c:f>'ASF-ADequations'!$B$109:$I$109</c:f>
              <c:numCache>
                <c:formatCode>General</c:formatCode>
                <c:ptCount val="8"/>
                <c:pt idx="0">
                  <c:v>51</c:v>
                </c:pt>
                <c:pt idx="1">
                  <c:v>41</c:v>
                </c:pt>
                <c:pt idx="2">
                  <c:v>33</c:v>
                </c:pt>
                <c:pt idx="3">
                  <c:v>26</c:v>
                </c:pt>
                <c:pt idx="4">
                  <c:v>22</c:v>
                </c:pt>
                <c:pt idx="5">
                  <c:v>19</c:v>
                </c:pt>
                <c:pt idx="6">
                  <c:v>17</c:v>
                </c:pt>
                <c:pt idx="7">
                  <c:v>16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4-269C-4DC4-829F-3AF05AE7E5F2}"/>
            </c:ext>
          </c:extLst>
        </c:ser>
        <c:ser>
          <c:idx val="0"/>
          <c:order val="5"/>
          <c:tx>
            <c:strRef>
              <c:f>'ASF-ADequations'!$A$108</c:f>
              <c:strCache>
                <c:ptCount val="1"/>
                <c:pt idx="0">
                  <c:v>NC 15</c:v>
                </c:pt>
              </c:strCache>
            </c:strRef>
          </c:tx>
          <c:spPr>
            <a:ln w="19050" cap="rnd">
              <a:solidFill>
                <a:schemeClr val="accent1"/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'ASF-ADequations'!$B$107:$I$107</c:f>
              <c:numCache>
                <c:formatCode>General</c:formatCode>
                <c:ptCount val="8"/>
                <c:pt idx="0">
                  <c:v>63</c:v>
                </c:pt>
                <c:pt idx="1">
                  <c:v>125</c:v>
                </c:pt>
                <c:pt idx="2">
                  <c:v>250</c:v>
                </c:pt>
                <c:pt idx="3">
                  <c:v>500</c:v>
                </c:pt>
                <c:pt idx="4">
                  <c:v>1000</c:v>
                </c:pt>
                <c:pt idx="5">
                  <c:v>2000</c:v>
                </c:pt>
                <c:pt idx="6">
                  <c:v>4000</c:v>
                </c:pt>
                <c:pt idx="7">
                  <c:v>8000</c:v>
                </c:pt>
              </c:numCache>
            </c:numRef>
          </c:xVal>
          <c:yVal>
            <c:numRef>
              <c:f>'ASF-ADequations'!$B$108:$I$108</c:f>
              <c:numCache>
                <c:formatCode>General</c:formatCode>
                <c:ptCount val="8"/>
                <c:pt idx="0">
                  <c:v>47</c:v>
                </c:pt>
                <c:pt idx="1">
                  <c:v>36</c:v>
                </c:pt>
                <c:pt idx="2">
                  <c:v>29</c:v>
                </c:pt>
                <c:pt idx="3">
                  <c:v>22</c:v>
                </c:pt>
                <c:pt idx="4">
                  <c:v>17</c:v>
                </c:pt>
                <c:pt idx="5">
                  <c:v>14</c:v>
                </c:pt>
                <c:pt idx="6">
                  <c:v>12</c:v>
                </c:pt>
                <c:pt idx="7">
                  <c:v>11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5-269C-4DC4-829F-3AF05AE7E5F2}"/>
            </c:ext>
          </c:extLst>
        </c:ser>
        <c:ser>
          <c:idx val="6"/>
          <c:order val="6"/>
          <c:tx>
            <c:v>A1 80%</c:v>
          </c:tx>
          <c:spPr>
            <a:ln w="19050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xVal>
            <c:numRef>
              <c:f>'ASF-AD Acoustic Data'!$D$25:$I$25</c:f>
              <c:numCache>
                <c:formatCode>General</c:formatCode>
                <c:ptCount val="6"/>
                <c:pt idx="0">
                  <c:v>125</c:v>
                </c:pt>
                <c:pt idx="1">
                  <c:v>250</c:v>
                </c:pt>
                <c:pt idx="2">
                  <c:v>500</c:v>
                </c:pt>
                <c:pt idx="3">
                  <c:v>1000</c:v>
                </c:pt>
                <c:pt idx="4">
                  <c:v>2000</c:v>
                </c:pt>
                <c:pt idx="5">
                  <c:v>4000</c:v>
                </c:pt>
              </c:numCache>
            </c:numRef>
          </c:xVal>
          <c:yVal>
            <c:numRef>
              <c:f>'ASF-AD Acoustic Data'!$D$54:$I$54</c:f>
              <c:numCache>
                <c:formatCode>0.0</c:formatCode>
                <c:ptCount val="6"/>
                <c:pt idx="0">
                  <c:v>33.135422489148041</c:v>
                </c:pt>
                <c:pt idx="1">
                  <c:v>30.616424563394613</c:v>
                </c:pt>
                <c:pt idx="2">
                  <c:v>30.556024551159421</c:v>
                </c:pt>
                <c:pt idx="3">
                  <c:v>25.776410444275562</c:v>
                </c:pt>
                <c:pt idx="4">
                  <c:v>15.030899869919436</c:v>
                </c:pt>
                <c:pt idx="5">
                  <c:v>15.030899869919436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6-269C-4DC4-829F-3AF05AE7E5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7314672"/>
        <c:axId val="557316240"/>
      </c:scatterChart>
      <c:valAx>
        <c:axId val="557314672"/>
        <c:scaling>
          <c:logBase val="2"/>
          <c:orientation val="minMax"/>
          <c:max val="8000"/>
          <c:min val="62.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 sz="1050"/>
                  <a:t>Frequency</a:t>
                </a:r>
                <a:r>
                  <a:rPr lang="en-AU" sz="1050" baseline="0"/>
                  <a:t> Band (Hz)</a:t>
                </a:r>
                <a:endParaRPr lang="en-AU" sz="1050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7316240"/>
        <c:crosses val="autoZero"/>
        <c:crossBetween val="midCat"/>
        <c:majorUnit val="2"/>
      </c:valAx>
      <c:valAx>
        <c:axId val="557316240"/>
        <c:scaling>
          <c:orientation val="minMax"/>
          <c:min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 sz="1050"/>
                  <a:t>Sound</a:t>
                </a:r>
                <a:r>
                  <a:rPr lang="en-AU" sz="1050" baseline="0"/>
                  <a:t> Pressure Level (</a:t>
                </a:r>
                <a:r>
                  <a:rPr lang="en-AU" sz="1050"/>
                  <a:t>dB)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731467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7627546556680413"/>
          <c:y val="0.41997595823275219"/>
          <c:w val="0.12372453443319585"/>
          <c:h val="0.4093274943083032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AU" b="1"/>
              <a:t>Basket A2 80%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8070009971950816E-2"/>
          <c:y val="0.11799027057383375"/>
          <c:w val="0.76599941136390193"/>
          <c:h val="0.74075445259891803"/>
        </c:manualLayout>
      </c:layout>
      <c:scatterChart>
        <c:scatterStyle val="smoothMarker"/>
        <c:varyColors val="0"/>
        <c:ser>
          <c:idx val="5"/>
          <c:order val="0"/>
          <c:tx>
            <c:v>NC 40</c:v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63</c:v>
              </c:pt>
              <c:pt idx="1">
                <c:v>125</c:v>
              </c:pt>
              <c:pt idx="2">
                <c:v>250</c:v>
              </c:pt>
              <c:pt idx="3">
                <c:v>500</c:v>
              </c:pt>
              <c:pt idx="4">
                <c:v>1000</c:v>
              </c:pt>
              <c:pt idx="5">
                <c:v>2000</c:v>
              </c:pt>
              <c:pt idx="6">
                <c:v>4000</c:v>
              </c:pt>
              <c:pt idx="7">
                <c:v>8000</c:v>
              </c:pt>
            </c:numLit>
          </c:xVal>
          <c:yVal>
            <c:numLit>
              <c:formatCode>General</c:formatCode>
              <c:ptCount val="8"/>
              <c:pt idx="0">
                <c:v>64</c:v>
              </c:pt>
              <c:pt idx="1">
                <c:v>57</c:v>
              </c:pt>
              <c:pt idx="2">
                <c:v>51</c:v>
              </c:pt>
              <c:pt idx="3">
                <c:v>45</c:v>
              </c:pt>
              <c:pt idx="4">
                <c:v>41</c:v>
              </c:pt>
              <c:pt idx="5">
                <c:v>39</c:v>
              </c:pt>
              <c:pt idx="6">
                <c:v>38</c:v>
              </c:pt>
              <c:pt idx="7">
                <c:v>37</c:v>
              </c:pt>
            </c:numLit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EBCF-42A4-A7AA-5B9C7C20238C}"/>
            </c:ext>
          </c:extLst>
        </c:ser>
        <c:ser>
          <c:idx val="4"/>
          <c:order val="1"/>
          <c:tx>
            <c:strRef>
              <c:f>'ASF-ADequations'!$A$112</c:f>
              <c:strCache>
                <c:ptCount val="1"/>
                <c:pt idx="0">
                  <c:v>NC 35</c:v>
                </c:pt>
              </c:strCache>
            </c:strRef>
          </c:tx>
          <c:spPr>
            <a:ln w="19050" cap="rnd">
              <a:solidFill>
                <a:schemeClr val="accent5"/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'ASF-ADequations'!$B$107:$I$107</c:f>
              <c:numCache>
                <c:formatCode>General</c:formatCode>
                <c:ptCount val="8"/>
                <c:pt idx="0">
                  <c:v>63</c:v>
                </c:pt>
                <c:pt idx="1">
                  <c:v>125</c:v>
                </c:pt>
                <c:pt idx="2">
                  <c:v>250</c:v>
                </c:pt>
                <c:pt idx="3">
                  <c:v>500</c:v>
                </c:pt>
                <c:pt idx="4">
                  <c:v>1000</c:v>
                </c:pt>
                <c:pt idx="5">
                  <c:v>2000</c:v>
                </c:pt>
                <c:pt idx="6">
                  <c:v>4000</c:v>
                </c:pt>
                <c:pt idx="7">
                  <c:v>8000</c:v>
                </c:pt>
              </c:numCache>
            </c:numRef>
          </c:xVal>
          <c:yVal>
            <c:numRef>
              <c:f>'ASF-ADequations'!$B$112:$I$112</c:f>
              <c:numCache>
                <c:formatCode>General</c:formatCode>
                <c:ptCount val="8"/>
                <c:pt idx="0">
                  <c:v>60</c:v>
                </c:pt>
                <c:pt idx="1">
                  <c:v>53</c:v>
                </c:pt>
                <c:pt idx="2">
                  <c:v>46</c:v>
                </c:pt>
                <c:pt idx="3">
                  <c:v>40</c:v>
                </c:pt>
                <c:pt idx="4">
                  <c:v>36</c:v>
                </c:pt>
                <c:pt idx="5">
                  <c:v>34</c:v>
                </c:pt>
                <c:pt idx="6">
                  <c:v>33</c:v>
                </c:pt>
                <c:pt idx="7">
                  <c:v>32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EBCF-42A4-A7AA-5B9C7C20238C}"/>
            </c:ext>
          </c:extLst>
        </c:ser>
        <c:ser>
          <c:idx val="3"/>
          <c:order val="2"/>
          <c:tx>
            <c:strRef>
              <c:f>'ASF-ADequations'!$A$111</c:f>
              <c:strCache>
                <c:ptCount val="1"/>
                <c:pt idx="0">
                  <c:v>NC 30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numRef>
              <c:f>'ASF-ADequations'!$B$107:$I$107</c:f>
              <c:numCache>
                <c:formatCode>General</c:formatCode>
                <c:ptCount val="8"/>
                <c:pt idx="0">
                  <c:v>63</c:v>
                </c:pt>
                <c:pt idx="1">
                  <c:v>125</c:v>
                </c:pt>
                <c:pt idx="2">
                  <c:v>250</c:v>
                </c:pt>
                <c:pt idx="3">
                  <c:v>500</c:v>
                </c:pt>
                <c:pt idx="4">
                  <c:v>1000</c:v>
                </c:pt>
                <c:pt idx="5">
                  <c:v>2000</c:v>
                </c:pt>
                <c:pt idx="6">
                  <c:v>4000</c:v>
                </c:pt>
                <c:pt idx="7">
                  <c:v>8000</c:v>
                </c:pt>
              </c:numCache>
            </c:numRef>
          </c:xVal>
          <c:yVal>
            <c:numRef>
              <c:f>'ASF-ADequations'!$B$111:$I$111</c:f>
              <c:numCache>
                <c:formatCode>General</c:formatCode>
                <c:ptCount val="8"/>
                <c:pt idx="0">
                  <c:v>57</c:v>
                </c:pt>
                <c:pt idx="1">
                  <c:v>48</c:v>
                </c:pt>
                <c:pt idx="2">
                  <c:v>41</c:v>
                </c:pt>
                <c:pt idx="3">
                  <c:v>35</c:v>
                </c:pt>
                <c:pt idx="4">
                  <c:v>31</c:v>
                </c:pt>
                <c:pt idx="5">
                  <c:v>29</c:v>
                </c:pt>
                <c:pt idx="6">
                  <c:v>28</c:v>
                </c:pt>
                <c:pt idx="7">
                  <c:v>27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2-EBCF-42A4-A7AA-5B9C7C20238C}"/>
            </c:ext>
          </c:extLst>
        </c:ser>
        <c:ser>
          <c:idx val="2"/>
          <c:order val="3"/>
          <c:tx>
            <c:strRef>
              <c:f>'ASF-ADequations'!$A$110</c:f>
              <c:strCache>
                <c:ptCount val="1"/>
                <c:pt idx="0">
                  <c:v>NC 25</c:v>
                </c:pt>
              </c:strCache>
            </c:strRef>
          </c:tx>
          <c:spPr>
            <a:ln w="19050" cap="rnd">
              <a:solidFill>
                <a:schemeClr val="accent3"/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'ASF-ADequations'!$B$107:$I$107</c:f>
              <c:numCache>
                <c:formatCode>General</c:formatCode>
                <c:ptCount val="8"/>
                <c:pt idx="0">
                  <c:v>63</c:v>
                </c:pt>
                <c:pt idx="1">
                  <c:v>125</c:v>
                </c:pt>
                <c:pt idx="2">
                  <c:v>250</c:v>
                </c:pt>
                <c:pt idx="3">
                  <c:v>500</c:v>
                </c:pt>
                <c:pt idx="4">
                  <c:v>1000</c:v>
                </c:pt>
                <c:pt idx="5">
                  <c:v>2000</c:v>
                </c:pt>
                <c:pt idx="6">
                  <c:v>4000</c:v>
                </c:pt>
                <c:pt idx="7">
                  <c:v>8000</c:v>
                </c:pt>
              </c:numCache>
            </c:numRef>
          </c:xVal>
          <c:yVal>
            <c:numRef>
              <c:f>'ASF-ADequations'!$B$110:$I$110</c:f>
              <c:numCache>
                <c:formatCode>General</c:formatCode>
                <c:ptCount val="8"/>
                <c:pt idx="0">
                  <c:v>54</c:v>
                </c:pt>
                <c:pt idx="1">
                  <c:v>45</c:v>
                </c:pt>
                <c:pt idx="2">
                  <c:v>38</c:v>
                </c:pt>
                <c:pt idx="3">
                  <c:v>31</c:v>
                </c:pt>
                <c:pt idx="4">
                  <c:v>27</c:v>
                </c:pt>
                <c:pt idx="5">
                  <c:v>24</c:v>
                </c:pt>
                <c:pt idx="6">
                  <c:v>22</c:v>
                </c:pt>
                <c:pt idx="7">
                  <c:v>21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3-EBCF-42A4-A7AA-5B9C7C20238C}"/>
            </c:ext>
          </c:extLst>
        </c:ser>
        <c:ser>
          <c:idx val="1"/>
          <c:order val="4"/>
          <c:tx>
            <c:strRef>
              <c:f>'ASF-ADequations'!$A$109</c:f>
              <c:strCache>
                <c:ptCount val="1"/>
                <c:pt idx="0">
                  <c:v>NC 20</c:v>
                </c:pt>
              </c:strCache>
            </c:strRef>
          </c:tx>
          <c:spPr>
            <a:ln w="19050" cap="rnd">
              <a:solidFill>
                <a:schemeClr val="accent2"/>
              </a:solidFill>
              <a:prstDash val="solid"/>
              <a:round/>
            </a:ln>
            <a:effectLst/>
          </c:spPr>
          <c:marker>
            <c:symbol val="none"/>
          </c:marker>
          <c:xVal>
            <c:numRef>
              <c:f>'ASF-ADequations'!$B$107:$I$107</c:f>
              <c:numCache>
                <c:formatCode>General</c:formatCode>
                <c:ptCount val="8"/>
                <c:pt idx="0">
                  <c:v>63</c:v>
                </c:pt>
                <c:pt idx="1">
                  <c:v>125</c:v>
                </c:pt>
                <c:pt idx="2">
                  <c:v>250</c:v>
                </c:pt>
                <c:pt idx="3">
                  <c:v>500</c:v>
                </c:pt>
                <c:pt idx="4">
                  <c:v>1000</c:v>
                </c:pt>
                <c:pt idx="5">
                  <c:v>2000</c:v>
                </c:pt>
                <c:pt idx="6">
                  <c:v>4000</c:v>
                </c:pt>
                <c:pt idx="7">
                  <c:v>8000</c:v>
                </c:pt>
              </c:numCache>
            </c:numRef>
          </c:xVal>
          <c:yVal>
            <c:numRef>
              <c:f>'ASF-ADequations'!$B$109:$I$109</c:f>
              <c:numCache>
                <c:formatCode>General</c:formatCode>
                <c:ptCount val="8"/>
                <c:pt idx="0">
                  <c:v>51</c:v>
                </c:pt>
                <c:pt idx="1">
                  <c:v>41</c:v>
                </c:pt>
                <c:pt idx="2">
                  <c:v>33</c:v>
                </c:pt>
                <c:pt idx="3">
                  <c:v>26</c:v>
                </c:pt>
                <c:pt idx="4">
                  <c:v>22</c:v>
                </c:pt>
                <c:pt idx="5">
                  <c:v>19</c:v>
                </c:pt>
                <c:pt idx="6">
                  <c:v>17</c:v>
                </c:pt>
                <c:pt idx="7">
                  <c:v>16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4-EBCF-42A4-A7AA-5B9C7C20238C}"/>
            </c:ext>
          </c:extLst>
        </c:ser>
        <c:ser>
          <c:idx val="0"/>
          <c:order val="5"/>
          <c:tx>
            <c:strRef>
              <c:f>'ASF-ADequations'!$A$108</c:f>
              <c:strCache>
                <c:ptCount val="1"/>
                <c:pt idx="0">
                  <c:v>NC 15</c:v>
                </c:pt>
              </c:strCache>
            </c:strRef>
          </c:tx>
          <c:spPr>
            <a:ln w="19050" cap="rnd">
              <a:solidFill>
                <a:schemeClr val="accent1"/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'ASF-ADequations'!$B$107:$I$107</c:f>
              <c:numCache>
                <c:formatCode>General</c:formatCode>
                <c:ptCount val="8"/>
                <c:pt idx="0">
                  <c:v>63</c:v>
                </c:pt>
                <c:pt idx="1">
                  <c:v>125</c:v>
                </c:pt>
                <c:pt idx="2">
                  <c:v>250</c:v>
                </c:pt>
                <c:pt idx="3">
                  <c:v>500</c:v>
                </c:pt>
                <c:pt idx="4">
                  <c:v>1000</c:v>
                </c:pt>
                <c:pt idx="5">
                  <c:v>2000</c:v>
                </c:pt>
                <c:pt idx="6">
                  <c:v>4000</c:v>
                </c:pt>
                <c:pt idx="7">
                  <c:v>8000</c:v>
                </c:pt>
              </c:numCache>
            </c:numRef>
          </c:xVal>
          <c:yVal>
            <c:numRef>
              <c:f>'ASF-ADequations'!$B$108:$I$108</c:f>
              <c:numCache>
                <c:formatCode>General</c:formatCode>
                <c:ptCount val="8"/>
                <c:pt idx="0">
                  <c:v>47</c:v>
                </c:pt>
                <c:pt idx="1">
                  <c:v>36</c:v>
                </c:pt>
                <c:pt idx="2">
                  <c:v>29</c:v>
                </c:pt>
                <c:pt idx="3">
                  <c:v>22</c:v>
                </c:pt>
                <c:pt idx="4">
                  <c:v>17</c:v>
                </c:pt>
                <c:pt idx="5">
                  <c:v>14</c:v>
                </c:pt>
                <c:pt idx="6">
                  <c:v>12</c:v>
                </c:pt>
                <c:pt idx="7">
                  <c:v>11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5-EBCF-42A4-A7AA-5B9C7C20238C}"/>
            </c:ext>
          </c:extLst>
        </c:ser>
        <c:ser>
          <c:idx val="6"/>
          <c:order val="6"/>
          <c:spPr>
            <a:ln w="19050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xVal>
            <c:numRef>
              <c:f>'ASF-AD Acoustic Data'!$D$25:$I$25</c:f>
              <c:numCache>
                <c:formatCode>General</c:formatCode>
                <c:ptCount val="6"/>
                <c:pt idx="0">
                  <c:v>125</c:v>
                </c:pt>
                <c:pt idx="1">
                  <c:v>250</c:v>
                </c:pt>
                <c:pt idx="2">
                  <c:v>500</c:v>
                </c:pt>
                <c:pt idx="3">
                  <c:v>1000</c:v>
                </c:pt>
                <c:pt idx="4">
                  <c:v>2000</c:v>
                </c:pt>
                <c:pt idx="5">
                  <c:v>4000</c:v>
                </c:pt>
              </c:numCache>
            </c:numRef>
          </c:xVal>
          <c:yVal>
            <c:numRef>
              <c:f>'ASF-AD Acoustic Data'!$L$54:$Q$54</c:f>
              <c:numCache>
                <c:formatCode>General</c:formatCode>
                <c:ptCount val="6"/>
                <c:pt idx="0">
                  <c:v>17.952282045113574</c:v>
                </c:pt>
                <c:pt idx="1">
                  <c:v>26.356949698381882</c:v>
                </c:pt>
                <c:pt idx="2">
                  <c:v>23.815407952398289</c:v>
                </c:pt>
                <c:pt idx="3">
                  <c:v>27.334483202742376</c:v>
                </c:pt>
                <c:pt idx="4">
                  <c:v>25.906309588553199</c:v>
                </c:pt>
                <c:pt idx="5">
                  <c:v>7.9940030521957723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6-EBCF-42A4-A7AA-5B9C7C2023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7315456"/>
        <c:axId val="557315064"/>
      </c:scatterChart>
      <c:valAx>
        <c:axId val="557315456"/>
        <c:scaling>
          <c:logBase val="2"/>
          <c:orientation val="minMax"/>
          <c:max val="8000"/>
          <c:min val="62.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 sz="1050"/>
                  <a:t>Frequency</a:t>
                </a:r>
                <a:r>
                  <a:rPr lang="en-AU" sz="1050" baseline="0"/>
                  <a:t> Band (Hz)</a:t>
                </a:r>
                <a:endParaRPr lang="en-AU" sz="1050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7315064"/>
        <c:crosses val="autoZero"/>
        <c:crossBetween val="midCat"/>
        <c:majorUnit val="2"/>
      </c:valAx>
      <c:valAx>
        <c:axId val="557315064"/>
        <c:scaling>
          <c:orientation val="minMax"/>
          <c:min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 sz="1050"/>
                  <a:t>Sound Pressure Level (dB)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731545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7627546556680413"/>
          <c:y val="0.41997595823275219"/>
          <c:w val="0.12372453443319585"/>
          <c:h val="0.4093274943083032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AU" b="1"/>
              <a:t>Basket A1 60%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8070009971950816E-2"/>
          <c:y val="0.11799027057383375"/>
          <c:w val="0.76599941136390193"/>
          <c:h val="0.74075445259891803"/>
        </c:manualLayout>
      </c:layout>
      <c:scatterChart>
        <c:scatterStyle val="smoothMarker"/>
        <c:varyColors val="0"/>
        <c:ser>
          <c:idx val="5"/>
          <c:order val="0"/>
          <c:tx>
            <c:v>NC 40</c:v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63</c:v>
              </c:pt>
              <c:pt idx="1">
                <c:v>125</c:v>
              </c:pt>
              <c:pt idx="2">
                <c:v>250</c:v>
              </c:pt>
              <c:pt idx="3">
                <c:v>500</c:v>
              </c:pt>
              <c:pt idx="4">
                <c:v>1000</c:v>
              </c:pt>
              <c:pt idx="5">
                <c:v>2000</c:v>
              </c:pt>
              <c:pt idx="6">
                <c:v>4000</c:v>
              </c:pt>
              <c:pt idx="7">
                <c:v>8000</c:v>
              </c:pt>
            </c:numLit>
          </c:xVal>
          <c:yVal>
            <c:numLit>
              <c:formatCode>General</c:formatCode>
              <c:ptCount val="8"/>
              <c:pt idx="0">
                <c:v>64</c:v>
              </c:pt>
              <c:pt idx="1">
                <c:v>57</c:v>
              </c:pt>
              <c:pt idx="2">
                <c:v>51</c:v>
              </c:pt>
              <c:pt idx="3">
                <c:v>45</c:v>
              </c:pt>
              <c:pt idx="4">
                <c:v>41</c:v>
              </c:pt>
              <c:pt idx="5">
                <c:v>39</c:v>
              </c:pt>
              <c:pt idx="6">
                <c:v>38</c:v>
              </c:pt>
              <c:pt idx="7">
                <c:v>37</c:v>
              </c:pt>
            </c:numLit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2E9C-4805-BE85-BF78FF96D0A4}"/>
            </c:ext>
          </c:extLst>
        </c:ser>
        <c:ser>
          <c:idx val="4"/>
          <c:order val="1"/>
          <c:tx>
            <c:strRef>
              <c:f>'ASF-ADequations'!$A$112</c:f>
              <c:strCache>
                <c:ptCount val="1"/>
                <c:pt idx="0">
                  <c:v>NC 35</c:v>
                </c:pt>
              </c:strCache>
            </c:strRef>
          </c:tx>
          <c:spPr>
            <a:ln w="19050" cap="rnd">
              <a:solidFill>
                <a:schemeClr val="accent5"/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'ASF-ADequations'!$B$107:$I$107</c:f>
              <c:numCache>
                <c:formatCode>General</c:formatCode>
                <c:ptCount val="8"/>
                <c:pt idx="0">
                  <c:v>63</c:v>
                </c:pt>
                <c:pt idx="1">
                  <c:v>125</c:v>
                </c:pt>
                <c:pt idx="2">
                  <c:v>250</c:v>
                </c:pt>
                <c:pt idx="3">
                  <c:v>500</c:v>
                </c:pt>
                <c:pt idx="4">
                  <c:v>1000</c:v>
                </c:pt>
                <c:pt idx="5">
                  <c:v>2000</c:v>
                </c:pt>
                <c:pt idx="6">
                  <c:v>4000</c:v>
                </c:pt>
                <c:pt idx="7">
                  <c:v>8000</c:v>
                </c:pt>
              </c:numCache>
            </c:numRef>
          </c:xVal>
          <c:yVal>
            <c:numRef>
              <c:f>'ASF-ADequations'!$B$112:$I$112</c:f>
              <c:numCache>
                <c:formatCode>General</c:formatCode>
                <c:ptCount val="8"/>
                <c:pt idx="0">
                  <c:v>60</c:v>
                </c:pt>
                <c:pt idx="1">
                  <c:v>53</c:v>
                </c:pt>
                <c:pt idx="2">
                  <c:v>46</c:v>
                </c:pt>
                <c:pt idx="3">
                  <c:v>40</c:v>
                </c:pt>
                <c:pt idx="4">
                  <c:v>36</c:v>
                </c:pt>
                <c:pt idx="5">
                  <c:v>34</c:v>
                </c:pt>
                <c:pt idx="6">
                  <c:v>33</c:v>
                </c:pt>
                <c:pt idx="7">
                  <c:v>32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2E9C-4805-BE85-BF78FF96D0A4}"/>
            </c:ext>
          </c:extLst>
        </c:ser>
        <c:ser>
          <c:idx val="3"/>
          <c:order val="2"/>
          <c:tx>
            <c:strRef>
              <c:f>'ASF-ADequations'!$A$111</c:f>
              <c:strCache>
                <c:ptCount val="1"/>
                <c:pt idx="0">
                  <c:v>NC 30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numRef>
              <c:f>'ASF-ADequations'!$B$107:$I$107</c:f>
              <c:numCache>
                <c:formatCode>General</c:formatCode>
                <c:ptCount val="8"/>
                <c:pt idx="0">
                  <c:v>63</c:v>
                </c:pt>
                <c:pt idx="1">
                  <c:v>125</c:v>
                </c:pt>
                <c:pt idx="2">
                  <c:v>250</c:v>
                </c:pt>
                <c:pt idx="3">
                  <c:v>500</c:v>
                </c:pt>
                <c:pt idx="4">
                  <c:v>1000</c:v>
                </c:pt>
                <c:pt idx="5">
                  <c:v>2000</c:v>
                </c:pt>
                <c:pt idx="6">
                  <c:v>4000</c:v>
                </c:pt>
                <c:pt idx="7">
                  <c:v>8000</c:v>
                </c:pt>
              </c:numCache>
            </c:numRef>
          </c:xVal>
          <c:yVal>
            <c:numRef>
              <c:f>'ASF-ADequations'!$B$111:$I$111</c:f>
              <c:numCache>
                <c:formatCode>General</c:formatCode>
                <c:ptCount val="8"/>
                <c:pt idx="0">
                  <c:v>57</c:v>
                </c:pt>
                <c:pt idx="1">
                  <c:v>48</c:v>
                </c:pt>
                <c:pt idx="2">
                  <c:v>41</c:v>
                </c:pt>
                <c:pt idx="3">
                  <c:v>35</c:v>
                </c:pt>
                <c:pt idx="4">
                  <c:v>31</c:v>
                </c:pt>
                <c:pt idx="5">
                  <c:v>29</c:v>
                </c:pt>
                <c:pt idx="6">
                  <c:v>28</c:v>
                </c:pt>
                <c:pt idx="7">
                  <c:v>27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2-2E9C-4805-BE85-BF78FF96D0A4}"/>
            </c:ext>
          </c:extLst>
        </c:ser>
        <c:ser>
          <c:idx val="2"/>
          <c:order val="3"/>
          <c:tx>
            <c:strRef>
              <c:f>'ASF-ADequations'!$A$110</c:f>
              <c:strCache>
                <c:ptCount val="1"/>
                <c:pt idx="0">
                  <c:v>NC 25</c:v>
                </c:pt>
              </c:strCache>
            </c:strRef>
          </c:tx>
          <c:spPr>
            <a:ln w="19050" cap="rnd">
              <a:solidFill>
                <a:schemeClr val="accent3"/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'ASF-ADequations'!$B$107:$I$107</c:f>
              <c:numCache>
                <c:formatCode>General</c:formatCode>
                <c:ptCount val="8"/>
                <c:pt idx="0">
                  <c:v>63</c:v>
                </c:pt>
                <c:pt idx="1">
                  <c:v>125</c:v>
                </c:pt>
                <c:pt idx="2">
                  <c:v>250</c:v>
                </c:pt>
                <c:pt idx="3">
                  <c:v>500</c:v>
                </c:pt>
                <c:pt idx="4">
                  <c:v>1000</c:v>
                </c:pt>
                <c:pt idx="5">
                  <c:v>2000</c:v>
                </c:pt>
                <c:pt idx="6">
                  <c:v>4000</c:v>
                </c:pt>
                <c:pt idx="7">
                  <c:v>8000</c:v>
                </c:pt>
              </c:numCache>
            </c:numRef>
          </c:xVal>
          <c:yVal>
            <c:numRef>
              <c:f>'ASF-ADequations'!$B$110:$I$110</c:f>
              <c:numCache>
                <c:formatCode>General</c:formatCode>
                <c:ptCount val="8"/>
                <c:pt idx="0">
                  <c:v>54</c:v>
                </c:pt>
                <c:pt idx="1">
                  <c:v>45</c:v>
                </c:pt>
                <c:pt idx="2">
                  <c:v>38</c:v>
                </c:pt>
                <c:pt idx="3">
                  <c:v>31</c:v>
                </c:pt>
                <c:pt idx="4">
                  <c:v>27</c:v>
                </c:pt>
                <c:pt idx="5">
                  <c:v>24</c:v>
                </c:pt>
                <c:pt idx="6">
                  <c:v>22</c:v>
                </c:pt>
                <c:pt idx="7">
                  <c:v>21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3-2E9C-4805-BE85-BF78FF96D0A4}"/>
            </c:ext>
          </c:extLst>
        </c:ser>
        <c:ser>
          <c:idx val="1"/>
          <c:order val="4"/>
          <c:tx>
            <c:strRef>
              <c:f>'ASF-ADequations'!$A$109</c:f>
              <c:strCache>
                <c:ptCount val="1"/>
                <c:pt idx="0">
                  <c:v>NC 20</c:v>
                </c:pt>
              </c:strCache>
            </c:strRef>
          </c:tx>
          <c:spPr>
            <a:ln w="19050" cap="rnd">
              <a:solidFill>
                <a:schemeClr val="accent2"/>
              </a:solidFill>
              <a:prstDash val="solid"/>
              <a:round/>
            </a:ln>
            <a:effectLst/>
          </c:spPr>
          <c:marker>
            <c:symbol val="none"/>
          </c:marker>
          <c:xVal>
            <c:numRef>
              <c:f>'ASF-ADequations'!$B$107:$I$107</c:f>
              <c:numCache>
                <c:formatCode>General</c:formatCode>
                <c:ptCount val="8"/>
                <c:pt idx="0">
                  <c:v>63</c:v>
                </c:pt>
                <c:pt idx="1">
                  <c:v>125</c:v>
                </c:pt>
                <c:pt idx="2">
                  <c:v>250</c:v>
                </c:pt>
                <c:pt idx="3">
                  <c:v>500</c:v>
                </c:pt>
                <c:pt idx="4">
                  <c:v>1000</c:v>
                </c:pt>
                <c:pt idx="5">
                  <c:v>2000</c:v>
                </c:pt>
                <c:pt idx="6">
                  <c:v>4000</c:v>
                </c:pt>
                <c:pt idx="7">
                  <c:v>8000</c:v>
                </c:pt>
              </c:numCache>
            </c:numRef>
          </c:xVal>
          <c:yVal>
            <c:numRef>
              <c:f>'ASF-ADequations'!$B$109:$I$109</c:f>
              <c:numCache>
                <c:formatCode>General</c:formatCode>
                <c:ptCount val="8"/>
                <c:pt idx="0">
                  <c:v>51</c:v>
                </c:pt>
                <c:pt idx="1">
                  <c:v>41</c:v>
                </c:pt>
                <c:pt idx="2">
                  <c:v>33</c:v>
                </c:pt>
                <c:pt idx="3">
                  <c:v>26</c:v>
                </c:pt>
                <c:pt idx="4">
                  <c:v>22</c:v>
                </c:pt>
                <c:pt idx="5">
                  <c:v>19</c:v>
                </c:pt>
                <c:pt idx="6">
                  <c:v>17</c:v>
                </c:pt>
                <c:pt idx="7">
                  <c:v>16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4-2E9C-4805-BE85-BF78FF96D0A4}"/>
            </c:ext>
          </c:extLst>
        </c:ser>
        <c:ser>
          <c:idx val="0"/>
          <c:order val="5"/>
          <c:tx>
            <c:strRef>
              <c:f>'ASF-ADequations'!$A$108</c:f>
              <c:strCache>
                <c:ptCount val="1"/>
                <c:pt idx="0">
                  <c:v>NC 15</c:v>
                </c:pt>
              </c:strCache>
            </c:strRef>
          </c:tx>
          <c:spPr>
            <a:ln w="19050" cap="rnd">
              <a:solidFill>
                <a:schemeClr val="accent1"/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'ASF-ADequations'!$B$107:$I$107</c:f>
              <c:numCache>
                <c:formatCode>General</c:formatCode>
                <c:ptCount val="8"/>
                <c:pt idx="0">
                  <c:v>63</c:v>
                </c:pt>
                <c:pt idx="1">
                  <c:v>125</c:v>
                </c:pt>
                <c:pt idx="2">
                  <c:v>250</c:v>
                </c:pt>
                <c:pt idx="3">
                  <c:v>500</c:v>
                </c:pt>
                <c:pt idx="4">
                  <c:v>1000</c:v>
                </c:pt>
                <c:pt idx="5">
                  <c:v>2000</c:v>
                </c:pt>
                <c:pt idx="6">
                  <c:v>4000</c:v>
                </c:pt>
                <c:pt idx="7">
                  <c:v>8000</c:v>
                </c:pt>
              </c:numCache>
            </c:numRef>
          </c:xVal>
          <c:yVal>
            <c:numRef>
              <c:f>'ASF-ADequations'!$B$108:$I$108</c:f>
              <c:numCache>
                <c:formatCode>General</c:formatCode>
                <c:ptCount val="8"/>
                <c:pt idx="0">
                  <c:v>47</c:v>
                </c:pt>
                <c:pt idx="1">
                  <c:v>36</c:v>
                </c:pt>
                <c:pt idx="2">
                  <c:v>29</c:v>
                </c:pt>
                <c:pt idx="3">
                  <c:v>22</c:v>
                </c:pt>
                <c:pt idx="4">
                  <c:v>17</c:v>
                </c:pt>
                <c:pt idx="5">
                  <c:v>14</c:v>
                </c:pt>
                <c:pt idx="6">
                  <c:v>12</c:v>
                </c:pt>
                <c:pt idx="7">
                  <c:v>11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5-2E9C-4805-BE85-BF78FF96D0A4}"/>
            </c:ext>
          </c:extLst>
        </c:ser>
        <c:ser>
          <c:idx val="6"/>
          <c:order val="6"/>
          <c:tx>
            <c:v>A1 60%</c:v>
          </c:tx>
          <c:spPr>
            <a:ln w="19050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xVal>
            <c:numRef>
              <c:f>'ASF-AD Acoustic Data'!$D$25:$I$25</c:f>
              <c:numCache>
                <c:formatCode>General</c:formatCode>
                <c:ptCount val="6"/>
                <c:pt idx="0">
                  <c:v>125</c:v>
                </c:pt>
                <c:pt idx="1">
                  <c:v>250</c:v>
                </c:pt>
                <c:pt idx="2">
                  <c:v>500</c:v>
                </c:pt>
                <c:pt idx="3">
                  <c:v>1000</c:v>
                </c:pt>
                <c:pt idx="4">
                  <c:v>2000</c:v>
                </c:pt>
                <c:pt idx="5">
                  <c:v>4000</c:v>
                </c:pt>
              </c:numCache>
            </c:numRef>
          </c:xVal>
          <c:yVal>
            <c:numRef>
              <c:f>'ASF-AD Acoustic Data'!$D$81:$I$81</c:f>
              <c:numCache>
                <c:formatCode>0.0</c:formatCode>
                <c:ptCount val="6"/>
                <c:pt idx="0">
                  <c:v>36.142665674475822</c:v>
                </c:pt>
                <c:pt idx="1">
                  <c:v>34.45950331939747</c:v>
                </c:pt>
                <c:pt idx="2">
                  <c:v>34.093194414166184</c:v>
                </c:pt>
                <c:pt idx="3">
                  <c:v>33.784766537948499</c:v>
                </c:pt>
                <c:pt idx="4">
                  <c:v>13.781512503836435</c:v>
                </c:pt>
                <c:pt idx="5">
                  <c:v>13.781512503836435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6-2E9C-4805-BE85-BF78FF96D0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7312712"/>
        <c:axId val="460433680"/>
      </c:scatterChart>
      <c:valAx>
        <c:axId val="557312712"/>
        <c:scaling>
          <c:logBase val="2"/>
          <c:orientation val="minMax"/>
          <c:max val="8000"/>
          <c:min val="62.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 sz="1050"/>
                  <a:t>Frequency</a:t>
                </a:r>
                <a:r>
                  <a:rPr lang="en-AU" sz="1050" baseline="0"/>
                  <a:t> Band (Hz)</a:t>
                </a:r>
                <a:endParaRPr lang="en-AU" sz="1050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0433680"/>
        <c:crosses val="autoZero"/>
        <c:crossBetween val="midCat"/>
        <c:majorUnit val="2"/>
      </c:valAx>
      <c:valAx>
        <c:axId val="460433680"/>
        <c:scaling>
          <c:orientation val="minMax"/>
          <c:min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 sz="1050"/>
                  <a:t>Sound Pressure Level (dB)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731271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7627546556680413"/>
          <c:y val="0.41997595823275219"/>
          <c:w val="0.12372453443319585"/>
          <c:h val="0.4093274943083032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AU" b="1"/>
              <a:t>Basket A2 60%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8070009971950816E-2"/>
          <c:y val="0.11799027057383375"/>
          <c:w val="0.76599941136390193"/>
          <c:h val="0.74075445259891803"/>
        </c:manualLayout>
      </c:layout>
      <c:scatterChart>
        <c:scatterStyle val="smoothMarker"/>
        <c:varyColors val="0"/>
        <c:ser>
          <c:idx val="5"/>
          <c:order val="0"/>
          <c:tx>
            <c:v>NC 40</c:v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63</c:v>
              </c:pt>
              <c:pt idx="1">
                <c:v>125</c:v>
              </c:pt>
              <c:pt idx="2">
                <c:v>250</c:v>
              </c:pt>
              <c:pt idx="3">
                <c:v>500</c:v>
              </c:pt>
              <c:pt idx="4">
                <c:v>1000</c:v>
              </c:pt>
              <c:pt idx="5">
                <c:v>2000</c:v>
              </c:pt>
              <c:pt idx="6">
                <c:v>4000</c:v>
              </c:pt>
              <c:pt idx="7">
                <c:v>8000</c:v>
              </c:pt>
            </c:numLit>
          </c:xVal>
          <c:yVal>
            <c:numLit>
              <c:formatCode>General</c:formatCode>
              <c:ptCount val="8"/>
              <c:pt idx="0">
                <c:v>64</c:v>
              </c:pt>
              <c:pt idx="1">
                <c:v>57</c:v>
              </c:pt>
              <c:pt idx="2">
                <c:v>51</c:v>
              </c:pt>
              <c:pt idx="3">
                <c:v>45</c:v>
              </c:pt>
              <c:pt idx="4">
                <c:v>41</c:v>
              </c:pt>
              <c:pt idx="5">
                <c:v>39</c:v>
              </c:pt>
              <c:pt idx="6">
                <c:v>38</c:v>
              </c:pt>
              <c:pt idx="7">
                <c:v>37</c:v>
              </c:pt>
            </c:numLit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20EA-4B72-899D-9F4F277EBA73}"/>
            </c:ext>
          </c:extLst>
        </c:ser>
        <c:ser>
          <c:idx val="4"/>
          <c:order val="1"/>
          <c:tx>
            <c:strRef>
              <c:f>'ASF-ADequations'!$A$112</c:f>
              <c:strCache>
                <c:ptCount val="1"/>
                <c:pt idx="0">
                  <c:v>NC 35</c:v>
                </c:pt>
              </c:strCache>
            </c:strRef>
          </c:tx>
          <c:spPr>
            <a:ln w="19050" cap="rnd">
              <a:solidFill>
                <a:schemeClr val="accent5"/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'ASF-ADequations'!$B$107:$I$107</c:f>
              <c:numCache>
                <c:formatCode>General</c:formatCode>
                <c:ptCount val="8"/>
                <c:pt idx="0">
                  <c:v>63</c:v>
                </c:pt>
                <c:pt idx="1">
                  <c:v>125</c:v>
                </c:pt>
                <c:pt idx="2">
                  <c:v>250</c:v>
                </c:pt>
                <c:pt idx="3">
                  <c:v>500</c:v>
                </c:pt>
                <c:pt idx="4">
                  <c:v>1000</c:v>
                </c:pt>
                <c:pt idx="5">
                  <c:v>2000</c:v>
                </c:pt>
                <c:pt idx="6">
                  <c:v>4000</c:v>
                </c:pt>
                <c:pt idx="7">
                  <c:v>8000</c:v>
                </c:pt>
              </c:numCache>
            </c:numRef>
          </c:xVal>
          <c:yVal>
            <c:numRef>
              <c:f>'ASF-ADequations'!$B$112:$I$112</c:f>
              <c:numCache>
                <c:formatCode>General</c:formatCode>
                <c:ptCount val="8"/>
                <c:pt idx="0">
                  <c:v>60</c:v>
                </c:pt>
                <c:pt idx="1">
                  <c:v>53</c:v>
                </c:pt>
                <c:pt idx="2">
                  <c:v>46</c:v>
                </c:pt>
                <c:pt idx="3">
                  <c:v>40</c:v>
                </c:pt>
                <c:pt idx="4">
                  <c:v>36</c:v>
                </c:pt>
                <c:pt idx="5">
                  <c:v>34</c:v>
                </c:pt>
                <c:pt idx="6">
                  <c:v>33</c:v>
                </c:pt>
                <c:pt idx="7">
                  <c:v>32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20EA-4B72-899D-9F4F277EBA73}"/>
            </c:ext>
          </c:extLst>
        </c:ser>
        <c:ser>
          <c:idx val="3"/>
          <c:order val="2"/>
          <c:tx>
            <c:strRef>
              <c:f>'ASF-ADequations'!$A$111</c:f>
              <c:strCache>
                <c:ptCount val="1"/>
                <c:pt idx="0">
                  <c:v>NC 30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numRef>
              <c:f>'ASF-ADequations'!$B$107:$I$107</c:f>
              <c:numCache>
                <c:formatCode>General</c:formatCode>
                <c:ptCount val="8"/>
                <c:pt idx="0">
                  <c:v>63</c:v>
                </c:pt>
                <c:pt idx="1">
                  <c:v>125</c:v>
                </c:pt>
                <c:pt idx="2">
                  <c:v>250</c:v>
                </c:pt>
                <c:pt idx="3">
                  <c:v>500</c:v>
                </c:pt>
                <c:pt idx="4">
                  <c:v>1000</c:v>
                </c:pt>
                <c:pt idx="5">
                  <c:v>2000</c:v>
                </c:pt>
                <c:pt idx="6">
                  <c:v>4000</c:v>
                </c:pt>
                <c:pt idx="7">
                  <c:v>8000</c:v>
                </c:pt>
              </c:numCache>
            </c:numRef>
          </c:xVal>
          <c:yVal>
            <c:numRef>
              <c:f>'ASF-ADequations'!$B$111:$I$111</c:f>
              <c:numCache>
                <c:formatCode>General</c:formatCode>
                <c:ptCount val="8"/>
                <c:pt idx="0">
                  <c:v>57</c:v>
                </c:pt>
                <c:pt idx="1">
                  <c:v>48</c:v>
                </c:pt>
                <c:pt idx="2">
                  <c:v>41</c:v>
                </c:pt>
                <c:pt idx="3">
                  <c:v>35</c:v>
                </c:pt>
                <c:pt idx="4">
                  <c:v>31</c:v>
                </c:pt>
                <c:pt idx="5">
                  <c:v>29</c:v>
                </c:pt>
                <c:pt idx="6">
                  <c:v>28</c:v>
                </c:pt>
                <c:pt idx="7">
                  <c:v>27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2-20EA-4B72-899D-9F4F277EBA73}"/>
            </c:ext>
          </c:extLst>
        </c:ser>
        <c:ser>
          <c:idx val="2"/>
          <c:order val="3"/>
          <c:tx>
            <c:strRef>
              <c:f>'ASF-ADequations'!$A$110</c:f>
              <c:strCache>
                <c:ptCount val="1"/>
                <c:pt idx="0">
                  <c:v>NC 25</c:v>
                </c:pt>
              </c:strCache>
            </c:strRef>
          </c:tx>
          <c:spPr>
            <a:ln w="19050" cap="rnd">
              <a:solidFill>
                <a:schemeClr val="accent3"/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'ASF-ADequations'!$B$107:$I$107</c:f>
              <c:numCache>
                <c:formatCode>General</c:formatCode>
                <c:ptCount val="8"/>
                <c:pt idx="0">
                  <c:v>63</c:v>
                </c:pt>
                <c:pt idx="1">
                  <c:v>125</c:v>
                </c:pt>
                <c:pt idx="2">
                  <c:v>250</c:v>
                </c:pt>
                <c:pt idx="3">
                  <c:v>500</c:v>
                </c:pt>
                <c:pt idx="4">
                  <c:v>1000</c:v>
                </c:pt>
                <c:pt idx="5">
                  <c:v>2000</c:v>
                </c:pt>
                <c:pt idx="6">
                  <c:v>4000</c:v>
                </c:pt>
                <c:pt idx="7">
                  <c:v>8000</c:v>
                </c:pt>
              </c:numCache>
            </c:numRef>
          </c:xVal>
          <c:yVal>
            <c:numRef>
              <c:f>'ASF-ADequations'!$B$110:$I$110</c:f>
              <c:numCache>
                <c:formatCode>General</c:formatCode>
                <c:ptCount val="8"/>
                <c:pt idx="0">
                  <c:v>54</c:v>
                </c:pt>
                <c:pt idx="1">
                  <c:v>45</c:v>
                </c:pt>
                <c:pt idx="2">
                  <c:v>38</c:v>
                </c:pt>
                <c:pt idx="3">
                  <c:v>31</c:v>
                </c:pt>
                <c:pt idx="4">
                  <c:v>27</c:v>
                </c:pt>
                <c:pt idx="5">
                  <c:v>24</c:v>
                </c:pt>
                <c:pt idx="6">
                  <c:v>22</c:v>
                </c:pt>
                <c:pt idx="7">
                  <c:v>21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3-20EA-4B72-899D-9F4F277EBA73}"/>
            </c:ext>
          </c:extLst>
        </c:ser>
        <c:ser>
          <c:idx val="1"/>
          <c:order val="4"/>
          <c:tx>
            <c:strRef>
              <c:f>'ASF-ADequations'!$A$109</c:f>
              <c:strCache>
                <c:ptCount val="1"/>
                <c:pt idx="0">
                  <c:v>NC 20</c:v>
                </c:pt>
              </c:strCache>
            </c:strRef>
          </c:tx>
          <c:spPr>
            <a:ln w="19050" cap="rnd">
              <a:solidFill>
                <a:schemeClr val="accent2"/>
              </a:solidFill>
              <a:prstDash val="solid"/>
              <a:round/>
            </a:ln>
            <a:effectLst/>
          </c:spPr>
          <c:marker>
            <c:symbol val="none"/>
          </c:marker>
          <c:xVal>
            <c:numRef>
              <c:f>'ASF-ADequations'!$B$107:$I$107</c:f>
              <c:numCache>
                <c:formatCode>General</c:formatCode>
                <c:ptCount val="8"/>
                <c:pt idx="0">
                  <c:v>63</c:v>
                </c:pt>
                <c:pt idx="1">
                  <c:v>125</c:v>
                </c:pt>
                <c:pt idx="2">
                  <c:v>250</c:v>
                </c:pt>
                <c:pt idx="3">
                  <c:v>500</c:v>
                </c:pt>
                <c:pt idx="4">
                  <c:v>1000</c:v>
                </c:pt>
                <c:pt idx="5">
                  <c:v>2000</c:v>
                </c:pt>
                <c:pt idx="6">
                  <c:v>4000</c:v>
                </c:pt>
                <c:pt idx="7">
                  <c:v>8000</c:v>
                </c:pt>
              </c:numCache>
            </c:numRef>
          </c:xVal>
          <c:yVal>
            <c:numRef>
              <c:f>'ASF-ADequations'!$B$109:$I$109</c:f>
              <c:numCache>
                <c:formatCode>General</c:formatCode>
                <c:ptCount val="8"/>
                <c:pt idx="0">
                  <c:v>51</c:v>
                </c:pt>
                <c:pt idx="1">
                  <c:v>41</c:v>
                </c:pt>
                <c:pt idx="2">
                  <c:v>33</c:v>
                </c:pt>
                <c:pt idx="3">
                  <c:v>26</c:v>
                </c:pt>
                <c:pt idx="4">
                  <c:v>22</c:v>
                </c:pt>
                <c:pt idx="5">
                  <c:v>19</c:v>
                </c:pt>
                <c:pt idx="6">
                  <c:v>17</c:v>
                </c:pt>
                <c:pt idx="7">
                  <c:v>16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4-20EA-4B72-899D-9F4F277EBA73}"/>
            </c:ext>
          </c:extLst>
        </c:ser>
        <c:ser>
          <c:idx val="0"/>
          <c:order val="5"/>
          <c:tx>
            <c:strRef>
              <c:f>'ASF-ADequations'!$A$108</c:f>
              <c:strCache>
                <c:ptCount val="1"/>
                <c:pt idx="0">
                  <c:v>NC 15</c:v>
                </c:pt>
              </c:strCache>
            </c:strRef>
          </c:tx>
          <c:spPr>
            <a:ln w="19050" cap="rnd">
              <a:solidFill>
                <a:schemeClr val="accent1"/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'ASF-ADequations'!$B$107:$I$107</c:f>
              <c:numCache>
                <c:formatCode>General</c:formatCode>
                <c:ptCount val="8"/>
                <c:pt idx="0">
                  <c:v>63</c:v>
                </c:pt>
                <c:pt idx="1">
                  <c:v>125</c:v>
                </c:pt>
                <c:pt idx="2">
                  <c:v>250</c:v>
                </c:pt>
                <c:pt idx="3">
                  <c:v>500</c:v>
                </c:pt>
                <c:pt idx="4">
                  <c:v>1000</c:v>
                </c:pt>
                <c:pt idx="5">
                  <c:v>2000</c:v>
                </c:pt>
                <c:pt idx="6">
                  <c:v>4000</c:v>
                </c:pt>
                <c:pt idx="7">
                  <c:v>8000</c:v>
                </c:pt>
              </c:numCache>
            </c:numRef>
          </c:xVal>
          <c:yVal>
            <c:numRef>
              <c:f>'ASF-ADequations'!$B$108:$I$108</c:f>
              <c:numCache>
                <c:formatCode>General</c:formatCode>
                <c:ptCount val="8"/>
                <c:pt idx="0">
                  <c:v>47</c:v>
                </c:pt>
                <c:pt idx="1">
                  <c:v>36</c:v>
                </c:pt>
                <c:pt idx="2">
                  <c:v>29</c:v>
                </c:pt>
                <c:pt idx="3">
                  <c:v>22</c:v>
                </c:pt>
                <c:pt idx="4">
                  <c:v>17</c:v>
                </c:pt>
                <c:pt idx="5">
                  <c:v>14</c:v>
                </c:pt>
                <c:pt idx="6">
                  <c:v>12</c:v>
                </c:pt>
                <c:pt idx="7">
                  <c:v>11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5-20EA-4B72-899D-9F4F277EBA73}"/>
            </c:ext>
          </c:extLst>
        </c:ser>
        <c:ser>
          <c:idx val="6"/>
          <c:order val="6"/>
          <c:tx>
            <c:v>A2 60%</c:v>
          </c:tx>
          <c:spPr>
            <a:ln w="19050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xVal>
            <c:numRef>
              <c:f>'ASF-AD Acoustic Data'!$D$25:$I$25</c:f>
              <c:numCache>
                <c:formatCode>General</c:formatCode>
                <c:ptCount val="6"/>
                <c:pt idx="0">
                  <c:v>125</c:v>
                </c:pt>
                <c:pt idx="1">
                  <c:v>250</c:v>
                </c:pt>
                <c:pt idx="2">
                  <c:v>500</c:v>
                </c:pt>
                <c:pt idx="3">
                  <c:v>1000</c:v>
                </c:pt>
                <c:pt idx="4">
                  <c:v>2000</c:v>
                </c:pt>
                <c:pt idx="5">
                  <c:v>4000</c:v>
                </c:pt>
              </c:numCache>
            </c:numRef>
          </c:xVal>
          <c:yVal>
            <c:numRef>
              <c:f>'ASF-AD Acoustic Data'!$L$81:$Q$81</c:f>
              <c:numCache>
                <c:formatCode>0.0</c:formatCode>
                <c:ptCount val="6"/>
                <c:pt idx="0">
                  <c:v>28.501228619525456</c:v>
                </c:pt>
                <c:pt idx="1">
                  <c:v>30.501228619525456</c:v>
                </c:pt>
                <c:pt idx="2">
                  <c:v>28.475669074054263</c:v>
                </c:pt>
                <c:pt idx="3">
                  <c:v>29.96221175144435</c:v>
                </c:pt>
                <c:pt idx="4">
                  <c:v>29.162422499908473</c:v>
                </c:pt>
                <c:pt idx="5">
                  <c:v>15.026453033425035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6-20EA-4B72-899D-9F4F277EBA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60432504"/>
        <c:axId val="460435640"/>
      </c:scatterChart>
      <c:valAx>
        <c:axId val="460432504"/>
        <c:scaling>
          <c:logBase val="2"/>
          <c:orientation val="minMax"/>
          <c:max val="8000"/>
          <c:min val="62.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 sz="1050"/>
                  <a:t>Frequency</a:t>
                </a:r>
                <a:r>
                  <a:rPr lang="en-AU" sz="1050" baseline="0"/>
                  <a:t> Band (Hz)</a:t>
                </a:r>
                <a:endParaRPr lang="en-AU" sz="1050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0435640"/>
        <c:crosses val="autoZero"/>
        <c:crossBetween val="midCat"/>
        <c:majorUnit val="2"/>
      </c:valAx>
      <c:valAx>
        <c:axId val="460435640"/>
        <c:scaling>
          <c:orientation val="minMax"/>
          <c:min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 sz="1050"/>
                  <a:t>Sound Pressure Level (dB)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043250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7627546556680413"/>
          <c:y val="0.41997595823275219"/>
          <c:w val="0.12372453443319585"/>
          <c:h val="0.4093274943083032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AU" b="1"/>
              <a:t>Basket A1 40%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8070009971950816E-2"/>
          <c:y val="0.11799027057383375"/>
          <c:w val="0.76599941136390193"/>
          <c:h val="0.74075445259891803"/>
        </c:manualLayout>
      </c:layout>
      <c:scatterChart>
        <c:scatterStyle val="smoothMarker"/>
        <c:varyColors val="0"/>
        <c:ser>
          <c:idx val="5"/>
          <c:order val="0"/>
          <c:tx>
            <c:v>NC 40</c:v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63</c:v>
              </c:pt>
              <c:pt idx="1">
                <c:v>125</c:v>
              </c:pt>
              <c:pt idx="2">
                <c:v>250</c:v>
              </c:pt>
              <c:pt idx="3">
                <c:v>500</c:v>
              </c:pt>
              <c:pt idx="4">
                <c:v>1000</c:v>
              </c:pt>
              <c:pt idx="5">
                <c:v>2000</c:v>
              </c:pt>
              <c:pt idx="6">
                <c:v>4000</c:v>
              </c:pt>
              <c:pt idx="7">
                <c:v>8000</c:v>
              </c:pt>
            </c:numLit>
          </c:xVal>
          <c:yVal>
            <c:numLit>
              <c:formatCode>General</c:formatCode>
              <c:ptCount val="8"/>
              <c:pt idx="0">
                <c:v>64</c:v>
              </c:pt>
              <c:pt idx="1">
                <c:v>57</c:v>
              </c:pt>
              <c:pt idx="2">
                <c:v>51</c:v>
              </c:pt>
              <c:pt idx="3">
                <c:v>45</c:v>
              </c:pt>
              <c:pt idx="4">
                <c:v>41</c:v>
              </c:pt>
              <c:pt idx="5">
                <c:v>39</c:v>
              </c:pt>
              <c:pt idx="6">
                <c:v>38</c:v>
              </c:pt>
              <c:pt idx="7">
                <c:v>37</c:v>
              </c:pt>
            </c:numLit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F32B-44C1-BA3D-06074C7218AE}"/>
            </c:ext>
          </c:extLst>
        </c:ser>
        <c:ser>
          <c:idx val="4"/>
          <c:order val="1"/>
          <c:tx>
            <c:strRef>
              <c:f>'ASF-ADequations'!$A$112</c:f>
              <c:strCache>
                <c:ptCount val="1"/>
                <c:pt idx="0">
                  <c:v>NC 35</c:v>
                </c:pt>
              </c:strCache>
            </c:strRef>
          </c:tx>
          <c:spPr>
            <a:ln w="19050" cap="rnd">
              <a:solidFill>
                <a:schemeClr val="accent5"/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'ASF-ADequations'!$B$107:$I$107</c:f>
              <c:numCache>
                <c:formatCode>General</c:formatCode>
                <c:ptCount val="8"/>
                <c:pt idx="0">
                  <c:v>63</c:v>
                </c:pt>
                <c:pt idx="1">
                  <c:v>125</c:v>
                </c:pt>
                <c:pt idx="2">
                  <c:v>250</c:v>
                </c:pt>
                <c:pt idx="3">
                  <c:v>500</c:v>
                </c:pt>
                <c:pt idx="4">
                  <c:v>1000</c:v>
                </c:pt>
                <c:pt idx="5">
                  <c:v>2000</c:v>
                </c:pt>
                <c:pt idx="6">
                  <c:v>4000</c:v>
                </c:pt>
                <c:pt idx="7">
                  <c:v>8000</c:v>
                </c:pt>
              </c:numCache>
            </c:numRef>
          </c:xVal>
          <c:yVal>
            <c:numRef>
              <c:f>'ASF-ADequations'!$B$112:$I$112</c:f>
              <c:numCache>
                <c:formatCode>General</c:formatCode>
                <c:ptCount val="8"/>
                <c:pt idx="0">
                  <c:v>60</c:v>
                </c:pt>
                <c:pt idx="1">
                  <c:v>53</c:v>
                </c:pt>
                <c:pt idx="2">
                  <c:v>46</c:v>
                </c:pt>
                <c:pt idx="3">
                  <c:v>40</c:v>
                </c:pt>
                <c:pt idx="4">
                  <c:v>36</c:v>
                </c:pt>
                <c:pt idx="5">
                  <c:v>34</c:v>
                </c:pt>
                <c:pt idx="6">
                  <c:v>33</c:v>
                </c:pt>
                <c:pt idx="7">
                  <c:v>32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F32B-44C1-BA3D-06074C7218AE}"/>
            </c:ext>
          </c:extLst>
        </c:ser>
        <c:ser>
          <c:idx val="3"/>
          <c:order val="2"/>
          <c:tx>
            <c:strRef>
              <c:f>'ASF-ADequations'!$A$111</c:f>
              <c:strCache>
                <c:ptCount val="1"/>
                <c:pt idx="0">
                  <c:v>NC 30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numRef>
              <c:f>'ASF-ADequations'!$B$107:$I$107</c:f>
              <c:numCache>
                <c:formatCode>General</c:formatCode>
                <c:ptCount val="8"/>
                <c:pt idx="0">
                  <c:v>63</c:v>
                </c:pt>
                <c:pt idx="1">
                  <c:v>125</c:v>
                </c:pt>
                <c:pt idx="2">
                  <c:v>250</c:v>
                </c:pt>
                <c:pt idx="3">
                  <c:v>500</c:v>
                </c:pt>
                <c:pt idx="4">
                  <c:v>1000</c:v>
                </c:pt>
                <c:pt idx="5">
                  <c:v>2000</c:v>
                </c:pt>
                <c:pt idx="6">
                  <c:v>4000</c:v>
                </c:pt>
                <c:pt idx="7">
                  <c:v>8000</c:v>
                </c:pt>
              </c:numCache>
            </c:numRef>
          </c:xVal>
          <c:yVal>
            <c:numRef>
              <c:f>'ASF-ADequations'!$B$111:$I$111</c:f>
              <c:numCache>
                <c:formatCode>General</c:formatCode>
                <c:ptCount val="8"/>
                <c:pt idx="0">
                  <c:v>57</c:v>
                </c:pt>
                <c:pt idx="1">
                  <c:v>48</c:v>
                </c:pt>
                <c:pt idx="2">
                  <c:v>41</c:v>
                </c:pt>
                <c:pt idx="3">
                  <c:v>35</c:v>
                </c:pt>
                <c:pt idx="4">
                  <c:v>31</c:v>
                </c:pt>
                <c:pt idx="5">
                  <c:v>29</c:v>
                </c:pt>
                <c:pt idx="6">
                  <c:v>28</c:v>
                </c:pt>
                <c:pt idx="7">
                  <c:v>27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2-F32B-44C1-BA3D-06074C7218AE}"/>
            </c:ext>
          </c:extLst>
        </c:ser>
        <c:ser>
          <c:idx val="2"/>
          <c:order val="3"/>
          <c:tx>
            <c:strRef>
              <c:f>'ASF-ADequations'!$A$110</c:f>
              <c:strCache>
                <c:ptCount val="1"/>
                <c:pt idx="0">
                  <c:v>NC 25</c:v>
                </c:pt>
              </c:strCache>
            </c:strRef>
          </c:tx>
          <c:spPr>
            <a:ln w="19050" cap="rnd">
              <a:solidFill>
                <a:schemeClr val="accent3"/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'ASF-ADequations'!$B$107:$I$107</c:f>
              <c:numCache>
                <c:formatCode>General</c:formatCode>
                <c:ptCount val="8"/>
                <c:pt idx="0">
                  <c:v>63</c:v>
                </c:pt>
                <c:pt idx="1">
                  <c:v>125</c:v>
                </c:pt>
                <c:pt idx="2">
                  <c:v>250</c:v>
                </c:pt>
                <c:pt idx="3">
                  <c:v>500</c:v>
                </c:pt>
                <c:pt idx="4">
                  <c:v>1000</c:v>
                </c:pt>
                <c:pt idx="5">
                  <c:v>2000</c:v>
                </c:pt>
                <c:pt idx="6">
                  <c:v>4000</c:v>
                </c:pt>
                <c:pt idx="7">
                  <c:v>8000</c:v>
                </c:pt>
              </c:numCache>
            </c:numRef>
          </c:xVal>
          <c:yVal>
            <c:numRef>
              <c:f>'ASF-ADequations'!$B$110:$I$110</c:f>
              <c:numCache>
                <c:formatCode>General</c:formatCode>
                <c:ptCount val="8"/>
                <c:pt idx="0">
                  <c:v>54</c:v>
                </c:pt>
                <c:pt idx="1">
                  <c:v>45</c:v>
                </c:pt>
                <c:pt idx="2">
                  <c:v>38</c:v>
                </c:pt>
                <c:pt idx="3">
                  <c:v>31</c:v>
                </c:pt>
                <c:pt idx="4">
                  <c:v>27</c:v>
                </c:pt>
                <c:pt idx="5">
                  <c:v>24</c:v>
                </c:pt>
                <c:pt idx="6">
                  <c:v>22</c:v>
                </c:pt>
                <c:pt idx="7">
                  <c:v>21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3-F32B-44C1-BA3D-06074C7218AE}"/>
            </c:ext>
          </c:extLst>
        </c:ser>
        <c:ser>
          <c:idx val="1"/>
          <c:order val="4"/>
          <c:tx>
            <c:strRef>
              <c:f>'ASF-ADequations'!$A$109</c:f>
              <c:strCache>
                <c:ptCount val="1"/>
                <c:pt idx="0">
                  <c:v>NC 20</c:v>
                </c:pt>
              </c:strCache>
            </c:strRef>
          </c:tx>
          <c:spPr>
            <a:ln w="19050" cap="rnd">
              <a:solidFill>
                <a:schemeClr val="accent2"/>
              </a:solidFill>
              <a:prstDash val="solid"/>
              <a:round/>
            </a:ln>
            <a:effectLst/>
          </c:spPr>
          <c:marker>
            <c:symbol val="none"/>
          </c:marker>
          <c:xVal>
            <c:numRef>
              <c:f>'ASF-ADequations'!$B$107:$I$107</c:f>
              <c:numCache>
                <c:formatCode>General</c:formatCode>
                <c:ptCount val="8"/>
                <c:pt idx="0">
                  <c:v>63</c:v>
                </c:pt>
                <c:pt idx="1">
                  <c:v>125</c:v>
                </c:pt>
                <c:pt idx="2">
                  <c:v>250</c:v>
                </c:pt>
                <c:pt idx="3">
                  <c:v>500</c:v>
                </c:pt>
                <c:pt idx="4">
                  <c:v>1000</c:v>
                </c:pt>
                <c:pt idx="5">
                  <c:v>2000</c:v>
                </c:pt>
                <c:pt idx="6">
                  <c:v>4000</c:v>
                </c:pt>
                <c:pt idx="7">
                  <c:v>8000</c:v>
                </c:pt>
              </c:numCache>
            </c:numRef>
          </c:xVal>
          <c:yVal>
            <c:numRef>
              <c:f>'ASF-ADequations'!$B$109:$I$109</c:f>
              <c:numCache>
                <c:formatCode>General</c:formatCode>
                <c:ptCount val="8"/>
                <c:pt idx="0">
                  <c:v>51</c:v>
                </c:pt>
                <c:pt idx="1">
                  <c:v>41</c:v>
                </c:pt>
                <c:pt idx="2">
                  <c:v>33</c:v>
                </c:pt>
                <c:pt idx="3">
                  <c:v>26</c:v>
                </c:pt>
                <c:pt idx="4">
                  <c:v>22</c:v>
                </c:pt>
                <c:pt idx="5">
                  <c:v>19</c:v>
                </c:pt>
                <c:pt idx="6">
                  <c:v>17</c:v>
                </c:pt>
                <c:pt idx="7">
                  <c:v>16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4-F32B-44C1-BA3D-06074C7218AE}"/>
            </c:ext>
          </c:extLst>
        </c:ser>
        <c:ser>
          <c:idx val="0"/>
          <c:order val="5"/>
          <c:tx>
            <c:strRef>
              <c:f>'ASF-ADequations'!$A$108</c:f>
              <c:strCache>
                <c:ptCount val="1"/>
                <c:pt idx="0">
                  <c:v>NC 15</c:v>
                </c:pt>
              </c:strCache>
            </c:strRef>
          </c:tx>
          <c:spPr>
            <a:ln w="19050" cap="rnd">
              <a:solidFill>
                <a:schemeClr val="accent1"/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'ASF-ADequations'!$B$107:$I$107</c:f>
              <c:numCache>
                <c:formatCode>General</c:formatCode>
                <c:ptCount val="8"/>
                <c:pt idx="0">
                  <c:v>63</c:v>
                </c:pt>
                <c:pt idx="1">
                  <c:v>125</c:v>
                </c:pt>
                <c:pt idx="2">
                  <c:v>250</c:v>
                </c:pt>
                <c:pt idx="3">
                  <c:v>500</c:v>
                </c:pt>
                <c:pt idx="4">
                  <c:v>1000</c:v>
                </c:pt>
                <c:pt idx="5">
                  <c:v>2000</c:v>
                </c:pt>
                <c:pt idx="6">
                  <c:v>4000</c:v>
                </c:pt>
                <c:pt idx="7">
                  <c:v>8000</c:v>
                </c:pt>
              </c:numCache>
            </c:numRef>
          </c:xVal>
          <c:yVal>
            <c:numRef>
              <c:f>'ASF-ADequations'!$B$108:$I$108</c:f>
              <c:numCache>
                <c:formatCode>General</c:formatCode>
                <c:ptCount val="8"/>
                <c:pt idx="0">
                  <c:v>47</c:v>
                </c:pt>
                <c:pt idx="1">
                  <c:v>36</c:v>
                </c:pt>
                <c:pt idx="2">
                  <c:v>29</c:v>
                </c:pt>
                <c:pt idx="3">
                  <c:v>22</c:v>
                </c:pt>
                <c:pt idx="4">
                  <c:v>17</c:v>
                </c:pt>
                <c:pt idx="5">
                  <c:v>14</c:v>
                </c:pt>
                <c:pt idx="6">
                  <c:v>12</c:v>
                </c:pt>
                <c:pt idx="7">
                  <c:v>11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5-F32B-44C1-BA3D-06074C7218AE}"/>
            </c:ext>
          </c:extLst>
        </c:ser>
        <c:ser>
          <c:idx val="6"/>
          <c:order val="6"/>
          <c:tx>
            <c:v>A1 40%</c:v>
          </c:tx>
          <c:spPr>
            <a:ln w="19050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xVal>
            <c:numRef>
              <c:f>'ASF-AD Acoustic Data'!$D$25:$I$25</c:f>
              <c:numCache>
                <c:formatCode>General</c:formatCode>
                <c:ptCount val="6"/>
                <c:pt idx="0">
                  <c:v>125</c:v>
                </c:pt>
                <c:pt idx="1">
                  <c:v>250</c:v>
                </c:pt>
                <c:pt idx="2">
                  <c:v>500</c:v>
                </c:pt>
                <c:pt idx="3">
                  <c:v>1000</c:v>
                </c:pt>
                <c:pt idx="4">
                  <c:v>2000</c:v>
                </c:pt>
                <c:pt idx="5">
                  <c:v>4000</c:v>
                </c:pt>
              </c:numCache>
            </c:numRef>
          </c:xVal>
          <c:yVal>
            <c:numRef>
              <c:f>'ASF-AD Acoustic Data'!$D$110:$I$110</c:f>
              <c:numCache>
                <c:formatCode>0.0</c:formatCode>
                <c:ptCount val="6"/>
                <c:pt idx="0">
                  <c:v>40.409684818757853</c:v>
                </c:pt>
                <c:pt idx="1">
                  <c:v>39.910172230960725</c:v>
                </c:pt>
                <c:pt idx="2">
                  <c:v>39.110657318821126</c:v>
                </c:pt>
                <c:pt idx="3">
                  <c:v>45.133999382861546</c:v>
                </c:pt>
                <c:pt idx="4">
                  <c:v>12.020599913279625</c:v>
                </c:pt>
                <c:pt idx="5">
                  <c:v>12.020599913279625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6-F32B-44C1-BA3D-06074C7218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4756816"/>
        <c:axId val="534756032"/>
      </c:scatterChart>
      <c:valAx>
        <c:axId val="534756816"/>
        <c:scaling>
          <c:logBase val="2"/>
          <c:orientation val="minMax"/>
          <c:max val="8000"/>
          <c:min val="62.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 sz="1050"/>
                  <a:t>Frequency</a:t>
                </a:r>
                <a:r>
                  <a:rPr lang="en-AU" sz="1050" baseline="0"/>
                  <a:t> Band (Hz)</a:t>
                </a:r>
                <a:endParaRPr lang="en-AU" sz="1050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4756032"/>
        <c:crosses val="autoZero"/>
        <c:crossBetween val="midCat"/>
        <c:majorUnit val="2"/>
      </c:valAx>
      <c:valAx>
        <c:axId val="534756032"/>
        <c:scaling>
          <c:orientation val="minMax"/>
          <c:min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 sz="1050"/>
                  <a:t>Sound Pressure Level (dB)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475681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7627546556680413"/>
          <c:y val="0.41997595823275219"/>
          <c:w val="0.12372453443319585"/>
          <c:h val="0.4093274943083032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AU" b="1"/>
              <a:t>Basket A2 40%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8070009971950816E-2"/>
          <c:y val="0.11799027057383375"/>
          <c:w val="0.76599941136390193"/>
          <c:h val="0.74075445259891803"/>
        </c:manualLayout>
      </c:layout>
      <c:scatterChart>
        <c:scatterStyle val="smoothMarker"/>
        <c:varyColors val="0"/>
        <c:ser>
          <c:idx val="5"/>
          <c:order val="0"/>
          <c:tx>
            <c:v>NC 40</c:v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63</c:v>
              </c:pt>
              <c:pt idx="1">
                <c:v>125</c:v>
              </c:pt>
              <c:pt idx="2">
                <c:v>250</c:v>
              </c:pt>
              <c:pt idx="3">
                <c:v>500</c:v>
              </c:pt>
              <c:pt idx="4">
                <c:v>1000</c:v>
              </c:pt>
              <c:pt idx="5">
                <c:v>2000</c:v>
              </c:pt>
              <c:pt idx="6">
                <c:v>4000</c:v>
              </c:pt>
              <c:pt idx="7">
                <c:v>8000</c:v>
              </c:pt>
            </c:numLit>
          </c:xVal>
          <c:yVal>
            <c:numLit>
              <c:formatCode>General</c:formatCode>
              <c:ptCount val="8"/>
              <c:pt idx="0">
                <c:v>64</c:v>
              </c:pt>
              <c:pt idx="1">
                <c:v>57</c:v>
              </c:pt>
              <c:pt idx="2">
                <c:v>51</c:v>
              </c:pt>
              <c:pt idx="3">
                <c:v>45</c:v>
              </c:pt>
              <c:pt idx="4">
                <c:v>41</c:v>
              </c:pt>
              <c:pt idx="5">
                <c:v>39</c:v>
              </c:pt>
              <c:pt idx="6">
                <c:v>38</c:v>
              </c:pt>
              <c:pt idx="7">
                <c:v>37</c:v>
              </c:pt>
            </c:numLit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18EA-4FA7-92D2-E354FA6103F3}"/>
            </c:ext>
          </c:extLst>
        </c:ser>
        <c:ser>
          <c:idx val="4"/>
          <c:order val="1"/>
          <c:tx>
            <c:strRef>
              <c:f>'ASF-ADequations'!$A$112</c:f>
              <c:strCache>
                <c:ptCount val="1"/>
                <c:pt idx="0">
                  <c:v>NC 35</c:v>
                </c:pt>
              </c:strCache>
            </c:strRef>
          </c:tx>
          <c:spPr>
            <a:ln w="19050" cap="rnd">
              <a:solidFill>
                <a:schemeClr val="accent5"/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'ASF-ADequations'!$B$107:$I$107</c:f>
              <c:numCache>
                <c:formatCode>General</c:formatCode>
                <c:ptCount val="8"/>
                <c:pt idx="0">
                  <c:v>63</c:v>
                </c:pt>
                <c:pt idx="1">
                  <c:v>125</c:v>
                </c:pt>
                <c:pt idx="2">
                  <c:v>250</c:v>
                </c:pt>
                <c:pt idx="3">
                  <c:v>500</c:v>
                </c:pt>
                <c:pt idx="4">
                  <c:v>1000</c:v>
                </c:pt>
                <c:pt idx="5">
                  <c:v>2000</c:v>
                </c:pt>
                <c:pt idx="6">
                  <c:v>4000</c:v>
                </c:pt>
                <c:pt idx="7">
                  <c:v>8000</c:v>
                </c:pt>
              </c:numCache>
            </c:numRef>
          </c:xVal>
          <c:yVal>
            <c:numRef>
              <c:f>'ASF-ADequations'!$B$112:$I$112</c:f>
              <c:numCache>
                <c:formatCode>General</c:formatCode>
                <c:ptCount val="8"/>
                <c:pt idx="0">
                  <c:v>60</c:v>
                </c:pt>
                <c:pt idx="1">
                  <c:v>53</c:v>
                </c:pt>
                <c:pt idx="2">
                  <c:v>46</c:v>
                </c:pt>
                <c:pt idx="3">
                  <c:v>40</c:v>
                </c:pt>
                <c:pt idx="4">
                  <c:v>36</c:v>
                </c:pt>
                <c:pt idx="5">
                  <c:v>34</c:v>
                </c:pt>
                <c:pt idx="6">
                  <c:v>33</c:v>
                </c:pt>
                <c:pt idx="7">
                  <c:v>32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18EA-4FA7-92D2-E354FA6103F3}"/>
            </c:ext>
          </c:extLst>
        </c:ser>
        <c:ser>
          <c:idx val="3"/>
          <c:order val="2"/>
          <c:tx>
            <c:strRef>
              <c:f>'ASF-ADequations'!$A$111</c:f>
              <c:strCache>
                <c:ptCount val="1"/>
                <c:pt idx="0">
                  <c:v>NC 30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numRef>
              <c:f>'ASF-ADequations'!$B$107:$I$107</c:f>
              <c:numCache>
                <c:formatCode>General</c:formatCode>
                <c:ptCount val="8"/>
                <c:pt idx="0">
                  <c:v>63</c:v>
                </c:pt>
                <c:pt idx="1">
                  <c:v>125</c:v>
                </c:pt>
                <c:pt idx="2">
                  <c:v>250</c:v>
                </c:pt>
                <c:pt idx="3">
                  <c:v>500</c:v>
                </c:pt>
                <c:pt idx="4">
                  <c:v>1000</c:v>
                </c:pt>
                <c:pt idx="5">
                  <c:v>2000</c:v>
                </c:pt>
                <c:pt idx="6">
                  <c:v>4000</c:v>
                </c:pt>
                <c:pt idx="7">
                  <c:v>8000</c:v>
                </c:pt>
              </c:numCache>
            </c:numRef>
          </c:xVal>
          <c:yVal>
            <c:numRef>
              <c:f>'ASF-ADequations'!$B$111:$I$111</c:f>
              <c:numCache>
                <c:formatCode>General</c:formatCode>
                <c:ptCount val="8"/>
                <c:pt idx="0">
                  <c:v>57</c:v>
                </c:pt>
                <c:pt idx="1">
                  <c:v>48</c:v>
                </c:pt>
                <c:pt idx="2">
                  <c:v>41</c:v>
                </c:pt>
                <c:pt idx="3">
                  <c:v>35</c:v>
                </c:pt>
                <c:pt idx="4">
                  <c:v>31</c:v>
                </c:pt>
                <c:pt idx="5">
                  <c:v>29</c:v>
                </c:pt>
                <c:pt idx="6">
                  <c:v>28</c:v>
                </c:pt>
                <c:pt idx="7">
                  <c:v>27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2-18EA-4FA7-92D2-E354FA6103F3}"/>
            </c:ext>
          </c:extLst>
        </c:ser>
        <c:ser>
          <c:idx val="2"/>
          <c:order val="3"/>
          <c:tx>
            <c:strRef>
              <c:f>'ASF-ADequations'!$A$110</c:f>
              <c:strCache>
                <c:ptCount val="1"/>
                <c:pt idx="0">
                  <c:v>NC 25</c:v>
                </c:pt>
              </c:strCache>
            </c:strRef>
          </c:tx>
          <c:spPr>
            <a:ln w="19050" cap="rnd">
              <a:solidFill>
                <a:schemeClr val="accent3"/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'ASF-ADequations'!$B$107:$I$107</c:f>
              <c:numCache>
                <c:formatCode>General</c:formatCode>
                <c:ptCount val="8"/>
                <c:pt idx="0">
                  <c:v>63</c:v>
                </c:pt>
                <c:pt idx="1">
                  <c:v>125</c:v>
                </c:pt>
                <c:pt idx="2">
                  <c:v>250</c:v>
                </c:pt>
                <c:pt idx="3">
                  <c:v>500</c:v>
                </c:pt>
                <c:pt idx="4">
                  <c:v>1000</c:v>
                </c:pt>
                <c:pt idx="5">
                  <c:v>2000</c:v>
                </c:pt>
                <c:pt idx="6">
                  <c:v>4000</c:v>
                </c:pt>
                <c:pt idx="7">
                  <c:v>8000</c:v>
                </c:pt>
              </c:numCache>
            </c:numRef>
          </c:xVal>
          <c:yVal>
            <c:numRef>
              <c:f>'ASF-ADequations'!$B$110:$I$110</c:f>
              <c:numCache>
                <c:formatCode>General</c:formatCode>
                <c:ptCount val="8"/>
                <c:pt idx="0">
                  <c:v>54</c:v>
                </c:pt>
                <c:pt idx="1">
                  <c:v>45</c:v>
                </c:pt>
                <c:pt idx="2">
                  <c:v>38</c:v>
                </c:pt>
                <c:pt idx="3">
                  <c:v>31</c:v>
                </c:pt>
                <c:pt idx="4">
                  <c:v>27</c:v>
                </c:pt>
                <c:pt idx="5">
                  <c:v>24</c:v>
                </c:pt>
                <c:pt idx="6">
                  <c:v>22</c:v>
                </c:pt>
                <c:pt idx="7">
                  <c:v>21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3-18EA-4FA7-92D2-E354FA6103F3}"/>
            </c:ext>
          </c:extLst>
        </c:ser>
        <c:ser>
          <c:idx val="1"/>
          <c:order val="4"/>
          <c:tx>
            <c:strRef>
              <c:f>'ASF-ADequations'!$A$109</c:f>
              <c:strCache>
                <c:ptCount val="1"/>
                <c:pt idx="0">
                  <c:v>NC 20</c:v>
                </c:pt>
              </c:strCache>
            </c:strRef>
          </c:tx>
          <c:spPr>
            <a:ln w="19050" cap="rnd">
              <a:solidFill>
                <a:schemeClr val="accent2"/>
              </a:solidFill>
              <a:prstDash val="solid"/>
              <a:round/>
            </a:ln>
            <a:effectLst/>
          </c:spPr>
          <c:marker>
            <c:symbol val="none"/>
          </c:marker>
          <c:xVal>
            <c:numRef>
              <c:f>'ASF-ADequations'!$B$107:$I$107</c:f>
              <c:numCache>
                <c:formatCode>General</c:formatCode>
                <c:ptCount val="8"/>
                <c:pt idx="0">
                  <c:v>63</c:v>
                </c:pt>
                <c:pt idx="1">
                  <c:v>125</c:v>
                </c:pt>
                <c:pt idx="2">
                  <c:v>250</c:v>
                </c:pt>
                <c:pt idx="3">
                  <c:v>500</c:v>
                </c:pt>
                <c:pt idx="4">
                  <c:v>1000</c:v>
                </c:pt>
                <c:pt idx="5">
                  <c:v>2000</c:v>
                </c:pt>
                <c:pt idx="6">
                  <c:v>4000</c:v>
                </c:pt>
                <c:pt idx="7">
                  <c:v>8000</c:v>
                </c:pt>
              </c:numCache>
            </c:numRef>
          </c:xVal>
          <c:yVal>
            <c:numRef>
              <c:f>'ASF-ADequations'!$B$109:$I$109</c:f>
              <c:numCache>
                <c:formatCode>General</c:formatCode>
                <c:ptCount val="8"/>
                <c:pt idx="0">
                  <c:v>51</c:v>
                </c:pt>
                <c:pt idx="1">
                  <c:v>41</c:v>
                </c:pt>
                <c:pt idx="2">
                  <c:v>33</c:v>
                </c:pt>
                <c:pt idx="3">
                  <c:v>26</c:v>
                </c:pt>
                <c:pt idx="4">
                  <c:v>22</c:v>
                </c:pt>
                <c:pt idx="5">
                  <c:v>19</c:v>
                </c:pt>
                <c:pt idx="6">
                  <c:v>17</c:v>
                </c:pt>
                <c:pt idx="7">
                  <c:v>16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4-18EA-4FA7-92D2-E354FA6103F3}"/>
            </c:ext>
          </c:extLst>
        </c:ser>
        <c:ser>
          <c:idx val="0"/>
          <c:order val="5"/>
          <c:tx>
            <c:strRef>
              <c:f>'ASF-ADequations'!$A$108</c:f>
              <c:strCache>
                <c:ptCount val="1"/>
                <c:pt idx="0">
                  <c:v>NC 15</c:v>
                </c:pt>
              </c:strCache>
            </c:strRef>
          </c:tx>
          <c:spPr>
            <a:ln w="19050" cap="rnd">
              <a:solidFill>
                <a:schemeClr val="accent1"/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'ASF-ADequations'!$B$107:$I$107</c:f>
              <c:numCache>
                <c:formatCode>General</c:formatCode>
                <c:ptCount val="8"/>
                <c:pt idx="0">
                  <c:v>63</c:v>
                </c:pt>
                <c:pt idx="1">
                  <c:v>125</c:v>
                </c:pt>
                <c:pt idx="2">
                  <c:v>250</c:v>
                </c:pt>
                <c:pt idx="3">
                  <c:v>500</c:v>
                </c:pt>
                <c:pt idx="4">
                  <c:v>1000</c:v>
                </c:pt>
                <c:pt idx="5">
                  <c:v>2000</c:v>
                </c:pt>
                <c:pt idx="6">
                  <c:v>4000</c:v>
                </c:pt>
                <c:pt idx="7">
                  <c:v>8000</c:v>
                </c:pt>
              </c:numCache>
            </c:numRef>
          </c:xVal>
          <c:yVal>
            <c:numRef>
              <c:f>'ASF-ADequations'!$B$108:$I$108</c:f>
              <c:numCache>
                <c:formatCode>General</c:formatCode>
                <c:ptCount val="8"/>
                <c:pt idx="0">
                  <c:v>47</c:v>
                </c:pt>
                <c:pt idx="1">
                  <c:v>36</c:v>
                </c:pt>
                <c:pt idx="2">
                  <c:v>29</c:v>
                </c:pt>
                <c:pt idx="3">
                  <c:v>22</c:v>
                </c:pt>
                <c:pt idx="4">
                  <c:v>17</c:v>
                </c:pt>
                <c:pt idx="5">
                  <c:v>14</c:v>
                </c:pt>
                <c:pt idx="6">
                  <c:v>12</c:v>
                </c:pt>
                <c:pt idx="7">
                  <c:v>11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5-18EA-4FA7-92D2-E354FA6103F3}"/>
            </c:ext>
          </c:extLst>
        </c:ser>
        <c:ser>
          <c:idx val="6"/>
          <c:order val="6"/>
          <c:tx>
            <c:v>A2 40%</c:v>
          </c:tx>
          <c:spPr>
            <a:ln w="19050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xVal>
            <c:numRef>
              <c:f>'ASF-AD Acoustic Data'!$D$25:$I$25</c:f>
              <c:numCache>
                <c:formatCode>General</c:formatCode>
                <c:ptCount val="6"/>
                <c:pt idx="0">
                  <c:v>125</c:v>
                </c:pt>
                <c:pt idx="1">
                  <c:v>250</c:v>
                </c:pt>
                <c:pt idx="2">
                  <c:v>500</c:v>
                </c:pt>
                <c:pt idx="3">
                  <c:v>1000</c:v>
                </c:pt>
                <c:pt idx="4">
                  <c:v>2000</c:v>
                </c:pt>
                <c:pt idx="5">
                  <c:v>4000</c:v>
                </c:pt>
              </c:numCache>
            </c:numRef>
          </c:xVal>
          <c:yVal>
            <c:numRef>
              <c:f>'ASF-AD Acoustic Data'!$L$109:$Q$109</c:f>
              <c:numCache>
                <c:formatCode>0.0</c:formatCode>
                <c:ptCount val="6"/>
                <c:pt idx="0">
                  <c:v>34.026751239094068</c:v>
                </c:pt>
                <c:pt idx="1">
                  <c:v>36.026751239094068</c:v>
                </c:pt>
                <c:pt idx="2">
                  <c:v>35.575528046928781</c:v>
                </c:pt>
                <c:pt idx="3">
                  <c:v>36.89411083547494</c:v>
                </c:pt>
                <c:pt idx="4">
                  <c:v>36.055772443090959</c:v>
                </c:pt>
                <c:pt idx="5">
                  <c:v>26.224383483681443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6-18EA-4FA7-92D2-E354FA6103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4756424"/>
        <c:axId val="526032056"/>
      </c:scatterChart>
      <c:valAx>
        <c:axId val="534756424"/>
        <c:scaling>
          <c:logBase val="2"/>
          <c:orientation val="minMax"/>
          <c:max val="8000"/>
          <c:min val="62.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 sz="1050"/>
                  <a:t>Frequency</a:t>
                </a:r>
                <a:r>
                  <a:rPr lang="en-AU" sz="1050" baseline="0"/>
                  <a:t> Band (Hz)</a:t>
                </a:r>
                <a:endParaRPr lang="en-AU" sz="1050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6032056"/>
        <c:crosses val="autoZero"/>
        <c:crossBetween val="midCat"/>
        <c:majorUnit val="2"/>
      </c:valAx>
      <c:valAx>
        <c:axId val="526032056"/>
        <c:scaling>
          <c:orientation val="minMax"/>
          <c:min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 sz="1050"/>
                  <a:t>Sound Pressure Level (dB)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475642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7627546556680413"/>
          <c:y val="0.41997595823275219"/>
          <c:w val="0.12372453443319585"/>
          <c:h val="0.4093274943083032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AU" b="1"/>
              <a:t>Basket A1 20%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8070009971950816E-2"/>
          <c:y val="0.11799027057383375"/>
          <c:w val="0.76599941136390193"/>
          <c:h val="0.74075445259891803"/>
        </c:manualLayout>
      </c:layout>
      <c:scatterChart>
        <c:scatterStyle val="smoothMarker"/>
        <c:varyColors val="0"/>
        <c:ser>
          <c:idx val="5"/>
          <c:order val="0"/>
          <c:tx>
            <c:v>NC 40</c:v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xVal>
            <c:numLit>
              <c:formatCode>General</c:formatCode>
              <c:ptCount val="8"/>
              <c:pt idx="0">
                <c:v>63</c:v>
              </c:pt>
              <c:pt idx="1">
                <c:v>125</c:v>
              </c:pt>
              <c:pt idx="2">
                <c:v>250</c:v>
              </c:pt>
              <c:pt idx="3">
                <c:v>500</c:v>
              </c:pt>
              <c:pt idx="4">
                <c:v>1000</c:v>
              </c:pt>
              <c:pt idx="5">
                <c:v>2000</c:v>
              </c:pt>
              <c:pt idx="6">
                <c:v>4000</c:v>
              </c:pt>
              <c:pt idx="7">
                <c:v>8000</c:v>
              </c:pt>
            </c:numLit>
          </c:xVal>
          <c:yVal>
            <c:numLit>
              <c:formatCode>General</c:formatCode>
              <c:ptCount val="8"/>
              <c:pt idx="0">
                <c:v>64</c:v>
              </c:pt>
              <c:pt idx="1">
                <c:v>57</c:v>
              </c:pt>
              <c:pt idx="2">
                <c:v>51</c:v>
              </c:pt>
              <c:pt idx="3">
                <c:v>45</c:v>
              </c:pt>
              <c:pt idx="4">
                <c:v>41</c:v>
              </c:pt>
              <c:pt idx="5">
                <c:v>39</c:v>
              </c:pt>
              <c:pt idx="6">
                <c:v>38</c:v>
              </c:pt>
              <c:pt idx="7">
                <c:v>37</c:v>
              </c:pt>
            </c:numLit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BB8E-496E-B3F9-73DE524FF5A9}"/>
            </c:ext>
          </c:extLst>
        </c:ser>
        <c:ser>
          <c:idx val="4"/>
          <c:order val="1"/>
          <c:tx>
            <c:strRef>
              <c:f>'ASF-ADequations'!$A$112</c:f>
              <c:strCache>
                <c:ptCount val="1"/>
                <c:pt idx="0">
                  <c:v>NC 35</c:v>
                </c:pt>
              </c:strCache>
            </c:strRef>
          </c:tx>
          <c:spPr>
            <a:ln w="19050" cap="rnd">
              <a:solidFill>
                <a:schemeClr val="accent5"/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'ASF-ADequations'!$B$107:$I$107</c:f>
              <c:numCache>
                <c:formatCode>General</c:formatCode>
                <c:ptCount val="8"/>
                <c:pt idx="0">
                  <c:v>63</c:v>
                </c:pt>
                <c:pt idx="1">
                  <c:v>125</c:v>
                </c:pt>
                <c:pt idx="2">
                  <c:v>250</c:v>
                </c:pt>
                <c:pt idx="3">
                  <c:v>500</c:v>
                </c:pt>
                <c:pt idx="4">
                  <c:v>1000</c:v>
                </c:pt>
                <c:pt idx="5">
                  <c:v>2000</c:v>
                </c:pt>
                <c:pt idx="6">
                  <c:v>4000</c:v>
                </c:pt>
                <c:pt idx="7">
                  <c:v>8000</c:v>
                </c:pt>
              </c:numCache>
            </c:numRef>
          </c:xVal>
          <c:yVal>
            <c:numRef>
              <c:f>'ASF-ADequations'!$B$112:$I$112</c:f>
              <c:numCache>
                <c:formatCode>General</c:formatCode>
                <c:ptCount val="8"/>
                <c:pt idx="0">
                  <c:v>60</c:v>
                </c:pt>
                <c:pt idx="1">
                  <c:v>53</c:v>
                </c:pt>
                <c:pt idx="2">
                  <c:v>46</c:v>
                </c:pt>
                <c:pt idx="3">
                  <c:v>40</c:v>
                </c:pt>
                <c:pt idx="4">
                  <c:v>36</c:v>
                </c:pt>
                <c:pt idx="5">
                  <c:v>34</c:v>
                </c:pt>
                <c:pt idx="6">
                  <c:v>33</c:v>
                </c:pt>
                <c:pt idx="7">
                  <c:v>32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BB8E-496E-B3F9-73DE524FF5A9}"/>
            </c:ext>
          </c:extLst>
        </c:ser>
        <c:ser>
          <c:idx val="3"/>
          <c:order val="2"/>
          <c:tx>
            <c:strRef>
              <c:f>'ASF-ADequations'!$A$111</c:f>
              <c:strCache>
                <c:ptCount val="1"/>
                <c:pt idx="0">
                  <c:v>NC 30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numRef>
              <c:f>'ASF-ADequations'!$B$107:$I$107</c:f>
              <c:numCache>
                <c:formatCode>General</c:formatCode>
                <c:ptCount val="8"/>
                <c:pt idx="0">
                  <c:v>63</c:v>
                </c:pt>
                <c:pt idx="1">
                  <c:v>125</c:v>
                </c:pt>
                <c:pt idx="2">
                  <c:v>250</c:v>
                </c:pt>
                <c:pt idx="3">
                  <c:v>500</c:v>
                </c:pt>
                <c:pt idx="4">
                  <c:v>1000</c:v>
                </c:pt>
                <c:pt idx="5">
                  <c:v>2000</c:v>
                </c:pt>
                <c:pt idx="6">
                  <c:v>4000</c:v>
                </c:pt>
                <c:pt idx="7">
                  <c:v>8000</c:v>
                </c:pt>
              </c:numCache>
            </c:numRef>
          </c:xVal>
          <c:yVal>
            <c:numRef>
              <c:f>'ASF-ADequations'!$B$111:$I$111</c:f>
              <c:numCache>
                <c:formatCode>General</c:formatCode>
                <c:ptCount val="8"/>
                <c:pt idx="0">
                  <c:v>57</c:v>
                </c:pt>
                <c:pt idx="1">
                  <c:v>48</c:v>
                </c:pt>
                <c:pt idx="2">
                  <c:v>41</c:v>
                </c:pt>
                <c:pt idx="3">
                  <c:v>35</c:v>
                </c:pt>
                <c:pt idx="4">
                  <c:v>31</c:v>
                </c:pt>
                <c:pt idx="5">
                  <c:v>29</c:v>
                </c:pt>
                <c:pt idx="6">
                  <c:v>28</c:v>
                </c:pt>
                <c:pt idx="7">
                  <c:v>27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2-BB8E-496E-B3F9-73DE524FF5A9}"/>
            </c:ext>
          </c:extLst>
        </c:ser>
        <c:ser>
          <c:idx val="2"/>
          <c:order val="3"/>
          <c:tx>
            <c:strRef>
              <c:f>'ASF-ADequations'!$A$110</c:f>
              <c:strCache>
                <c:ptCount val="1"/>
                <c:pt idx="0">
                  <c:v>NC 25</c:v>
                </c:pt>
              </c:strCache>
            </c:strRef>
          </c:tx>
          <c:spPr>
            <a:ln w="19050" cap="rnd">
              <a:solidFill>
                <a:schemeClr val="accent3"/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'ASF-ADequations'!$B$107:$I$107</c:f>
              <c:numCache>
                <c:formatCode>General</c:formatCode>
                <c:ptCount val="8"/>
                <c:pt idx="0">
                  <c:v>63</c:v>
                </c:pt>
                <c:pt idx="1">
                  <c:v>125</c:v>
                </c:pt>
                <c:pt idx="2">
                  <c:v>250</c:v>
                </c:pt>
                <c:pt idx="3">
                  <c:v>500</c:v>
                </c:pt>
                <c:pt idx="4">
                  <c:v>1000</c:v>
                </c:pt>
                <c:pt idx="5">
                  <c:v>2000</c:v>
                </c:pt>
                <c:pt idx="6">
                  <c:v>4000</c:v>
                </c:pt>
                <c:pt idx="7">
                  <c:v>8000</c:v>
                </c:pt>
              </c:numCache>
            </c:numRef>
          </c:xVal>
          <c:yVal>
            <c:numRef>
              <c:f>'ASF-ADequations'!$B$110:$I$110</c:f>
              <c:numCache>
                <c:formatCode>General</c:formatCode>
                <c:ptCount val="8"/>
                <c:pt idx="0">
                  <c:v>54</c:v>
                </c:pt>
                <c:pt idx="1">
                  <c:v>45</c:v>
                </c:pt>
                <c:pt idx="2">
                  <c:v>38</c:v>
                </c:pt>
                <c:pt idx="3">
                  <c:v>31</c:v>
                </c:pt>
                <c:pt idx="4">
                  <c:v>27</c:v>
                </c:pt>
                <c:pt idx="5">
                  <c:v>24</c:v>
                </c:pt>
                <c:pt idx="6">
                  <c:v>22</c:v>
                </c:pt>
                <c:pt idx="7">
                  <c:v>21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3-BB8E-496E-B3F9-73DE524FF5A9}"/>
            </c:ext>
          </c:extLst>
        </c:ser>
        <c:ser>
          <c:idx val="1"/>
          <c:order val="4"/>
          <c:tx>
            <c:strRef>
              <c:f>'ASF-ADequations'!$A$109</c:f>
              <c:strCache>
                <c:ptCount val="1"/>
                <c:pt idx="0">
                  <c:v>NC 20</c:v>
                </c:pt>
              </c:strCache>
            </c:strRef>
          </c:tx>
          <c:spPr>
            <a:ln w="19050" cap="rnd">
              <a:solidFill>
                <a:schemeClr val="accent2"/>
              </a:solidFill>
              <a:prstDash val="solid"/>
              <a:round/>
            </a:ln>
            <a:effectLst/>
          </c:spPr>
          <c:marker>
            <c:symbol val="none"/>
          </c:marker>
          <c:xVal>
            <c:numRef>
              <c:f>'ASF-ADequations'!$B$107:$I$107</c:f>
              <c:numCache>
                <c:formatCode>General</c:formatCode>
                <c:ptCount val="8"/>
                <c:pt idx="0">
                  <c:v>63</c:v>
                </c:pt>
                <c:pt idx="1">
                  <c:v>125</c:v>
                </c:pt>
                <c:pt idx="2">
                  <c:v>250</c:v>
                </c:pt>
                <c:pt idx="3">
                  <c:v>500</c:v>
                </c:pt>
                <c:pt idx="4">
                  <c:v>1000</c:v>
                </c:pt>
                <c:pt idx="5">
                  <c:v>2000</c:v>
                </c:pt>
                <c:pt idx="6">
                  <c:v>4000</c:v>
                </c:pt>
                <c:pt idx="7">
                  <c:v>8000</c:v>
                </c:pt>
              </c:numCache>
            </c:numRef>
          </c:xVal>
          <c:yVal>
            <c:numRef>
              <c:f>'ASF-ADequations'!$B$109:$I$109</c:f>
              <c:numCache>
                <c:formatCode>General</c:formatCode>
                <c:ptCount val="8"/>
                <c:pt idx="0">
                  <c:v>51</c:v>
                </c:pt>
                <c:pt idx="1">
                  <c:v>41</c:v>
                </c:pt>
                <c:pt idx="2">
                  <c:v>33</c:v>
                </c:pt>
                <c:pt idx="3">
                  <c:v>26</c:v>
                </c:pt>
                <c:pt idx="4">
                  <c:v>22</c:v>
                </c:pt>
                <c:pt idx="5">
                  <c:v>19</c:v>
                </c:pt>
                <c:pt idx="6">
                  <c:v>17</c:v>
                </c:pt>
                <c:pt idx="7">
                  <c:v>16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4-BB8E-496E-B3F9-73DE524FF5A9}"/>
            </c:ext>
          </c:extLst>
        </c:ser>
        <c:ser>
          <c:idx val="0"/>
          <c:order val="5"/>
          <c:tx>
            <c:strRef>
              <c:f>'ASF-ADequations'!$A$108</c:f>
              <c:strCache>
                <c:ptCount val="1"/>
                <c:pt idx="0">
                  <c:v>NC 15</c:v>
                </c:pt>
              </c:strCache>
            </c:strRef>
          </c:tx>
          <c:spPr>
            <a:ln w="19050" cap="rnd">
              <a:solidFill>
                <a:schemeClr val="accent1"/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'ASF-ADequations'!$B$107:$I$107</c:f>
              <c:numCache>
                <c:formatCode>General</c:formatCode>
                <c:ptCount val="8"/>
                <c:pt idx="0">
                  <c:v>63</c:v>
                </c:pt>
                <c:pt idx="1">
                  <c:v>125</c:v>
                </c:pt>
                <c:pt idx="2">
                  <c:v>250</c:v>
                </c:pt>
                <c:pt idx="3">
                  <c:v>500</c:v>
                </c:pt>
                <c:pt idx="4">
                  <c:v>1000</c:v>
                </c:pt>
                <c:pt idx="5">
                  <c:v>2000</c:v>
                </c:pt>
                <c:pt idx="6">
                  <c:v>4000</c:v>
                </c:pt>
                <c:pt idx="7">
                  <c:v>8000</c:v>
                </c:pt>
              </c:numCache>
            </c:numRef>
          </c:xVal>
          <c:yVal>
            <c:numRef>
              <c:f>'ASF-ADequations'!$B$108:$I$108</c:f>
              <c:numCache>
                <c:formatCode>General</c:formatCode>
                <c:ptCount val="8"/>
                <c:pt idx="0">
                  <c:v>47</c:v>
                </c:pt>
                <c:pt idx="1">
                  <c:v>36</c:v>
                </c:pt>
                <c:pt idx="2">
                  <c:v>29</c:v>
                </c:pt>
                <c:pt idx="3">
                  <c:v>22</c:v>
                </c:pt>
                <c:pt idx="4">
                  <c:v>17</c:v>
                </c:pt>
                <c:pt idx="5">
                  <c:v>14</c:v>
                </c:pt>
                <c:pt idx="6">
                  <c:v>12</c:v>
                </c:pt>
                <c:pt idx="7">
                  <c:v>11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5-BB8E-496E-B3F9-73DE524FF5A9}"/>
            </c:ext>
          </c:extLst>
        </c:ser>
        <c:ser>
          <c:idx val="6"/>
          <c:order val="6"/>
          <c:tx>
            <c:v>A1 20%</c:v>
          </c:tx>
          <c:spPr>
            <a:ln w="19050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xVal>
            <c:numRef>
              <c:f>'ASF-AD Acoustic Data'!$D$25:$I$25</c:f>
              <c:numCache>
                <c:formatCode>General</c:formatCode>
                <c:ptCount val="6"/>
                <c:pt idx="0">
                  <c:v>125</c:v>
                </c:pt>
                <c:pt idx="1">
                  <c:v>250</c:v>
                </c:pt>
                <c:pt idx="2">
                  <c:v>500</c:v>
                </c:pt>
                <c:pt idx="3">
                  <c:v>1000</c:v>
                </c:pt>
                <c:pt idx="4">
                  <c:v>2000</c:v>
                </c:pt>
                <c:pt idx="5">
                  <c:v>4000</c:v>
                </c:pt>
              </c:numCache>
            </c:numRef>
          </c:xVal>
          <c:yVal>
            <c:numRef>
              <c:f>'ASF-AD Acoustic Data'!$D$139:$I$139</c:f>
              <c:numCache>
                <c:formatCode>General</c:formatCode>
                <c:ptCount val="6"/>
                <c:pt idx="0">
                  <c:v>48.690982963081332</c:v>
                </c:pt>
                <c:pt idx="1">
                  <c:v>50.40869811646656</c:v>
                </c:pt>
                <c:pt idx="2">
                  <c:v>48.797696223367879</c:v>
                </c:pt>
                <c:pt idx="3">
                  <c:v>66.681789964462013</c:v>
                </c:pt>
                <c:pt idx="4">
                  <c:v>9.0102999566398125</c:v>
                </c:pt>
                <c:pt idx="5">
                  <c:v>9.0102999566398125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6-BB8E-496E-B3F9-73DE524FF5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6031272"/>
        <c:axId val="526031664"/>
      </c:scatterChart>
      <c:valAx>
        <c:axId val="526031272"/>
        <c:scaling>
          <c:logBase val="2"/>
          <c:orientation val="minMax"/>
          <c:max val="8000"/>
          <c:min val="62.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 sz="1050"/>
                  <a:t>Frequency</a:t>
                </a:r>
                <a:r>
                  <a:rPr lang="en-AU" sz="1050" baseline="0"/>
                  <a:t> Band (Hz)</a:t>
                </a:r>
                <a:endParaRPr lang="en-AU" sz="1050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6031664"/>
        <c:crosses val="autoZero"/>
        <c:crossBetween val="midCat"/>
        <c:majorUnit val="2"/>
      </c:valAx>
      <c:valAx>
        <c:axId val="526031664"/>
        <c:scaling>
          <c:orientation val="minMax"/>
          <c:min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 sz="1050"/>
                  <a:t>Sound Pressure Level (dB)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603127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7627546556680413"/>
          <c:y val="0.41997595823275219"/>
          <c:w val="0.12372453443319585"/>
          <c:h val="0.4093274943083032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Radio" checked="Checked" firstButton="1" fmlaLink="'ASF-ADequations'!$B$10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GBox" noThreeD="1"/>
</file>

<file path=xl/ctrlProps/ctrlProp4.xml><?xml version="1.0" encoding="utf-8"?>
<formControlPr xmlns="http://schemas.microsoft.com/office/spreadsheetml/2009/9/main" objectType="Radio" checked="Checked" firstButton="1" fmlaLink="'ASF-ADequations'!$B$3" lockText="1" noThreeD="1"/>
</file>

<file path=xl/ctrlProps/ctrlProp5.xml><?xml version="1.0" encoding="utf-8"?>
<formControlPr xmlns="http://schemas.microsoft.com/office/spreadsheetml/2009/9/main" objectType="Radio" lockText="1" noThreeD="1"/>
</file>

<file path=xl/ctrlProps/ctrlProp6.xml><?xml version="1.0" encoding="utf-8"?>
<formControlPr xmlns="http://schemas.microsoft.com/office/spreadsheetml/2009/9/main" objectType="GBox" noThreeD="1"/>
</file>

<file path=xl/ctrlProps/ctrlProp7.xml><?xml version="1.0" encoding="utf-8"?>
<formControlPr xmlns="http://schemas.microsoft.com/office/spreadsheetml/2009/9/main" objectType="Radio" checked="Checked" firstButton="1" fmlaLink="'ASF-ADequations'!$B$132" lockText="1" noThreeD="1"/>
</file>

<file path=xl/ctrlProps/ctrlProp8.xml><?xml version="1.0" encoding="utf-8"?>
<formControlPr xmlns="http://schemas.microsoft.com/office/spreadsheetml/2009/9/main" objectType="Radio" lockText="1" noThreeD="1"/>
</file>

<file path=xl/ctrlProps/ctrlProp9.xml><?xml version="1.0" encoding="utf-8"?>
<formControlPr xmlns="http://schemas.microsoft.com/office/spreadsheetml/2009/9/main" objectType="GBox" noThreeD="1"/>
</file>

<file path=xl/ctrlProps/ctrlProp10.xml><?xml version="1.0" encoding="utf-8"?>
<formControlPr xmlns="http://schemas.microsoft.com/office/spreadsheetml/2009/9/main" objectType="Radio" checked="Checked" firstButton="1" fmlaLink="'ASF-ADequations'!$B$133" lockText="1" noThreeD="1"/>
</file>

<file path=xl/ctrlProps/ctrlProp11.xml><?xml version="1.0" encoding="utf-8"?>
<formControlPr xmlns="http://schemas.microsoft.com/office/spreadsheetml/2009/9/main" objectType="Radio" lockText="1" noThreeD="1"/>
</file>

<file path=xl/ctrlProps/ctrlProp12.xml><?xml version="1.0" encoding="utf-8"?>
<formControlPr xmlns="http://schemas.microsoft.com/office/spreadsheetml/2009/9/main" objectType="GBox" noThreeD="1"/>
</file>

<file path=xl/ctrlProps/ctrlProp13.xml><?xml version="1.0" encoding="utf-8"?>
<formControlPr xmlns="http://schemas.microsoft.com/office/spreadsheetml/2009/9/main" objectType="Radio" firstButton="1" fmlaLink="'ASF-ADequations'!$B$134" lockText="1" noThreeD="1"/>
</file>

<file path=xl/ctrlProps/ctrlProp14.xml><?xml version="1.0" encoding="utf-8"?>
<formControlPr xmlns="http://schemas.microsoft.com/office/spreadsheetml/2009/9/main" objectType="Radio" checked="Checked" lockText="1" noThreeD="1"/>
</file>

<file path=xl/ctrlProps/ctrlProp15.xml><?xml version="1.0" encoding="utf-8"?>
<formControlPr xmlns="http://schemas.microsoft.com/office/spreadsheetml/2009/9/main" objectType="GBox" noThreeD="1"/>
</file>

<file path=xl/ctrlProps/ctrlProp16.xml><?xml version="1.0" encoding="utf-8"?>
<formControlPr xmlns="http://schemas.microsoft.com/office/spreadsheetml/2009/9/main" objectType="Radio" firstButton="1" fmlaLink="'ASF-ADequations'!$B$135" lockText="1" noThreeD="1"/>
</file>

<file path=xl/ctrlProps/ctrlProp17.xml><?xml version="1.0" encoding="utf-8"?>
<formControlPr xmlns="http://schemas.microsoft.com/office/spreadsheetml/2009/9/main" objectType="Radio" checked="Checked" lockText="1" noThreeD="1"/>
</file>

<file path=xl/ctrlProps/ctrlProp18.xml><?xml version="1.0" encoding="utf-8"?>
<formControlPr xmlns="http://schemas.microsoft.com/office/spreadsheetml/2009/9/main" objectType="Radio" lockText="1" noThreeD="1"/>
</file>

<file path=xl/ctrlProps/ctrlProp19.xml><?xml version="1.0" encoding="utf-8"?>
<formControlPr xmlns="http://schemas.microsoft.com/office/spreadsheetml/2009/9/main" objectType="GBox" noThreeD="1"/>
</file>

<file path=xl/ctrlProps/ctrlProp20.xml><?xml version="1.0" encoding="utf-8"?>
<formControlPr xmlns="http://schemas.microsoft.com/office/spreadsheetml/2009/9/main" objectType="Radio" checked="Checked" firstButton="1" fmlaLink="'ASF-ADequations'!$B$136" lockText="1" noThreeD="1"/>
</file>

<file path=xl/ctrlProps/ctrlProp21.xml><?xml version="1.0" encoding="utf-8"?>
<formControlPr xmlns="http://schemas.microsoft.com/office/spreadsheetml/2009/9/main" objectType="Radio" lockText="1" noThreeD="1"/>
</file>

<file path=xl/ctrlProps/ctrlProp22.xml><?xml version="1.0" encoding="utf-8"?>
<formControlPr xmlns="http://schemas.microsoft.com/office/spreadsheetml/2009/9/main" objectType="GBox" noThreeD="1"/>
</file>

<file path=xl/ctrlProps/ctrlProp23.xml><?xml version="1.0" encoding="utf-8"?>
<formControlPr xmlns="http://schemas.microsoft.com/office/spreadsheetml/2009/9/main" objectType="Radio" checked="Checked" firstButton="1" fmlaLink="'ASF-ADequations'!$B$137" lockText="1" noThreeD="1"/>
</file>

<file path=xl/ctrlProps/ctrlProp24.xml><?xml version="1.0" encoding="utf-8"?>
<formControlPr xmlns="http://schemas.microsoft.com/office/spreadsheetml/2009/9/main" objectType="Radio" lockText="1" noThreeD="1"/>
</file>

<file path=xl/ctrlProps/ctrlProp25.xml><?xml version="1.0" encoding="utf-8"?>
<formControlPr xmlns="http://schemas.microsoft.com/office/spreadsheetml/2009/9/main" objectType="Radio" lockText="1" noThreeD="1"/>
</file>

<file path=xl/ctrlProps/ctrlProp26.xml><?xml version="1.0" encoding="utf-8"?>
<formControlPr xmlns="http://schemas.microsoft.com/office/spreadsheetml/2009/9/main" objectType="GBox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image" Target="../media/image1.png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95251</xdr:colOff>
      <xdr:row>1</xdr:row>
      <xdr:rowOff>95250</xdr:rowOff>
    </xdr:from>
    <xdr:to>
      <xdr:col>11</xdr:col>
      <xdr:colOff>1640795</xdr:colOff>
      <xdr:row>2</xdr:row>
      <xdr:rowOff>271966</xdr:rowOff>
    </xdr:to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99032" y="285750"/>
          <a:ext cx="2324213" cy="438654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2209800</xdr:colOff>
          <xdr:row>11</xdr:row>
          <xdr:rowOff>38100</xdr:rowOff>
        </xdr:from>
        <xdr:to>
          <xdr:col>3</xdr:col>
          <xdr:colOff>514350</xdr:colOff>
          <xdr:row>12</xdr:row>
          <xdr:rowOff>28575</xdr:rowOff>
        </xdr:to>
        <xdr:sp macro="" textlink="">
          <xdr:nvSpPr>
            <xdr:cNvPr id="1043" name="Option Button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2209800</xdr:colOff>
          <xdr:row>12</xdr:row>
          <xdr:rowOff>38100</xdr:rowOff>
        </xdr:from>
        <xdr:to>
          <xdr:col>3</xdr:col>
          <xdr:colOff>523875</xdr:colOff>
          <xdr:row>13</xdr:row>
          <xdr:rowOff>9525</xdr:rowOff>
        </xdr:to>
        <xdr:sp macro="" textlink="">
          <xdr:nvSpPr>
            <xdr:cNvPr id="1044" name="Option Button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9</xdr:col>
      <xdr:colOff>380849</xdr:colOff>
      <xdr:row>5</xdr:row>
      <xdr:rowOff>209400</xdr:rowOff>
    </xdr:from>
    <xdr:to>
      <xdr:col>11</xdr:col>
      <xdr:colOff>1895475</xdr:colOff>
      <xdr:row>18</xdr:row>
      <xdr:rowOff>161926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81924" y="1314300"/>
          <a:ext cx="3000526" cy="3000526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809625</xdr:colOff>
          <xdr:row>6</xdr:row>
          <xdr:rowOff>38100</xdr:rowOff>
        </xdr:from>
        <xdr:to>
          <xdr:col>5</xdr:col>
          <xdr:colOff>581025</xdr:colOff>
          <xdr:row>8</xdr:row>
          <xdr:rowOff>171450</xdr:rowOff>
        </xdr:to>
        <xdr:sp macro="" textlink="">
          <xdr:nvSpPr>
            <xdr:cNvPr id="1045" name="Group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Group Box 21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142875</xdr:colOff>
          <xdr:row>7</xdr:row>
          <xdr:rowOff>9525</xdr:rowOff>
        </xdr:from>
        <xdr:to>
          <xdr:col>4</xdr:col>
          <xdr:colOff>476250</xdr:colOff>
          <xdr:row>8</xdr:row>
          <xdr:rowOff>0</xdr:rowOff>
        </xdr:to>
        <xdr:sp macro="" textlink="">
          <xdr:nvSpPr>
            <xdr:cNvPr id="1046" name="Option Button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666750</xdr:colOff>
          <xdr:row>7</xdr:row>
          <xdr:rowOff>9525</xdr:rowOff>
        </xdr:from>
        <xdr:to>
          <xdr:col>5</xdr:col>
          <xdr:colOff>247650</xdr:colOff>
          <xdr:row>8</xdr:row>
          <xdr:rowOff>0</xdr:rowOff>
        </xdr:to>
        <xdr:sp macro="" textlink="">
          <xdr:nvSpPr>
            <xdr:cNvPr id="1047" name="Option Button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2438400</xdr:colOff>
          <xdr:row>23</xdr:row>
          <xdr:rowOff>361950</xdr:rowOff>
        </xdr:from>
        <xdr:to>
          <xdr:col>7</xdr:col>
          <xdr:colOff>361950</xdr:colOff>
          <xdr:row>25</xdr:row>
          <xdr:rowOff>9525</xdr:rowOff>
        </xdr:to>
        <xdr:sp macro="" textlink="">
          <xdr:nvSpPr>
            <xdr:cNvPr id="1048" name="Group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Group Box 24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647700</xdr:colOff>
          <xdr:row>24</xdr:row>
          <xdr:rowOff>28575</xdr:rowOff>
        </xdr:from>
        <xdr:to>
          <xdr:col>4</xdr:col>
          <xdr:colOff>457200</xdr:colOff>
          <xdr:row>24</xdr:row>
          <xdr:rowOff>247650</xdr:rowOff>
        </xdr:to>
        <xdr:sp macro="" textlink="">
          <xdr:nvSpPr>
            <xdr:cNvPr id="1049" name="Option Button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628650</xdr:colOff>
          <xdr:row>24</xdr:row>
          <xdr:rowOff>28575</xdr:rowOff>
        </xdr:from>
        <xdr:to>
          <xdr:col>6</xdr:col>
          <xdr:colOff>485775</xdr:colOff>
          <xdr:row>24</xdr:row>
          <xdr:rowOff>247650</xdr:rowOff>
        </xdr:to>
        <xdr:sp macro="" textlink="">
          <xdr:nvSpPr>
            <xdr:cNvPr id="1050" name="Option Button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2447925</xdr:colOff>
          <xdr:row>25</xdr:row>
          <xdr:rowOff>19050</xdr:rowOff>
        </xdr:from>
        <xdr:to>
          <xdr:col>7</xdr:col>
          <xdr:colOff>285750</xdr:colOff>
          <xdr:row>26</xdr:row>
          <xdr:rowOff>0</xdr:rowOff>
        </xdr:to>
        <xdr:sp macro="" textlink="">
          <xdr:nvSpPr>
            <xdr:cNvPr id="1051" name="Group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Group Box 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647700</xdr:colOff>
          <xdr:row>25</xdr:row>
          <xdr:rowOff>28575</xdr:rowOff>
        </xdr:from>
        <xdr:to>
          <xdr:col>4</xdr:col>
          <xdr:colOff>266700</xdr:colOff>
          <xdr:row>25</xdr:row>
          <xdr:rowOff>247650</xdr:rowOff>
        </xdr:to>
        <xdr:sp macro="" textlink="">
          <xdr:nvSpPr>
            <xdr:cNvPr id="1052" name="Option Button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628650</xdr:colOff>
          <xdr:row>25</xdr:row>
          <xdr:rowOff>28575</xdr:rowOff>
        </xdr:from>
        <xdr:to>
          <xdr:col>6</xdr:col>
          <xdr:colOff>238125</xdr:colOff>
          <xdr:row>25</xdr:row>
          <xdr:rowOff>247650</xdr:rowOff>
        </xdr:to>
        <xdr:sp macro="" textlink="">
          <xdr:nvSpPr>
            <xdr:cNvPr id="1053" name="Option Button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2476500</xdr:colOff>
          <xdr:row>26</xdr:row>
          <xdr:rowOff>9525</xdr:rowOff>
        </xdr:from>
        <xdr:to>
          <xdr:col>7</xdr:col>
          <xdr:colOff>323850</xdr:colOff>
          <xdr:row>27</xdr:row>
          <xdr:rowOff>9525</xdr:rowOff>
        </xdr:to>
        <xdr:sp macro="" textlink="">
          <xdr:nvSpPr>
            <xdr:cNvPr id="1054" name="Group Box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Group Box 30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657225</xdr:colOff>
          <xdr:row>26</xdr:row>
          <xdr:rowOff>38100</xdr:rowOff>
        </xdr:from>
        <xdr:to>
          <xdr:col>4</xdr:col>
          <xdr:colOff>400050</xdr:colOff>
          <xdr:row>26</xdr:row>
          <xdr:rowOff>257175</xdr:rowOff>
        </xdr:to>
        <xdr:sp macro="" textlink="">
          <xdr:nvSpPr>
            <xdr:cNvPr id="1056" name="Option Button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628650</xdr:colOff>
          <xdr:row>26</xdr:row>
          <xdr:rowOff>38100</xdr:rowOff>
        </xdr:from>
        <xdr:to>
          <xdr:col>6</xdr:col>
          <xdr:colOff>152400</xdr:colOff>
          <xdr:row>26</xdr:row>
          <xdr:rowOff>257175</xdr:rowOff>
        </xdr:to>
        <xdr:sp macro="" textlink="">
          <xdr:nvSpPr>
            <xdr:cNvPr id="1057" name="Option Button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2486025</xdr:colOff>
          <xdr:row>27</xdr:row>
          <xdr:rowOff>9525</xdr:rowOff>
        </xdr:from>
        <xdr:to>
          <xdr:col>9</xdr:col>
          <xdr:colOff>504825</xdr:colOff>
          <xdr:row>28</xdr:row>
          <xdr:rowOff>0</xdr:rowOff>
        </xdr:to>
        <xdr:sp macro="" textlink="">
          <xdr:nvSpPr>
            <xdr:cNvPr id="1059" name="Group Box 35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Group Box 35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657225</xdr:colOff>
          <xdr:row>27</xdr:row>
          <xdr:rowOff>28575</xdr:rowOff>
        </xdr:from>
        <xdr:to>
          <xdr:col>4</xdr:col>
          <xdr:colOff>685800</xdr:colOff>
          <xdr:row>27</xdr:row>
          <xdr:rowOff>247650</xdr:rowOff>
        </xdr:to>
        <xdr:sp macro="" textlink="">
          <xdr:nvSpPr>
            <xdr:cNvPr id="1061" name="Option Button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638175</xdr:colOff>
          <xdr:row>27</xdr:row>
          <xdr:rowOff>28575</xdr:rowOff>
        </xdr:from>
        <xdr:to>
          <xdr:col>6</xdr:col>
          <xdr:colOff>704850</xdr:colOff>
          <xdr:row>27</xdr:row>
          <xdr:rowOff>247650</xdr:rowOff>
        </xdr:to>
        <xdr:sp macro="" textlink="">
          <xdr:nvSpPr>
            <xdr:cNvPr id="1062" name="Option Button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657225</xdr:colOff>
          <xdr:row>27</xdr:row>
          <xdr:rowOff>38100</xdr:rowOff>
        </xdr:from>
        <xdr:to>
          <xdr:col>8</xdr:col>
          <xdr:colOff>552450</xdr:colOff>
          <xdr:row>27</xdr:row>
          <xdr:rowOff>257175</xdr:rowOff>
        </xdr:to>
        <xdr:sp macro="" textlink="">
          <xdr:nvSpPr>
            <xdr:cNvPr id="1063" name="Option Button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28</xdr:row>
          <xdr:rowOff>9525</xdr:rowOff>
        </xdr:from>
        <xdr:to>
          <xdr:col>9</xdr:col>
          <xdr:colOff>504825</xdr:colOff>
          <xdr:row>29</xdr:row>
          <xdr:rowOff>9525</xdr:rowOff>
        </xdr:to>
        <xdr:sp macro="" textlink="">
          <xdr:nvSpPr>
            <xdr:cNvPr id="1064" name="Group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Group Box 40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657225</xdr:colOff>
          <xdr:row>28</xdr:row>
          <xdr:rowOff>28575</xdr:rowOff>
        </xdr:from>
        <xdr:to>
          <xdr:col>4</xdr:col>
          <xdr:colOff>457200</xdr:colOff>
          <xdr:row>28</xdr:row>
          <xdr:rowOff>247650</xdr:rowOff>
        </xdr:to>
        <xdr:sp macro="" textlink="">
          <xdr:nvSpPr>
            <xdr:cNvPr id="1065" name="Option Button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638175</xdr:colOff>
          <xdr:row>28</xdr:row>
          <xdr:rowOff>28575</xdr:rowOff>
        </xdr:from>
        <xdr:to>
          <xdr:col>6</xdr:col>
          <xdr:colOff>457200</xdr:colOff>
          <xdr:row>28</xdr:row>
          <xdr:rowOff>247650</xdr:rowOff>
        </xdr:to>
        <xdr:sp macro="" textlink="">
          <xdr:nvSpPr>
            <xdr:cNvPr id="1066" name="Option Button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29</xdr:row>
          <xdr:rowOff>9525</xdr:rowOff>
        </xdr:from>
        <xdr:to>
          <xdr:col>7</xdr:col>
          <xdr:colOff>533400</xdr:colOff>
          <xdr:row>30</xdr:row>
          <xdr:rowOff>0</xdr:rowOff>
        </xdr:to>
        <xdr:sp macro="" textlink="">
          <xdr:nvSpPr>
            <xdr:cNvPr id="1067" name="Group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Group Box 43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666750</xdr:colOff>
          <xdr:row>29</xdr:row>
          <xdr:rowOff>38100</xdr:rowOff>
        </xdr:from>
        <xdr:to>
          <xdr:col>4</xdr:col>
          <xdr:colOff>590550</xdr:colOff>
          <xdr:row>29</xdr:row>
          <xdr:rowOff>257175</xdr:rowOff>
        </xdr:to>
        <xdr:sp macro="" textlink="">
          <xdr:nvSpPr>
            <xdr:cNvPr id="1069" name="Option Button 45" hidden="1">
              <a:extLst>
                <a:ext uri="{63B3BB69-23CF-44E3-9099-C40C66FF867C}">
                  <a14:compatExt spid="_x0000_s10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638175</xdr:colOff>
          <xdr:row>29</xdr:row>
          <xdr:rowOff>38100</xdr:rowOff>
        </xdr:from>
        <xdr:to>
          <xdr:col>6</xdr:col>
          <xdr:colOff>552450</xdr:colOff>
          <xdr:row>29</xdr:row>
          <xdr:rowOff>257175</xdr:rowOff>
        </xdr:to>
        <xdr:sp macro="" textlink="">
          <xdr:nvSpPr>
            <xdr:cNvPr id="1070" name="Option Button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657225</xdr:colOff>
          <xdr:row>28</xdr:row>
          <xdr:rowOff>38100</xdr:rowOff>
        </xdr:from>
        <xdr:to>
          <xdr:col>8</xdr:col>
          <xdr:colOff>352425</xdr:colOff>
          <xdr:row>28</xdr:row>
          <xdr:rowOff>257175</xdr:rowOff>
        </xdr:to>
        <xdr:sp macro="" textlink="">
          <xdr:nvSpPr>
            <xdr:cNvPr id="1071" name="Option Button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1790700</xdr:colOff>
          <xdr:row>10</xdr:row>
          <xdr:rowOff>47625</xdr:rowOff>
        </xdr:from>
        <xdr:to>
          <xdr:col>5</xdr:col>
          <xdr:colOff>133350</xdr:colOff>
          <xdr:row>14</xdr:row>
          <xdr:rowOff>57150</xdr:rowOff>
        </xdr:to>
        <xdr:sp macro="" textlink="">
          <xdr:nvSpPr>
            <xdr:cNvPr id="1072" name="Group Box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sd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107</xdr:row>
      <xdr:rowOff>0</xdr:rowOff>
    </xdr:from>
    <xdr:to>
      <xdr:col>19</xdr:col>
      <xdr:colOff>409575</xdr:colOff>
      <xdr:row>127</xdr:row>
      <xdr:rowOff>182219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542925</xdr:colOff>
      <xdr:row>1</xdr:row>
      <xdr:rowOff>95250</xdr:rowOff>
    </xdr:from>
    <xdr:to>
      <xdr:col>17</xdr:col>
      <xdr:colOff>212044</xdr:colOff>
      <xdr:row>3</xdr:row>
      <xdr:rowOff>5266</xdr:rowOff>
    </xdr:to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49250" y="285750"/>
          <a:ext cx="2326594" cy="443416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7</xdr:row>
      <xdr:rowOff>0</xdr:rowOff>
    </xdr:from>
    <xdr:to>
      <xdr:col>9</xdr:col>
      <xdr:colOff>0</xdr:colOff>
      <xdr:row>27</xdr:row>
      <xdr:rowOff>182219</xdr:rowOff>
    </xdr:to>
    <xdr:graphicFrame macro="">
      <xdr:nvGraphicFramePr>
        <xdr:cNvPr id="13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0</xdr:colOff>
      <xdr:row>7</xdr:row>
      <xdr:rowOff>0</xdr:rowOff>
    </xdr:from>
    <xdr:to>
      <xdr:col>17</xdr:col>
      <xdr:colOff>0</xdr:colOff>
      <xdr:row>27</xdr:row>
      <xdr:rowOff>182219</xdr:rowOff>
    </xdr:to>
    <xdr:graphicFrame macro="">
      <xdr:nvGraphicFramePr>
        <xdr:cNvPr id="14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0</xdr:colOff>
      <xdr:row>35</xdr:row>
      <xdr:rowOff>0</xdr:rowOff>
    </xdr:from>
    <xdr:to>
      <xdr:col>9</xdr:col>
      <xdr:colOff>0</xdr:colOff>
      <xdr:row>55</xdr:row>
      <xdr:rowOff>182219</xdr:rowOff>
    </xdr:to>
    <xdr:graphicFrame macro="">
      <xdr:nvGraphicFramePr>
        <xdr:cNvPr id="1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0</xdr:colOff>
      <xdr:row>35</xdr:row>
      <xdr:rowOff>0</xdr:rowOff>
    </xdr:from>
    <xdr:to>
      <xdr:col>17</xdr:col>
      <xdr:colOff>0</xdr:colOff>
      <xdr:row>55</xdr:row>
      <xdr:rowOff>182219</xdr:rowOff>
    </xdr:to>
    <xdr:graphicFrame macro="">
      <xdr:nvGraphicFramePr>
        <xdr:cNvPr id="17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</xdr:col>
      <xdr:colOff>0</xdr:colOff>
      <xdr:row>63</xdr:row>
      <xdr:rowOff>0</xdr:rowOff>
    </xdr:from>
    <xdr:to>
      <xdr:col>9</xdr:col>
      <xdr:colOff>0</xdr:colOff>
      <xdr:row>83</xdr:row>
      <xdr:rowOff>182219</xdr:rowOff>
    </xdr:to>
    <xdr:graphicFrame macro="">
      <xdr:nvGraphicFramePr>
        <xdr:cNvPr id="20" name="Chart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10</xdr:col>
      <xdr:colOff>0</xdr:colOff>
      <xdr:row>63</xdr:row>
      <xdr:rowOff>0</xdr:rowOff>
    </xdr:from>
    <xdr:to>
      <xdr:col>17</xdr:col>
      <xdr:colOff>0</xdr:colOff>
      <xdr:row>83</xdr:row>
      <xdr:rowOff>182219</xdr:rowOff>
    </xdr:to>
    <xdr:graphicFrame macro="">
      <xdr:nvGraphicFramePr>
        <xdr:cNvPr id="27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91</xdr:row>
      <xdr:rowOff>0</xdr:rowOff>
    </xdr:from>
    <xdr:to>
      <xdr:col>9</xdr:col>
      <xdr:colOff>0</xdr:colOff>
      <xdr:row>111</xdr:row>
      <xdr:rowOff>182219</xdr:rowOff>
    </xdr:to>
    <xdr:graphicFrame macro="">
      <xdr:nvGraphicFramePr>
        <xdr:cNvPr id="28" name="Chart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10</xdr:col>
      <xdr:colOff>0</xdr:colOff>
      <xdr:row>91</xdr:row>
      <xdr:rowOff>0</xdr:rowOff>
    </xdr:from>
    <xdr:to>
      <xdr:col>17</xdr:col>
      <xdr:colOff>0</xdr:colOff>
      <xdr:row>111</xdr:row>
      <xdr:rowOff>182219</xdr:rowOff>
    </xdr:to>
    <xdr:graphicFrame macro="">
      <xdr:nvGraphicFramePr>
        <xdr:cNvPr id="29" name="Chart 2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</xdr:col>
      <xdr:colOff>0</xdr:colOff>
      <xdr:row>119</xdr:row>
      <xdr:rowOff>0</xdr:rowOff>
    </xdr:from>
    <xdr:to>
      <xdr:col>9</xdr:col>
      <xdr:colOff>0</xdr:colOff>
      <xdr:row>139</xdr:row>
      <xdr:rowOff>182219</xdr:rowOff>
    </xdr:to>
    <xdr:graphicFrame macro="">
      <xdr:nvGraphicFramePr>
        <xdr:cNvPr id="30" name="Chart 2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.xml"/><Relationship Id="rId13" Type="http://schemas.openxmlformats.org/officeDocument/2006/relationships/ctrlProp" Target="../ctrlProps/ctrlProp8.xml"/><Relationship Id="rId18" Type="http://schemas.openxmlformats.org/officeDocument/2006/relationships/ctrlProp" Target="../ctrlProps/ctrlProp13.xml"/><Relationship Id="rId26" Type="http://schemas.openxmlformats.org/officeDocument/2006/relationships/ctrlProp" Target="../ctrlProps/ctrlProp21.xml"/><Relationship Id="rId3" Type="http://schemas.openxmlformats.org/officeDocument/2006/relationships/printerSettings" Target="../printerSettings/printerSettings1.bin"/><Relationship Id="rId21" Type="http://schemas.openxmlformats.org/officeDocument/2006/relationships/ctrlProp" Target="../ctrlProps/ctrlProp16.xml"/><Relationship Id="rId7" Type="http://schemas.openxmlformats.org/officeDocument/2006/relationships/ctrlProp" Target="../ctrlProps/ctrlProp2.xml"/><Relationship Id="rId12" Type="http://schemas.openxmlformats.org/officeDocument/2006/relationships/ctrlProp" Target="../ctrlProps/ctrlProp7.xml"/><Relationship Id="rId17" Type="http://schemas.openxmlformats.org/officeDocument/2006/relationships/ctrlProp" Target="../ctrlProps/ctrlProp12.xml"/><Relationship Id="rId25" Type="http://schemas.openxmlformats.org/officeDocument/2006/relationships/ctrlProp" Target="../ctrlProps/ctrlProp20.xml"/><Relationship Id="rId2" Type="http://schemas.openxmlformats.org/officeDocument/2006/relationships/hyperlink" Target="http://www.smartair.asia/product/10" TargetMode="External"/><Relationship Id="rId16" Type="http://schemas.openxmlformats.org/officeDocument/2006/relationships/ctrlProp" Target="../ctrlProps/ctrlProp11.xml"/><Relationship Id="rId20" Type="http://schemas.openxmlformats.org/officeDocument/2006/relationships/ctrlProp" Target="../ctrlProps/ctrlProp15.xml"/><Relationship Id="rId29" Type="http://schemas.openxmlformats.org/officeDocument/2006/relationships/ctrlProp" Target="../ctrlProps/ctrlProp24.xml"/><Relationship Id="rId1" Type="http://schemas.openxmlformats.org/officeDocument/2006/relationships/hyperlink" Target="http://www.smartair.asia/product/85" TargetMode="External"/><Relationship Id="rId6" Type="http://schemas.openxmlformats.org/officeDocument/2006/relationships/ctrlProp" Target="../ctrlProps/ctrlProp1.xml"/><Relationship Id="rId11" Type="http://schemas.openxmlformats.org/officeDocument/2006/relationships/ctrlProp" Target="../ctrlProps/ctrlProp6.xml"/><Relationship Id="rId24" Type="http://schemas.openxmlformats.org/officeDocument/2006/relationships/ctrlProp" Target="../ctrlProps/ctrlProp19.xml"/><Relationship Id="rId5" Type="http://schemas.openxmlformats.org/officeDocument/2006/relationships/vmlDrawing" Target="../drawings/vmlDrawing1.vml"/><Relationship Id="rId15" Type="http://schemas.openxmlformats.org/officeDocument/2006/relationships/ctrlProp" Target="../ctrlProps/ctrlProp10.xml"/><Relationship Id="rId23" Type="http://schemas.openxmlformats.org/officeDocument/2006/relationships/ctrlProp" Target="../ctrlProps/ctrlProp18.xml"/><Relationship Id="rId28" Type="http://schemas.openxmlformats.org/officeDocument/2006/relationships/ctrlProp" Target="../ctrlProps/ctrlProp23.xml"/><Relationship Id="rId10" Type="http://schemas.openxmlformats.org/officeDocument/2006/relationships/ctrlProp" Target="../ctrlProps/ctrlProp5.xml"/><Relationship Id="rId19" Type="http://schemas.openxmlformats.org/officeDocument/2006/relationships/ctrlProp" Target="../ctrlProps/ctrlProp14.xml"/><Relationship Id="rId31" Type="http://schemas.openxmlformats.org/officeDocument/2006/relationships/ctrlProp" Target="../ctrlProps/ctrlProp26.xml"/><Relationship Id="rId4" Type="http://schemas.openxmlformats.org/officeDocument/2006/relationships/drawing" Target="../drawings/drawing1.xml"/><Relationship Id="rId9" Type="http://schemas.openxmlformats.org/officeDocument/2006/relationships/ctrlProp" Target="../ctrlProps/ctrlProp4.xml"/><Relationship Id="rId14" Type="http://schemas.openxmlformats.org/officeDocument/2006/relationships/ctrlProp" Target="../ctrlProps/ctrlProp9.xml"/><Relationship Id="rId22" Type="http://schemas.openxmlformats.org/officeDocument/2006/relationships/ctrlProp" Target="../ctrlProps/ctrlProp17.xml"/><Relationship Id="rId27" Type="http://schemas.openxmlformats.org/officeDocument/2006/relationships/ctrlProp" Target="../ctrlProps/ctrlProp22.xml"/><Relationship Id="rId30" Type="http://schemas.openxmlformats.org/officeDocument/2006/relationships/ctrlProp" Target="../ctrlProps/ctrlProp25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1"/>
  <dimension ref="A1:M40"/>
  <sheetViews>
    <sheetView showGridLines="0" tabSelected="1" zoomScaleNormal="100" workbookViewId="0">
      <selection activeCell="D8" sqref="D8"/>
    </sheetView>
  </sheetViews>
  <sheetFormatPr defaultRowHeight="15" x14ac:dyDescent="0.25"/>
  <cols>
    <col min="3" max="3" width="37.42578125" customWidth="1"/>
    <col min="4" max="8" width="12.7109375" customWidth="1"/>
    <col min="9" max="9" width="9.7109375" customWidth="1"/>
    <col min="10" max="10" width="10.5703125" customWidth="1"/>
    <col min="11" max="11" width="11.7109375" customWidth="1"/>
    <col min="12" max="12" width="32.5703125" customWidth="1"/>
  </cols>
  <sheetData>
    <row r="1" spans="1:13" x14ac:dyDescent="0.25">
      <c r="B1" s="17"/>
      <c r="C1" s="18"/>
      <c r="D1" s="18"/>
      <c r="E1" s="18"/>
      <c r="F1" s="18"/>
      <c r="G1" s="18"/>
      <c r="H1" s="18"/>
      <c r="I1" s="18"/>
      <c r="J1" s="18"/>
      <c r="K1" s="18"/>
      <c r="L1" s="18"/>
      <c r="M1" s="33"/>
    </row>
    <row r="2" spans="1:13" ht="21" x14ac:dyDescent="0.35">
      <c r="B2" s="20"/>
      <c r="C2" s="21" t="s">
        <v>4</v>
      </c>
      <c r="D2" s="19"/>
      <c r="E2" s="19"/>
      <c r="F2" s="19"/>
      <c r="G2" s="22"/>
      <c r="H2" s="22"/>
      <c r="I2" s="22"/>
      <c r="J2" s="22"/>
      <c r="K2" s="22"/>
      <c r="L2" s="22"/>
      <c r="M2" s="33"/>
    </row>
    <row r="3" spans="1:13" ht="25.5" customHeight="1" x14ac:dyDescent="0.35">
      <c r="B3" s="20"/>
      <c r="C3" s="23" t="s">
        <v>12</v>
      </c>
      <c r="D3" s="19"/>
      <c r="E3" s="19"/>
      <c r="F3" s="19"/>
      <c r="G3" s="22"/>
      <c r="H3" s="22"/>
      <c r="I3" s="22"/>
      <c r="J3" s="22"/>
      <c r="K3" s="22"/>
      <c r="L3" s="22"/>
      <c r="M3" s="33"/>
    </row>
    <row r="4" spans="1:13" ht="13.5" customHeight="1" x14ac:dyDescent="0.3">
      <c r="B4" s="20"/>
      <c r="C4" s="24"/>
      <c r="D4" s="19"/>
      <c r="E4" s="19"/>
      <c r="F4" s="19"/>
      <c r="G4" s="19"/>
      <c r="H4" s="19"/>
      <c r="I4" s="19"/>
      <c r="J4" s="19"/>
      <c r="K4" s="19"/>
      <c r="L4" s="19"/>
      <c r="M4" s="33"/>
    </row>
    <row r="5" spans="1:13" s="7" customFormat="1" ht="12" customHeight="1" x14ac:dyDescent="0.25">
      <c r="A5" s="30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28"/>
    </row>
    <row r="6" spans="1:13" ht="18" customHeight="1" thickBot="1" x14ac:dyDescent="0.35">
      <c r="A6" s="31"/>
      <c r="B6" s="6"/>
      <c r="C6" s="179" t="s">
        <v>0</v>
      </c>
      <c r="D6" s="179"/>
      <c r="E6" s="26"/>
      <c r="F6" s="6"/>
      <c r="G6" s="6"/>
      <c r="H6" s="6"/>
      <c r="I6" s="6"/>
      <c r="J6" s="6"/>
      <c r="K6" s="6"/>
      <c r="L6" s="184" t="s">
        <v>93</v>
      </c>
      <c r="M6" s="27"/>
    </row>
    <row r="7" spans="1:13" ht="18" customHeight="1" thickTop="1" x14ac:dyDescent="0.25">
      <c r="A7" s="31"/>
      <c r="B7" s="6"/>
      <c r="C7" s="8"/>
      <c r="D7" s="6"/>
      <c r="E7" s="6"/>
      <c r="F7" s="6"/>
      <c r="G7" s="6"/>
      <c r="H7" s="6"/>
      <c r="I7" s="6"/>
      <c r="J7" s="6"/>
      <c r="K7" s="6"/>
      <c r="L7" s="6"/>
      <c r="M7" s="27"/>
    </row>
    <row r="8" spans="1:13" ht="18" customHeight="1" thickBot="1" x14ac:dyDescent="0.3">
      <c r="A8" s="31"/>
      <c r="B8" s="6"/>
      <c r="C8" s="10" t="s">
        <v>1</v>
      </c>
      <c r="D8" s="14">
        <v>12</v>
      </c>
      <c r="E8" s="161" t="s">
        <v>5</v>
      </c>
      <c r="F8" s="162" t="s">
        <v>80</v>
      </c>
      <c r="G8" s="6"/>
      <c r="H8" s="6"/>
      <c r="I8" s="10"/>
      <c r="J8" s="6"/>
      <c r="K8" s="6"/>
      <c r="L8" s="6"/>
      <c r="M8" s="27"/>
    </row>
    <row r="9" spans="1:13" ht="18" customHeight="1" thickTop="1" x14ac:dyDescent="0.25">
      <c r="A9" s="31"/>
      <c r="B9" s="6"/>
      <c r="C9" s="10"/>
      <c r="D9" s="9"/>
      <c r="E9" s="16"/>
      <c r="F9" s="6"/>
      <c r="G9" s="6"/>
      <c r="H9" s="8"/>
      <c r="I9" s="6"/>
      <c r="J9" s="6"/>
      <c r="K9" s="6"/>
      <c r="L9" s="6"/>
      <c r="M9" s="27"/>
    </row>
    <row r="10" spans="1:13" ht="18" customHeight="1" thickBot="1" x14ac:dyDescent="0.3">
      <c r="A10" s="31"/>
      <c r="B10" s="6"/>
      <c r="C10" s="42" t="s">
        <v>9</v>
      </c>
      <c r="D10" s="14">
        <v>20</v>
      </c>
      <c r="E10" s="16" t="s">
        <v>10</v>
      </c>
      <c r="F10" s="160" t="s">
        <v>75</v>
      </c>
      <c r="G10" s="6"/>
      <c r="H10" s="8"/>
      <c r="I10" s="6"/>
      <c r="J10" s="6"/>
      <c r="K10" s="6"/>
      <c r="L10" s="6"/>
      <c r="M10" s="27"/>
    </row>
    <row r="11" spans="1:13" ht="18" customHeight="1" thickTop="1" x14ac:dyDescent="0.25">
      <c r="A11" s="31"/>
      <c r="B11" s="6"/>
      <c r="C11" s="42"/>
      <c r="D11" s="43"/>
      <c r="E11" s="16"/>
      <c r="F11" s="6"/>
      <c r="G11" s="6"/>
      <c r="H11" s="8"/>
      <c r="I11" s="6"/>
      <c r="J11" s="6"/>
      <c r="K11" s="6"/>
      <c r="L11" s="6"/>
      <c r="M11" s="27"/>
    </row>
    <row r="12" spans="1:13" ht="18" customHeight="1" x14ac:dyDescent="0.25">
      <c r="A12" s="31"/>
      <c r="B12" s="6"/>
      <c r="C12" s="42"/>
      <c r="D12" s="53" t="s">
        <v>13</v>
      </c>
      <c r="E12" s="52" t="s">
        <v>20</v>
      </c>
      <c r="F12" s="6"/>
      <c r="G12" s="6"/>
      <c r="H12" s="8"/>
      <c r="I12" s="6"/>
      <c r="J12" s="6"/>
      <c r="K12" s="6"/>
      <c r="L12" s="6"/>
      <c r="M12" s="27"/>
    </row>
    <row r="13" spans="1:13" ht="18" customHeight="1" x14ac:dyDescent="0.25">
      <c r="A13" s="31"/>
      <c r="B13" s="6"/>
      <c r="C13" s="42"/>
      <c r="D13" s="53" t="s">
        <v>14</v>
      </c>
      <c r="E13" s="52" t="s">
        <v>21</v>
      </c>
      <c r="F13" s="6"/>
      <c r="G13" s="6"/>
      <c r="H13" s="8"/>
      <c r="I13" s="6"/>
      <c r="J13" s="6"/>
      <c r="K13" s="6"/>
      <c r="L13" s="6"/>
      <c r="M13" s="27"/>
    </row>
    <row r="14" spans="1:13" ht="18" customHeight="1" x14ac:dyDescent="0.25">
      <c r="A14" s="31"/>
      <c r="B14" s="6"/>
      <c r="C14" s="42"/>
      <c r="D14" s="43"/>
      <c r="E14" s="16"/>
      <c r="F14" s="6"/>
      <c r="G14" s="6"/>
      <c r="H14" s="8"/>
      <c r="I14" s="6"/>
      <c r="J14" s="6"/>
      <c r="K14" s="6"/>
      <c r="L14" s="6"/>
      <c r="M14" s="27"/>
    </row>
    <row r="15" spans="1:13" x14ac:dyDescent="0.25">
      <c r="A15" s="31"/>
      <c r="B15" s="35"/>
      <c r="C15" s="36"/>
      <c r="D15" s="37"/>
      <c r="E15" s="37"/>
      <c r="F15" s="37"/>
      <c r="G15" s="38"/>
      <c r="H15" s="39"/>
      <c r="I15" s="40"/>
      <c r="J15" s="38"/>
      <c r="K15" s="37"/>
      <c r="L15" s="41"/>
      <c r="M15" s="27"/>
    </row>
    <row r="16" spans="1:13" ht="21" customHeight="1" x14ac:dyDescent="0.25">
      <c r="A16" s="31"/>
      <c r="B16" s="6"/>
      <c r="C16" s="12" t="s">
        <v>3</v>
      </c>
      <c r="D16" s="11"/>
      <c r="E16" s="6"/>
      <c r="F16" s="6"/>
      <c r="G16" s="6"/>
      <c r="H16" s="6"/>
      <c r="I16" s="6"/>
      <c r="J16" s="6"/>
      <c r="K16" s="6"/>
      <c r="L16" s="6"/>
      <c r="M16" s="27"/>
    </row>
    <row r="17" spans="1:13" s="5" customFormat="1" ht="21" customHeight="1" x14ac:dyDescent="0.25">
      <c r="A17" s="32"/>
      <c r="B17" s="13"/>
      <c r="C17" s="54" t="s">
        <v>119</v>
      </c>
      <c r="D17" s="51">
        <f>'ASF-ADequations'!B23</f>
        <v>1</v>
      </c>
      <c r="E17" s="51">
        <f>'ASF-ADequations'!C23</f>
        <v>0.8</v>
      </c>
      <c r="F17" s="51">
        <f>'ASF-ADequations'!D23</f>
        <v>0.6</v>
      </c>
      <c r="G17" s="51">
        <f>'ASF-ADequations'!E23</f>
        <v>0.4</v>
      </c>
      <c r="H17" s="51">
        <f>'ASF-ADequations'!F23</f>
        <v>0.2</v>
      </c>
      <c r="I17" s="13"/>
      <c r="J17" s="13"/>
      <c r="K17" s="13"/>
      <c r="L17" s="13"/>
      <c r="M17" s="29"/>
    </row>
    <row r="18" spans="1:13" s="5" customFormat="1" ht="21" customHeight="1" x14ac:dyDescent="0.25">
      <c r="A18" s="32"/>
      <c r="B18" s="13"/>
      <c r="C18" s="61" t="s">
        <v>11</v>
      </c>
      <c r="D18" s="62">
        <f>IF('ASF-ADequations'!B24&gt;10,'ASF-ADequations'!B24,"&lt; 10")</f>
        <v>17.283693706734546</v>
      </c>
      <c r="E18" s="62">
        <f>IF('ASF-ADequations'!C24&gt;10,'ASF-ADequations'!C24,"&lt; 10")</f>
        <v>19.880510970265089</v>
      </c>
      <c r="F18" s="62">
        <f>IF('ASF-ADequations'!D24&gt;10,'ASF-ADequations'!D24,"&lt; 10")</f>
        <v>25.223868848282535</v>
      </c>
      <c r="G18" s="62">
        <f>IF('ASF-ADequations'!E24&gt;10,'ASF-ADequations'!E24,"&lt; 10")</f>
        <v>34.825949724512853</v>
      </c>
      <c r="H18" s="62">
        <f>IF('ASF-ADequations'!F24&gt;10,'ASF-ADequations'!F24,"&lt; 10")</f>
        <v>55.731581659835179</v>
      </c>
      <c r="I18" s="13"/>
      <c r="J18" s="13"/>
      <c r="K18" s="13"/>
      <c r="L18" s="13"/>
      <c r="M18" s="29"/>
    </row>
    <row r="19" spans="1:13" s="5" customFormat="1" ht="21" customHeight="1" x14ac:dyDescent="0.25">
      <c r="A19" s="32"/>
      <c r="B19" s="13"/>
      <c r="C19" s="61" t="s">
        <v>58</v>
      </c>
      <c r="D19" s="34">
        <f>IF('ASF-ADequations'!B25&gt;10,'ASF-ADequations'!B25,"&lt; 10")</f>
        <v>28.283693706734546</v>
      </c>
      <c r="E19" s="34">
        <f>IF('ASF-ADequations'!C25&gt;10,'ASF-ADequations'!C25,"&lt; 10")</f>
        <v>30.880510970265089</v>
      </c>
      <c r="F19" s="34">
        <f>IF('ASF-ADequations'!D25&gt;10,'ASF-ADequations'!D25,"&lt; 10")</f>
        <v>36.223868848282535</v>
      </c>
      <c r="G19" s="34">
        <f>IF('ASF-ADequations'!E25&gt;10,'ASF-ADequations'!E25,"&lt; 10")</f>
        <v>45.825949724512853</v>
      </c>
      <c r="H19" s="34">
        <f>IF('ASF-ADequations'!F25&gt;10,'ASF-ADequations'!F25,"&lt; 10")</f>
        <v>66.731581659835172</v>
      </c>
      <c r="I19" s="13"/>
      <c r="J19" s="13"/>
      <c r="K19" s="13"/>
      <c r="L19" s="13"/>
      <c r="M19" s="29"/>
    </row>
    <row r="20" spans="1:13" s="5" customFormat="1" ht="21" customHeight="1" x14ac:dyDescent="0.25">
      <c r="A20" s="32"/>
      <c r="B20" s="13"/>
      <c r="C20" s="54" t="s">
        <v>59</v>
      </c>
      <c r="D20" s="34">
        <f>IF('ASF-ADequations'!B26&gt;10,'ASF-ADequations'!B26,"&lt; 10")</f>
        <v>21.728298288565089</v>
      </c>
      <c r="E20" s="34">
        <f>IF('ASF-ADequations'!C26&gt;10,'ASF-ADequations'!C26,"&lt; 10")</f>
        <v>24.187187251786963</v>
      </c>
      <c r="F20" s="63">
        <f>IF('ASF-ADequations'!D26&gt;10,'ASF-ADequations'!D26,"&lt; 10")</f>
        <v>32.058309534086952</v>
      </c>
      <c r="G20" s="63">
        <f>IF('ASF-ADequations'!E26&gt;10,'ASF-ADequations'!E26,"&lt; 10")</f>
        <v>43.748019364347392</v>
      </c>
      <c r="H20" s="63">
        <f>IF('ASF-ADequations'!F26&gt;10,'ASF-ADequations'!F26,"&lt; 10")</f>
        <v>65.942243663395885</v>
      </c>
      <c r="I20" s="58" t="s">
        <v>25</v>
      </c>
      <c r="J20" s="59" t="s">
        <v>26</v>
      </c>
      <c r="K20" s="60" t="s">
        <v>27</v>
      </c>
      <c r="L20" s="13"/>
      <c r="M20" s="29"/>
    </row>
    <row r="21" spans="1:13" s="5" customFormat="1" ht="21" customHeight="1" x14ac:dyDescent="0.25">
      <c r="A21" s="32"/>
      <c r="B21" s="13"/>
      <c r="C21" s="61" t="s">
        <v>6</v>
      </c>
      <c r="D21" s="94">
        <f>IF('ASF-ADequations'!B27&gt;=5,'ASF-ADequations'!B27,"&lt; 5")</f>
        <v>7.2546978306798131</v>
      </c>
      <c r="E21" s="94">
        <f>IF('ASF-ADequations'!C27&gt;=5,'ASF-ADequations'!C27,"&lt; 5")</f>
        <v>10.035436393896148</v>
      </c>
      <c r="F21" s="34">
        <f>IF('ASF-ADequations'!D27&gt;=5,'ASF-ADequations'!D27,"&lt; 5")</f>
        <v>16.343983723700177</v>
      </c>
      <c r="G21" s="34">
        <f>IF('ASF-ADequations'!E27&gt;=5,'ASF-ADequations'!E27,"&lt; 5")</f>
        <v>32.608018177920933</v>
      </c>
      <c r="H21" s="34">
        <f>IF('ASF-ADequations'!F27&gt;=5,'ASF-ADequations'!F27,"&lt; 5")</f>
        <v>118.91192825123855</v>
      </c>
      <c r="I21" s="159" t="s">
        <v>61</v>
      </c>
      <c r="J21" s="158" t="s">
        <v>62</v>
      </c>
      <c r="K21" s="6"/>
      <c r="L21" s="13"/>
      <c r="M21" s="29"/>
    </row>
    <row r="22" spans="1:13" s="5" customFormat="1" ht="21" customHeight="1" x14ac:dyDescent="0.25">
      <c r="A22" s="32"/>
      <c r="B22" s="13"/>
      <c r="C22" s="55" t="s">
        <v>22</v>
      </c>
      <c r="D22" s="56">
        <f>'ASF-ADequations'!B28</f>
        <v>20</v>
      </c>
      <c r="E22" s="57">
        <f>'ASF-ADequations'!C28</f>
        <v>20</v>
      </c>
      <c r="F22" s="57">
        <f>'ASF-ADequations'!D28</f>
        <v>20</v>
      </c>
      <c r="G22" s="57">
        <f>'ASF-ADequations'!E28</f>
        <v>20</v>
      </c>
      <c r="H22" s="56">
        <f>'ASF-ADequations'!F28</f>
        <v>20</v>
      </c>
      <c r="I22" s="95"/>
      <c r="J22" s="158" t="s">
        <v>74</v>
      </c>
      <c r="K22" s="11"/>
      <c r="L22" s="13"/>
      <c r="M22" s="29"/>
    </row>
    <row r="23" spans="1:13" ht="15.75" x14ac:dyDescent="0.25">
      <c r="A23" s="31"/>
      <c r="B23" s="11"/>
      <c r="C23" s="25"/>
      <c r="D23" s="11"/>
      <c r="E23" s="45"/>
      <c r="F23" s="45"/>
      <c r="G23" s="45"/>
      <c r="H23" s="11"/>
      <c r="I23" s="13"/>
      <c r="J23" s="157" t="s">
        <v>73</v>
      </c>
      <c r="K23" s="13"/>
      <c r="L23" s="11"/>
      <c r="M23" s="27"/>
    </row>
    <row r="24" spans="1:13" ht="32.25" customHeight="1" x14ac:dyDescent="0.25">
      <c r="A24" s="31"/>
      <c r="B24" s="101"/>
      <c r="C24" s="166" t="s">
        <v>82</v>
      </c>
      <c r="D24" s="101"/>
      <c r="E24" s="101"/>
      <c r="F24" s="101"/>
      <c r="G24" s="101"/>
      <c r="H24" s="101"/>
      <c r="I24" s="164"/>
      <c r="J24" s="165"/>
      <c r="K24" s="175"/>
      <c r="L24" s="101"/>
      <c r="M24" s="27"/>
    </row>
    <row r="25" spans="1:13" ht="21.95" customHeight="1" x14ac:dyDescent="0.25">
      <c r="A25" s="31"/>
      <c r="B25" s="101"/>
      <c r="C25" s="169" t="s">
        <v>83</v>
      </c>
      <c r="D25" s="101"/>
      <c r="E25" s="171" t="s">
        <v>89</v>
      </c>
      <c r="F25" s="151"/>
      <c r="G25" s="171" t="s">
        <v>88</v>
      </c>
      <c r="H25" s="151"/>
      <c r="I25" s="172"/>
      <c r="J25" s="173"/>
      <c r="K25" s="175"/>
      <c r="L25" s="101"/>
      <c r="M25" s="27"/>
    </row>
    <row r="26" spans="1:13" ht="21.95" customHeight="1" x14ac:dyDescent="0.25">
      <c r="A26" s="31"/>
      <c r="B26" s="101"/>
      <c r="C26" s="167" t="s">
        <v>111</v>
      </c>
      <c r="D26" s="101"/>
      <c r="E26" s="174" t="str">
        <f>"As selected *(cell "&amp;IF('ASF-ADequations'!B10=1,"D12","D13")&amp;")"</f>
        <v>As selected *(cell D12)</v>
      </c>
      <c r="F26" s="171"/>
      <c r="G26" s="171" t="s">
        <v>90</v>
      </c>
      <c r="H26" s="151"/>
      <c r="I26" s="172"/>
      <c r="J26" s="173"/>
      <c r="K26" s="176" t="s">
        <v>112</v>
      </c>
      <c r="L26" s="101"/>
      <c r="M26" s="27"/>
    </row>
    <row r="27" spans="1:13" ht="21.95" customHeight="1" x14ac:dyDescent="0.25">
      <c r="A27" s="31"/>
      <c r="B27" s="101"/>
      <c r="C27" s="167" t="s">
        <v>113</v>
      </c>
      <c r="D27" s="101"/>
      <c r="E27" s="151" t="s">
        <v>91</v>
      </c>
      <c r="F27" s="151"/>
      <c r="G27" s="151" t="s">
        <v>116</v>
      </c>
      <c r="H27" s="151"/>
      <c r="I27" s="172"/>
      <c r="J27" s="173"/>
      <c r="K27" s="176" t="s">
        <v>114</v>
      </c>
      <c r="L27" s="101"/>
      <c r="M27" s="27"/>
    </row>
    <row r="28" spans="1:13" ht="21.95" customHeight="1" x14ac:dyDescent="0.25">
      <c r="A28" s="31"/>
      <c r="B28" s="101"/>
      <c r="C28" s="167" t="s">
        <v>84</v>
      </c>
      <c r="D28" s="101"/>
      <c r="E28" s="171" t="s">
        <v>92</v>
      </c>
      <c r="F28" s="171"/>
      <c r="G28" s="171" t="s">
        <v>95</v>
      </c>
      <c r="H28" s="171"/>
      <c r="I28" s="173" t="s">
        <v>115</v>
      </c>
      <c r="J28" s="173"/>
      <c r="K28" s="176" t="s">
        <v>117</v>
      </c>
      <c r="L28" s="101"/>
      <c r="M28" s="27"/>
    </row>
    <row r="29" spans="1:13" ht="21.95" customHeight="1" x14ac:dyDescent="0.25">
      <c r="A29" s="31"/>
      <c r="B29" s="101"/>
      <c r="C29" s="167" t="s">
        <v>85</v>
      </c>
      <c r="D29" s="101"/>
      <c r="E29" s="171" t="s">
        <v>107</v>
      </c>
      <c r="F29" s="151"/>
      <c r="G29" s="151" t="s">
        <v>106</v>
      </c>
      <c r="H29" s="151"/>
      <c r="I29" s="173" t="s">
        <v>105</v>
      </c>
      <c r="J29" s="173"/>
      <c r="K29" s="176" t="s">
        <v>118</v>
      </c>
      <c r="L29" s="101"/>
      <c r="M29" s="27"/>
    </row>
    <row r="30" spans="1:13" ht="21.95" customHeight="1" thickBot="1" x14ac:dyDescent="0.3">
      <c r="A30" s="31"/>
      <c r="B30" s="101"/>
      <c r="C30" s="168" t="s">
        <v>86</v>
      </c>
      <c r="D30" s="101"/>
      <c r="E30" s="151" t="s">
        <v>94</v>
      </c>
      <c r="F30" s="151"/>
      <c r="G30" s="151" t="s">
        <v>104</v>
      </c>
      <c r="H30" s="151"/>
      <c r="I30" s="172"/>
      <c r="J30" s="173"/>
      <c r="K30" s="176" t="s">
        <v>109</v>
      </c>
      <c r="L30" s="101"/>
      <c r="M30" s="27"/>
    </row>
    <row r="31" spans="1:13" ht="21" customHeight="1" x14ac:dyDescent="0.25">
      <c r="A31" s="31"/>
      <c r="B31" s="101"/>
      <c r="C31" s="170" t="s">
        <v>87</v>
      </c>
      <c r="D31" s="181" t="str">
        <f>'ASF-ADequations'!B139</f>
        <v>SMARTEMP ASF-AD-P-DN200-BA1-DD-RR-ST-O</v>
      </c>
      <c r="E31" s="181"/>
      <c r="F31" s="181"/>
      <c r="G31" s="181"/>
      <c r="H31" s="181"/>
      <c r="I31" s="181"/>
      <c r="J31" s="181"/>
      <c r="K31" s="176" t="s">
        <v>110</v>
      </c>
      <c r="L31" s="101"/>
      <c r="M31" s="27"/>
    </row>
    <row r="32" spans="1:13" ht="21" customHeight="1" x14ac:dyDescent="0.25">
      <c r="A32" s="31"/>
      <c r="B32" s="101"/>
      <c r="C32" s="163"/>
      <c r="D32" s="101"/>
      <c r="E32" s="101"/>
      <c r="F32" s="101"/>
      <c r="G32" s="101"/>
      <c r="H32" s="101"/>
      <c r="I32" s="164"/>
      <c r="J32" s="165"/>
      <c r="K32" s="176"/>
      <c r="L32" s="101"/>
      <c r="M32" s="27"/>
    </row>
    <row r="33" spans="2:13" ht="15.75" x14ac:dyDescent="0.25">
      <c r="B33" s="47"/>
      <c r="C33" s="46"/>
      <c r="D33" s="46"/>
      <c r="E33" s="180" t="s">
        <v>8</v>
      </c>
      <c r="F33" s="180"/>
      <c r="G33" s="180"/>
      <c r="H33" s="46"/>
      <c r="I33" s="46"/>
      <c r="J33" s="177" t="s">
        <v>76</v>
      </c>
      <c r="K33" s="177"/>
      <c r="L33" s="178"/>
      <c r="M33" s="33"/>
    </row>
    <row r="34" spans="2:13" x14ac:dyDescent="0.25"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</row>
    <row r="35" spans="2:13" x14ac:dyDescent="0.25"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</row>
    <row r="36" spans="2:13" x14ac:dyDescent="0.25"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</row>
    <row r="37" spans="2:13" x14ac:dyDescent="0.25"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</row>
    <row r="38" spans="2:13" x14ac:dyDescent="0.25">
      <c r="C38" s="33"/>
      <c r="D38" s="33"/>
      <c r="E38" s="33"/>
      <c r="F38" s="33"/>
      <c r="G38" s="33"/>
      <c r="H38" s="33"/>
      <c r="I38" s="33"/>
      <c r="J38" s="33"/>
      <c r="K38" s="33"/>
      <c r="L38" s="33"/>
    </row>
    <row r="39" spans="2:13" x14ac:dyDescent="0.25">
      <c r="D39" s="33"/>
      <c r="H39" s="33"/>
      <c r="I39" s="33"/>
      <c r="J39" s="33"/>
      <c r="K39" s="33"/>
      <c r="L39" s="33"/>
    </row>
    <row r="40" spans="2:13" x14ac:dyDescent="0.25">
      <c r="H40" s="33"/>
      <c r="I40" s="33"/>
      <c r="J40" s="33"/>
      <c r="K40" s="33"/>
      <c r="L40" s="33"/>
    </row>
  </sheetData>
  <sheetProtection algorithmName="SHA-512" hashValue="ZvSJvqC7ZU231tZq2PsV9MbwaLlejJNZzZ5ebZP51O7zuAmxK3nUX2mZWLKaq2E027wLJ0pDd1DQixHabSdb6A==" saltValue="6l/+PBi1j6vT84Ah3EojOQ==" spinCount="100000" sheet="1" objects="1" scenarios="1" selectLockedCells="1"/>
  <mergeCells count="4">
    <mergeCell ref="J33:L33"/>
    <mergeCell ref="C6:D6"/>
    <mergeCell ref="E33:G33"/>
    <mergeCell ref="D31:J31"/>
  </mergeCells>
  <conditionalFormatting sqref="H17:H18 H22">
    <cfRule type="expression" dxfId="21" priority="37">
      <formula>($H$22&gt;$D$10)</formula>
    </cfRule>
  </conditionalFormatting>
  <conditionalFormatting sqref="G17:G18 G22">
    <cfRule type="expression" dxfId="20" priority="36">
      <formula>$G$22&gt;$D$10</formula>
    </cfRule>
  </conditionalFormatting>
  <conditionalFormatting sqref="F17:F18 F22">
    <cfRule type="expression" dxfId="19" priority="35">
      <formula>$F$22&gt;$D$10</formula>
    </cfRule>
  </conditionalFormatting>
  <conditionalFormatting sqref="E17:E18 E22">
    <cfRule type="expression" dxfId="18" priority="34">
      <formula>$E$22&gt;$D$10</formula>
    </cfRule>
  </conditionalFormatting>
  <conditionalFormatting sqref="D17:D18 D22">
    <cfRule type="expression" dxfId="17" priority="33">
      <formula>$D$22&gt;$D$10</formula>
    </cfRule>
  </conditionalFormatting>
  <conditionalFormatting sqref="H17:H18 H21:H22">
    <cfRule type="expression" dxfId="16" priority="27">
      <formula>$H$21&gt;$D$10</formula>
    </cfRule>
  </conditionalFormatting>
  <conditionalFormatting sqref="G17:G18 G21:G22">
    <cfRule type="expression" dxfId="15" priority="26">
      <formula>$G$21&gt;$D$10</formula>
    </cfRule>
  </conditionalFormatting>
  <conditionalFormatting sqref="F17:F18 F21:F22">
    <cfRule type="expression" dxfId="14" priority="25">
      <formula>$F$21&gt;$D$10</formula>
    </cfRule>
  </conditionalFormatting>
  <conditionalFormatting sqref="E17:E18 E21:E22">
    <cfRule type="expression" dxfId="13" priority="24">
      <formula>$E$21&gt;$D$10</formula>
    </cfRule>
  </conditionalFormatting>
  <conditionalFormatting sqref="D17:D18 D21:D22">
    <cfRule type="expression" dxfId="12" priority="23">
      <formula>$D$21&gt;$D$10</formula>
    </cfRule>
  </conditionalFormatting>
  <conditionalFormatting sqref="H19:H20">
    <cfRule type="expression" dxfId="11" priority="12">
      <formula>($H$22&gt;$D$10)</formula>
    </cfRule>
  </conditionalFormatting>
  <conditionalFormatting sqref="G19:G20">
    <cfRule type="expression" dxfId="10" priority="11">
      <formula>$G$22&gt;$D$10</formula>
    </cfRule>
  </conditionalFormatting>
  <conditionalFormatting sqref="F19:F20">
    <cfRule type="expression" dxfId="9" priority="10">
      <formula>$F$22&gt;$D$10</formula>
    </cfRule>
  </conditionalFormatting>
  <conditionalFormatting sqref="E19:E20">
    <cfRule type="expression" dxfId="8" priority="9">
      <formula>$E$22&gt;$D$10</formula>
    </cfRule>
  </conditionalFormatting>
  <conditionalFormatting sqref="D19:D20">
    <cfRule type="expression" dxfId="7" priority="8">
      <formula>$D$22&gt;$D$10</formula>
    </cfRule>
  </conditionalFormatting>
  <conditionalFormatting sqref="H19:H20">
    <cfRule type="expression" dxfId="6" priority="7">
      <formula>$H$21&gt;$D$10</formula>
    </cfRule>
  </conditionalFormatting>
  <conditionalFormatting sqref="G19:G20">
    <cfRule type="expression" dxfId="5" priority="6">
      <formula>$G$21&gt;$D$10</formula>
    </cfRule>
  </conditionalFormatting>
  <conditionalFormatting sqref="F19:F20">
    <cfRule type="expression" dxfId="4" priority="5">
      <formula>$F$21&gt;$D$10</formula>
    </cfRule>
  </conditionalFormatting>
  <conditionalFormatting sqref="E19:E20">
    <cfRule type="expression" dxfId="3" priority="4">
      <formula>$E$21&gt;$D$10</formula>
    </cfRule>
  </conditionalFormatting>
  <conditionalFormatting sqref="D19:D20">
    <cfRule type="expression" dxfId="2" priority="3">
      <formula>$D$21&gt;$D$10</formula>
    </cfRule>
  </conditionalFormatting>
  <dataValidations count="2">
    <dataValidation type="decimal" allowBlank="1" showInputMessage="1" showErrorMessage="1" error="Please input a value between 2.4 and 70" sqref="D8">
      <formula1>2.4</formula1>
      <formula2>72</formula2>
    </dataValidation>
    <dataValidation type="decimal" allowBlank="1" showInputMessage="1" showErrorMessage="1" error="Please input a value between 5 and 25" sqref="D10">
      <formula1>5</formula1>
      <formula2>25</formula2>
    </dataValidation>
  </dataValidations>
  <hyperlinks>
    <hyperlink ref="E33" r:id="rId1" display="click to see product on  smartair.asia"/>
    <hyperlink ref="E33:G33" r:id="rId2" display="click to see product on smartair.asia"/>
  </hyperlinks>
  <pageMargins left="0.7" right="0.7" top="0.75" bottom="0.75" header="0.3" footer="0.3"/>
  <pageSetup paperSize="9" orientation="portrait" r:id="rId3"/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3" r:id="rId6" name="Option Button 19">
              <controlPr defaultSize="0" autoFill="0" autoLine="0" autoPict="0">
                <anchor moveWithCells="1">
                  <from>
                    <xdr:col>2</xdr:col>
                    <xdr:colOff>2209800</xdr:colOff>
                    <xdr:row>11</xdr:row>
                    <xdr:rowOff>38100</xdr:rowOff>
                  </from>
                  <to>
                    <xdr:col>3</xdr:col>
                    <xdr:colOff>514350</xdr:colOff>
                    <xdr:row>12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7" name="Option Button 20">
              <controlPr defaultSize="0" autoFill="0" autoLine="0" autoPict="0">
                <anchor moveWithCells="1">
                  <from>
                    <xdr:col>2</xdr:col>
                    <xdr:colOff>2209800</xdr:colOff>
                    <xdr:row>12</xdr:row>
                    <xdr:rowOff>38100</xdr:rowOff>
                  </from>
                  <to>
                    <xdr:col>3</xdr:col>
                    <xdr:colOff>523875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8" name="Group Box 21">
              <controlPr defaultSize="0" autoFill="0" autoPict="0">
                <anchor moveWithCells="1">
                  <from>
                    <xdr:col>3</xdr:col>
                    <xdr:colOff>809625</xdr:colOff>
                    <xdr:row>6</xdr:row>
                    <xdr:rowOff>38100</xdr:rowOff>
                  </from>
                  <to>
                    <xdr:col>5</xdr:col>
                    <xdr:colOff>581025</xdr:colOff>
                    <xdr:row>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9" name="Option Button 22">
              <controlPr defaultSize="0" autoFill="0" autoLine="0" autoPict="0">
                <anchor moveWithCells="1">
                  <from>
                    <xdr:col>4</xdr:col>
                    <xdr:colOff>142875</xdr:colOff>
                    <xdr:row>7</xdr:row>
                    <xdr:rowOff>9525</xdr:rowOff>
                  </from>
                  <to>
                    <xdr:col>4</xdr:col>
                    <xdr:colOff>476250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0" name="Option Button 23">
              <controlPr defaultSize="0" autoFill="0" autoLine="0" autoPict="0">
                <anchor moveWithCells="1">
                  <from>
                    <xdr:col>4</xdr:col>
                    <xdr:colOff>666750</xdr:colOff>
                    <xdr:row>7</xdr:row>
                    <xdr:rowOff>9525</xdr:rowOff>
                  </from>
                  <to>
                    <xdr:col>5</xdr:col>
                    <xdr:colOff>247650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1" name="Group Box 24">
              <controlPr defaultSize="0" autoFill="0" autoPict="0">
                <anchor moveWithCells="1">
                  <from>
                    <xdr:col>2</xdr:col>
                    <xdr:colOff>2438400</xdr:colOff>
                    <xdr:row>23</xdr:row>
                    <xdr:rowOff>361950</xdr:rowOff>
                  </from>
                  <to>
                    <xdr:col>7</xdr:col>
                    <xdr:colOff>361950</xdr:colOff>
                    <xdr:row>25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2" name="Option Button 25">
              <controlPr defaultSize="0" autoFill="0" autoLine="0" autoPict="0">
                <anchor moveWithCells="1">
                  <from>
                    <xdr:col>3</xdr:col>
                    <xdr:colOff>647700</xdr:colOff>
                    <xdr:row>24</xdr:row>
                    <xdr:rowOff>28575</xdr:rowOff>
                  </from>
                  <to>
                    <xdr:col>4</xdr:col>
                    <xdr:colOff>457200</xdr:colOff>
                    <xdr:row>24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3" name="Option Button 26">
              <controlPr defaultSize="0" autoFill="0" autoLine="0" autoPict="0">
                <anchor moveWithCells="1">
                  <from>
                    <xdr:col>5</xdr:col>
                    <xdr:colOff>628650</xdr:colOff>
                    <xdr:row>24</xdr:row>
                    <xdr:rowOff>28575</xdr:rowOff>
                  </from>
                  <to>
                    <xdr:col>6</xdr:col>
                    <xdr:colOff>485775</xdr:colOff>
                    <xdr:row>24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4" name="Group Box 27">
              <controlPr defaultSize="0" autoFill="0" autoPict="0">
                <anchor moveWithCells="1">
                  <from>
                    <xdr:col>2</xdr:col>
                    <xdr:colOff>2447925</xdr:colOff>
                    <xdr:row>25</xdr:row>
                    <xdr:rowOff>19050</xdr:rowOff>
                  </from>
                  <to>
                    <xdr:col>7</xdr:col>
                    <xdr:colOff>285750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5" name="Option Button 28">
              <controlPr defaultSize="0" autoFill="0" autoLine="0" autoPict="0">
                <anchor moveWithCells="1">
                  <from>
                    <xdr:col>3</xdr:col>
                    <xdr:colOff>647700</xdr:colOff>
                    <xdr:row>25</xdr:row>
                    <xdr:rowOff>28575</xdr:rowOff>
                  </from>
                  <to>
                    <xdr:col>4</xdr:col>
                    <xdr:colOff>266700</xdr:colOff>
                    <xdr:row>25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16" name="Option Button 29">
              <controlPr defaultSize="0" autoFill="0" autoLine="0" autoPict="0">
                <anchor moveWithCells="1">
                  <from>
                    <xdr:col>5</xdr:col>
                    <xdr:colOff>628650</xdr:colOff>
                    <xdr:row>25</xdr:row>
                    <xdr:rowOff>28575</xdr:rowOff>
                  </from>
                  <to>
                    <xdr:col>6</xdr:col>
                    <xdr:colOff>238125</xdr:colOff>
                    <xdr:row>25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7" name="Group Box 30">
              <controlPr defaultSize="0" autoFill="0" autoPict="0">
                <anchor moveWithCells="1">
                  <from>
                    <xdr:col>2</xdr:col>
                    <xdr:colOff>2476500</xdr:colOff>
                    <xdr:row>26</xdr:row>
                    <xdr:rowOff>9525</xdr:rowOff>
                  </from>
                  <to>
                    <xdr:col>7</xdr:col>
                    <xdr:colOff>323850</xdr:colOff>
                    <xdr:row>27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8" name="Option Button 32">
              <controlPr defaultSize="0" autoFill="0" autoLine="0" autoPict="0">
                <anchor moveWithCells="1">
                  <from>
                    <xdr:col>3</xdr:col>
                    <xdr:colOff>657225</xdr:colOff>
                    <xdr:row>26</xdr:row>
                    <xdr:rowOff>38100</xdr:rowOff>
                  </from>
                  <to>
                    <xdr:col>4</xdr:col>
                    <xdr:colOff>400050</xdr:colOff>
                    <xdr:row>26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9" name="Option Button 33">
              <controlPr defaultSize="0" autoFill="0" autoLine="0" autoPict="0">
                <anchor moveWithCells="1">
                  <from>
                    <xdr:col>5</xdr:col>
                    <xdr:colOff>628650</xdr:colOff>
                    <xdr:row>26</xdr:row>
                    <xdr:rowOff>38100</xdr:rowOff>
                  </from>
                  <to>
                    <xdr:col>6</xdr:col>
                    <xdr:colOff>152400</xdr:colOff>
                    <xdr:row>26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20" name="Group Box 35">
              <controlPr defaultSize="0" autoFill="0" autoPict="0">
                <anchor moveWithCells="1">
                  <from>
                    <xdr:col>2</xdr:col>
                    <xdr:colOff>2486025</xdr:colOff>
                    <xdr:row>27</xdr:row>
                    <xdr:rowOff>9525</xdr:rowOff>
                  </from>
                  <to>
                    <xdr:col>9</xdr:col>
                    <xdr:colOff>504825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21" name="Option Button 37">
              <controlPr defaultSize="0" autoFill="0" autoLine="0" autoPict="0">
                <anchor moveWithCells="1">
                  <from>
                    <xdr:col>3</xdr:col>
                    <xdr:colOff>657225</xdr:colOff>
                    <xdr:row>27</xdr:row>
                    <xdr:rowOff>28575</xdr:rowOff>
                  </from>
                  <to>
                    <xdr:col>4</xdr:col>
                    <xdr:colOff>685800</xdr:colOff>
                    <xdr:row>27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22" name="Option Button 38">
              <controlPr defaultSize="0" autoFill="0" autoLine="0" autoPict="0">
                <anchor moveWithCells="1">
                  <from>
                    <xdr:col>5</xdr:col>
                    <xdr:colOff>638175</xdr:colOff>
                    <xdr:row>27</xdr:row>
                    <xdr:rowOff>28575</xdr:rowOff>
                  </from>
                  <to>
                    <xdr:col>6</xdr:col>
                    <xdr:colOff>704850</xdr:colOff>
                    <xdr:row>27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23" name="Option Button 39">
              <controlPr defaultSize="0" autoFill="0" autoLine="0" autoPict="0">
                <anchor moveWithCells="1">
                  <from>
                    <xdr:col>7</xdr:col>
                    <xdr:colOff>657225</xdr:colOff>
                    <xdr:row>27</xdr:row>
                    <xdr:rowOff>38100</xdr:rowOff>
                  </from>
                  <to>
                    <xdr:col>8</xdr:col>
                    <xdr:colOff>552450</xdr:colOff>
                    <xdr:row>27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24" name="Group Box 40">
              <controlPr defaultSize="0" autoFill="0" autoPict="0">
                <anchor moveWithCells="1">
                  <from>
                    <xdr:col>3</xdr:col>
                    <xdr:colOff>0</xdr:colOff>
                    <xdr:row>28</xdr:row>
                    <xdr:rowOff>9525</xdr:rowOff>
                  </from>
                  <to>
                    <xdr:col>9</xdr:col>
                    <xdr:colOff>504825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25" name="Option Button 41">
              <controlPr defaultSize="0" autoFill="0" autoLine="0" autoPict="0">
                <anchor moveWithCells="1">
                  <from>
                    <xdr:col>3</xdr:col>
                    <xdr:colOff>657225</xdr:colOff>
                    <xdr:row>28</xdr:row>
                    <xdr:rowOff>28575</xdr:rowOff>
                  </from>
                  <to>
                    <xdr:col>4</xdr:col>
                    <xdr:colOff>457200</xdr:colOff>
                    <xdr:row>28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26" name="Option Button 42">
              <controlPr defaultSize="0" autoFill="0" autoLine="0" autoPict="0">
                <anchor moveWithCells="1">
                  <from>
                    <xdr:col>5</xdr:col>
                    <xdr:colOff>638175</xdr:colOff>
                    <xdr:row>28</xdr:row>
                    <xdr:rowOff>28575</xdr:rowOff>
                  </from>
                  <to>
                    <xdr:col>6</xdr:col>
                    <xdr:colOff>457200</xdr:colOff>
                    <xdr:row>28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27" name="Group Box 43">
              <controlPr defaultSize="0" autoFill="0" autoPict="0">
                <anchor moveWithCells="1">
                  <from>
                    <xdr:col>3</xdr:col>
                    <xdr:colOff>9525</xdr:colOff>
                    <xdr:row>29</xdr:row>
                    <xdr:rowOff>9525</xdr:rowOff>
                  </from>
                  <to>
                    <xdr:col>7</xdr:col>
                    <xdr:colOff>533400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28" name="Option Button 45">
              <controlPr defaultSize="0" autoFill="0" autoLine="0" autoPict="0">
                <anchor moveWithCells="1">
                  <from>
                    <xdr:col>3</xdr:col>
                    <xdr:colOff>666750</xdr:colOff>
                    <xdr:row>29</xdr:row>
                    <xdr:rowOff>38100</xdr:rowOff>
                  </from>
                  <to>
                    <xdr:col>4</xdr:col>
                    <xdr:colOff>590550</xdr:colOff>
                    <xdr:row>29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29" name="Option Button 46">
              <controlPr defaultSize="0" autoFill="0" autoLine="0" autoPict="0">
                <anchor moveWithCells="1">
                  <from>
                    <xdr:col>5</xdr:col>
                    <xdr:colOff>638175</xdr:colOff>
                    <xdr:row>29</xdr:row>
                    <xdr:rowOff>38100</xdr:rowOff>
                  </from>
                  <to>
                    <xdr:col>6</xdr:col>
                    <xdr:colOff>552450</xdr:colOff>
                    <xdr:row>29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30" name="Option Button 47">
              <controlPr defaultSize="0" autoFill="0" autoLine="0" autoPict="0">
                <anchor moveWithCells="1">
                  <from>
                    <xdr:col>7</xdr:col>
                    <xdr:colOff>657225</xdr:colOff>
                    <xdr:row>28</xdr:row>
                    <xdr:rowOff>38100</xdr:rowOff>
                  </from>
                  <to>
                    <xdr:col>8</xdr:col>
                    <xdr:colOff>352425</xdr:colOff>
                    <xdr:row>28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31" name="Group Box 48">
              <controlPr defaultSize="0" autoFill="0" autoPict="0">
                <anchor moveWithCells="1">
                  <from>
                    <xdr:col>2</xdr:col>
                    <xdr:colOff>1790700</xdr:colOff>
                    <xdr:row>10</xdr:row>
                    <xdr:rowOff>47625</xdr:rowOff>
                  </from>
                  <to>
                    <xdr:col>5</xdr:col>
                    <xdr:colOff>133350</xdr:colOff>
                    <xdr:row>14</xdr:row>
                    <xdr:rowOff>57150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64ED62A6-34F1-4EC4-99F3-5B2FB5B66A63}">
            <xm:f>'ASF-ADequations'!$B$132=1</xm:f>
            <x14:dxf>
              <font>
                <color theme="0" tint="-0.34998626667073579"/>
              </font>
            </x14:dxf>
          </x14:cfRule>
          <xm:sqref>I28</xm:sqref>
        </x14:conditionalFormatting>
        <x14:conditionalFormatting xmlns:xm="http://schemas.microsoft.com/office/excel/2006/main">
          <x14:cfRule type="expression" priority="1" id="{B447B4FB-D41E-4006-8CFC-3DDB75EA651E}">
            <xm:f>AND('ASF-ADequations'!$B$132=1,'ASF-ADequations'!$B$135=3)</xm:f>
            <x14:dxf>
              <font>
                <color rgb="FFC00000"/>
              </font>
            </x14:dxf>
          </x14:cfRule>
          <xm:sqref>K29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BR139"/>
  <sheetViews>
    <sheetView topLeftCell="A82" workbookViewId="0">
      <selection activeCell="B141" sqref="B141"/>
    </sheetView>
  </sheetViews>
  <sheetFormatPr defaultRowHeight="15" x14ac:dyDescent="0.25"/>
  <cols>
    <col min="1" max="1" width="22.28515625" customWidth="1"/>
    <col min="2" max="2" width="11.7109375" customWidth="1"/>
    <col min="3" max="3" width="12.140625" customWidth="1"/>
    <col min="4" max="4" width="12" customWidth="1"/>
    <col min="5" max="5" width="12.28515625" customWidth="1"/>
    <col min="6" max="6" width="11.28515625" customWidth="1"/>
    <col min="7" max="7" width="10.85546875" customWidth="1"/>
    <col min="8" max="8" width="12.28515625" customWidth="1"/>
    <col min="9" max="9" width="17.42578125" customWidth="1"/>
    <col min="11" max="11" width="10.140625" bestFit="1" customWidth="1"/>
    <col min="17" max="17" width="12.7109375" customWidth="1"/>
    <col min="25" max="25" width="21.5703125" customWidth="1"/>
    <col min="33" max="33" width="21.5703125" customWidth="1"/>
  </cols>
  <sheetData>
    <row r="1" spans="1:70" ht="20.25" thickBot="1" x14ac:dyDescent="0.35">
      <c r="A1" s="1" t="s">
        <v>77</v>
      </c>
    </row>
    <row r="2" spans="1:70" ht="15.75" thickTop="1" x14ac:dyDescent="0.25"/>
    <row r="3" spans="1:70" x14ac:dyDescent="0.25">
      <c r="A3" t="s">
        <v>78</v>
      </c>
      <c r="B3" s="15">
        <v>1</v>
      </c>
    </row>
    <row r="4" spans="1:70" x14ac:dyDescent="0.25">
      <c r="A4" t="s">
        <v>81</v>
      </c>
      <c r="B4">
        <f>IF(B3=1,1,3.6)</f>
        <v>1</v>
      </c>
    </row>
    <row r="6" spans="1:70" ht="20.25" thickBot="1" x14ac:dyDescent="0.35">
      <c r="A6" s="1" t="s">
        <v>2</v>
      </c>
    </row>
    <row r="7" spans="1:70" ht="15.75" thickTop="1" x14ac:dyDescent="0.25"/>
    <row r="8" spans="1:70" x14ac:dyDescent="0.25">
      <c r="A8" t="s">
        <v>1</v>
      </c>
      <c r="B8">
        <f>'ASF-AD'!$D$8/B4</f>
        <v>12</v>
      </c>
      <c r="E8" t="s">
        <v>79</v>
      </c>
      <c r="F8">
        <v>20</v>
      </c>
    </row>
    <row r="9" spans="1:70" x14ac:dyDescent="0.25">
      <c r="A9" t="s">
        <v>24</v>
      </c>
      <c r="B9">
        <f>'ASF-AD'!D10</f>
        <v>20</v>
      </c>
    </row>
    <row r="10" spans="1:70" x14ac:dyDescent="0.25">
      <c r="A10" t="s">
        <v>15</v>
      </c>
      <c r="B10" s="15">
        <v>1</v>
      </c>
      <c r="C10" s="15" t="str">
        <f>IF(B10=1,"A1","A2")</f>
        <v>A1</v>
      </c>
    </row>
    <row r="12" spans="1:70" x14ac:dyDescent="0.25">
      <c r="AN12" s="65"/>
    </row>
    <row r="13" spans="1:70" ht="18" thickBot="1" x14ac:dyDescent="0.35">
      <c r="A13" s="44" t="s">
        <v>16</v>
      </c>
      <c r="B13" s="49">
        <v>1</v>
      </c>
      <c r="C13" s="2"/>
      <c r="I13" s="44" t="s">
        <v>16</v>
      </c>
      <c r="J13" s="49">
        <v>0.8</v>
      </c>
      <c r="K13" s="2"/>
      <c r="Q13" s="44" t="s">
        <v>16</v>
      </c>
      <c r="R13" s="49">
        <v>0.6</v>
      </c>
      <c r="S13" s="2"/>
      <c r="Y13" s="44" t="s">
        <v>16</v>
      </c>
      <c r="Z13" s="49">
        <v>0.4</v>
      </c>
      <c r="AG13" s="44" t="s">
        <v>16</v>
      </c>
      <c r="AH13" s="49">
        <v>0.2</v>
      </c>
      <c r="AN13" s="65"/>
      <c r="AO13" s="44" t="s">
        <v>17</v>
      </c>
      <c r="AP13" s="49">
        <v>1</v>
      </c>
      <c r="AQ13" s="2"/>
      <c r="AW13" s="44" t="s">
        <v>17</v>
      </c>
      <c r="AX13" s="49">
        <v>0.8</v>
      </c>
      <c r="BE13" s="44" t="s">
        <v>17</v>
      </c>
      <c r="BF13" s="49">
        <v>0.6</v>
      </c>
      <c r="BM13" s="44" t="s">
        <v>19</v>
      </c>
      <c r="BN13" s="49">
        <v>0.4</v>
      </c>
    </row>
    <row r="14" spans="1:70" ht="15.75" thickTop="1" x14ac:dyDescent="0.25">
      <c r="A14" t="s">
        <v>28</v>
      </c>
      <c r="B14" s="4">
        <f>I42</f>
        <v>17.283693706734546</v>
      </c>
      <c r="C14" s="4"/>
      <c r="D14" s="3"/>
      <c r="E14" s="3"/>
      <c r="F14" s="3"/>
      <c r="I14" t="s">
        <v>29</v>
      </c>
      <c r="J14" s="4">
        <f>I43</f>
        <v>19.880510970265089</v>
      </c>
      <c r="K14" s="4"/>
      <c r="L14" s="3"/>
      <c r="M14" s="3"/>
      <c r="N14" s="3"/>
      <c r="Q14" t="s">
        <v>29</v>
      </c>
      <c r="R14" s="4">
        <f>I44</f>
        <v>25.223868848282535</v>
      </c>
      <c r="S14" s="4"/>
      <c r="T14" s="3"/>
      <c r="U14" s="3"/>
      <c r="V14" s="3"/>
      <c r="Y14" t="s">
        <v>29</v>
      </c>
      <c r="Z14" s="4">
        <f>I45</f>
        <v>34.825949724512853</v>
      </c>
      <c r="AA14" s="4"/>
      <c r="AB14" s="3"/>
      <c r="AC14" s="3"/>
      <c r="AD14" s="3"/>
      <c r="AG14" t="s">
        <v>29</v>
      </c>
      <c r="AH14" s="4">
        <f>I46</f>
        <v>55.731581659835179</v>
      </c>
      <c r="AI14" s="4"/>
      <c r="AJ14" s="3"/>
      <c r="AK14" s="3"/>
      <c r="AL14" s="3"/>
      <c r="AN14" s="65"/>
      <c r="AO14" t="s">
        <v>29</v>
      </c>
      <c r="AP14" s="4">
        <f>I79</f>
        <v>10.585687457471218</v>
      </c>
      <c r="AQ14" s="4"/>
      <c r="AR14" s="3"/>
      <c r="AS14" s="3"/>
      <c r="AT14" s="3"/>
      <c r="AW14" t="s">
        <v>29</v>
      </c>
      <c r="AX14" s="4">
        <f>I80</f>
        <v>19.850654888071244</v>
      </c>
      <c r="AZ14" s="3"/>
      <c r="BA14" s="3"/>
      <c r="BB14" s="3"/>
      <c r="BE14" t="s">
        <v>29</v>
      </c>
      <c r="BF14" s="4">
        <f>I81</f>
        <v>23.118570928202466</v>
      </c>
      <c r="BH14" s="3"/>
      <c r="BI14" s="3"/>
      <c r="BJ14" s="3"/>
      <c r="BM14" t="s">
        <v>29</v>
      </c>
      <c r="BN14" s="4">
        <f>I82</f>
        <v>30.096733286206586</v>
      </c>
      <c r="BP14" s="3"/>
      <c r="BQ14" s="3"/>
      <c r="BR14" s="3"/>
    </row>
    <row r="15" spans="1:70" x14ac:dyDescent="0.25">
      <c r="A15" t="s">
        <v>7</v>
      </c>
      <c r="B15" s="4"/>
      <c r="C15" s="4"/>
      <c r="D15" s="3"/>
      <c r="E15" s="3"/>
      <c r="F15" s="3"/>
      <c r="I15" t="s">
        <v>7</v>
      </c>
      <c r="J15" s="4"/>
      <c r="K15" s="4"/>
      <c r="L15" s="3"/>
      <c r="M15" s="3"/>
      <c r="N15" s="3"/>
      <c r="Q15" t="s">
        <v>7</v>
      </c>
      <c r="R15" s="4"/>
      <c r="S15" s="4"/>
      <c r="T15" s="3"/>
      <c r="U15" s="3"/>
      <c r="V15" s="3"/>
      <c r="Y15" t="s">
        <v>7</v>
      </c>
      <c r="Z15" s="4"/>
      <c r="AA15" s="4"/>
      <c r="AB15" s="3"/>
      <c r="AC15" s="3"/>
      <c r="AD15" s="3"/>
      <c r="AG15" t="s">
        <v>7</v>
      </c>
      <c r="AH15" s="4"/>
      <c r="AI15" s="4"/>
      <c r="AJ15" s="3"/>
      <c r="AK15" s="3"/>
      <c r="AL15" s="3"/>
      <c r="AN15" s="65"/>
      <c r="AO15" t="s">
        <v>7</v>
      </c>
      <c r="AP15" s="4"/>
      <c r="AQ15" s="4"/>
      <c r="AR15" s="3"/>
      <c r="AS15" s="3"/>
      <c r="AT15" s="3"/>
      <c r="AW15" t="s">
        <v>7</v>
      </c>
      <c r="AX15" s="4"/>
      <c r="AZ15" s="3"/>
      <c r="BA15" s="3"/>
      <c r="BB15" s="3"/>
      <c r="BE15" t="s">
        <v>7</v>
      </c>
      <c r="BF15" s="4"/>
      <c r="BH15" s="3"/>
      <c r="BI15" s="3"/>
      <c r="BJ15" s="3"/>
      <c r="BM15" t="s">
        <v>7</v>
      </c>
      <c r="BN15" s="4"/>
      <c r="BP15" s="3"/>
      <c r="BQ15" s="3"/>
      <c r="BR15" s="3"/>
    </row>
    <row r="16" spans="1:70" x14ac:dyDescent="0.25">
      <c r="A16" t="s">
        <v>60</v>
      </c>
      <c r="B16" s="4">
        <f>R49</f>
        <v>21.728298288565089</v>
      </c>
      <c r="C16" s="4"/>
      <c r="D16" s="3"/>
      <c r="E16" s="3"/>
      <c r="F16" s="3"/>
      <c r="I16" t="s">
        <v>60</v>
      </c>
      <c r="J16" s="4">
        <f>R50</f>
        <v>24.187187251786963</v>
      </c>
      <c r="K16" s="4"/>
      <c r="L16" s="3"/>
      <c r="M16" s="3"/>
      <c r="N16" s="3"/>
      <c r="Q16" t="s">
        <v>60</v>
      </c>
      <c r="R16" s="4">
        <f>R51</f>
        <v>32.058309534086952</v>
      </c>
      <c r="S16" s="4"/>
      <c r="T16" s="3"/>
      <c r="U16" s="3"/>
      <c r="V16" s="3"/>
      <c r="Y16" t="s">
        <v>60</v>
      </c>
      <c r="Z16" s="4">
        <f>R52</f>
        <v>43.748019364347392</v>
      </c>
      <c r="AA16" s="4"/>
      <c r="AB16" s="3"/>
      <c r="AC16" s="3"/>
      <c r="AD16" s="3"/>
      <c r="AG16" t="s">
        <v>60</v>
      </c>
      <c r="AH16" s="4">
        <f>R53</f>
        <v>65.942243663395885</v>
      </c>
      <c r="AI16" s="4"/>
      <c r="AJ16" s="3"/>
      <c r="AK16" s="3"/>
      <c r="AL16" s="3"/>
      <c r="AN16" s="65"/>
      <c r="AO16" t="s">
        <v>60</v>
      </c>
      <c r="AP16" s="4">
        <f>R85</f>
        <v>14.726942249697048</v>
      </c>
      <c r="AQ16" s="4"/>
      <c r="AR16" s="3"/>
      <c r="AS16" s="3"/>
      <c r="AT16" s="3"/>
      <c r="AW16" t="s">
        <v>60</v>
      </c>
      <c r="AX16" s="4">
        <f>R86</f>
        <v>26.506309588553201</v>
      </c>
      <c r="AZ16" s="3"/>
      <c r="BA16" s="3"/>
      <c r="BB16" s="3"/>
      <c r="BE16" t="s">
        <v>60</v>
      </c>
      <c r="BF16" s="4">
        <f>R87</f>
        <v>29.762422499908475</v>
      </c>
      <c r="BH16" s="3"/>
      <c r="BI16" s="3"/>
      <c r="BJ16" s="3"/>
      <c r="BM16" t="s">
        <v>60</v>
      </c>
      <c r="BN16" s="4">
        <f>R88</f>
        <v>36.65577244309096</v>
      </c>
      <c r="BP16" s="3"/>
      <c r="BQ16" s="3"/>
      <c r="BR16" s="3"/>
    </row>
    <row r="17" spans="1:70" x14ac:dyDescent="0.25">
      <c r="A17" t="s">
        <v>6</v>
      </c>
      <c r="B17" s="4">
        <f>F17*($B$8/E17)^2</f>
        <v>7.2546978306798131</v>
      </c>
      <c r="C17" s="4"/>
      <c r="D17" s="3">
        <f>$B$8</f>
        <v>12</v>
      </c>
      <c r="E17">
        <v>16.670000000000002</v>
      </c>
      <c r="F17">
        <v>14</v>
      </c>
      <c r="I17" t="s">
        <v>6</v>
      </c>
      <c r="J17" s="4">
        <f>N17*(L17/M17)^2</f>
        <v>10.035436393896148</v>
      </c>
      <c r="K17" s="4"/>
      <c r="L17" s="3">
        <f>$B$8/J13</f>
        <v>15</v>
      </c>
      <c r="M17">
        <f>16.67*1.0628</f>
        <v>17.716876000000003</v>
      </c>
      <c r="N17">
        <v>14</v>
      </c>
      <c r="Q17" t="s">
        <v>6</v>
      </c>
      <c r="R17" s="4">
        <f>V17*(T17/U17)^2</f>
        <v>16.343983723700177</v>
      </c>
      <c r="S17" s="4"/>
      <c r="T17" s="3">
        <f>$B$8/R13</f>
        <v>20</v>
      </c>
      <c r="U17">
        <f>16.67*1.1104</f>
        <v>18.510368000000003</v>
      </c>
      <c r="V17">
        <v>14</v>
      </c>
      <c r="Y17" t="s">
        <v>6</v>
      </c>
      <c r="Z17" s="4">
        <f>AD17*(AB17/AC17)^2</f>
        <v>32.608018177920933</v>
      </c>
      <c r="AA17" s="4"/>
      <c r="AB17" s="3">
        <f>$B$8/Z13</f>
        <v>30</v>
      </c>
      <c r="AC17">
        <f>16.67*1.1792</f>
        <v>19.657264000000001</v>
      </c>
      <c r="AD17">
        <v>14</v>
      </c>
      <c r="AG17" t="s">
        <v>6</v>
      </c>
      <c r="AH17" s="4">
        <f>AL17*(AJ17/AK17)^2</f>
        <v>118.91192825123855</v>
      </c>
      <c r="AI17" s="4"/>
      <c r="AJ17" s="3">
        <f>$B$8/AH13</f>
        <v>60</v>
      </c>
      <c r="AK17">
        <f>16.67*1.235</f>
        <v>20.587450000000004</v>
      </c>
      <c r="AL17">
        <v>14</v>
      </c>
      <c r="AN17" s="65"/>
      <c r="AO17" t="s">
        <v>6</v>
      </c>
      <c r="AP17" s="4">
        <f>AT17*(AR17/AS17)^2</f>
        <v>9.8649222295762549</v>
      </c>
      <c r="AQ17" s="4"/>
      <c r="AR17" s="3">
        <f>$B$8</f>
        <v>12</v>
      </c>
      <c r="AS17">
        <v>15.282500000000001</v>
      </c>
      <c r="AT17">
        <v>16</v>
      </c>
      <c r="AW17" t="s">
        <v>6</v>
      </c>
      <c r="AX17" s="4">
        <f>BB17*(AZ17/BA17)^2</f>
        <v>13.647409650710198</v>
      </c>
      <c r="AY17" s="4"/>
      <c r="AZ17" s="3">
        <f>$B$8</f>
        <v>12</v>
      </c>
      <c r="BA17">
        <v>12.9932</v>
      </c>
      <c r="BB17">
        <v>16</v>
      </c>
      <c r="BE17" t="s">
        <v>6</v>
      </c>
      <c r="BF17" s="4">
        <f>BJ17*(BH17/BI17)^2</f>
        <v>22.223696085400103</v>
      </c>
      <c r="BG17" s="4"/>
      <c r="BH17" s="3">
        <f>$B$8</f>
        <v>12</v>
      </c>
      <c r="BI17" s="64">
        <v>10.182</v>
      </c>
      <c r="BJ17">
        <v>16</v>
      </c>
      <c r="BM17" t="s">
        <v>6</v>
      </c>
      <c r="BN17" s="4">
        <f>BR17*(BP17/BQ17)^2</f>
        <v>44.337231399791456</v>
      </c>
      <c r="BO17" s="4"/>
      <c r="BP17" s="3">
        <f>$B$8</f>
        <v>12</v>
      </c>
      <c r="BQ17" s="64">
        <v>7.2087000000000003</v>
      </c>
      <c r="BR17">
        <v>16</v>
      </c>
    </row>
    <row r="18" spans="1:70" x14ac:dyDescent="0.25">
      <c r="E18" t="s">
        <v>18</v>
      </c>
      <c r="F18" t="s">
        <v>30</v>
      </c>
    </row>
    <row r="19" spans="1:70" x14ac:dyDescent="0.25">
      <c r="B19" s="4"/>
      <c r="H19" s="48"/>
      <c r="J19" s="4">
        <f>M19*SQRT(J17/N17)</f>
        <v>14.113662024840044</v>
      </c>
      <c r="M19">
        <v>16.670000000000002</v>
      </c>
      <c r="R19" s="4">
        <f>U19*SQRT(R17/V17) *0.6</f>
        <v>10.806916426512965</v>
      </c>
      <c r="U19">
        <v>16.670000000000002</v>
      </c>
      <c r="Z19" s="4">
        <f>AC19*SQRT(Z17/AD17)*0.4</f>
        <v>10.1763907734057</v>
      </c>
      <c r="AC19">
        <v>16.670000000000002</v>
      </c>
      <c r="AH19" s="4">
        <f>AK19*SQRT(AH17/AL17)*0.2</f>
        <v>9.7165991902834019</v>
      </c>
      <c r="AK19">
        <v>16.670000000000002</v>
      </c>
      <c r="AP19" t="s">
        <v>31</v>
      </c>
    </row>
    <row r="20" spans="1:70" x14ac:dyDescent="0.25">
      <c r="Z20" s="4"/>
      <c r="AM20" s="66" t="s">
        <v>30</v>
      </c>
      <c r="AN20" s="68">
        <v>5</v>
      </c>
      <c r="AP20" s="4">
        <f t="shared" ref="AP20:AP27" si="0">$AS$17*SQRT(AN20/$AT$17)</f>
        <v>8.5431772165351347</v>
      </c>
      <c r="AW20" s="68">
        <v>5</v>
      </c>
      <c r="AX20" s="4">
        <f t="shared" ref="AX20:AX27" si="1">BA$17*SQRT(AW20/BB$17)</f>
        <v>7.2634196113125675</v>
      </c>
      <c r="BE20" s="68">
        <v>5</v>
      </c>
      <c r="BF20" s="4">
        <f t="shared" ref="BF20:BF27" si="2">BI$17*SQRT(BE20/BJ$17)</f>
        <v>5.6919110367257151</v>
      </c>
      <c r="BM20" s="68">
        <v>5</v>
      </c>
      <c r="BN20" s="4">
        <f t="shared" ref="BN20:BN27" si="3">BQ$17*SQRT(BM20/BR$17)</f>
        <v>4.0297858073506836</v>
      </c>
    </row>
    <row r="21" spans="1:70" x14ac:dyDescent="0.25">
      <c r="B21" s="48">
        <v>1</v>
      </c>
      <c r="C21" s="48">
        <v>0.8</v>
      </c>
      <c r="D21" s="48">
        <v>0.6</v>
      </c>
      <c r="E21" s="48">
        <v>0.4</v>
      </c>
      <c r="F21" s="48">
        <v>0.2</v>
      </c>
      <c r="AN21" s="67">
        <v>10</v>
      </c>
      <c r="AP21" s="4">
        <f t="shared" si="0"/>
        <v>12.081877085380816</v>
      </c>
      <c r="AW21" s="67">
        <v>10</v>
      </c>
      <c r="AX21" s="4">
        <f t="shared" si="1"/>
        <v>10.272026523524946</v>
      </c>
      <c r="BE21" s="67">
        <v>10</v>
      </c>
      <c r="BF21" s="4">
        <f t="shared" si="2"/>
        <v>8.0495777839586111</v>
      </c>
      <c r="BM21" s="67">
        <v>10</v>
      </c>
      <c r="BN21" s="4">
        <f t="shared" si="3"/>
        <v>5.69897774221395</v>
      </c>
    </row>
    <row r="22" spans="1:70" x14ac:dyDescent="0.25">
      <c r="B22" s="48">
        <v>1</v>
      </c>
      <c r="C22" s="48">
        <v>0.8</v>
      </c>
      <c r="D22" s="48">
        <v>0.6</v>
      </c>
      <c r="E22" s="48">
        <v>0.4</v>
      </c>
      <c r="AN22" s="67">
        <v>15</v>
      </c>
      <c r="AP22" s="4">
        <f t="shared" si="0"/>
        <v>14.797216997103714</v>
      </c>
      <c r="AW22" s="67">
        <v>15</v>
      </c>
      <c r="AX22" s="4">
        <f t="shared" si="1"/>
        <v>12.580611803485553</v>
      </c>
      <c r="BE22" s="67">
        <v>15</v>
      </c>
      <c r="BF22" s="4">
        <f t="shared" si="2"/>
        <v>9.8586791077709801</v>
      </c>
      <c r="BM22" s="67">
        <v>15</v>
      </c>
      <c r="BN22" s="4">
        <f t="shared" si="3"/>
        <v>6.9797937619513517</v>
      </c>
    </row>
    <row r="23" spans="1:70" ht="20.25" thickBot="1" x14ac:dyDescent="0.35">
      <c r="A23" s="1" t="s">
        <v>3</v>
      </c>
      <c r="B23" s="50">
        <f>IF($B$10=1,B21,B22)</f>
        <v>1</v>
      </c>
      <c r="C23" s="50">
        <f>IF($B$10=1,C21,C22)</f>
        <v>0.8</v>
      </c>
      <c r="D23" s="50">
        <f>IF($B$10=1,D21,D22)</f>
        <v>0.6</v>
      </c>
      <c r="E23" s="50">
        <f>IF($B$10=1,E21,E22)</f>
        <v>0.4</v>
      </c>
      <c r="F23" s="50">
        <f>IF($B$10=1,F21,"")</f>
        <v>0.2</v>
      </c>
      <c r="AN23" s="67">
        <v>20</v>
      </c>
      <c r="AP23" s="4">
        <f t="shared" si="0"/>
        <v>17.086354433070269</v>
      </c>
      <c r="AW23" s="67">
        <v>20</v>
      </c>
      <c r="AX23" s="4">
        <f t="shared" si="1"/>
        <v>14.526839222625135</v>
      </c>
      <c r="BE23" s="67">
        <v>20</v>
      </c>
      <c r="BF23" s="4">
        <f t="shared" si="2"/>
        <v>11.38382207345143</v>
      </c>
      <c r="BM23" s="67">
        <v>20</v>
      </c>
      <c r="BN23" s="4">
        <f t="shared" si="3"/>
        <v>8.0595716147013672</v>
      </c>
    </row>
    <row r="24" spans="1:70" ht="15.75" thickTop="1" x14ac:dyDescent="0.25">
      <c r="A24" t="s">
        <v>28</v>
      </c>
      <c r="B24">
        <f>IF($B$10=1,B14,AP14)</f>
        <v>17.283693706734546</v>
      </c>
      <c r="C24">
        <f>IF($B$10=1,J14,AX14)</f>
        <v>19.880510970265089</v>
      </c>
      <c r="D24">
        <f>IF($B$10=1,R14,BF14)</f>
        <v>25.223868848282535</v>
      </c>
      <c r="E24">
        <f>IF($B$10=1,Z14,BN14)</f>
        <v>34.825949724512853</v>
      </c>
      <c r="F24">
        <f>IF($B$10=1,AH14,"")</f>
        <v>55.731581659835179</v>
      </c>
      <c r="AN24" s="67">
        <v>25</v>
      </c>
      <c r="AP24" s="4">
        <f t="shared" si="0"/>
        <v>19.103125000000002</v>
      </c>
      <c r="AW24" s="67">
        <v>25</v>
      </c>
      <c r="AX24" s="4">
        <f t="shared" si="1"/>
        <v>16.241499999999998</v>
      </c>
      <c r="BE24" s="67">
        <v>25</v>
      </c>
      <c r="BF24" s="4">
        <f t="shared" si="2"/>
        <v>12.727500000000001</v>
      </c>
      <c r="BM24" s="67">
        <v>25</v>
      </c>
      <c r="BN24" s="4">
        <f t="shared" si="3"/>
        <v>9.0108750000000004</v>
      </c>
    </row>
    <row r="25" spans="1:70" x14ac:dyDescent="0.25">
      <c r="A25" t="s">
        <v>7</v>
      </c>
      <c r="B25">
        <f>B24+11</f>
        <v>28.283693706734546</v>
      </c>
      <c r="C25">
        <f>C24+11</f>
        <v>30.880510970265089</v>
      </c>
      <c r="D25">
        <f>D24+11</f>
        <v>36.223868848282535</v>
      </c>
      <c r="E25">
        <f>E24+11</f>
        <v>45.825949724512853</v>
      </c>
      <c r="F25">
        <f>IF($B$10=1,F24+11,"")</f>
        <v>66.731581659835172</v>
      </c>
      <c r="AN25" s="67">
        <v>30</v>
      </c>
      <c r="AP25" s="4">
        <f t="shared" si="0"/>
        <v>20.926424962681754</v>
      </c>
      <c r="AW25" s="67">
        <v>30</v>
      </c>
      <c r="AX25" s="4">
        <f t="shared" si="1"/>
        <v>17.791671835440312</v>
      </c>
      <c r="BE25" s="67">
        <v>30</v>
      </c>
      <c r="BF25" s="4">
        <f t="shared" si="2"/>
        <v>13.942277701294005</v>
      </c>
      <c r="BM25" s="67">
        <v>30</v>
      </c>
      <c r="BN25" s="4">
        <f t="shared" si="3"/>
        <v>9.8709190007187271</v>
      </c>
    </row>
    <row r="26" spans="1:70" x14ac:dyDescent="0.25">
      <c r="A26" t="s">
        <v>60</v>
      </c>
      <c r="B26">
        <f>IF($B$10=1,B16,AP16)</f>
        <v>21.728298288565089</v>
      </c>
      <c r="C26">
        <f>IF($B$10=1,J16,AX16)</f>
        <v>24.187187251786963</v>
      </c>
      <c r="D26">
        <f>IF($B$10=1,R16,BF16)</f>
        <v>32.058309534086952</v>
      </c>
      <c r="E26">
        <f>IF($B$10=1,Z16,BN16)</f>
        <v>43.748019364347392</v>
      </c>
      <c r="F26">
        <f>IF($B$10=1,AH16,"")</f>
        <v>65.942243663395885</v>
      </c>
      <c r="AN26" s="67"/>
      <c r="AP26" s="4"/>
      <c r="AW26" s="67"/>
      <c r="AX26" s="4"/>
      <c r="BE26" s="67"/>
      <c r="BF26" s="4"/>
      <c r="BM26" s="67"/>
      <c r="BN26" s="4"/>
    </row>
    <row r="27" spans="1:70" x14ac:dyDescent="0.25">
      <c r="A27" t="s">
        <v>6</v>
      </c>
      <c r="B27">
        <f>IF($B$10=1,B17,AP17)</f>
        <v>7.2546978306798131</v>
      </c>
      <c r="C27">
        <f>IF($B$10=1,J17,AX17)</f>
        <v>10.035436393896148</v>
      </c>
      <c r="D27">
        <f>IF($B$10=1,R17,BF17)</f>
        <v>16.343983723700177</v>
      </c>
      <c r="E27">
        <f>IF($B$10=1,Z17,BN17)</f>
        <v>32.608018177920933</v>
      </c>
      <c r="F27">
        <f>IF($B$10=1,AH17,"")</f>
        <v>118.91192825123855</v>
      </c>
      <c r="AN27" s="67">
        <v>80</v>
      </c>
      <c r="AP27" s="4">
        <f t="shared" si="0"/>
        <v>34.172708866140539</v>
      </c>
      <c r="AW27" s="67">
        <v>80</v>
      </c>
      <c r="AX27" s="4">
        <f t="shared" si="1"/>
        <v>29.05367844525027</v>
      </c>
      <c r="BE27" s="67">
        <v>80</v>
      </c>
      <c r="BF27" s="4">
        <f t="shared" si="2"/>
        <v>22.76764414690286</v>
      </c>
      <c r="BM27" s="67">
        <v>80</v>
      </c>
      <c r="BN27" s="4">
        <f t="shared" si="3"/>
        <v>16.119143229402734</v>
      </c>
    </row>
    <row r="28" spans="1:70" x14ac:dyDescent="0.25">
      <c r="A28" t="s">
        <v>23</v>
      </c>
      <c r="B28">
        <f>$B$9</f>
        <v>20</v>
      </c>
      <c r="C28">
        <f>$B$9</f>
        <v>20</v>
      </c>
      <c r="D28">
        <f>$B$9</f>
        <v>20</v>
      </c>
      <c r="E28">
        <f>$B$9</f>
        <v>20</v>
      </c>
      <c r="F28">
        <f>IF($B$10=1,B9,"")</f>
        <v>20</v>
      </c>
    </row>
    <row r="30" spans="1:70" ht="20.25" thickBot="1" x14ac:dyDescent="0.35">
      <c r="A30" s="1" t="s">
        <v>42</v>
      </c>
      <c r="M30" s="182" t="s">
        <v>46</v>
      </c>
      <c r="N30" s="182"/>
    </row>
    <row r="31" spans="1:70" ht="15.75" thickTop="1" x14ac:dyDescent="0.25"/>
    <row r="32" spans="1:70" x14ac:dyDescent="0.25">
      <c r="B32" t="s">
        <v>41</v>
      </c>
      <c r="C32">
        <v>8.7272999999999996</v>
      </c>
      <c r="D32">
        <v>10.441000000000001</v>
      </c>
      <c r="E32">
        <v>9.8138000000000005</v>
      </c>
      <c r="F32">
        <v>18.981000000000002</v>
      </c>
    </row>
    <row r="33" spans="1:19" x14ac:dyDescent="0.25">
      <c r="B33" s="70" t="s">
        <v>40</v>
      </c>
      <c r="C33">
        <v>2.9782999999999999</v>
      </c>
      <c r="D33">
        <v>-3.4927000000000001</v>
      </c>
      <c r="E33">
        <v>-2.1067</v>
      </c>
      <c r="F33">
        <v>-28.027000000000001</v>
      </c>
      <c r="G33">
        <v>5</v>
      </c>
      <c r="H33">
        <v>5</v>
      </c>
      <c r="P33" s="2" t="s">
        <v>32</v>
      </c>
      <c r="R33" s="2" t="s">
        <v>53</v>
      </c>
    </row>
    <row r="34" spans="1:19" x14ac:dyDescent="0.25">
      <c r="B34" s="5" t="s">
        <v>30</v>
      </c>
      <c r="C34" s="67">
        <v>125</v>
      </c>
      <c r="D34" s="67">
        <v>250</v>
      </c>
      <c r="E34" s="67">
        <v>500</v>
      </c>
      <c r="F34" s="67">
        <v>1000</v>
      </c>
      <c r="G34" s="67">
        <v>2000</v>
      </c>
      <c r="H34" s="88">
        <v>4000</v>
      </c>
      <c r="I34" s="2" t="s">
        <v>29</v>
      </c>
      <c r="L34">
        <v>125</v>
      </c>
      <c r="M34">
        <v>250</v>
      </c>
      <c r="N34">
        <v>500</v>
      </c>
      <c r="O34">
        <v>1000</v>
      </c>
      <c r="P34">
        <v>2000</v>
      </c>
      <c r="Q34">
        <v>4000</v>
      </c>
    </row>
    <row r="35" spans="1:19" x14ac:dyDescent="0.25">
      <c r="A35" s="69">
        <v>1</v>
      </c>
      <c r="B35" s="4">
        <f>$B$17</f>
        <v>7.2546978306798131</v>
      </c>
      <c r="C35" s="71">
        <f t="shared" ref="C35:H35" si="4">C32*LN($B$35)+C33</f>
        <v>20.272747374426604</v>
      </c>
      <c r="D35" s="72">
        <f t="shared" si="4"/>
        <v>17.19769966958718</v>
      </c>
      <c r="E35" s="72">
        <f t="shared" si="4"/>
        <v>17.340809268977555</v>
      </c>
      <c r="F35" s="72">
        <f t="shared" si="4"/>
        <v>9.5866841421735742</v>
      </c>
      <c r="G35" s="72">
        <f t="shared" si="4"/>
        <v>5</v>
      </c>
      <c r="H35" s="73">
        <f t="shared" si="4"/>
        <v>5</v>
      </c>
      <c r="K35" s="69">
        <v>1</v>
      </c>
      <c r="L35" s="71">
        <f>C35+11</f>
        <v>31.272747374426604</v>
      </c>
      <c r="M35" s="72">
        <f t="shared" ref="M35:Q35" si="5">D35+11</f>
        <v>28.19769966958718</v>
      </c>
      <c r="N35" s="72">
        <f t="shared" si="5"/>
        <v>28.340809268977555</v>
      </c>
      <c r="O35" s="72">
        <f t="shared" si="5"/>
        <v>20.586684142173574</v>
      </c>
      <c r="P35" s="72">
        <f t="shared" si="5"/>
        <v>16</v>
      </c>
      <c r="Q35" s="73">
        <f t="shared" si="5"/>
        <v>16</v>
      </c>
    </row>
    <row r="36" spans="1:19" x14ac:dyDescent="0.25">
      <c r="A36" s="69">
        <v>0.8</v>
      </c>
      <c r="B36" s="4">
        <f>$J$17</f>
        <v>10.035436393896148</v>
      </c>
      <c r="C36" s="65">
        <f t="shared" ref="C36:H39" si="6">C$32*LN($B36)+C$33+(10*LOG10($A36))</f>
        <v>22.135422489148045</v>
      </c>
      <c r="D36" s="33">
        <f t="shared" si="6"/>
        <v>19.616424563394613</v>
      </c>
      <c r="E36" s="33">
        <f t="shared" si="6"/>
        <v>19.556024551159421</v>
      </c>
      <c r="F36" s="33">
        <f t="shared" si="6"/>
        <v>14.776410444275561</v>
      </c>
      <c r="G36" s="33">
        <f t="shared" si="6"/>
        <v>4.0308998699194358</v>
      </c>
      <c r="H36" s="89">
        <f t="shared" si="6"/>
        <v>4.0308998699194358</v>
      </c>
      <c r="K36" s="69">
        <v>0.8</v>
      </c>
      <c r="L36" s="65">
        <f t="shared" ref="L36:L39" si="7">C36+11</f>
        <v>33.135422489148041</v>
      </c>
      <c r="M36" s="33">
        <f t="shared" ref="M36:M39" si="8">D36+11</f>
        <v>30.616424563394613</v>
      </c>
      <c r="N36" s="33">
        <f t="shared" ref="N36:N39" si="9">E36+11</f>
        <v>30.556024551159421</v>
      </c>
      <c r="O36" s="33">
        <f t="shared" ref="O36:O39" si="10">F36+11</f>
        <v>25.776410444275562</v>
      </c>
      <c r="P36" s="33">
        <f t="shared" ref="P36:P39" si="11">G36+11</f>
        <v>15.030899869919436</v>
      </c>
      <c r="Q36" s="74">
        <f t="shared" ref="Q36:Q39" si="12">H36+11</f>
        <v>15.030899869919436</v>
      </c>
    </row>
    <row r="37" spans="1:19" x14ac:dyDescent="0.25">
      <c r="A37" s="69">
        <v>0.6</v>
      </c>
      <c r="B37" s="4">
        <f>$R$17</f>
        <v>16.343983723700177</v>
      </c>
      <c r="C37" s="65">
        <f t="shared" si="6"/>
        <v>25.142665674475822</v>
      </c>
      <c r="D37" s="33">
        <f t="shared" si="6"/>
        <v>23.459503319397474</v>
      </c>
      <c r="E37" s="33">
        <f t="shared" si="6"/>
        <v>23.093194414166184</v>
      </c>
      <c r="F37" s="33">
        <f t="shared" si="6"/>
        <v>22.784766537948503</v>
      </c>
      <c r="G37" s="33">
        <f t="shared" si="6"/>
        <v>2.7815125038364359</v>
      </c>
      <c r="H37" s="89">
        <f t="shared" si="6"/>
        <v>2.7815125038364359</v>
      </c>
      <c r="K37" s="69">
        <v>0.6</v>
      </c>
      <c r="L37" s="65">
        <f t="shared" si="7"/>
        <v>36.142665674475822</v>
      </c>
      <c r="M37" s="33">
        <f t="shared" si="8"/>
        <v>34.45950331939747</v>
      </c>
      <c r="N37" s="33">
        <f t="shared" si="9"/>
        <v>34.093194414166184</v>
      </c>
      <c r="O37" s="33">
        <f t="shared" si="10"/>
        <v>33.784766537948499</v>
      </c>
      <c r="P37" s="33">
        <f t="shared" si="11"/>
        <v>13.781512503836435</v>
      </c>
      <c r="Q37" s="74">
        <f t="shared" si="12"/>
        <v>13.781512503836435</v>
      </c>
    </row>
    <row r="38" spans="1:19" x14ac:dyDescent="0.25">
      <c r="A38" s="69">
        <v>0.4</v>
      </c>
      <c r="B38" s="4">
        <f>$Z$17</f>
        <v>32.608018177920933</v>
      </c>
      <c r="C38" s="65">
        <f t="shared" si="6"/>
        <v>29.409684818757853</v>
      </c>
      <c r="D38" s="33">
        <f t="shared" si="6"/>
        <v>28.910172230960725</v>
      </c>
      <c r="E38" s="33">
        <f t="shared" si="6"/>
        <v>28.110657318821126</v>
      </c>
      <c r="F38" s="33">
        <f t="shared" si="6"/>
        <v>34.133999382861546</v>
      </c>
      <c r="G38" s="33">
        <f t="shared" si="6"/>
        <v>1.0205999132796242</v>
      </c>
      <c r="H38" s="89">
        <f t="shared" si="6"/>
        <v>1.0205999132796242</v>
      </c>
      <c r="K38" s="69">
        <v>0.4</v>
      </c>
      <c r="L38" s="65">
        <f t="shared" si="7"/>
        <v>40.409684818757853</v>
      </c>
      <c r="M38" s="33">
        <f t="shared" si="8"/>
        <v>39.910172230960725</v>
      </c>
      <c r="N38" s="33">
        <f t="shared" si="9"/>
        <v>39.110657318821126</v>
      </c>
      <c r="O38" s="33">
        <f t="shared" si="10"/>
        <v>45.133999382861546</v>
      </c>
      <c r="P38" s="33">
        <f t="shared" si="11"/>
        <v>12.020599913279625</v>
      </c>
      <c r="Q38" s="74">
        <f t="shared" si="12"/>
        <v>12.020599913279625</v>
      </c>
      <c r="S38" s="91"/>
    </row>
    <row r="39" spans="1:19" x14ac:dyDescent="0.25">
      <c r="A39" s="69">
        <v>0.2</v>
      </c>
      <c r="B39" s="4">
        <f>$AH$17</f>
        <v>118.91192825123855</v>
      </c>
      <c r="C39" s="75">
        <f t="shared" si="6"/>
        <v>37.690982963081332</v>
      </c>
      <c r="D39" s="76">
        <f t="shared" si="6"/>
        <v>39.40869811646656</v>
      </c>
      <c r="E39" s="76">
        <f t="shared" si="6"/>
        <v>37.797696223367879</v>
      </c>
      <c r="F39" s="76">
        <f t="shared" si="6"/>
        <v>55.681789964462013</v>
      </c>
      <c r="G39" s="76">
        <f t="shared" si="6"/>
        <v>-1.9897000433601875</v>
      </c>
      <c r="H39" s="90">
        <f t="shared" si="6"/>
        <v>-1.9897000433601875</v>
      </c>
      <c r="K39" s="69">
        <v>0.2</v>
      </c>
      <c r="L39" s="75">
        <f t="shared" si="7"/>
        <v>48.690982963081332</v>
      </c>
      <c r="M39" s="76">
        <f t="shared" si="8"/>
        <v>50.40869811646656</v>
      </c>
      <c r="N39" s="76">
        <f t="shared" si="9"/>
        <v>48.797696223367879</v>
      </c>
      <c r="O39" s="76">
        <f t="shared" si="10"/>
        <v>66.681789964462013</v>
      </c>
      <c r="P39" s="76">
        <f t="shared" si="11"/>
        <v>9.0102999566398125</v>
      </c>
      <c r="Q39" s="77">
        <f t="shared" si="12"/>
        <v>9.0102999566398125</v>
      </c>
    </row>
    <row r="40" spans="1:19" x14ac:dyDescent="0.25">
      <c r="A40" s="69"/>
      <c r="B40" s="4"/>
      <c r="C40">
        <v>-16</v>
      </c>
      <c r="D40">
        <v>-9</v>
      </c>
      <c r="E40">
        <v>-3</v>
      </c>
      <c r="F40">
        <v>0</v>
      </c>
      <c r="G40">
        <v>1</v>
      </c>
      <c r="H40">
        <v>1</v>
      </c>
      <c r="L40">
        <v>-16</v>
      </c>
      <c r="M40">
        <v>-9</v>
      </c>
      <c r="N40">
        <v>-3</v>
      </c>
      <c r="O40">
        <v>0</v>
      </c>
      <c r="P40">
        <v>1</v>
      </c>
      <c r="Q40">
        <v>1</v>
      </c>
    </row>
    <row r="41" spans="1:19" x14ac:dyDescent="0.25">
      <c r="A41" s="69"/>
      <c r="B41" s="4"/>
      <c r="C41" s="33"/>
      <c r="D41" s="33"/>
      <c r="E41" s="33"/>
      <c r="F41" s="33"/>
      <c r="G41" s="33"/>
      <c r="H41" s="92"/>
      <c r="I41" s="2" t="s">
        <v>44</v>
      </c>
      <c r="K41" s="2"/>
      <c r="P41" s="2" t="s">
        <v>44</v>
      </c>
      <c r="R41" s="2" t="s">
        <v>44</v>
      </c>
    </row>
    <row r="42" spans="1:19" x14ac:dyDescent="0.25">
      <c r="A42" s="69"/>
      <c r="B42" s="69">
        <v>1</v>
      </c>
      <c r="C42" s="71">
        <f t="shared" ref="C42:H42" si="13">C35+C$40</f>
        <v>4.2727473744266042</v>
      </c>
      <c r="D42" s="72">
        <f t="shared" si="13"/>
        <v>8.1976996695871804</v>
      </c>
      <c r="E42" s="72">
        <f t="shared" si="13"/>
        <v>14.340809268977555</v>
      </c>
      <c r="F42" s="72">
        <f t="shared" si="13"/>
        <v>9.5866841421735742</v>
      </c>
      <c r="G42" s="72">
        <f t="shared" si="13"/>
        <v>6</v>
      </c>
      <c r="H42" s="73">
        <f t="shared" si="13"/>
        <v>6</v>
      </c>
      <c r="I42" s="87">
        <f>10*LOG(10^(C42/10)+10^(D42/10)+10^(E42/10)+10^(F42/10)+10^(G42/10)+10^(H42/10))</f>
        <v>17.283693706734546</v>
      </c>
      <c r="K42" s="69">
        <v>1</v>
      </c>
      <c r="L42" s="71">
        <f t="shared" ref="L42:Q46" si="14">L35+L$40</f>
        <v>15.272747374426604</v>
      </c>
      <c r="M42" s="72">
        <f t="shared" si="14"/>
        <v>19.19769966958718</v>
      </c>
      <c r="N42" s="72">
        <f t="shared" si="14"/>
        <v>25.340809268977555</v>
      </c>
      <c r="O42" s="72">
        <f t="shared" si="14"/>
        <v>20.586684142173574</v>
      </c>
      <c r="P42" s="72">
        <f t="shared" si="14"/>
        <v>17</v>
      </c>
      <c r="Q42" s="73">
        <f t="shared" si="14"/>
        <v>17</v>
      </c>
      <c r="R42" s="87">
        <f>10*LOG(10^(L42/10)+10^(M42/10)+10^(N42/10)+10^(O42/10)+10^(P42/10)+10^(Q42/10))</f>
        <v>28.283693706734546</v>
      </c>
    </row>
    <row r="43" spans="1:19" x14ac:dyDescent="0.25">
      <c r="A43" s="69"/>
      <c r="B43" s="69">
        <v>0.8</v>
      </c>
      <c r="C43" s="65">
        <f t="shared" ref="C43:H43" si="15">C36+C$40</f>
        <v>6.1354224891480449</v>
      </c>
      <c r="D43" s="33">
        <f t="shared" si="15"/>
        <v>10.616424563394613</v>
      </c>
      <c r="E43" s="33">
        <f t="shared" si="15"/>
        <v>16.556024551159421</v>
      </c>
      <c r="F43" s="33">
        <f t="shared" si="15"/>
        <v>14.776410444275561</v>
      </c>
      <c r="G43" s="33">
        <f t="shared" si="15"/>
        <v>5.0308998699194358</v>
      </c>
      <c r="H43" s="74">
        <f t="shared" si="15"/>
        <v>5.0308998699194358</v>
      </c>
      <c r="I43" s="87">
        <f>10*LOG(10^(C43/10)+10^(D43/10)+10^(E43/10)+10^(F43/10)+10^(G43/10)+10^(H43/10))</f>
        <v>19.880510970265089</v>
      </c>
      <c r="K43" s="69">
        <v>0.8</v>
      </c>
      <c r="L43" s="65">
        <f t="shared" si="14"/>
        <v>17.135422489148041</v>
      </c>
      <c r="M43" s="33">
        <f t="shared" si="14"/>
        <v>21.616424563394613</v>
      </c>
      <c r="N43" s="33">
        <f t="shared" si="14"/>
        <v>27.556024551159421</v>
      </c>
      <c r="O43" s="33">
        <f t="shared" si="14"/>
        <v>25.776410444275562</v>
      </c>
      <c r="P43" s="33">
        <f t="shared" si="14"/>
        <v>16.030899869919438</v>
      </c>
      <c r="Q43" s="74">
        <f t="shared" si="14"/>
        <v>16.030899869919438</v>
      </c>
      <c r="R43" s="87">
        <f>10*LOG(10^(L43/10)+10^(M43/10)+10^(N43/10)+10^(O43/10)+10^(P43/10)+10^(Q43/10))</f>
        <v>30.880510970265085</v>
      </c>
    </row>
    <row r="44" spans="1:19" x14ac:dyDescent="0.25">
      <c r="A44" s="69"/>
      <c r="B44" s="69">
        <v>0.6</v>
      </c>
      <c r="C44" s="65">
        <f t="shared" ref="C44:H44" si="16">C37+C$40</f>
        <v>9.1426656744758219</v>
      </c>
      <c r="D44" s="33">
        <f t="shared" si="16"/>
        <v>14.459503319397474</v>
      </c>
      <c r="E44" s="33">
        <f t="shared" si="16"/>
        <v>20.093194414166184</v>
      </c>
      <c r="F44" s="33">
        <f t="shared" si="16"/>
        <v>22.784766537948503</v>
      </c>
      <c r="G44" s="33">
        <f t="shared" si="16"/>
        <v>3.7815125038364359</v>
      </c>
      <c r="H44" s="74">
        <f t="shared" si="16"/>
        <v>3.7815125038364359</v>
      </c>
      <c r="I44" s="87">
        <f>10*LOG(10^(C44/10)+10^(D44/10)+10^(E44/10)+10^(F44/10)+10^(G44/10)+10^(H44/10))</f>
        <v>25.223868848282535</v>
      </c>
      <c r="K44" s="69">
        <v>0.6</v>
      </c>
      <c r="L44" s="65">
        <f t="shared" si="14"/>
        <v>20.142665674475822</v>
      </c>
      <c r="M44" s="33">
        <f t="shared" si="14"/>
        <v>25.45950331939747</v>
      </c>
      <c r="N44" s="33">
        <f t="shared" si="14"/>
        <v>31.093194414166184</v>
      </c>
      <c r="O44" s="33">
        <f t="shared" si="14"/>
        <v>33.784766537948499</v>
      </c>
      <c r="P44" s="33">
        <f t="shared" si="14"/>
        <v>14.781512503836435</v>
      </c>
      <c r="Q44" s="74">
        <f t="shared" si="14"/>
        <v>14.781512503836435</v>
      </c>
      <c r="R44" s="87">
        <f>10*LOG(10^(L44/10)+10^(M44/10)+10^(N44/10)+10^(O44/10)+10^(P44/10)+10^(Q44/10))</f>
        <v>36.223868848282528</v>
      </c>
    </row>
    <row r="45" spans="1:19" x14ac:dyDescent="0.25">
      <c r="A45" s="69"/>
      <c r="B45" s="69">
        <v>0.4</v>
      </c>
      <c r="C45" s="65">
        <f t="shared" ref="C45:H45" si="17">C38+C$40</f>
        <v>13.409684818757853</v>
      </c>
      <c r="D45" s="33">
        <f t="shared" si="17"/>
        <v>19.910172230960725</v>
      </c>
      <c r="E45" s="33">
        <f t="shared" si="17"/>
        <v>25.110657318821126</v>
      </c>
      <c r="F45" s="33">
        <f t="shared" si="17"/>
        <v>34.133999382861546</v>
      </c>
      <c r="G45" s="33">
        <f t="shared" si="17"/>
        <v>2.0205999132796242</v>
      </c>
      <c r="H45" s="74">
        <f t="shared" si="17"/>
        <v>2.0205999132796242</v>
      </c>
      <c r="I45" s="87">
        <f>10*LOG(10^(C45/10)+10^(D45/10)+10^(E45/10)+10^(F45/10)+10^(G45/10)+10^(H45/10))</f>
        <v>34.825949724512853</v>
      </c>
      <c r="K45" s="69">
        <v>0.4</v>
      </c>
      <c r="L45" s="65">
        <f t="shared" si="14"/>
        <v>24.409684818757853</v>
      </c>
      <c r="M45" s="33">
        <f t="shared" si="14"/>
        <v>30.910172230960725</v>
      </c>
      <c r="N45" s="33">
        <f t="shared" si="14"/>
        <v>36.110657318821126</v>
      </c>
      <c r="O45" s="33">
        <f t="shared" si="14"/>
        <v>45.133999382861546</v>
      </c>
      <c r="P45" s="33">
        <f t="shared" si="14"/>
        <v>13.020599913279625</v>
      </c>
      <c r="Q45" s="74">
        <f t="shared" si="14"/>
        <v>13.020599913279625</v>
      </c>
      <c r="R45" s="87">
        <f>10*LOG(10^(L45/10)+10^(M45/10)+10^(N45/10)+10^(O45/10)+10^(P45/10)+10^(Q45/10))</f>
        <v>45.825949724512853</v>
      </c>
    </row>
    <row r="46" spans="1:19" x14ac:dyDescent="0.25">
      <c r="A46" s="69"/>
      <c r="B46" s="69">
        <v>0.2</v>
      </c>
      <c r="C46" s="75">
        <f t="shared" ref="C46:H46" si="18">C39+C$40</f>
        <v>21.690982963081332</v>
      </c>
      <c r="D46" s="76">
        <f t="shared" si="18"/>
        <v>30.40869811646656</v>
      </c>
      <c r="E46" s="76">
        <f t="shared" si="18"/>
        <v>34.797696223367879</v>
      </c>
      <c r="F46" s="76">
        <f t="shared" si="18"/>
        <v>55.681789964462013</v>
      </c>
      <c r="G46" s="76">
        <f t="shared" si="18"/>
        <v>-0.98970004336018746</v>
      </c>
      <c r="H46" s="77">
        <f t="shared" si="18"/>
        <v>-0.98970004336018746</v>
      </c>
      <c r="I46" s="87">
        <f>10*LOG(10^(C46/10)+10^(D46/10)+10^(E46/10)+10^(F46/10)+10^(G46/10)+10^(H46/10))</f>
        <v>55.731581659835179</v>
      </c>
      <c r="K46" s="69">
        <v>0.2</v>
      </c>
      <c r="L46" s="75">
        <f t="shared" si="14"/>
        <v>32.690982963081332</v>
      </c>
      <c r="M46" s="76">
        <f t="shared" si="14"/>
        <v>41.40869811646656</v>
      </c>
      <c r="N46" s="76">
        <f t="shared" si="14"/>
        <v>45.797696223367879</v>
      </c>
      <c r="O46" s="76">
        <f t="shared" si="14"/>
        <v>66.681789964462013</v>
      </c>
      <c r="P46" s="76">
        <f t="shared" si="14"/>
        <v>10.010299956639813</v>
      </c>
      <c r="Q46" s="77">
        <f t="shared" si="14"/>
        <v>10.010299956639813</v>
      </c>
      <c r="R46" s="87">
        <f>10*LOG(10^(L46/10)+10^(M46/10)+10^(N46/10)+10^(O46/10)+10^(P46/10)+10^(Q46/10))</f>
        <v>66.731581659835172</v>
      </c>
    </row>
    <row r="47" spans="1:19" x14ac:dyDescent="0.25">
      <c r="A47" s="69"/>
      <c r="B47" s="4"/>
      <c r="C47" s="33"/>
      <c r="D47" s="33"/>
      <c r="E47" s="33"/>
      <c r="F47" s="33"/>
      <c r="G47" s="33"/>
      <c r="H47" s="33"/>
    </row>
    <row r="48" spans="1:19" x14ac:dyDescent="0.25">
      <c r="H48" s="64"/>
      <c r="L48" s="67">
        <v>125</v>
      </c>
      <c r="M48" s="67">
        <v>250</v>
      </c>
      <c r="N48" s="67">
        <v>500</v>
      </c>
      <c r="O48" s="67">
        <v>1000</v>
      </c>
      <c r="P48" s="67">
        <v>2000</v>
      </c>
      <c r="Q48" s="67">
        <v>4000</v>
      </c>
      <c r="R48" s="2" t="s">
        <v>43</v>
      </c>
    </row>
    <row r="49" spans="1:18" x14ac:dyDescent="0.25">
      <c r="C49">
        <f t="shared" ref="C49:H49" si="19">C34</f>
        <v>125</v>
      </c>
      <c r="D49">
        <f t="shared" si="19"/>
        <v>250</v>
      </c>
      <c r="E49">
        <f t="shared" si="19"/>
        <v>500</v>
      </c>
      <c r="F49">
        <f t="shared" si="19"/>
        <v>1000</v>
      </c>
      <c r="G49">
        <f t="shared" si="19"/>
        <v>2000</v>
      </c>
      <c r="H49">
        <f t="shared" si="19"/>
        <v>4000</v>
      </c>
      <c r="K49" s="69">
        <v>1</v>
      </c>
      <c r="L49" s="71">
        <f>-33.98+1.31*L35</f>
        <v>6.9872990604988559</v>
      </c>
      <c r="M49" s="72">
        <f>-20.2+1.2*M35</f>
        <v>13.637239603504614</v>
      </c>
      <c r="N49" s="72">
        <f>-9.73+1.11*N35</f>
        <v>21.728298288565089</v>
      </c>
      <c r="O49" s="72">
        <f>-2.74+1.03*O35</f>
        <v>18.464284666438779</v>
      </c>
      <c r="P49" s="72">
        <f>0.6+1*P35</f>
        <v>16.600000000000001</v>
      </c>
      <c r="Q49" s="73">
        <f>3.63+0.97*Q35</f>
        <v>19.149999999999999</v>
      </c>
      <c r="R49" s="93">
        <f>IF(MAX(L49:Q49)&lt;14.5, "&lt; 15", MAX(L49:Q49))</f>
        <v>21.728298288565089</v>
      </c>
    </row>
    <row r="50" spans="1:18" x14ac:dyDescent="0.25">
      <c r="A50" t="s">
        <v>45</v>
      </c>
      <c r="B50" s="69">
        <v>1</v>
      </c>
      <c r="C50">
        <f t="shared" ref="C50:H50" si="20">MAX(C35,0)</f>
        <v>20.272747374426604</v>
      </c>
      <c r="D50">
        <f t="shared" si="20"/>
        <v>17.19769966958718</v>
      </c>
      <c r="E50">
        <f t="shared" si="20"/>
        <v>17.340809268977555</v>
      </c>
      <c r="F50">
        <f t="shared" si="20"/>
        <v>9.5866841421735742</v>
      </c>
      <c r="G50">
        <f t="shared" si="20"/>
        <v>5</v>
      </c>
      <c r="H50">
        <f t="shared" si="20"/>
        <v>5</v>
      </c>
      <c r="K50" s="69">
        <v>0.8</v>
      </c>
      <c r="L50" s="65">
        <f>-33.98+1.31*L36</f>
        <v>9.4274034607839425</v>
      </c>
      <c r="M50" s="33">
        <f>-20.2+1.2*M36</f>
        <v>16.539709476073536</v>
      </c>
      <c r="N50" s="33">
        <f>-9.73+1.11*N36</f>
        <v>24.187187251786963</v>
      </c>
      <c r="O50" s="33">
        <f>-2.74+1.03*O36</f>
        <v>23.80970275760383</v>
      </c>
      <c r="P50" s="33">
        <f>0.6+1*P36</f>
        <v>15.630899869919435</v>
      </c>
      <c r="Q50" s="74">
        <f>3.63+0.97*Q36</f>
        <v>18.209972873821851</v>
      </c>
      <c r="R50" s="93">
        <f t="shared" ref="R50:R53" si="21">IF(MAX(L50:Q50)&lt;14.5, "&lt; 15", MAX(L50:Q50))</f>
        <v>24.187187251786963</v>
      </c>
    </row>
    <row r="51" spans="1:18" x14ac:dyDescent="0.25">
      <c r="B51" s="69">
        <v>0.8</v>
      </c>
      <c r="C51">
        <f t="shared" ref="C51:E54" si="22">MAX(C36,5)</f>
        <v>22.135422489148045</v>
      </c>
      <c r="D51">
        <f t="shared" si="22"/>
        <v>19.616424563394613</v>
      </c>
      <c r="E51">
        <f t="shared" si="22"/>
        <v>19.556024551159421</v>
      </c>
      <c r="F51">
        <f>MAX(F36,0)</f>
        <v>14.776410444275561</v>
      </c>
      <c r="G51">
        <f>MAX(G36,0)</f>
        <v>4.0308998699194358</v>
      </c>
      <c r="H51">
        <f>MAX(H36,0)</f>
        <v>4.0308998699194358</v>
      </c>
      <c r="K51" s="69">
        <v>0.6</v>
      </c>
      <c r="L51" s="65">
        <f>-33.98+1.31*L37</f>
        <v>13.366892033563332</v>
      </c>
      <c r="M51" s="33">
        <f>-20.2+1.2*M37</f>
        <v>21.15140398327696</v>
      </c>
      <c r="N51" s="33">
        <f>-9.73+1.11*N37</f>
        <v>28.11344579972447</v>
      </c>
      <c r="O51" s="33">
        <f>-2.74+1.03*O37</f>
        <v>32.058309534086952</v>
      </c>
      <c r="P51" s="33">
        <f>0.6+1*P37</f>
        <v>14.381512503836435</v>
      </c>
      <c r="Q51" s="74">
        <f>3.63+0.97*Q37</f>
        <v>16.998067128721342</v>
      </c>
      <c r="R51" s="93">
        <f t="shared" si="21"/>
        <v>32.058309534086952</v>
      </c>
    </row>
    <row r="52" spans="1:18" x14ac:dyDescent="0.25">
      <c r="B52" s="69">
        <v>0.6</v>
      </c>
      <c r="C52">
        <f t="shared" si="22"/>
        <v>25.142665674475822</v>
      </c>
      <c r="D52">
        <f t="shared" si="22"/>
        <v>23.459503319397474</v>
      </c>
      <c r="E52">
        <f t="shared" si="22"/>
        <v>23.093194414166184</v>
      </c>
      <c r="F52">
        <f>MAX(F37,5)</f>
        <v>22.784766537948503</v>
      </c>
      <c r="G52">
        <f t="shared" ref="G52:H54" si="23">MAX(G37,0)</f>
        <v>2.7815125038364359</v>
      </c>
      <c r="H52">
        <f t="shared" si="23"/>
        <v>2.7815125038364359</v>
      </c>
      <c r="K52" s="69">
        <v>0.4</v>
      </c>
      <c r="L52" s="65">
        <f>-33.98+1.31*L38</f>
        <v>18.956687112572794</v>
      </c>
      <c r="M52" s="33">
        <f>-20.2+1.2*M38</f>
        <v>27.692206677152871</v>
      </c>
      <c r="N52" s="33">
        <f>-9.73+1.11*N38</f>
        <v>33.68282962389145</v>
      </c>
      <c r="O52" s="33">
        <f>-2.74+1.03*O38</f>
        <v>43.748019364347392</v>
      </c>
      <c r="P52" s="33">
        <f>0.6+1*P38</f>
        <v>12.620599913279625</v>
      </c>
      <c r="Q52" s="74">
        <f>3.63+0.97*Q38</f>
        <v>15.289981915881235</v>
      </c>
      <c r="R52" s="93">
        <f t="shared" si="21"/>
        <v>43.748019364347392</v>
      </c>
    </row>
    <row r="53" spans="1:18" x14ac:dyDescent="0.25">
      <c r="B53" s="69">
        <v>0.4</v>
      </c>
      <c r="C53">
        <f t="shared" si="22"/>
        <v>29.409684818757853</v>
      </c>
      <c r="D53">
        <f t="shared" si="22"/>
        <v>28.910172230960725</v>
      </c>
      <c r="E53">
        <f t="shared" si="22"/>
        <v>28.110657318821126</v>
      </c>
      <c r="F53">
        <f>MAX(F38,5)</f>
        <v>34.133999382861546</v>
      </c>
      <c r="G53">
        <f t="shared" si="23"/>
        <v>1.0205999132796242</v>
      </c>
      <c r="H53">
        <f t="shared" si="23"/>
        <v>1.0205999132796242</v>
      </c>
      <c r="K53" s="69">
        <v>0.2</v>
      </c>
      <c r="L53" s="75">
        <f>-33.98+1.31*L39</f>
        <v>29.805187681636554</v>
      </c>
      <c r="M53" s="76">
        <f>-20.2+1.2*M39</f>
        <v>40.290437739759867</v>
      </c>
      <c r="N53" s="76">
        <f>-9.73+1.11*N39</f>
        <v>44.435442807938344</v>
      </c>
      <c r="O53" s="76">
        <f>-2.74+1.03*O39</f>
        <v>65.942243663395885</v>
      </c>
      <c r="P53" s="76">
        <f>0.6+1*P39</f>
        <v>9.6102999566398122</v>
      </c>
      <c r="Q53" s="77">
        <f>3.63+0.97*Q39</f>
        <v>12.369990957940619</v>
      </c>
      <c r="R53" s="93">
        <f t="shared" si="21"/>
        <v>65.942243663395885</v>
      </c>
    </row>
    <row r="54" spans="1:18" x14ac:dyDescent="0.25">
      <c r="B54" s="69">
        <v>0.2</v>
      </c>
      <c r="C54">
        <f t="shared" si="22"/>
        <v>37.690982963081332</v>
      </c>
      <c r="D54">
        <f t="shared" si="22"/>
        <v>39.40869811646656</v>
      </c>
      <c r="E54">
        <f t="shared" si="22"/>
        <v>37.797696223367879</v>
      </c>
      <c r="F54">
        <f>MAX(F39,5)</f>
        <v>55.681789964462013</v>
      </c>
      <c r="G54">
        <f t="shared" si="23"/>
        <v>0</v>
      </c>
      <c r="H54">
        <f t="shared" si="23"/>
        <v>0</v>
      </c>
    </row>
    <row r="56" spans="1:18" x14ac:dyDescent="0.25">
      <c r="H56" s="2"/>
    </row>
    <row r="57" spans="1:18" x14ac:dyDescent="0.25">
      <c r="A57" t="s">
        <v>52</v>
      </c>
      <c r="B57" s="69">
        <v>1</v>
      </c>
      <c r="C57">
        <f>IF(C50&gt;=5,C50,"&lt;5")</f>
        <v>20.272747374426604</v>
      </c>
      <c r="D57">
        <f>IF(D50&gt;=5,D50,"&lt;5")</f>
        <v>17.19769966958718</v>
      </c>
      <c r="E57">
        <f>IF(E50&gt;=5,E50,"&lt;5")</f>
        <v>17.340809268977555</v>
      </c>
      <c r="F57">
        <f>IF(F50&gt;=5,F50,"&lt;5")</f>
        <v>9.5866841421735742</v>
      </c>
      <c r="G57" t="str">
        <f>IF(G50&gt;5,G50,"&lt;5")</f>
        <v>&lt;5</v>
      </c>
      <c r="H57" t="str">
        <f>IF(H50&gt;5,H50,"&lt;5")</f>
        <v>&lt;5</v>
      </c>
    </row>
    <row r="58" spans="1:18" x14ac:dyDescent="0.25">
      <c r="B58" s="69">
        <v>0.8</v>
      </c>
      <c r="C58">
        <f t="shared" ref="C58:H58" si="24">IF(C51&gt;=5,C51,"&lt;5")</f>
        <v>22.135422489148045</v>
      </c>
      <c r="D58">
        <f t="shared" si="24"/>
        <v>19.616424563394613</v>
      </c>
      <c r="E58">
        <f t="shared" si="24"/>
        <v>19.556024551159421</v>
      </c>
      <c r="F58">
        <f t="shared" si="24"/>
        <v>14.776410444275561</v>
      </c>
      <c r="G58" t="str">
        <f t="shared" si="24"/>
        <v>&lt;5</v>
      </c>
      <c r="H58" t="str">
        <f t="shared" si="24"/>
        <v>&lt;5</v>
      </c>
    </row>
    <row r="59" spans="1:18" x14ac:dyDescent="0.25">
      <c r="B59" s="69">
        <v>0.6</v>
      </c>
      <c r="C59">
        <f t="shared" ref="C59:H59" si="25">IF(C52&gt;=5,C52,"&lt;5")</f>
        <v>25.142665674475822</v>
      </c>
      <c r="D59">
        <f t="shared" si="25"/>
        <v>23.459503319397474</v>
      </c>
      <c r="E59">
        <f t="shared" si="25"/>
        <v>23.093194414166184</v>
      </c>
      <c r="F59">
        <f t="shared" si="25"/>
        <v>22.784766537948503</v>
      </c>
      <c r="G59" t="str">
        <f t="shared" si="25"/>
        <v>&lt;5</v>
      </c>
      <c r="H59" t="str">
        <f t="shared" si="25"/>
        <v>&lt;5</v>
      </c>
    </row>
    <row r="60" spans="1:18" x14ac:dyDescent="0.25">
      <c r="B60" s="69">
        <v>0.4</v>
      </c>
      <c r="C60">
        <f t="shared" ref="C60:H60" si="26">IF(C53&gt;=5,C53,"&lt;5")</f>
        <v>29.409684818757853</v>
      </c>
      <c r="D60">
        <f t="shared" si="26"/>
        <v>28.910172230960725</v>
      </c>
      <c r="E60">
        <f t="shared" si="26"/>
        <v>28.110657318821126</v>
      </c>
      <c r="F60">
        <f t="shared" si="26"/>
        <v>34.133999382861546</v>
      </c>
      <c r="G60" t="str">
        <f t="shared" si="26"/>
        <v>&lt;5</v>
      </c>
      <c r="H60" t="str">
        <f t="shared" si="26"/>
        <v>&lt;5</v>
      </c>
    </row>
    <row r="61" spans="1:18" x14ac:dyDescent="0.25">
      <c r="B61" s="69">
        <v>0.2</v>
      </c>
      <c r="C61">
        <f t="shared" ref="C61:H61" si="27">IF(C54&gt;=5,C54,"&lt;5")</f>
        <v>37.690982963081332</v>
      </c>
      <c r="D61">
        <f t="shared" si="27"/>
        <v>39.40869811646656</v>
      </c>
      <c r="E61">
        <f t="shared" si="27"/>
        <v>37.797696223367879</v>
      </c>
      <c r="F61">
        <f t="shared" si="27"/>
        <v>55.681789964462013</v>
      </c>
      <c r="G61" t="str">
        <f t="shared" si="27"/>
        <v>&lt;5</v>
      </c>
      <c r="H61" t="str">
        <f t="shared" si="27"/>
        <v>&lt;5</v>
      </c>
    </row>
    <row r="71" spans="1:24" ht="20.25" thickBot="1" x14ac:dyDescent="0.35">
      <c r="A71" s="1" t="s">
        <v>33</v>
      </c>
      <c r="I71" s="2" t="s">
        <v>29</v>
      </c>
    </row>
    <row r="72" spans="1:24" ht="15.75" thickTop="1" x14ac:dyDescent="0.25">
      <c r="B72" s="5" t="s">
        <v>30</v>
      </c>
      <c r="C72" s="67">
        <v>125</v>
      </c>
      <c r="D72" s="67">
        <v>250</v>
      </c>
      <c r="E72" s="67">
        <v>500</v>
      </c>
      <c r="F72" s="67">
        <v>1000</v>
      </c>
      <c r="G72" s="67">
        <v>2000</v>
      </c>
      <c r="H72" s="67">
        <v>4000</v>
      </c>
      <c r="I72" s="2" t="s">
        <v>32</v>
      </c>
      <c r="J72" s="82"/>
      <c r="P72" s="2" t="s">
        <v>32</v>
      </c>
      <c r="R72" s="2" t="s">
        <v>53</v>
      </c>
      <c r="X72" s="33"/>
    </row>
    <row r="73" spans="1:24" x14ac:dyDescent="0.25">
      <c r="A73">
        <v>100</v>
      </c>
      <c r="B73" s="4">
        <f>$AP$17</f>
        <v>9.8649222295762549</v>
      </c>
      <c r="C73" s="80">
        <f>10.079*LN($B$73)-10.259</f>
        <v>12.811682394964919</v>
      </c>
      <c r="D73" s="78">
        <f>10.37*LN($B$73)-12.257</f>
        <v>11.479777104453438</v>
      </c>
      <c r="E73" s="78">
        <f>11.916*LN($B$73)-20.097</f>
        <v>7.1785483101896972</v>
      </c>
      <c r="F73" s="78">
        <f>13.337*LN($B$73)-24.57</f>
        <v>5.9581963589291718</v>
      </c>
      <c r="G73" s="78">
        <f>13.389*LN($B$73)-27.864</f>
        <v>2.7832235922398318</v>
      </c>
      <c r="H73" s="79">
        <f>16.277*LN($B$73)-44.384</f>
        <v>-7.1261869885063973</v>
      </c>
      <c r="I73" s="2"/>
      <c r="J73" s="33"/>
      <c r="L73" s="71">
        <f>C73+11</f>
        <v>23.811682394964919</v>
      </c>
      <c r="M73" s="72">
        <f t="shared" ref="M73:Q73" si="28">D73+11</f>
        <v>22.47977710445344</v>
      </c>
      <c r="N73" s="72">
        <f t="shared" si="28"/>
        <v>18.178548310189697</v>
      </c>
      <c r="O73" s="72">
        <f t="shared" si="28"/>
        <v>16.958196358929172</v>
      </c>
      <c r="P73" s="72">
        <f t="shared" si="28"/>
        <v>13.783223592239832</v>
      </c>
      <c r="Q73" s="73">
        <f t="shared" si="28"/>
        <v>3.8738130114936027</v>
      </c>
      <c r="X73" s="33"/>
    </row>
    <row r="74" spans="1:24" x14ac:dyDescent="0.25">
      <c r="A74">
        <v>80</v>
      </c>
      <c r="B74" s="4">
        <f>$AX$17</f>
        <v>13.647409650710198</v>
      </c>
      <c r="C74" s="81">
        <f>13.01*LN($B$74)-27.05</f>
        <v>6.9522820451135736</v>
      </c>
      <c r="D74" s="82">
        <f>10.55*LN($B$74)-12.216</f>
        <v>15.356949698381881</v>
      </c>
      <c r="E74" s="82">
        <f>12.606*LN($B$74)-20.131</f>
        <v>12.815407952398289</v>
      </c>
      <c r="F74" s="82">
        <f>11.475*LN($B$74)-13.656</f>
        <v>16.334483202742376</v>
      </c>
      <c r="G74" s="82">
        <f>11.905*LN($B$74)-16.208</f>
        <v>14.906309588553199</v>
      </c>
      <c r="H74" s="83">
        <f>18.067*LN($B$74)-50.225</f>
        <v>-3.0059969478042277</v>
      </c>
      <c r="J74" s="33"/>
      <c r="L74" s="65">
        <f t="shared" ref="L74:L76" si="29">C74+11</f>
        <v>17.952282045113574</v>
      </c>
      <c r="M74" s="33">
        <f t="shared" ref="M74:M76" si="30">D74+11</f>
        <v>26.356949698381882</v>
      </c>
      <c r="N74" s="33">
        <f t="shared" ref="N74:N76" si="31">E74+11</f>
        <v>23.815407952398289</v>
      </c>
      <c r="O74" s="33">
        <f t="shared" ref="O74:O76" si="32">F74+11</f>
        <v>27.334483202742376</v>
      </c>
      <c r="P74" s="33">
        <f t="shared" ref="P74:P76" si="33">G74+11</f>
        <v>25.906309588553199</v>
      </c>
      <c r="Q74" s="74">
        <f t="shared" ref="Q74:Q76" si="34">H74+11</f>
        <v>7.9940030521957723</v>
      </c>
    </row>
    <row r="75" spans="1:24" x14ac:dyDescent="0.25">
      <c r="A75">
        <v>60</v>
      </c>
      <c r="B75" s="4">
        <f>$BF$17</f>
        <v>22.223696085400103</v>
      </c>
      <c r="C75" s="81">
        <f>10.55*LN($B$75)-15.216</f>
        <v>17.501228619525456</v>
      </c>
      <c r="D75" s="82">
        <f>10.55*LN($B$75)-13.216</f>
        <v>19.501228619525456</v>
      </c>
      <c r="E75" s="82">
        <f>12.828*LN($B$75)-22.306</f>
        <v>17.475669074054263</v>
      </c>
      <c r="F75" s="82">
        <f>12.606*LN($B$75)-20.131</f>
        <v>18.96221175144435</v>
      </c>
      <c r="G75" s="82">
        <f>12.529*LN($B$75)-20.692</f>
        <v>18.162422499908473</v>
      </c>
      <c r="H75" s="83">
        <f>18.767*LN($B$75)-54.173</f>
        <v>4.0264530334250352</v>
      </c>
      <c r="J75" s="33"/>
      <c r="L75" s="65">
        <f t="shared" si="29"/>
        <v>28.501228619525456</v>
      </c>
      <c r="M75" s="33">
        <f t="shared" si="30"/>
        <v>30.501228619525456</v>
      </c>
      <c r="N75" s="33">
        <f t="shared" si="31"/>
        <v>28.475669074054263</v>
      </c>
      <c r="O75" s="33">
        <f t="shared" si="32"/>
        <v>29.96221175144435</v>
      </c>
      <c r="P75" s="33">
        <f t="shared" si="33"/>
        <v>29.162422499908473</v>
      </c>
      <c r="Q75" s="74">
        <f t="shared" si="34"/>
        <v>15.026453033425035</v>
      </c>
    </row>
    <row r="76" spans="1:24" x14ac:dyDescent="0.25">
      <c r="A76">
        <v>40</v>
      </c>
      <c r="B76" s="4">
        <f>$BN$17</f>
        <v>44.337231399791456</v>
      </c>
      <c r="C76" s="84">
        <f>10.55*LN($B$76)-16.977</f>
        <v>23.026751239094072</v>
      </c>
      <c r="D76" s="85">
        <f>10.55*LN($B$76)-14.977</f>
        <v>25.026751239094072</v>
      </c>
      <c r="E76" s="85">
        <f>12.828*LN($B$76)-24.066</f>
        <v>24.575528046928785</v>
      </c>
      <c r="F76" s="85">
        <f>12.561*LN($B$76)-21.735</f>
        <v>25.89411083547494</v>
      </c>
      <c r="G76" s="85">
        <f>12.529*LN($B$76)-22.452</f>
        <v>25.055772443090955</v>
      </c>
      <c r="H76" s="86">
        <f>18.766*LN($B$76)-55.933</f>
        <v>15.224383483681443</v>
      </c>
      <c r="J76" s="33"/>
      <c r="L76" s="75">
        <f t="shared" si="29"/>
        <v>34.026751239094068</v>
      </c>
      <c r="M76" s="76">
        <f t="shared" si="30"/>
        <v>36.026751239094068</v>
      </c>
      <c r="N76" s="76">
        <f t="shared" si="31"/>
        <v>35.575528046928781</v>
      </c>
      <c r="O76" s="76">
        <f t="shared" si="32"/>
        <v>36.89411083547494</v>
      </c>
      <c r="P76" s="76">
        <f t="shared" si="33"/>
        <v>36.055772443090959</v>
      </c>
      <c r="Q76" s="77">
        <f t="shared" si="34"/>
        <v>26.224383483681443</v>
      </c>
    </row>
    <row r="77" spans="1:24" x14ac:dyDescent="0.25">
      <c r="B77" s="4"/>
      <c r="C77">
        <v>-16</v>
      </c>
      <c r="D77">
        <v>-9</v>
      </c>
      <c r="E77">
        <v>-3</v>
      </c>
      <c r="F77">
        <v>0</v>
      </c>
      <c r="G77">
        <v>1</v>
      </c>
      <c r="H77">
        <v>1</v>
      </c>
      <c r="J77" s="33"/>
      <c r="L77">
        <v>-16</v>
      </c>
      <c r="M77">
        <v>-9</v>
      </c>
      <c r="N77">
        <v>-3</v>
      </c>
      <c r="O77">
        <v>0</v>
      </c>
      <c r="P77">
        <v>1</v>
      </c>
      <c r="Q77">
        <v>1</v>
      </c>
    </row>
    <row r="78" spans="1:24" x14ac:dyDescent="0.25">
      <c r="B78" s="4"/>
      <c r="C78" s="33"/>
      <c r="D78" s="33"/>
      <c r="E78" s="33"/>
      <c r="F78" s="33"/>
      <c r="G78" s="33"/>
      <c r="H78" s="92"/>
      <c r="I78" s="2" t="s">
        <v>44</v>
      </c>
      <c r="J78" s="33"/>
      <c r="K78" s="2"/>
      <c r="P78" s="2" t="s">
        <v>44</v>
      </c>
      <c r="R78" s="2" t="s">
        <v>44</v>
      </c>
    </row>
    <row r="79" spans="1:24" x14ac:dyDescent="0.25">
      <c r="B79" s="69">
        <v>1</v>
      </c>
      <c r="C79" s="71">
        <f t="shared" ref="C79:H79" si="35">C73+C$40</f>
        <v>-3.1883176050350812</v>
      </c>
      <c r="D79" s="72">
        <f t="shared" si="35"/>
        <v>2.4797771044534382</v>
      </c>
      <c r="E79" s="72">
        <f t="shared" si="35"/>
        <v>4.1785483101896972</v>
      </c>
      <c r="F79" s="72">
        <f t="shared" si="35"/>
        <v>5.9581963589291718</v>
      </c>
      <c r="G79" s="72">
        <f t="shared" si="35"/>
        <v>3.7832235922398318</v>
      </c>
      <c r="H79" s="73">
        <f t="shared" si="35"/>
        <v>-6.1261869885063973</v>
      </c>
      <c r="I79" s="87">
        <f>10*LOG(10^(C79/10)+10^(D79/10)+10^(E79/10)+10^(F79/10)+10^(G79/10)+10^(H79/10))</f>
        <v>10.585687457471218</v>
      </c>
      <c r="J79" s="33"/>
      <c r="L79" s="71">
        <f t="shared" ref="L79:Q82" si="36">L73+L$77</f>
        <v>7.8116823949649188</v>
      </c>
      <c r="M79" s="72">
        <f t="shared" si="36"/>
        <v>13.47977710445344</v>
      </c>
      <c r="N79" s="72">
        <f t="shared" si="36"/>
        <v>15.178548310189697</v>
      </c>
      <c r="O79" s="72">
        <f t="shared" si="36"/>
        <v>16.958196358929172</v>
      </c>
      <c r="P79" s="72">
        <f t="shared" si="36"/>
        <v>14.783223592239832</v>
      </c>
      <c r="Q79" s="73">
        <f t="shared" si="36"/>
        <v>4.8738130114936027</v>
      </c>
      <c r="R79" s="87">
        <f>10*LOG(10^(L79/10)+10^(M79/10)+10^(N79/10)+10^(O79/10)+10^(P79/10)+10^(Q79/10))</f>
        <v>21.58568745747122</v>
      </c>
    </row>
    <row r="80" spans="1:24" x14ac:dyDescent="0.25">
      <c r="B80" s="69">
        <v>0.8</v>
      </c>
      <c r="C80" s="65">
        <f t="shared" ref="C80:H80" si="37">C74+C$40</f>
        <v>-9.0477179548864264</v>
      </c>
      <c r="D80" s="33">
        <f t="shared" si="37"/>
        <v>6.3569496983818805</v>
      </c>
      <c r="E80" s="33">
        <f t="shared" si="37"/>
        <v>9.8154079523982887</v>
      </c>
      <c r="F80" s="33">
        <f t="shared" si="37"/>
        <v>16.334483202742376</v>
      </c>
      <c r="G80" s="33">
        <f t="shared" si="37"/>
        <v>15.906309588553199</v>
      </c>
      <c r="H80" s="74">
        <f t="shared" si="37"/>
        <v>-2.0059969478042277</v>
      </c>
      <c r="I80" s="87">
        <f>10*LOG(10^(C80/10)+10^(D80/10)+10^(E80/10)+10^(F80/10)+10^(G80/10)+10^(H80/10))</f>
        <v>19.850654888071244</v>
      </c>
      <c r="J80" s="33"/>
      <c r="L80" s="65">
        <f t="shared" si="36"/>
        <v>1.9522820451135736</v>
      </c>
      <c r="M80" s="33">
        <f t="shared" si="36"/>
        <v>17.356949698381882</v>
      </c>
      <c r="N80" s="33">
        <f t="shared" si="36"/>
        <v>20.815407952398289</v>
      </c>
      <c r="O80" s="33">
        <f t="shared" si="36"/>
        <v>27.334483202742376</v>
      </c>
      <c r="P80" s="33">
        <f t="shared" si="36"/>
        <v>26.906309588553199</v>
      </c>
      <c r="Q80" s="74">
        <f t="shared" si="36"/>
        <v>8.9940030521957723</v>
      </c>
      <c r="R80" s="87">
        <f>10*LOG(10^(L80/10)+10^(M80/10)+10^(N80/10)+10^(O80/10)+10^(P80/10)+10^(Q80/10))</f>
        <v>30.850654888071247</v>
      </c>
    </row>
    <row r="81" spans="1:18" x14ac:dyDescent="0.25">
      <c r="B81" s="69">
        <v>0.6</v>
      </c>
      <c r="C81" s="65">
        <f t="shared" ref="C81:H81" si="38">C75+C$40</f>
        <v>1.5012286195254561</v>
      </c>
      <c r="D81" s="33">
        <f t="shared" si="38"/>
        <v>10.501228619525456</v>
      </c>
      <c r="E81" s="33">
        <f t="shared" si="38"/>
        <v>14.475669074054263</v>
      </c>
      <c r="F81" s="33">
        <f t="shared" si="38"/>
        <v>18.96221175144435</v>
      </c>
      <c r="G81" s="33">
        <f t="shared" si="38"/>
        <v>19.162422499908473</v>
      </c>
      <c r="H81" s="74">
        <f t="shared" si="38"/>
        <v>5.0264530334250352</v>
      </c>
      <c r="I81" s="87">
        <f>10*LOG(10^(C81/10)+10^(D81/10)+10^(E81/10)+10^(F81/10)+10^(G81/10)+10^(H81/10))</f>
        <v>23.118570928202466</v>
      </c>
      <c r="J81" s="33"/>
      <c r="L81" s="65">
        <f t="shared" si="36"/>
        <v>12.501228619525456</v>
      </c>
      <c r="M81" s="33">
        <f t="shared" si="36"/>
        <v>21.501228619525456</v>
      </c>
      <c r="N81" s="33">
        <f t="shared" si="36"/>
        <v>25.475669074054263</v>
      </c>
      <c r="O81" s="33">
        <f t="shared" si="36"/>
        <v>29.96221175144435</v>
      </c>
      <c r="P81" s="33">
        <f t="shared" si="36"/>
        <v>30.162422499908473</v>
      </c>
      <c r="Q81" s="74">
        <f t="shared" si="36"/>
        <v>16.026453033425035</v>
      </c>
      <c r="R81" s="87">
        <f>10*LOG(10^(L81/10)+10^(M81/10)+10^(N81/10)+10^(O81/10)+10^(P81/10)+10^(Q81/10))</f>
        <v>34.118570928202466</v>
      </c>
    </row>
    <row r="82" spans="1:18" x14ac:dyDescent="0.25">
      <c r="B82" s="69">
        <v>0.4</v>
      </c>
      <c r="C82" s="75">
        <f t="shared" ref="C82:H82" si="39">C76+C$40</f>
        <v>7.0267512390940716</v>
      </c>
      <c r="D82" s="76">
        <f t="shared" si="39"/>
        <v>16.026751239094072</v>
      </c>
      <c r="E82" s="76">
        <f t="shared" si="39"/>
        <v>21.575528046928785</v>
      </c>
      <c r="F82" s="76">
        <f t="shared" si="39"/>
        <v>25.89411083547494</v>
      </c>
      <c r="G82" s="76">
        <f t="shared" si="39"/>
        <v>26.055772443090955</v>
      </c>
      <c r="H82" s="77">
        <f t="shared" si="39"/>
        <v>16.224383483681443</v>
      </c>
      <c r="I82" s="87">
        <f>10*LOG(10^(C82/10)+10^(D82/10)+10^(E82/10)+10^(F82/10)+10^(G82/10)+10^(H82/10))</f>
        <v>30.096733286206586</v>
      </c>
      <c r="J82" s="33"/>
      <c r="L82" s="75">
        <f t="shared" si="36"/>
        <v>18.026751239094068</v>
      </c>
      <c r="M82" s="76">
        <f t="shared" si="36"/>
        <v>27.026751239094068</v>
      </c>
      <c r="N82" s="76">
        <f t="shared" si="36"/>
        <v>32.575528046928781</v>
      </c>
      <c r="O82" s="76">
        <f t="shared" si="36"/>
        <v>36.89411083547494</v>
      </c>
      <c r="P82" s="76">
        <f t="shared" si="36"/>
        <v>37.055772443090959</v>
      </c>
      <c r="Q82" s="77">
        <f t="shared" si="36"/>
        <v>27.224383483681443</v>
      </c>
      <c r="R82" s="87">
        <f>10*LOG(10^(L82/10)+10^(M82/10)+10^(N82/10)+10^(O82/10)+10^(P82/10)+10^(Q82/10))</f>
        <v>41.096733286206586</v>
      </c>
    </row>
    <row r="84" spans="1:18" x14ac:dyDescent="0.25">
      <c r="A84" t="s">
        <v>45</v>
      </c>
      <c r="C84" s="67">
        <v>125</v>
      </c>
      <c r="D84" s="67">
        <v>250</v>
      </c>
      <c r="E84" s="67">
        <v>500</v>
      </c>
      <c r="F84" s="67">
        <v>1000</v>
      </c>
      <c r="G84" s="67">
        <v>2000</v>
      </c>
      <c r="H84" s="67">
        <v>4000</v>
      </c>
      <c r="L84" s="67">
        <v>125</v>
      </c>
      <c r="M84" s="67">
        <v>250</v>
      </c>
      <c r="N84" s="67">
        <v>500</v>
      </c>
      <c r="O84" s="67">
        <v>1000</v>
      </c>
      <c r="P84" s="67">
        <v>2000</v>
      </c>
      <c r="Q84" s="67">
        <v>4000</v>
      </c>
      <c r="R84" s="2" t="s">
        <v>43</v>
      </c>
    </row>
    <row r="85" spans="1:18" x14ac:dyDescent="0.25">
      <c r="A85">
        <v>100</v>
      </c>
      <c r="B85">
        <f>B73</f>
        <v>9.8649222295762549</v>
      </c>
      <c r="C85" s="71">
        <f t="shared" ref="C85:H88" si="40">MAX(C73,0)</f>
        <v>12.811682394964919</v>
      </c>
      <c r="D85" s="72">
        <f t="shared" si="40"/>
        <v>11.479777104453438</v>
      </c>
      <c r="E85" s="72">
        <f t="shared" si="40"/>
        <v>7.1785483101896972</v>
      </c>
      <c r="F85" s="72">
        <f t="shared" si="40"/>
        <v>5.9581963589291718</v>
      </c>
      <c r="G85" s="72">
        <f t="shared" si="40"/>
        <v>2.7832235922398318</v>
      </c>
      <c r="H85" s="73">
        <f t="shared" si="40"/>
        <v>0</v>
      </c>
      <c r="K85" s="69">
        <v>1</v>
      </c>
      <c r="L85" s="71">
        <f>-33.98+1.31*L73</f>
        <v>-2.7866960625959507</v>
      </c>
      <c r="M85" s="72">
        <f>-20.2+1.2*M73</f>
        <v>6.7757325253441287</v>
      </c>
      <c r="N85" s="72">
        <f>-9.73+1.11*N73</f>
        <v>10.448188624310564</v>
      </c>
      <c r="O85" s="72">
        <f>-2.74+1.03*O73</f>
        <v>14.726942249697048</v>
      </c>
      <c r="P85" s="72">
        <f>0.6+1*P73</f>
        <v>14.383223592239831</v>
      </c>
      <c r="Q85" s="73">
        <f>3.63+0.97*Q73</f>
        <v>7.3875986211487943</v>
      </c>
      <c r="R85" s="93">
        <f>IF(MAX(L85:Q85)&lt;14.5, "&lt; 15", MAX(L85:Q85))</f>
        <v>14.726942249697048</v>
      </c>
    </row>
    <row r="86" spans="1:18" x14ac:dyDescent="0.25">
      <c r="A86">
        <v>80</v>
      </c>
      <c r="B86">
        <f>B74</f>
        <v>13.647409650710198</v>
      </c>
      <c r="C86" s="65">
        <f t="shared" si="40"/>
        <v>6.9522820451135736</v>
      </c>
      <c r="D86" s="33">
        <f t="shared" si="40"/>
        <v>15.356949698381881</v>
      </c>
      <c r="E86" s="33">
        <f t="shared" si="40"/>
        <v>12.815407952398289</v>
      </c>
      <c r="F86" s="33">
        <f t="shared" si="40"/>
        <v>16.334483202742376</v>
      </c>
      <c r="G86" s="33">
        <f t="shared" si="40"/>
        <v>14.906309588553199</v>
      </c>
      <c r="H86" s="74">
        <f t="shared" si="40"/>
        <v>0</v>
      </c>
      <c r="K86" s="69">
        <v>0.8</v>
      </c>
      <c r="L86" s="65">
        <f>-33.98+1.31*L74</f>
        <v>-10.462510520901215</v>
      </c>
      <c r="M86" s="33">
        <f>-20.2+1.2*M74</f>
        <v>11.428339638058258</v>
      </c>
      <c r="N86" s="33">
        <f>-9.73+1.11*N74</f>
        <v>16.705102827162101</v>
      </c>
      <c r="O86" s="33">
        <f>-2.74+1.03*O74</f>
        <v>25.414517698824646</v>
      </c>
      <c r="P86" s="33">
        <f>0.6+1*P74</f>
        <v>26.506309588553201</v>
      </c>
      <c r="Q86" s="74">
        <f>3.63+0.97*Q74</f>
        <v>11.3841829606299</v>
      </c>
      <c r="R86" s="93">
        <f t="shared" ref="R86:R88" si="41">IF(MAX(L86:Q86)&lt;14.5, "&lt; 15", MAX(L86:Q86))</f>
        <v>26.506309588553201</v>
      </c>
    </row>
    <row r="87" spans="1:18" x14ac:dyDescent="0.25">
      <c r="A87">
        <v>60</v>
      </c>
      <c r="B87">
        <f>B75</f>
        <v>22.223696085400103</v>
      </c>
      <c r="C87" s="65">
        <f t="shared" si="40"/>
        <v>17.501228619525456</v>
      </c>
      <c r="D87" s="33">
        <f t="shared" si="40"/>
        <v>19.501228619525456</v>
      </c>
      <c r="E87" s="33">
        <f t="shared" si="40"/>
        <v>17.475669074054263</v>
      </c>
      <c r="F87" s="33">
        <f t="shared" si="40"/>
        <v>18.96221175144435</v>
      </c>
      <c r="G87" s="33">
        <f t="shared" si="40"/>
        <v>18.162422499908473</v>
      </c>
      <c r="H87" s="74">
        <f t="shared" si="40"/>
        <v>4.0264530334250352</v>
      </c>
      <c r="K87" s="69">
        <v>0.6</v>
      </c>
      <c r="L87" s="65">
        <f>-33.98+1.31*L75</f>
        <v>3.3566094915783538</v>
      </c>
      <c r="M87" s="33">
        <f>-20.2+1.2*M75</f>
        <v>16.401474343430547</v>
      </c>
      <c r="N87" s="33">
        <f>-9.73+1.11*N75</f>
        <v>21.877992672200236</v>
      </c>
      <c r="O87" s="33">
        <f>-2.74+1.03*O75</f>
        <v>28.121078103987678</v>
      </c>
      <c r="P87" s="33">
        <f>0.6+1*P75</f>
        <v>29.762422499908475</v>
      </c>
      <c r="Q87" s="74">
        <f>3.63+0.97*Q75</f>
        <v>18.205659442422284</v>
      </c>
      <c r="R87" s="93">
        <f t="shared" si="41"/>
        <v>29.762422499908475</v>
      </c>
    </row>
    <row r="88" spans="1:18" x14ac:dyDescent="0.25">
      <c r="A88">
        <v>40</v>
      </c>
      <c r="B88">
        <f>B76</f>
        <v>44.337231399791456</v>
      </c>
      <c r="C88" s="75">
        <f t="shared" si="40"/>
        <v>23.026751239094072</v>
      </c>
      <c r="D88" s="76">
        <f t="shared" si="40"/>
        <v>25.026751239094072</v>
      </c>
      <c r="E88" s="76">
        <f t="shared" si="40"/>
        <v>24.575528046928785</v>
      </c>
      <c r="F88" s="76">
        <f t="shared" si="40"/>
        <v>25.89411083547494</v>
      </c>
      <c r="G88" s="76">
        <f t="shared" si="40"/>
        <v>25.055772443090955</v>
      </c>
      <c r="H88" s="77">
        <f t="shared" si="40"/>
        <v>15.224383483681443</v>
      </c>
      <c r="K88" s="69">
        <v>0.4</v>
      </c>
      <c r="L88" s="75">
        <f>-33.98+1.31*L76</f>
        <v>10.595044123213235</v>
      </c>
      <c r="M88" s="76">
        <f>-20.2+1.2*M76</f>
        <v>23.032101486912882</v>
      </c>
      <c r="N88" s="76">
        <f>-9.73+1.11*N76</f>
        <v>29.758836132090952</v>
      </c>
      <c r="O88" s="76">
        <f>-2.74+1.03*O76</f>
        <v>35.260934160539186</v>
      </c>
      <c r="P88" s="76">
        <f>0.6+1*P76</f>
        <v>36.65577244309096</v>
      </c>
      <c r="Q88" s="77">
        <f>3.63+0.97*Q76</f>
        <v>29.067651979170996</v>
      </c>
      <c r="R88" s="93">
        <f t="shared" si="41"/>
        <v>36.65577244309096</v>
      </c>
    </row>
    <row r="92" spans="1:18" x14ac:dyDescent="0.25">
      <c r="A92" t="s">
        <v>52</v>
      </c>
      <c r="B92" s="69">
        <v>1</v>
      </c>
      <c r="C92" s="71">
        <f>IF(C85&gt;=5,C85,"&lt;5")</f>
        <v>12.811682394964919</v>
      </c>
      <c r="D92" s="72">
        <f>IF(D85&gt;=5,D85,"&lt;5")</f>
        <v>11.479777104453438</v>
      </c>
      <c r="E92" s="72">
        <f>IF(E85&gt;=5,E85,"&lt;5")</f>
        <v>7.1785483101896972</v>
      </c>
      <c r="F92" s="72">
        <f>IF(F85&gt;=5,F85,"&lt;5")</f>
        <v>5.9581963589291718</v>
      </c>
      <c r="G92" s="72" t="str">
        <f>IF(G85&gt;5,G85,"&lt;5")</f>
        <v>&lt;5</v>
      </c>
      <c r="H92" s="73" t="str">
        <f>IF(H85&gt;5,H85,"&lt;5")</f>
        <v>&lt;5</v>
      </c>
    </row>
    <row r="93" spans="1:18" x14ac:dyDescent="0.25">
      <c r="B93" s="69">
        <v>0.8</v>
      </c>
      <c r="C93" s="65">
        <f t="shared" ref="C93:H93" si="42">IF(C86&gt;=5,C86,"&lt;5")</f>
        <v>6.9522820451135736</v>
      </c>
      <c r="D93" s="33">
        <f t="shared" si="42"/>
        <v>15.356949698381881</v>
      </c>
      <c r="E93" s="33">
        <f t="shared" si="42"/>
        <v>12.815407952398289</v>
      </c>
      <c r="F93" s="33">
        <f t="shared" si="42"/>
        <v>16.334483202742376</v>
      </c>
      <c r="G93" s="33">
        <f t="shared" si="42"/>
        <v>14.906309588553199</v>
      </c>
      <c r="H93" s="74" t="str">
        <f t="shared" si="42"/>
        <v>&lt;5</v>
      </c>
    </row>
    <row r="94" spans="1:18" x14ac:dyDescent="0.25">
      <c r="B94" s="69">
        <v>0.6</v>
      </c>
      <c r="C94" s="65">
        <f t="shared" ref="C94:H94" si="43">IF(C87&gt;=5,C87,"&lt;5")</f>
        <v>17.501228619525456</v>
      </c>
      <c r="D94" s="33">
        <f t="shared" si="43"/>
        <v>19.501228619525456</v>
      </c>
      <c r="E94" s="33">
        <f t="shared" si="43"/>
        <v>17.475669074054263</v>
      </c>
      <c r="F94" s="33">
        <f t="shared" si="43"/>
        <v>18.96221175144435</v>
      </c>
      <c r="G94" s="33">
        <f t="shared" si="43"/>
        <v>18.162422499908473</v>
      </c>
      <c r="H94" s="74" t="str">
        <f t="shared" si="43"/>
        <v>&lt;5</v>
      </c>
    </row>
    <row r="95" spans="1:18" x14ac:dyDescent="0.25">
      <c r="B95" s="69">
        <v>0.4</v>
      </c>
      <c r="C95" s="75">
        <f t="shared" ref="C95:H95" si="44">IF(C88&gt;=5,C88,"&lt;5")</f>
        <v>23.026751239094072</v>
      </c>
      <c r="D95" s="76">
        <f t="shared" si="44"/>
        <v>25.026751239094072</v>
      </c>
      <c r="E95" s="76">
        <f t="shared" si="44"/>
        <v>24.575528046928785</v>
      </c>
      <c r="F95" s="76">
        <f t="shared" si="44"/>
        <v>25.89411083547494</v>
      </c>
      <c r="G95" s="76">
        <f t="shared" si="44"/>
        <v>25.055772443090955</v>
      </c>
      <c r="H95" s="77">
        <f t="shared" si="44"/>
        <v>15.224383483681443</v>
      </c>
    </row>
    <row r="107" spans="1:9" x14ac:dyDescent="0.25">
      <c r="B107">
        <v>63</v>
      </c>
      <c r="C107">
        <v>125</v>
      </c>
      <c r="D107">
        <v>250</v>
      </c>
      <c r="E107">
        <v>500</v>
      </c>
      <c r="F107">
        <v>1000</v>
      </c>
      <c r="G107">
        <v>2000</v>
      </c>
      <c r="H107">
        <v>4000</v>
      </c>
      <c r="I107">
        <v>8000</v>
      </c>
    </row>
    <row r="108" spans="1:9" x14ac:dyDescent="0.25">
      <c r="A108" t="s">
        <v>47</v>
      </c>
      <c r="B108">
        <v>47</v>
      </c>
      <c r="C108">
        <v>36</v>
      </c>
      <c r="D108">
        <v>29</v>
      </c>
      <c r="E108">
        <v>22</v>
      </c>
      <c r="F108">
        <v>17</v>
      </c>
      <c r="G108">
        <v>14</v>
      </c>
      <c r="H108">
        <v>12</v>
      </c>
      <c r="I108">
        <v>11</v>
      </c>
    </row>
    <row r="109" spans="1:9" x14ac:dyDescent="0.25">
      <c r="A109" t="s">
        <v>48</v>
      </c>
      <c r="B109">
        <v>51</v>
      </c>
      <c r="C109">
        <v>41</v>
      </c>
      <c r="D109">
        <v>33</v>
      </c>
      <c r="E109">
        <v>26</v>
      </c>
      <c r="F109">
        <v>22</v>
      </c>
      <c r="G109">
        <v>19</v>
      </c>
      <c r="H109">
        <v>17</v>
      </c>
      <c r="I109">
        <v>16</v>
      </c>
    </row>
    <row r="110" spans="1:9" x14ac:dyDescent="0.25">
      <c r="A110" t="s">
        <v>49</v>
      </c>
      <c r="B110">
        <v>54</v>
      </c>
      <c r="C110">
        <v>45</v>
      </c>
      <c r="D110">
        <v>38</v>
      </c>
      <c r="E110">
        <v>31</v>
      </c>
      <c r="F110">
        <v>27</v>
      </c>
      <c r="G110">
        <v>24</v>
      </c>
      <c r="H110">
        <v>22</v>
      </c>
      <c r="I110">
        <v>21</v>
      </c>
    </row>
    <row r="111" spans="1:9" x14ac:dyDescent="0.25">
      <c r="A111" t="s">
        <v>50</v>
      </c>
      <c r="B111">
        <v>57</v>
      </c>
      <c r="C111">
        <v>48</v>
      </c>
      <c r="D111">
        <v>41</v>
      </c>
      <c r="E111">
        <v>35</v>
      </c>
      <c r="F111">
        <v>31</v>
      </c>
      <c r="G111">
        <v>29</v>
      </c>
      <c r="H111">
        <v>28</v>
      </c>
      <c r="I111">
        <v>27</v>
      </c>
    </row>
    <row r="112" spans="1:9" x14ac:dyDescent="0.25">
      <c r="A112" t="s">
        <v>51</v>
      </c>
      <c r="B112">
        <v>60</v>
      </c>
      <c r="C112">
        <v>53</v>
      </c>
      <c r="D112">
        <v>46</v>
      </c>
      <c r="E112">
        <v>40</v>
      </c>
      <c r="F112">
        <v>36</v>
      </c>
      <c r="G112">
        <v>34</v>
      </c>
      <c r="H112">
        <v>33</v>
      </c>
      <c r="I112">
        <v>32</v>
      </c>
    </row>
    <row r="130" spans="1:5" ht="20.25" thickBot="1" x14ac:dyDescent="0.35">
      <c r="A130" s="1" t="s">
        <v>96</v>
      </c>
    </row>
    <row r="131" spans="1:5" ht="15.75" thickTop="1" x14ac:dyDescent="0.25">
      <c r="B131" t="s">
        <v>103</v>
      </c>
    </row>
    <row r="132" spans="1:5" x14ac:dyDescent="0.25">
      <c r="A132" t="s">
        <v>97</v>
      </c>
      <c r="B132">
        <v>1</v>
      </c>
      <c r="C132" t="str">
        <f>IF(B132=1,"P","A")</f>
        <v>P</v>
      </c>
      <c r="D132" t="str">
        <f>IF(B132=1,"Polycarbonate","Aluminium")</f>
        <v>Polycarbonate</v>
      </c>
    </row>
    <row r="133" spans="1:5" x14ac:dyDescent="0.25">
      <c r="A133" t="s">
        <v>98</v>
      </c>
      <c r="B133">
        <v>1</v>
      </c>
      <c r="C133" t="str">
        <f>IF(B133=1,D133,"O")</f>
        <v>A1</v>
      </c>
      <c r="D133" t="str">
        <f>IF(B133=1,C10,"No basket")</f>
        <v>A1</v>
      </c>
    </row>
    <row r="134" spans="1:5" x14ac:dyDescent="0.25">
      <c r="A134" t="s">
        <v>99</v>
      </c>
      <c r="B134">
        <v>2</v>
      </c>
      <c r="C134" t="str">
        <f>IF(B134=1,"O","D")</f>
        <v>D</v>
      </c>
      <c r="D134" t="str">
        <f>IF(B134=1,"No damper","With Damper")</f>
        <v>With Damper</v>
      </c>
    </row>
    <row r="135" spans="1:5" x14ac:dyDescent="0.25">
      <c r="A135" t="s">
        <v>100</v>
      </c>
      <c r="B135">
        <v>2</v>
      </c>
      <c r="C135" t="str">
        <f>IF(B135=1,"O",IF(B135=2,"R","C"))</f>
        <v>R</v>
      </c>
      <c r="D135" t="str">
        <f>IF(B135=1,"No mounting ring",IF(B135=2,"With rubber collar","With claw fastener"))</f>
        <v>With rubber collar</v>
      </c>
    </row>
    <row r="136" spans="1:5" x14ac:dyDescent="0.25">
      <c r="A136" t="s">
        <v>101</v>
      </c>
      <c r="B136">
        <v>1</v>
      </c>
      <c r="C136" t="str">
        <f>IF(B136=1,"ST",IF(B136=2,"RAL9005","&lt;colour&gt;"))</f>
        <v>ST</v>
      </c>
      <c r="D136" t="str">
        <f>IF(B136=1,"Standard grey/alu finish",IF(B136=2,"RAL9003 (jet black)","custom colour"))</f>
        <v>Standard grey/alu finish</v>
      </c>
    </row>
    <row r="137" spans="1:5" x14ac:dyDescent="0.25">
      <c r="A137" t="s">
        <v>102</v>
      </c>
      <c r="B137">
        <v>1</v>
      </c>
      <c r="C137" t="str">
        <f>IF(B137=1,"O","K")</f>
        <v>O</v>
      </c>
      <c r="D137" t="str">
        <f>IF(B137=1, "No connection", "With connection box")</f>
        <v>No connection</v>
      </c>
    </row>
    <row r="139" spans="1:5" x14ac:dyDescent="0.25">
      <c r="A139" t="s">
        <v>108</v>
      </c>
      <c r="B139" s="183" t="str">
        <f>"SMARTEMP "&amp;"ASF-AD-"&amp;C132&amp;"-DN200"&amp;"-B"&amp;C133&amp;"-D"&amp;C134&amp;"-R"&amp;C135&amp;"-"&amp;C136&amp;"-"&amp;C137</f>
        <v>SMARTEMP ASF-AD-P-DN200-BA1-DD-RR-ST-O</v>
      </c>
      <c r="C139" s="183"/>
      <c r="D139" s="183"/>
      <c r="E139" s="183"/>
    </row>
  </sheetData>
  <sheetProtection selectLockedCells="1" selectUnlockedCells="1"/>
  <mergeCells count="2">
    <mergeCell ref="M30:N30"/>
    <mergeCell ref="B139:E139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1:W148"/>
  <sheetViews>
    <sheetView workbookViewId="0"/>
  </sheetViews>
  <sheetFormatPr defaultRowHeight="15" x14ac:dyDescent="0.25"/>
  <cols>
    <col min="1" max="1" width="7.140625" customWidth="1"/>
    <col min="3" max="3" width="29.5703125" customWidth="1"/>
    <col min="4" max="9" width="13.28515625" customWidth="1"/>
    <col min="11" max="11" width="29.5703125" customWidth="1"/>
    <col min="12" max="17" width="13.28515625" customWidth="1"/>
  </cols>
  <sheetData>
    <row r="1" spans="2:18" x14ac:dyDescent="0.25">
      <c r="B1" s="17"/>
      <c r="C1" s="17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</row>
    <row r="2" spans="2:18" ht="21" x14ac:dyDescent="0.35">
      <c r="B2" s="20"/>
      <c r="C2" s="21" t="s">
        <v>4</v>
      </c>
      <c r="D2" s="19"/>
      <c r="E2" s="19"/>
      <c r="F2" s="19"/>
      <c r="G2" s="19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2:18" ht="21" x14ac:dyDescent="0.35">
      <c r="B3" s="20"/>
      <c r="C3" s="23" t="s">
        <v>63</v>
      </c>
      <c r="D3" s="19"/>
      <c r="E3" s="19"/>
      <c r="F3" s="19"/>
      <c r="G3" s="19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4" spans="2:18" ht="22.5" x14ac:dyDescent="0.3">
      <c r="B4" s="20"/>
      <c r="C4" s="20"/>
      <c r="D4" s="24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</row>
    <row r="5" spans="2:18" x14ac:dyDescent="0.25"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</row>
    <row r="6" spans="2:18" ht="20.25" thickBot="1" x14ac:dyDescent="0.35">
      <c r="B6" s="96"/>
      <c r="C6" s="109" t="s">
        <v>13</v>
      </c>
      <c r="D6" s="96"/>
      <c r="E6" s="96"/>
      <c r="F6" s="96"/>
      <c r="G6" s="96"/>
      <c r="H6" s="96"/>
      <c r="I6" s="96"/>
      <c r="J6" s="96"/>
      <c r="K6" s="109" t="s">
        <v>14</v>
      </c>
      <c r="L6" s="96"/>
      <c r="M6" s="96"/>
      <c r="N6" s="96"/>
      <c r="O6" s="96"/>
      <c r="P6" s="96"/>
      <c r="Q6" s="96"/>
      <c r="R6" s="96"/>
    </row>
    <row r="7" spans="2:18" ht="15.75" thickTop="1" x14ac:dyDescent="0.25"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</row>
    <row r="8" spans="2:18" x14ac:dyDescent="0.25">
      <c r="B8" s="96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</row>
    <row r="9" spans="2:18" x14ac:dyDescent="0.25"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</row>
    <row r="10" spans="2:18" x14ac:dyDescent="0.25">
      <c r="B10" s="96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</row>
    <row r="11" spans="2:18" x14ac:dyDescent="0.25">
      <c r="B11" s="96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</row>
    <row r="12" spans="2:18" x14ac:dyDescent="0.25">
      <c r="B12" s="96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96"/>
      <c r="P12" s="96"/>
      <c r="Q12" s="96"/>
      <c r="R12" s="96"/>
    </row>
    <row r="13" spans="2:18" x14ac:dyDescent="0.25">
      <c r="B13" s="96"/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  <c r="N13" s="96"/>
      <c r="O13" s="96"/>
      <c r="P13" s="96"/>
      <c r="Q13" s="96"/>
      <c r="R13" s="96"/>
    </row>
    <row r="14" spans="2:18" x14ac:dyDescent="0.25">
      <c r="B14" s="96"/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96"/>
      <c r="R14" s="96"/>
    </row>
    <row r="15" spans="2:18" x14ac:dyDescent="0.25">
      <c r="B15" s="96"/>
      <c r="C15" s="96"/>
      <c r="D15" s="96"/>
      <c r="E15" s="96"/>
      <c r="F15" s="96"/>
      <c r="G15" s="96"/>
      <c r="H15" s="96"/>
      <c r="I15" s="96"/>
      <c r="J15" s="96"/>
      <c r="K15" s="96"/>
      <c r="L15" s="96"/>
      <c r="M15" s="96"/>
      <c r="N15" s="96"/>
      <c r="O15" s="96"/>
      <c r="P15" s="96"/>
      <c r="Q15" s="96"/>
      <c r="R15" s="96"/>
    </row>
    <row r="16" spans="2:18" x14ac:dyDescent="0.25">
      <c r="B16" s="96"/>
      <c r="C16" s="96"/>
      <c r="D16" s="96"/>
      <c r="E16" s="96"/>
      <c r="F16" s="96"/>
      <c r="G16" s="96"/>
      <c r="H16" s="96"/>
      <c r="I16" s="96"/>
      <c r="J16" s="96"/>
      <c r="K16" s="96"/>
      <c r="L16" s="96"/>
      <c r="M16" s="96"/>
      <c r="N16" s="96"/>
      <c r="O16" s="96"/>
      <c r="P16" s="96"/>
      <c r="Q16" s="96"/>
      <c r="R16" s="96"/>
    </row>
    <row r="17" spans="2:23" x14ac:dyDescent="0.25">
      <c r="B17" s="96"/>
      <c r="C17" s="96"/>
      <c r="D17" s="96"/>
      <c r="E17" s="96"/>
      <c r="F17" s="96"/>
      <c r="G17" s="96"/>
      <c r="H17" s="96"/>
      <c r="I17" s="96"/>
      <c r="J17" s="96"/>
      <c r="K17" s="96"/>
      <c r="L17" s="96"/>
      <c r="M17" s="96"/>
      <c r="N17" s="96"/>
      <c r="O17" s="96"/>
      <c r="P17" s="96"/>
      <c r="Q17" s="96"/>
      <c r="R17" s="96"/>
    </row>
    <row r="18" spans="2:23" x14ac:dyDescent="0.25">
      <c r="B18" s="96"/>
      <c r="C18" s="96"/>
      <c r="D18" s="96"/>
      <c r="E18" s="96"/>
      <c r="F18" s="96"/>
      <c r="G18" s="96"/>
      <c r="H18" s="96"/>
      <c r="I18" s="96"/>
      <c r="J18" s="96"/>
      <c r="K18" s="96"/>
      <c r="L18" s="96"/>
      <c r="M18" s="96"/>
      <c r="N18" s="96"/>
      <c r="O18" s="96"/>
      <c r="P18" s="96"/>
      <c r="Q18" s="96"/>
      <c r="R18" s="96"/>
    </row>
    <row r="19" spans="2:23" x14ac:dyDescent="0.25">
      <c r="B19" s="96"/>
      <c r="C19" s="96"/>
      <c r="D19" s="96"/>
      <c r="E19" s="96"/>
      <c r="F19" s="96"/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6"/>
    </row>
    <row r="20" spans="2:23" x14ac:dyDescent="0.25"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</row>
    <row r="21" spans="2:23" x14ac:dyDescent="0.25">
      <c r="B21" s="96"/>
      <c r="C21" s="96"/>
      <c r="D21" s="96"/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</row>
    <row r="22" spans="2:23" x14ac:dyDescent="0.25">
      <c r="B22" s="96"/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R22" s="96"/>
    </row>
    <row r="23" spans="2:23" x14ac:dyDescent="0.25">
      <c r="B23" s="96"/>
      <c r="C23" s="96"/>
      <c r="D23" s="96"/>
      <c r="E23" s="96"/>
      <c r="F23" s="96"/>
      <c r="G23" s="96"/>
      <c r="H23" s="96"/>
      <c r="I23" s="96"/>
      <c r="J23" s="96"/>
      <c r="K23" s="96"/>
      <c r="L23" s="96"/>
      <c r="M23" s="96"/>
      <c r="N23" s="96"/>
      <c r="O23" s="96"/>
      <c r="P23" s="96"/>
      <c r="Q23" s="96"/>
      <c r="R23" s="96"/>
    </row>
    <row r="24" spans="2:23" x14ac:dyDescent="0.25">
      <c r="B24" s="96"/>
      <c r="C24" s="96"/>
      <c r="D24" s="96"/>
      <c r="E24" s="96"/>
      <c r="F24" s="96"/>
      <c r="G24" s="96"/>
      <c r="H24" s="96"/>
      <c r="I24" s="96"/>
      <c r="J24" s="96"/>
      <c r="K24" s="96"/>
      <c r="L24" s="96"/>
      <c r="M24" s="96"/>
      <c r="N24" s="96"/>
      <c r="O24" s="96"/>
      <c r="P24" s="96"/>
      <c r="Q24" s="96"/>
      <c r="R24" s="96"/>
    </row>
    <row r="25" spans="2:23" ht="15.75" thickBot="1" x14ac:dyDescent="0.3">
      <c r="B25" s="96"/>
      <c r="C25" s="96"/>
      <c r="D25" s="97">
        <v>125</v>
      </c>
      <c r="E25" s="97">
        <v>250</v>
      </c>
      <c r="F25" s="97">
        <v>500</v>
      </c>
      <c r="G25" s="97">
        <v>1000</v>
      </c>
      <c r="H25" s="97">
        <v>2000</v>
      </c>
      <c r="I25" s="97">
        <v>4000</v>
      </c>
      <c r="J25" s="96"/>
      <c r="K25" s="96"/>
      <c r="L25" s="96"/>
      <c r="M25" s="96"/>
      <c r="N25" s="96"/>
      <c r="O25" s="96"/>
      <c r="P25" s="96"/>
      <c r="Q25" s="96"/>
      <c r="R25" s="96"/>
    </row>
    <row r="26" spans="2:23" x14ac:dyDescent="0.25">
      <c r="B26" s="96"/>
      <c r="C26" s="96"/>
      <c r="D26" s="110">
        <f>'ASF-ADequations'!L35</f>
        <v>31.272747374426604</v>
      </c>
      <c r="E26" s="110">
        <f>'ASF-ADequations'!M35</f>
        <v>28.19769966958718</v>
      </c>
      <c r="F26" s="110">
        <f>'ASF-ADequations'!N35</f>
        <v>28.340809268977555</v>
      </c>
      <c r="G26" s="110">
        <f>'ASF-ADequations'!O35</f>
        <v>20.586684142173574</v>
      </c>
      <c r="H26" s="110">
        <f>'ASF-ADequations'!P35</f>
        <v>16</v>
      </c>
      <c r="I26" s="110">
        <f>'ASF-ADequations'!Q35</f>
        <v>16</v>
      </c>
      <c r="J26" s="111"/>
      <c r="K26" s="96"/>
      <c r="L26" s="99">
        <f>'ASF-ADequations'!L73</f>
        <v>23.811682394964919</v>
      </c>
      <c r="M26" s="100">
        <f>'ASF-ADequations'!M73</f>
        <v>22.47977710445344</v>
      </c>
      <c r="N26" s="100">
        <f>'ASF-ADequations'!N73</f>
        <v>18.178548310189697</v>
      </c>
      <c r="O26" s="100">
        <f>'ASF-ADequations'!O73</f>
        <v>16.958196358929172</v>
      </c>
      <c r="P26" s="100">
        <f>'ASF-ADequations'!P73</f>
        <v>13.783223592239832</v>
      </c>
      <c r="Q26" s="100">
        <f>'ASF-ADequations'!Q73</f>
        <v>3.8738130114936027</v>
      </c>
      <c r="R26" s="96"/>
    </row>
    <row r="27" spans="2:23" x14ac:dyDescent="0.25">
      <c r="B27" s="96"/>
      <c r="C27" s="96"/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96"/>
      <c r="O27" s="96"/>
      <c r="P27" s="96"/>
      <c r="Q27" s="96"/>
      <c r="R27" s="96"/>
      <c r="W27" s="48"/>
    </row>
    <row r="28" spans="2:23" x14ac:dyDescent="0.25">
      <c r="B28" s="96"/>
      <c r="C28" s="96"/>
      <c r="D28" s="96"/>
      <c r="E28" s="96"/>
      <c r="F28" s="96"/>
      <c r="G28" s="96"/>
      <c r="H28" s="96"/>
      <c r="I28" s="96"/>
      <c r="J28" s="96"/>
      <c r="K28" s="96"/>
      <c r="L28" s="96"/>
      <c r="M28" s="96"/>
      <c r="N28" s="96"/>
      <c r="O28" s="96"/>
      <c r="P28" s="96"/>
      <c r="Q28" s="96"/>
      <c r="R28" s="96"/>
      <c r="W28" s="48"/>
    </row>
    <row r="29" spans="2:23" x14ac:dyDescent="0.25">
      <c r="B29" s="96"/>
      <c r="C29" s="96"/>
      <c r="D29" s="96"/>
      <c r="E29" s="96"/>
      <c r="F29" s="96"/>
      <c r="G29" s="96"/>
      <c r="H29" s="96"/>
      <c r="I29" s="96"/>
      <c r="J29" s="96"/>
      <c r="K29" s="96"/>
      <c r="L29" s="96"/>
      <c r="M29" s="96"/>
      <c r="N29" s="96"/>
      <c r="O29" s="96"/>
      <c r="P29" s="96"/>
      <c r="Q29" s="96"/>
      <c r="R29" s="96"/>
      <c r="W29" s="48"/>
    </row>
    <row r="30" spans="2:23" ht="17.25" customHeight="1" x14ac:dyDescent="0.25">
      <c r="B30" s="96"/>
      <c r="C30" s="112" t="s">
        <v>64</v>
      </c>
      <c r="D30" s="113" t="s">
        <v>34</v>
      </c>
      <c r="E30" s="113" t="s">
        <v>39</v>
      </c>
      <c r="F30" s="113" t="s">
        <v>38</v>
      </c>
      <c r="G30" s="113" t="s">
        <v>37</v>
      </c>
      <c r="H30" s="113" t="s">
        <v>36</v>
      </c>
      <c r="I30" s="114" t="s">
        <v>35</v>
      </c>
      <c r="J30" s="115"/>
      <c r="K30" s="135" t="s">
        <v>65</v>
      </c>
      <c r="L30" s="113" t="s">
        <v>34</v>
      </c>
      <c r="M30" s="134" t="s">
        <v>39</v>
      </c>
      <c r="N30" s="134" t="s">
        <v>38</v>
      </c>
      <c r="O30" s="134" t="s">
        <v>37</v>
      </c>
      <c r="P30" s="134" t="s">
        <v>36</v>
      </c>
      <c r="Q30" s="134" t="s">
        <v>35</v>
      </c>
      <c r="R30" s="96"/>
      <c r="W30" s="48"/>
    </row>
    <row r="31" spans="2:23" ht="17.25" customHeight="1" x14ac:dyDescent="0.25">
      <c r="B31" s="96"/>
      <c r="C31" s="138" t="s">
        <v>57</v>
      </c>
      <c r="D31" s="116">
        <f>'ASF-ADequations'!C57</f>
        <v>20.272747374426604</v>
      </c>
      <c r="E31" s="116">
        <f>'ASF-ADequations'!D57</f>
        <v>17.19769966958718</v>
      </c>
      <c r="F31" s="116">
        <f>'ASF-ADequations'!E57</f>
        <v>17.340809268977555</v>
      </c>
      <c r="G31" s="116">
        <f>'ASF-ADequations'!F57</f>
        <v>9.5866841421735742</v>
      </c>
      <c r="H31" s="116" t="str">
        <f>'ASF-ADequations'!G57</f>
        <v>&lt;5</v>
      </c>
      <c r="I31" s="116" t="str">
        <f>'ASF-ADequations'!H57</f>
        <v>&lt;5</v>
      </c>
      <c r="J31" s="117"/>
      <c r="K31" s="136" t="s">
        <v>57</v>
      </c>
      <c r="L31" s="126">
        <f>'ASF-ADequations'!C92</f>
        <v>12.811682394964919</v>
      </c>
      <c r="M31" s="133">
        <f>'ASF-ADequations'!D92</f>
        <v>11.479777104453438</v>
      </c>
      <c r="N31" s="133">
        <f>'ASF-ADequations'!E92</f>
        <v>7.1785483101896972</v>
      </c>
      <c r="O31" s="133">
        <f>'ASF-ADequations'!F92</f>
        <v>5.9581963589291718</v>
      </c>
      <c r="P31" s="133" t="str">
        <f>'ASF-ADequations'!G92</f>
        <v>&lt;5</v>
      </c>
      <c r="Q31" s="133" t="str">
        <f>'ASF-ADequations'!H92</f>
        <v>&lt;5</v>
      </c>
      <c r="R31" s="96"/>
    </row>
    <row r="32" spans="2:23" ht="17.25" customHeight="1" x14ac:dyDescent="0.25">
      <c r="B32" s="96"/>
      <c r="C32" s="137" t="s">
        <v>54</v>
      </c>
      <c r="D32" s="119">
        <f>'ASF-ADequations'!I42</f>
        <v>17.283693706734546</v>
      </c>
      <c r="E32" s="120"/>
      <c r="F32" s="121"/>
      <c r="G32" s="121"/>
      <c r="H32" s="122"/>
      <c r="I32" s="121"/>
      <c r="J32" s="123"/>
      <c r="K32" s="139" t="s">
        <v>54</v>
      </c>
      <c r="L32" s="140">
        <f>'ASF-ADequations'!I79</f>
        <v>10.585687457471218</v>
      </c>
      <c r="M32" s="96"/>
      <c r="N32" s="121"/>
      <c r="O32" s="121"/>
      <c r="P32" s="121"/>
      <c r="Q32" s="121"/>
      <c r="R32" s="101"/>
    </row>
    <row r="33" spans="2:18" ht="17.25" customHeight="1" x14ac:dyDescent="0.25">
      <c r="B33" s="96"/>
      <c r="C33" s="118" t="s">
        <v>55</v>
      </c>
      <c r="D33" s="119">
        <f>'ASF-ADequations'!R42</f>
        <v>28.283693706734546</v>
      </c>
      <c r="E33" s="124"/>
      <c r="F33" s="121"/>
      <c r="G33" s="121"/>
      <c r="H33" s="121"/>
      <c r="I33" s="125"/>
      <c r="J33" s="123"/>
      <c r="K33" s="118" t="s">
        <v>55</v>
      </c>
      <c r="L33" s="141">
        <f>'ASF-ADequations'!R79</f>
        <v>21.58568745747122</v>
      </c>
      <c r="M33" s="96"/>
      <c r="N33" s="121"/>
      <c r="O33" s="121"/>
      <c r="P33" s="121"/>
      <c r="Q33" s="125"/>
      <c r="R33" s="96"/>
    </row>
    <row r="34" spans="2:18" ht="17.25" customHeight="1" x14ac:dyDescent="0.25">
      <c r="B34" s="96"/>
      <c r="C34" s="118" t="s">
        <v>56</v>
      </c>
      <c r="D34" s="126">
        <f>'ASF-ADequations'!R49</f>
        <v>21.728298288565089</v>
      </c>
      <c r="E34" s="124"/>
      <c r="F34" s="121"/>
      <c r="G34" s="121"/>
      <c r="H34" s="121"/>
      <c r="I34" s="125"/>
      <c r="J34" s="123"/>
      <c r="K34" s="118" t="s">
        <v>56</v>
      </c>
      <c r="L34" s="126">
        <f>'ASF-ADequations'!R85</f>
        <v>14.726942249697048</v>
      </c>
      <c r="M34" s="96"/>
      <c r="N34" s="121"/>
      <c r="O34" s="121"/>
      <c r="P34" s="121"/>
      <c r="Q34" s="125"/>
      <c r="R34" s="96"/>
    </row>
    <row r="35" spans="2:18" x14ac:dyDescent="0.25">
      <c r="B35" s="96"/>
      <c r="C35" s="103"/>
      <c r="D35" s="104"/>
      <c r="E35" s="104"/>
      <c r="F35" s="104"/>
      <c r="G35" s="104"/>
      <c r="H35" s="104"/>
      <c r="I35" s="104"/>
      <c r="J35" s="96"/>
      <c r="K35" s="103"/>
      <c r="L35" s="104"/>
      <c r="M35" s="104"/>
      <c r="N35" s="104"/>
      <c r="O35" s="104"/>
      <c r="P35" s="104"/>
      <c r="Q35" s="104"/>
      <c r="R35" s="96"/>
    </row>
    <row r="36" spans="2:18" x14ac:dyDescent="0.25">
      <c r="B36" s="96"/>
      <c r="C36" s="96"/>
      <c r="D36" s="96"/>
      <c r="E36" s="96"/>
      <c r="F36" s="96"/>
      <c r="G36" s="96"/>
      <c r="H36" s="96"/>
      <c r="I36" s="96"/>
      <c r="J36" s="96"/>
      <c r="K36" s="96"/>
      <c r="L36" s="96"/>
      <c r="M36" s="96"/>
      <c r="N36" s="96"/>
      <c r="O36" s="96"/>
      <c r="P36" s="96"/>
      <c r="Q36" s="96"/>
      <c r="R36" s="96"/>
    </row>
    <row r="37" spans="2:18" x14ac:dyDescent="0.25">
      <c r="B37" s="96"/>
      <c r="C37" s="96"/>
      <c r="D37" s="96"/>
      <c r="E37" s="96"/>
      <c r="F37" s="96"/>
      <c r="G37" s="96"/>
      <c r="H37" s="96"/>
      <c r="I37" s="96"/>
      <c r="J37" s="96"/>
      <c r="K37" s="96"/>
      <c r="L37" s="96"/>
      <c r="M37" s="96"/>
      <c r="N37" s="96"/>
      <c r="O37" s="96"/>
      <c r="P37" s="96"/>
      <c r="Q37" s="96"/>
      <c r="R37" s="96"/>
    </row>
    <row r="38" spans="2:18" x14ac:dyDescent="0.25">
      <c r="B38" s="96"/>
      <c r="C38" s="96"/>
      <c r="D38" s="96"/>
      <c r="E38" s="96"/>
      <c r="F38" s="96"/>
      <c r="G38" s="96"/>
      <c r="H38" s="96"/>
      <c r="I38" s="96"/>
      <c r="J38" s="96"/>
      <c r="K38" s="96"/>
      <c r="L38" s="96"/>
      <c r="M38" s="96"/>
      <c r="N38" s="96"/>
      <c r="O38" s="96"/>
      <c r="P38" s="96"/>
      <c r="Q38" s="96"/>
      <c r="R38" s="96"/>
    </row>
    <row r="39" spans="2:18" x14ac:dyDescent="0.25">
      <c r="B39" s="96"/>
      <c r="C39" s="96"/>
      <c r="D39" s="96"/>
      <c r="E39" s="96"/>
      <c r="F39" s="96"/>
      <c r="G39" s="96"/>
      <c r="H39" s="96"/>
      <c r="I39" s="96"/>
      <c r="J39" s="96"/>
      <c r="K39" s="96"/>
      <c r="L39" s="96"/>
      <c r="M39" s="96"/>
      <c r="N39" s="96"/>
      <c r="O39" s="96"/>
      <c r="P39" s="96"/>
      <c r="Q39" s="96"/>
      <c r="R39" s="96"/>
    </row>
    <row r="40" spans="2:18" x14ac:dyDescent="0.25">
      <c r="B40" s="96"/>
      <c r="C40" s="96"/>
      <c r="D40" s="96"/>
      <c r="E40" s="96"/>
      <c r="F40" s="96"/>
      <c r="G40" s="96"/>
      <c r="H40" s="96"/>
      <c r="I40" s="96"/>
      <c r="J40" s="96"/>
      <c r="K40" s="96"/>
      <c r="L40" s="96"/>
      <c r="M40" s="96"/>
      <c r="N40" s="96"/>
      <c r="O40" s="96"/>
      <c r="P40" s="96"/>
      <c r="Q40" s="96"/>
      <c r="R40" s="96"/>
    </row>
    <row r="41" spans="2:18" x14ac:dyDescent="0.25">
      <c r="B41" s="96"/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</row>
    <row r="42" spans="2:18" x14ac:dyDescent="0.25">
      <c r="B42" s="96"/>
      <c r="C42" s="96"/>
      <c r="D42" s="96"/>
      <c r="E42" s="96"/>
      <c r="F42" s="96"/>
      <c r="G42" s="96"/>
      <c r="H42" s="96"/>
      <c r="I42" s="96"/>
      <c r="J42" s="96"/>
      <c r="K42" s="96"/>
      <c r="L42" s="96"/>
      <c r="M42" s="96"/>
      <c r="N42" s="96"/>
      <c r="O42" s="96"/>
      <c r="P42" s="96"/>
      <c r="Q42" s="96"/>
      <c r="R42" s="96"/>
    </row>
    <row r="43" spans="2:18" x14ac:dyDescent="0.25">
      <c r="B43" s="96"/>
      <c r="C43" s="96"/>
      <c r="D43" s="96"/>
      <c r="E43" s="96"/>
      <c r="F43" s="96"/>
      <c r="G43" s="96"/>
      <c r="H43" s="96"/>
      <c r="I43" s="96"/>
      <c r="J43" s="96"/>
      <c r="K43" s="96"/>
      <c r="L43" s="96"/>
      <c r="M43" s="96"/>
      <c r="N43" s="96"/>
      <c r="O43" s="96"/>
      <c r="P43" s="96"/>
      <c r="Q43" s="96"/>
      <c r="R43" s="96"/>
    </row>
    <row r="44" spans="2:18" x14ac:dyDescent="0.25">
      <c r="B44" s="96"/>
      <c r="C44" s="96"/>
      <c r="D44" s="96"/>
      <c r="E44" s="96"/>
      <c r="F44" s="96"/>
      <c r="G44" s="96"/>
      <c r="H44" s="96"/>
      <c r="I44" s="96"/>
      <c r="J44" s="96"/>
      <c r="K44" s="96"/>
      <c r="L44" s="96"/>
      <c r="M44" s="96"/>
      <c r="N44" s="96"/>
      <c r="O44" s="96"/>
      <c r="P44" s="96"/>
      <c r="Q44" s="96"/>
      <c r="R44" s="96"/>
    </row>
    <row r="45" spans="2:18" x14ac:dyDescent="0.25">
      <c r="B45" s="96"/>
      <c r="C45" s="96"/>
      <c r="D45" s="96"/>
      <c r="E45" s="96"/>
      <c r="F45" s="96"/>
      <c r="G45" s="96"/>
      <c r="H45" s="96"/>
      <c r="I45" s="96"/>
      <c r="J45" s="96"/>
      <c r="K45" s="96"/>
      <c r="L45" s="96"/>
      <c r="M45" s="96"/>
      <c r="N45" s="96"/>
      <c r="O45" s="96"/>
      <c r="P45" s="96"/>
      <c r="Q45" s="96"/>
      <c r="R45" s="96"/>
    </row>
    <row r="46" spans="2:18" x14ac:dyDescent="0.25"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</row>
    <row r="47" spans="2:18" x14ac:dyDescent="0.25"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</row>
    <row r="48" spans="2:18" x14ac:dyDescent="0.25"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</row>
    <row r="49" spans="2:18" x14ac:dyDescent="0.25"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</row>
    <row r="50" spans="2:18" x14ac:dyDescent="0.25"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</row>
    <row r="51" spans="2:18" x14ac:dyDescent="0.25"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</row>
    <row r="52" spans="2:18" x14ac:dyDescent="0.25"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</row>
    <row r="53" spans="2:18" ht="15.75" thickBot="1" x14ac:dyDescent="0.3">
      <c r="B53" s="96"/>
      <c r="C53" s="96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6"/>
      <c r="R53" s="96"/>
    </row>
    <row r="54" spans="2:18" ht="15.75" x14ac:dyDescent="0.25">
      <c r="B54" s="96"/>
      <c r="C54" s="96"/>
      <c r="D54" s="98">
        <f>'ASF-ADequations'!L36</f>
        <v>33.135422489148041</v>
      </c>
      <c r="E54" s="98">
        <f>'ASF-ADequations'!M36</f>
        <v>30.616424563394613</v>
      </c>
      <c r="F54" s="98">
        <f>'ASF-ADequations'!N36</f>
        <v>30.556024551159421</v>
      </c>
      <c r="G54" s="98">
        <f>'ASF-ADequations'!O36</f>
        <v>25.776410444275562</v>
      </c>
      <c r="H54" s="98">
        <f>'ASF-ADequations'!P36</f>
        <v>15.030899869919436</v>
      </c>
      <c r="I54" s="98">
        <f>'ASF-ADequations'!Q36</f>
        <v>15.030899869919436</v>
      </c>
      <c r="J54" s="96"/>
      <c r="K54" s="96"/>
      <c r="L54" s="99">
        <f>'ASF-ADequations'!L74</f>
        <v>17.952282045113574</v>
      </c>
      <c r="M54" s="106">
        <f>'ASF-ADequations'!M74</f>
        <v>26.356949698381882</v>
      </c>
      <c r="N54" s="106">
        <f>'ASF-ADequations'!N74</f>
        <v>23.815407952398289</v>
      </c>
      <c r="O54" s="106">
        <f>'ASF-ADequations'!O74</f>
        <v>27.334483202742376</v>
      </c>
      <c r="P54" s="106">
        <f>'ASF-ADequations'!P74</f>
        <v>25.906309588553199</v>
      </c>
      <c r="Q54" s="106">
        <f>'ASF-ADequations'!Q74</f>
        <v>7.9940030521957723</v>
      </c>
      <c r="R54" s="96"/>
    </row>
    <row r="55" spans="2:18" x14ac:dyDescent="0.25">
      <c r="B55" s="96"/>
      <c r="C55" s="96"/>
      <c r="D55" s="96"/>
      <c r="E55" s="96"/>
      <c r="F55" s="96"/>
      <c r="G55" s="96"/>
      <c r="H55" s="96"/>
      <c r="I55" s="96"/>
      <c r="J55" s="96"/>
      <c r="K55" s="96"/>
      <c r="L55" s="96"/>
      <c r="M55" s="96"/>
      <c r="N55" s="96"/>
      <c r="O55" s="96"/>
      <c r="P55" s="96"/>
      <c r="Q55" s="96"/>
      <c r="R55" s="96"/>
    </row>
    <row r="56" spans="2:18" x14ac:dyDescent="0.25">
      <c r="B56" s="96"/>
      <c r="C56" s="96"/>
      <c r="D56" s="96"/>
      <c r="E56" s="96"/>
      <c r="F56" s="96"/>
      <c r="G56" s="96"/>
      <c r="H56" s="96"/>
      <c r="I56" s="96"/>
      <c r="J56" s="96"/>
      <c r="K56" s="96"/>
      <c r="L56" s="96"/>
      <c r="M56" s="96"/>
      <c r="N56" s="96"/>
      <c r="O56" s="96"/>
      <c r="P56" s="96"/>
      <c r="Q56" s="96"/>
      <c r="R56" s="96"/>
    </row>
    <row r="57" spans="2:18" x14ac:dyDescent="0.25">
      <c r="B57" s="96"/>
      <c r="C57" s="96"/>
      <c r="D57" s="96"/>
      <c r="E57" s="96"/>
      <c r="F57" s="96"/>
      <c r="G57" s="96"/>
      <c r="H57" s="96"/>
      <c r="I57" s="96"/>
      <c r="J57" s="96"/>
      <c r="K57" s="96"/>
      <c r="L57" s="96"/>
      <c r="M57" s="96"/>
      <c r="N57" s="96"/>
      <c r="O57" s="96"/>
      <c r="P57" s="96"/>
      <c r="Q57" s="96"/>
      <c r="R57" s="96"/>
    </row>
    <row r="58" spans="2:18" ht="17.25" customHeight="1" x14ac:dyDescent="0.25">
      <c r="B58" s="96"/>
      <c r="C58" s="112" t="s">
        <v>66</v>
      </c>
      <c r="D58" s="143" t="s">
        <v>34</v>
      </c>
      <c r="E58" s="132" t="s">
        <v>39</v>
      </c>
      <c r="F58" s="134" t="s">
        <v>38</v>
      </c>
      <c r="G58" s="134" t="s">
        <v>37</v>
      </c>
      <c r="H58" s="134" t="s">
        <v>36</v>
      </c>
      <c r="I58" s="134" t="s">
        <v>35</v>
      </c>
      <c r="J58" s="105"/>
      <c r="K58" s="112" t="s">
        <v>67</v>
      </c>
      <c r="L58" s="113" t="s">
        <v>34</v>
      </c>
      <c r="M58" s="134" t="s">
        <v>39</v>
      </c>
      <c r="N58" s="134" t="s">
        <v>38</v>
      </c>
      <c r="O58" s="134" t="s">
        <v>37</v>
      </c>
      <c r="P58" s="134" t="s">
        <v>36</v>
      </c>
      <c r="Q58" s="134" t="s">
        <v>35</v>
      </c>
      <c r="R58" s="96"/>
    </row>
    <row r="59" spans="2:18" ht="17.25" customHeight="1" x14ac:dyDescent="0.25">
      <c r="B59" s="96"/>
      <c r="C59" s="138" t="s">
        <v>57</v>
      </c>
      <c r="D59" s="144">
        <f>'ASF-ADequations'!C58</f>
        <v>22.135422489148045</v>
      </c>
      <c r="E59" s="145">
        <f>'ASF-ADequations'!D58</f>
        <v>19.616424563394613</v>
      </c>
      <c r="F59" s="133">
        <f>'ASF-ADequations'!E58</f>
        <v>19.556024551159421</v>
      </c>
      <c r="G59" s="133">
        <f>'ASF-ADequations'!F58</f>
        <v>14.776410444275561</v>
      </c>
      <c r="H59" s="133" t="str">
        <f>'ASF-ADequations'!G58</f>
        <v>&lt;5</v>
      </c>
      <c r="I59" s="133" t="str">
        <f>'ASF-ADequations'!H58</f>
        <v>&lt;5</v>
      </c>
      <c r="J59" s="146"/>
      <c r="K59" s="136" t="s">
        <v>57</v>
      </c>
      <c r="L59" s="126">
        <f>'ASF-ADequations'!C93</f>
        <v>6.9522820451135736</v>
      </c>
      <c r="M59" s="133">
        <f>'ASF-ADequations'!D93</f>
        <v>15.356949698381881</v>
      </c>
      <c r="N59" s="133">
        <f>'ASF-ADequations'!E93</f>
        <v>12.815407952398289</v>
      </c>
      <c r="O59" s="133">
        <f>'ASF-ADequations'!F93</f>
        <v>16.334483202742376</v>
      </c>
      <c r="P59" s="133">
        <f>'ASF-ADequations'!G93</f>
        <v>14.906309588553199</v>
      </c>
      <c r="Q59" s="133" t="str">
        <f>'ASF-ADequations'!H93</f>
        <v>&lt;5</v>
      </c>
      <c r="R59" s="96"/>
    </row>
    <row r="60" spans="2:18" ht="17.25" customHeight="1" x14ac:dyDescent="0.25">
      <c r="B60" s="96"/>
      <c r="C60" s="118" t="s">
        <v>54</v>
      </c>
      <c r="D60" s="140">
        <f>'ASF-ADequations'!I43</f>
        <v>19.880510970265089</v>
      </c>
      <c r="E60" s="121"/>
      <c r="F60" s="121"/>
      <c r="G60" s="121"/>
      <c r="H60" s="121"/>
      <c r="I60" s="121"/>
      <c r="J60" s="146"/>
      <c r="K60" s="139" t="s">
        <v>54</v>
      </c>
      <c r="L60" s="140">
        <f>'ASF-ADequations'!I80</f>
        <v>19.850654888071244</v>
      </c>
      <c r="M60" s="147"/>
      <c r="N60" s="121"/>
      <c r="O60" s="121"/>
      <c r="P60" s="121"/>
      <c r="Q60" s="121"/>
      <c r="R60" s="101"/>
    </row>
    <row r="61" spans="2:18" ht="17.25" customHeight="1" x14ac:dyDescent="0.25">
      <c r="B61" s="96"/>
      <c r="C61" s="118" t="s">
        <v>55</v>
      </c>
      <c r="D61" s="141">
        <f>'ASF-ADequations'!R43</f>
        <v>30.880510970265085</v>
      </c>
      <c r="E61" s="121"/>
      <c r="F61" s="121"/>
      <c r="G61" s="121"/>
      <c r="H61" s="121"/>
      <c r="I61" s="125"/>
      <c r="J61" s="146"/>
      <c r="K61" s="118" t="s">
        <v>55</v>
      </c>
      <c r="L61" s="141">
        <f>'ASF-ADequations'!R80</f>
        <v>30.850654888071247</v>
      </c>
      <c r="M61" s="147"/>
      <c r="N61" s="121"/>
      <c r="O61" s="121"/>
      <c r="P61" s="121"/>
      <c r="Q61" s="125"/>
      <c r="R61" s="96"/>
    </row>
    <row r="62" spans="2:18" ht="17.25" customHeight="1" x14ac:dyDescent="0.25">
      <c r="B62" s="96"/>
      <c r="C62" s="118" t="s">
        <v>56</v>
      </c>
      <c r="D62" s="126">
        <f>'ASF-ADequations'!R50</f>
        <v>24.187187251786963</v>
      </c>
      <c r="E62" s="121"/>
      <c r="F62" s="121"/>
      <c r="G62" s="121"/>
      <c r="H62" s="121"/>
      <c r="I62" s="125"/>
      <c r="J62" s="146"/>
      <c r="K62" s="118" t="s">
        <v>56</v>
      </c>
      <c r="L62" s="126">
        <f>'ASF-ADequations'!R86</f>
        <v>26.506309588553201</v>
      </c>
      <c r="M62" s="147"/>
      <c r="N62" s="121"/>
      <c r="O62" s="121"/>
      <c r="P62" s="121"/>
      <c r="Q62" s="125"/>
      <c r="R62" s="96"/>
    </row>
    <row r="63" spans="2:18" ht="15.75" x14ac:dyDescent="0.25">
      <c r="B63" s="96"/>
      <c r="C63" s="96"/>
      <c r="D63" s="96"/>
      <c r="E63" s="96"/>
      <c r="F63" s="96"/>
      <c r="G63" s="96"/>
      <c r="H63" s="96"/>
      <c r="I63" s="102"/>
      <c r="J63" s="105"/>
      <c r="K63" s="96"/>
      <c r="L63" s="96"/>
      <c r="M63" s="96"/>
      <c r="N63" s="96"/>
      <c r="O63" s="96"/>
      <c r="P63" s="96"/>
      <c r="Q63" s="107"/>
      <c r="R63" s="96"/>
    </row>
    <row r="64" spans="2:18" x14ac:dyDescent="0.25">
      <c r="B64" s="96"/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96"/>
      <c r="P64" s="96"/>
      <c r="Q64" s="96"/>
      <c r="R64" s="96"/>
    </row>
    <row r="65" spans="2:18" x14ac:dyDescent="0.25">
      <c r="B65" s="96"/>
      <c r="C65" s="96"/>
      <c r="D65" s="96"/>
      <c r="E65" s="96"/>
      <c r="F65" s="96"/>
      <c r="G65" s="96"/>
      <c r="H65" s="96"/>
      <c r="I65" s="96"/>
      <c r="J65" s="96"/>
      <c r="K65" s="96"/>
      <c r="L65" s="96"/>
      <c r="M65" s="96"/>
      <c r="N65" s="96"/>
      <c r="O65" s="96"/>
      <c r="P65" s="96"/>
      <c r="Q65" s="96"/>
      <c r="R65" s="96"/>
    </row>
    <row r="66" spans="2:18" x14ac:dyDescent="0.25">
      <c r="B66" s="96"/>
      <c r="C66" s="96"/>
      <c r="D66" s="96"/>
      <c r="E66" s="96"/>
      <c r="F66" s="96"/>
      <c r="G66" s="96"/>
      <c r="H66" s="96"/>
      <c r="I66" s="96"/>
      <c r="J66" s="96"/>
      <c r="K66" s="96"/>
      <c r="L66" s="96"/>
      <c r="M66" s="96"/>
      <c r="N66" s="96"/>
      <c r="O66" s="96"/>
      <c r="P66" s="96"/>
      <c r="Q66" s="96"/>
      <c r="R66" s="96"/>
    </row>
    <row r="67" spans="2:18" x14ac:dyDescent="0.25">
      <c r="B67" s="96"/>
      <c r="C67" s="96"/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96"/>
      <c r="O67" s="96"/>
      <c r="P67" s="96"/>
      <c r="Q67" s="96"/>
      <c r="R67" s="96"/>
    </row>
    <row r="68" spans="2:18" x14ac:dyDescent="0.25"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96"/>
      <c r="P68" s="96"/>
      <c r="Q68" s="96"/>
      <c r="R68" s="96"/>
    </row>
    <row r="69" spans="2:18" x14ac:dyDescent="0.25">
      <c r="B69" s="96"/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6"/>
      <c r="P69" s="96"/>
      <c r="Q69" s="96"/>
      <c r="R69" s="96"/>
    </row>
    <row r="70" spans="2:18" x14ac:dyDescent="0.25">
      <c r="B70" s="96"/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6"/>
      <c r="P70" s="96"/>
      <c r="Q70" s="96"/>
      <c r="R70" s="96"/>
    </row>
    <row r="71" spans="2:18" x14ac:dyDescent="0.25">
      <c r="B71" s="96"/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96"/>
      <c r="P71" s="96"/>
      <c r="Q71" s="96"/>
      <c r="R71" s="96"/>
    </row>
    <row r="72" spans="2:18" x14ac:dyDescent="0.25">
      <c r="B72" s="96"/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96"/>
      <c r="P72" s="96"/>
      <c r="Q72" s="96"/>
      <c r="R72" s="96"/>
    </row>
    <row r="73" spans="2:18" x14ac:dyDescent="0.25">
      <c r="B73" s="96"/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96"/>
      <c r="P73" s="96"/>
      <c r="Q73" s="96"/>
      <c r="R73" s="96"/>
    </row>
    <row r="74" spans="2:18" x14ac:dyDescent="0.25"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6"/>
      <c r="P74" s="96"/>
      <c r="Q74" s="96"/>
      <c r="R74" s="96"/>
    </row>
    <row r="75" spans="2:18" x14ac:dyDescent="0.25">
      <c r="B75" s="96"/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6"/>
      <c r="P75" s="96"/>
      <c r="Q75" s="96"/>
      <c r="R75" s="96"/>
    </row>
    <row r="76" spans="2:18" x14ac:dyDescent="0.25">
      <c r="B76" s="96"/>
      <c r="C76" s="96"/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6"/>
      <c r="O76" s="96"/>
      <c r="P76" s="96"/>
      <c r="Q76" s="96"/>
      <c r="R76" s="96"/>
    </row>
    <row r="77" spans="2:18" x14ac:dyDescent="0.25">
      <c r="B77" s="96"/>
      <c r="C77" s="96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96"/>
      <c r="P77" s="96"/>
      <c r="Q77" s="96"/>
      <c r="R77" s="96"/>
    </row>
    <row r="78" spans="2:18" x14ac:dyDescent="0.25">
      <c r="B78" s="96"/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6"/>
      <c r="P78" s="96"/>
      <c r="Q78" s="96"/>
      <c r="R78" s="96"/>
    </row>
    <row r="79" spans="2:18" x14ac:dyDescent="0.25">
      <c r="B79" s="96"/>
      <c r="C79" s="96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96"/>
      <c r="P79" s="96"/>
      <c r="Q79" s="96"/>
      <c r="R79" s="96"/>
    </row>
    <row r="80" spans="2:18" x14ac:dyDescent="0.25">
      <c r="B80" s="96"/>
      <c r="C80" s="96"/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96"/>
      <c r="O80" s="96"/>
      <c r="P80" s="96"/>
      <c r="Q80" s="96"/>
      <c r="R80" s="96"/>
    </row>
    <row r="81" spans="2:18" ht="15.75" x14ac:dyDescent="0.25">
      <c r="B81" s="96"/>
      <c r="C81" s="96"/>
      <c r="D81" s="98">
        <f>'ASF-ADequations'!L37</f>
        <v>36.142665674475822</v>
      </c>
      <c r="E81" s="98">
        <f>'ASF-ADequations'!M37</f>
        <v>34.45950331939747</v>
      </c>
      <c r="F81" s="98">
        <f>'ASF-ADequations'!N37</f>
        <v>34.093194414166184</v>
      </c>
      <c r="G81" s="98">
        <f>'ASF-ADequations'!O37</f>
        <v>33.784766537948499</v>
      </c>
      <c r="H81" s="98">
        <f>'ASF-ADequations'!P37</f>
        <v>13.781512503836435</v>
      </c>
      <c r="I81" s="98">
        <f>'ASF-ADequations'!Q37</f>
        <v>13.781512503836435</v>
      </c>
      <c r="J81" s="96"/>
      <c r="K81" s="96"/>
      <c r="L81" s="98">
        <f>'ASF-ADequations'!L75</f>
        <v>28.501228619525456</v>
      </c>
      <c r="M81" s="98">
        <f>'ASF-ADequations'!M75</f>
        <v>30.501228619525456</v>
      </c>
      <c r="N81" s="98">
        <f>'ASF-ADequations'!N75</f>
        <v>28.475669074054263</v>
      </c>
      <c r="O81" s="98">
        <f>'ASF-ADequations'!O75</f>
        <v>29.96221175144435</v>
      </c>
      <c r="P81" s="98">
        <f>'ASF-ADequations'!P75</f>
        <v>29.162422499908473</v>
      </c>
      <c r="Q81" s="98">
        <f>'ASF-ADequations'!Q75</f>
        <v>15.026453033425035</v>
      </c>
      <c r="R81" s="96"/>
    </row>
    <row r="82" spans="2:18" x14ac:dyDescent="0.25">
      <c r="B82" s="96"/>
      <c r="C82" s="96"/>
      <c r="D82" s="96"/>
      <c r="E82" s="96"/>
      <c r="F82" s="96"/>
      <c r="G82" s="96"/>
      <c r="H82" s="96"/>
      <c r="I82" s="96"/>
      <c r="J82" s="96"/>
      <c r="K82" s="96"/>
      <c r="L82" s="96"/>
      <c r="M82" s="96"/>
      <c r="N82" s="96"/>
      <c r="O82" s="96"/>
      <c r="P82" s="96"/>
      <c r="Q82" s="96"/>
      <c r="R82" s="96"/>
    </row>
    <row r="83" spans="2:18" x14ac:dyDescent="0.25">
      <c r="B83" s="96"/>
      <c r="C83" s="96"/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96"/>
      <c r="P83" s="96"/>
      <c r="Q83" s="96"/>
      <c r="R83" s="96"/>
    </row>
    <row r="84" spans="2:18" x14ac:dyDescent="0.25">
      <c r="B84" s="96"/>
      <c r="C84" s="96"/>
      <c r="D84" s="96"/>
      <c r="E84" s="96"/>
      <c r="F84" s="96"/>
      <c r="G84" s="96"/>
      <c r="H84" s="96"/>
      <c r="I84" s="96"/>
      <c r="J84" s="96"/>
      <c r="K84" s="96"/>
      <c r="L84" s="96"/>
      <c r="M84" s="96"/>
      <c r="N84" s="96"/>
      <c r="O84" s="96"/>
      <c r="P84" s="96"/>
      <c r="Q84" s="96"/>
      <c r="R84" s="96"/>
    </row>
    <row r="85" spans="2:18" x14ac:dyDescent="0.25">
      <c r="B85" s="96"/>
      <c r="C85" s="96"/>
      <c r="D85" s="96"/>
      <c r="E85" s="96"/>
      <c r="F85" s="96"/>
      <c r="G85" s="96"/>
      <c r="H85" s="96"/>
      <c r="I85" s="96"/>
      <c r="J85" s="96"/>
      <c r="K85" s="96"/>
      <c r="L85" s="96"/>
      <c r="M85" s="96"/>
      <c r="N85" s="96"/>
      <c r="O85" s="96"/>
      <c r="P85" s="96"/>
      <c r="Q85" s="96"/>
      <c r="R85" s="96"/>
    </row>
    <row r="86" spans="2:18" ht="17.25" customHeight="1" x14ac:dyDescent="0.25">
      <c r="B86" s="96"/>
      <c r="C86" s="149" t="s">
        <v>68</v>
      </c>
      <c r="D86" s="113" t="s">
        <v>34</v>
      </c>
      <c r="E86" s="113" t="s">
        <v>39</v>
      </c>
      <c r="F86" s="113" t="s">
        <v>38</v>
      </c>
      <c r="G86" s="113" t="s">
        <v>37</v>
      </c>
      <c r="H86" s="113" t="s">
        <v>36</v>
      </c>
      <c r="I86" s="134" t="s">
        <v>35</v>
      </c>
      <c r="J86" s="148"/>
      <c r="K86" s="112" t="s">
        <v>69</v>
      </c>
      <c r="L86" s="113" t="s">
        <v>34</v>
      </c>
      <c r="M86" s="113" t="s">
        <v>39</v>
      </c>
      <c r="N86" s="113" t="s">
        <v>38</v>
      </c>
      <c r="O86" s="113" t="s">
        <v>37</v>
      </c>
      <c r="P86" s="113" t="s">
        <v>36</v>
      </c>
      <c r="Q86" s="134" t="s">
        <v>35</v>
      </c>
      <c r="R86" s="96"/>
    </row>
    <row r="87" spans="2:18" ht="17.25" customHeight="1" x14ac:dyDescent="0.25">
      <c r="B87" s="96"/>
      <c r="C87" s="150" t="s">
        <v>57</v>
      </c>
      <c r="D87" s="126">
        <f>'ASF-ADequations'!C59</f>
        <v>25.142665674475822</v>
      </c>
      <c r="E87" s="126">
        <f>'ASF-ADequations'!D59</f>
        <v>23.459503319397474</v>
      </c>
      <c r="F87" s="126">
        <f>'ASF-ADequations'!E59</f>
        <v>23.093194414166184</v>
      </c>
      <c r="G87" s="126">
        <f>'ASF-ADequations'!F59</f>
        <v>22.784766537948503</v>
      </c>
      <c r="H87" s="126" t="str">
        <f>'ASF-ADequations'!G59</f>
        <v>&lt;5</v>
      </c>
      <c r="I87" s="133" t="str">
        <f>'ASF-ADequations'!H59</f>
        <v>&lt;5</v>
      </c>
      <c r="J87" s="151"/>
      <c r="K87" s="152" t="s">
        <v>57</v>
      </c>
      <c r="L87" s="126">
        <f>'ASF-ADequations'!C94</f>
        <v>17.501228619525456</v>
      </c>
      <c r="M87" s="126">
        <f>'ASF-ADequations'!D94</f>
        <v>19.501228619525456</v>
      </c>
      <c r="N87" s="126">
        <f>'ASF-ADequations'!E94</f>
        <v>17.475669074054263</v>
      </c>
      <c r="O87" s="126">
        <f>'ASF-ADequations'!F94</f>
        <v>18.96221175144435</v>
      </c>
      <c r="P87" s="126">
        <f>'ASF-ADequations'!G94</f>
        <v>18.162422499908473</v>
      </c>
      <c r="Q87" s="133" t="str">
        <f>'ASF-ADequations'!H94</f>
        <v>&lt;5</v>
      </c>
      <c r="R87" s="96"/>
    </row>
    <row r="88" spans="2:18" ht="17.25" customHeight="1" x14ac:dyDescent="0.25">
      <c r="B88" s="96"/>
      <c r="C88" s="118" t="s">
        <v>54</v>
      </c>
      <c r="D88" s="140">
        <f>'ASF-ADequations'!I44</f>
        <v>25.223868848282535</v>
      </c>
      <c r="E88" s="123"/>
      <c r="F88" s="121"/>
      <c r="G88" s="121"/>
      <c r="H88" s="121"/>
      <c r="I88" s="121"/>
      <c r="J88" s="151"/>
      <c r="K88" s="153" t="s">
        <v>54</v>
      </c>
      <c r="L88" s="140">
        <f>'ASF-ADequations'!I81</f>
        <v>23.118570928202466</v>
      </c>
      <c r="M88" s="123"/>
      <c r="N88" s="121"/>
      <c r="O88" s="121"/>
      <c r="P88" s="121"/>
      <c r="Q88" s="121"/>
      <c r="R88" s="96"/>
    </row>
    <row r="89" spans="2:18" ht="17.25" customHeight="1" x14ac:dyDescent="0.25">
      <c r="B89" s="96"/>
      <c r="C89" s="118" t="s">
        <v>55</v>
      </c>
      <c r="D89" s="141">
        <f>'ASF-ADequations'!R44</f>
        <v>36.223868848282528</v>
      </c>
      <c r="E89" s="123"/>
      <c r="F89" s="121"/>
      <c r="G89" s="121"/>
      <c r="H89" s="121"/>
      <c r="I89" s="125"/>
      <c r="J89" s="151"/>
      <c r="K89" s="118" t="s">
        <v>55</v>
      </c>
      <c r="L89" s="141">
        <f>'ASF-ADequations'!R81</f>
        <v>34.118570928202466</v>
      </c>
      <c r="M89" s="123"/>
      <c r="N89" s="121"/>
      <c r="O89" s="121"/>
      <c r="P89" s="121"/>
      <c r="Q89" s="125"/>
      <c r="R89" s="96"/>
    </row>
    <row r="90" spans="2:18" ht="17.25" customHeight="1" x14ac:dyDescent="0.25">
      <c r="B90" s="96"/>
      <c r="C90" s="118" t="s">
        <v>56</v>
      </c>
      <c r="D90" s="126">
        <f>'ASF-ADequations'!R51</f>
        <v>32.058309534086952</v>
      </c>
      <c r="E90" s="123"/>
      <c r="F90" s="121"/>
      <c r="G90" s="121"/>
      <c r="H90" s="121"/>
      <c r="I90" s="125"/>
      <c r="J90" s="151"/>
      <c r="K90" s="118" t="s">
        <v>56</v>
      </c>
      <c r="L90" s="126">
        <f>'ASF-ADequations'!R87</f>
        <v>29.762422499908475</v>
      </c>
      <c r="M90" s="123"/>
      <c r="N90" s="121"/>
      <c r="O90" s="121"/>
      <c r="P90" s="121"/>
      <c r="Q90" s="125"/>
      <c r="R90" s="96"/>
    </row>
    <row r="91" spans="2:18" ht="15.75" x14ac:dyDescent="0.25">
      <c r="B91" s="96"/>
      <c r="C91" s="96"/>
      <c r="D91" s="96"/>
      <c r="E91" s="96"/>
      <c r="F91" s="96"/>
      <c r="G91" s="96"/>
      <c r="H91" s="96"/>
      <c r="I91" s="102"/>
      <c r="J91" s="105"/>
      <c r="K91" s="96"/>
      <c r="L91" s="96"/>
      <c r="M91" s="96"/>
      <c r="N91" s="96"/>
      <c r="O91" s="96"/>
      <c r="P91" s="96"/>
      <c r="Q91" s="102"/>
      <c r="R91" s="96"/>
    </row>
    <row r="92" spans="2:18" x14ac:dyDescent="0.25">
      <c r="B92" s="96"/>
      <c r="C92" s="108"/>
      <c r="D92" s="96"/>
      <c r="E92" s="96"/>
      <c r="F92" s="96"/>
      <c r="G92" s="96"/>
      <c r="H92" s="96"/>
      <c r="I92" s="96"/>
      <c r="J92" s="96"/>
      <c r="K92" s="108"/>
      <c r="L92" s="96"/>
      <c r="M92" s="96"/>
      <c r="N92" s="96"/>
      <c r="O92" s="96"/>
      <c r="P92" s="96"/>
      <c r="Q92" s="96"/>
      <c r="R92" s="96"/>
    </row>
    <row r="93" spans="2:18" x14ac:dyDescent="0.25">
      <c r="B93" s="96"/>
      <c r="C93" s="108"/>
      <c r="D93" s="96"/>
      <c r="E93" s="96"/>
      <c r="F93" s="96"/>
      <c r="G93" s="96"/>
      <c r="H93" s="96"/>
      <c r="I93" s="96"/>
      <c r="J93" s="96"/>
      <c r="K93" s="108"/>
      <c r="L93" s="96"/>
      <c r="M93" s="96"/>
      <c r="N93" s="96"/>
      <c r="O93" s="96"/>
      <c r="P93" s="96"/>
      <c r="Q93" s="96"/>
      <c r="R93" s="96"/>
    </row>
    <row r="94" spans="2:18" x14ac:dyDescent="0.25">
      <c r="B94" s="96"/>
      <c r="C94" s="108"/>
      <c r="D94" s="96"/>
      <c r="E94" s="96"/>
      <c r="F94" s="96"/>
      <c r="G94" s="96"/>
      <c r="H94" s="96"/>
      <c r="I94" s="96"/>
      <c r="J94" s="96"/>
      <c r="K94" s="108"/>
      <c r="L94" s="96"/>
      <c r="M94" s="96"/>
      <c r="N94" s="96"/>
      <c r="O94" s="96"/>
      <c r="P94" s="96"/>
      <c r="Q94" s="96"/>
      <c r="R94" s="96"/>
    </row>
    <row r="95" spans="2:18" x14ac:dyDescent="0.25">
      <c r="B95" s="96"/>
      <c r="C95" s="108"/>
      <c r="D95" s="96"/>
      <c r="E95" s="96"/>
      <c r="F95" s="96"/>
      <c r="G95" s="96"/>
      <c r="H95" s="96"/>
      <c r="I95" s="96"/>
      <c r="J95" s="96"/>
      <c r="K95" s="108"/>
      <c r="L95" s="96"/>
      <c r="M95" s="96"/>
      <c r="N95" s="96"/>
      <c r="O95" s="96"/>
      <c r="P95" s="96"/>
      <c r="Q95" s="96"/>
      <c r="R95" s="96"/>
    </row>
    <row r="96" spans="2:18" x14ac:dyDescent="0.25">
      <c r="B96" s="96"/>
      <c r="C96" s="108"/>
      <c r="D96" s="96"/>
      <c r="E96" s="96"/>
      <c r="F96" s="96"/>
      <c r="G96" s="96"/>
      <c r="H96" s="96"/>
      <c r="I96" s="96"/>
      <c r="J96" s="96"/>
      <c r="K96" s="108"/>
      <c r="L96" s="96"/>
      <c r="M96" s="96"/>
      <c r="N96" s="96"/>
      <c r="O96" s="96"/>
      <c r="P96" s="96"/>
      <c r="Q96" s="96"/>
      <c r="R96" s="96"/>
    </row>
    <row r="97" spans="2:18" x14ac:dyDescent="0.25">
      <c r="B97" s="96"/>
      <c r="C97" s="108"/>
      <c r="D97" s="96"/>
      <c r="E97" s="96"/>
      <c r="F97" s="96"/>
      <c r="G97" s="96"/>
      <c r="H97" s="96"/>
      <c r="I97" s="96"/>
      <c r="J97" s="96"/>
      <c r="K97" s="108"/>
      <c r="L97" s="96"/>
      <c r="M97" s="96"/>
      <c r="N97" s="96"/>
      <c r="O97" s="96"/>
      <c r="P97" s="96"/>
      <c r="Q97" s="96"/>
      <c r="R97" s="96"/>
    </row>
    <row r="98" spans="2:18" x14ac:dyDescent="0.25">
      <c r="B98" s="96"/>
      <c r="C98" s="108"/>
      <c r="D98" s="96"/>
      <c r="E98" s="96"/>
      <c r="F98" s="96"/>
      <c r="G98" s="96"/>
      <c r="H98" s="96"/>
      <c r="I98" s="96"/>
      <c r="J98" s="96"/>
      <c r="K98" s="108"/>
      <c r="L98" s="96"/>
      <c r="M98" s="96"/>
      <c r="N98" s="96"/>
      <c r="O98" s="96"/>
      <c r="P98" s="96"/>
      <c r="Q98" s="96"/>
      <c r="R98" s="96"/>
    </row>
    <row r="99" spans="2:18" x14ac:dyDescent="0.25">
      <c r="B99" s="96"/>
      <c r="C99" s="108"/>
      <c r="D99" s="96"/>
      <c r="E99" s="96"/>
      <c r="F99" s="96"/>
      <c r="G99" s="96"/>
      <c r="H99" s="96"/>
      <c r="I99" s="96"/>
      <c r="J99" s="96"/>
      <c r="K99" s="108"/>
      <c r="L99" s="96"/>
      <c r="M99" s="96"/>
      <c r="N99" s="96"/>
      <c r="O99" s="96"/>
      <c r="P99" s="96"/>
      <c r="Q99" s="96"/>
      <c r="R99" s="96"/>
    </row>
    <row r="100" spans="2:18" x14ac:dyDescent="0.25">
      <c r="B100" s="96"/>
      <c r="C100" s="108"/>
      <c r="D100" s="96"/>
      <c r="E100" s="96"/>
      <c r="F100" s="96"/>
      <c r="G100" s="96"/>
      <c r="H100" s="96"/>
      <c r="I100" s="96"/>
      <c r="J100" s="96"/>
      <c r="K100" s="108"/>
      <c r="L100" s="96"/>
      <c r="M100" s="96"/>
      <c r="N100" s="96"/>
      <c r="O100" s="96"/>
      <c r="P100" s="96"/>
      <c r="Q100" s="96"/>
      <c r="R100" s="96"/>
    </row>
    <row r="101" spans="2:18" x14ac:dyDescent="0.25">
      <c r="B101" s="96"/>
      <c r="C101" s="108"/>
      <c r="D101" s="96"/>
      <c r="E101" s="96"/>
      <c r="F101" s="96"/>
      <c r="G101" s="96"/>
      <c r="H101" s="96"/>
      <c r="I101" s="96"/>
      <c r="J101" s="96"/>
      <c r="K101" s="108"/>
      <c r="L101" s="96"/>
      <c r="M101" s="96"/>
      <c r="N101" s="96"/>
      <c r="O101" s="96"/>
      <c r="P101" s="96"/>
      <c r="Q101" s="96"/>
      <c r="R101" s="96"/>
    </row>
    <row r="102" spans="2:18" x14ac:dyDescent="0.25">
      <c r="B102" s="96"/>
      <c r="C102" s="108"/>
      <c r="D102" s="96"/>
      <c r="E102" s="96"/>
      <c r="F102" s="96"/>
      <c r="G102" s="96"/>
      <c r="H102" s="96"/>
      <c r="I102" s="96"/>
      <c r="J102" s="96"/>
      <c r="K102" s="108"/>
      <c r="L102" s="96"/>
      <c r="M102" s="96"/>
      <c r="N102" s="96"/>
      <c r="O102" s="96"/>
      <c r="P102" s="96"/>
      <c r="Q102" s="96"/>
      <c r="R102" s="96"/>
    </row>
    <row r="103" spans="2:18" x14ac:dyDescent="0.25">
      <c r="B103" s="96"/>
      <c r="C103" s="108"/>
      <c r="D103" s="96"/>
      <c r="E103" s="96"/>
      <c r="F103" s="96"/>
      <c r="G103" s="96"/>
      <c r="H103" s="96"/>
      <c r="I103" s="96"/>
      <c r="J103" s="96"/>
      <c r="K103" s="108"/>
      <c r="L103" s="96"/>
      <c r="M103" s="96"/>
      <c r="N103" s="96"/>
      <c r="O103" s="96"/>
      <c r="P103" s="96"/>
      <c r="Q103" s="96"/>
      <c r="R103" s="96"/>
    </row>
    <row r="104" spans="2:18" x14ac:dyDescent="0.25">
      <c r="B104" s="96"/>
      <c r="C104" s="108"/>
      <c r="D104" s="96"/>
      <c r="E104" s="96"/>
      <c r="F104" s="96"/>
      <c r="G104" s="96"/>
      <c r="H104" s="96"/>
      <c r="I104" s="96"/>
      <c r="J104" s="96"/>
      <c r="K104" s="108"/>
      <c r="L104" s="96"/>
      <c r="M104" s="96"/>
      <c r="N104" s="96"/>
      <c r="O104" s="96"/>
      <c r="P104" s="96"/>
      <c r="Q104" s="96"/>
      <c r="R104" s="96"/>
    </row>
    <row r="105" spans="2:18" x14ac:dyDescent="0.25">
      <c r="B105" s="96"/>
      <c r="C105" s="108"/>
      <c r="D105" s="96"/>
      <c r="E105" s="96"/>
      <c r="F105" s="96"/>
      <c r="G105" s="96"/>
      <c r="H105" s="96"/>
      <c r="I105" s="96"/>
      <c r="J105" s="96"/>
      <c r="K105" s="108"/>
      <c r="L105" s="96"/>
      <c r="M105" s="96"/>
      <c r="N105" s="96"/>
      <c r="O105" s="96"/>
      <c r="P105" s="96"/>
      <c r="Q105" s="96"/>
      <c r="R105" s="96"/>
    </row>
    <row r="106" spans="2:18" x14ac:dyDescent="0.25">
      <c r="B106" s="96"/>
      <c r="C106" s="108"/>
      <c r="D106" s="96"/>
      <c r="E106" s="96"/>
      <c r="F106" s="96"/>
      <c r="G106" s="96"/>
      <c r="H106" s="96"/>
      <c r="I106" s="96"/>
      <c r="J106" s="96"/>
      <c r="K106" s="108"/>
      <c r="L106" s="96"/>
      <c r="M106" s="96"/>
      <c r="N106" s="96"/>
      <c r="O106" s="96"/>
      <c r="P106" s="96"/>
      <c r="Q106" s="96"/>
      <c r="R106" s="96"/>
    </row>
    <row r="107" spans="2:18" x14ac:dyDescent="0.25">
      <c r="B107" s="96"/>
      <c r="C107" s="108"/>
      <c r="D107" s="96"/>
      <c r="E107" s="96"/>
      <c r="F107" s="96"/>
      <c r="G107" s="96"/>
      <c r="H107" s="96"/>
      <c r="I107" s="96"/>
      <c r="J107" s="96"/>
      <c r="K107" s="108"/>
      <c r="L107" s="96"/>
      <c r="M107" s="96"/>
      <c r="N107" s="96"/>
      <c r="O107" s="96"/>
      <c r="P107" s="96"/>
      <c r="Q107" s="96"/>
      <c r="R107" s="96"/>
    </row>
    <row r="108" spans="2:18" x14ac:dyDescent="0.25">
      <c r="B108" s="96"/>
      <c r="C108" s="108"/>
      <c r="D108" s="96"/>
      <c r="E108" s="96"/>
      <c r="F108" s="96"/>
      <c r="G108" s="96"/>
      <c r="H108" s="96"/>
      <c r="I108" s="96"/>
      <c r="J108" s="96"/>
      <c r="K108" s="108"/>
      <c r="L108" s="96"/>
      <c r="M108" s="96"/>
      <c r="N108" s="96"/>
      <c r="O108" s="96"/>
      <c r="P108" s="96"/>
      <c r="Q108" s="96"/>
      <c r="R108" s="96"/>
    </row>
    <row r="109" spans="2:18" ht="15.75" x14ac:dyDescent="0.25">
      <c r="B109" s="96"/>
      <c r="C109" s="108"/>
      <c r="D109" s="96"/>
      <c r="E109" s="96"/>
      <c r="F109" s="96"/>
      <c r="G109" s="96"/>
      <c r="H109" s="96"/>
      <c r="I109" s="96"/>
      <c r="J109" s="96"/>
      <c r="K109" s="108"/>
      <c r="L109" s="98">
        <f>'ASF-ADequations'!L76</f>
        <v>34.026751239094068</v>
      </c>
      <c r="M109" s="98">
        <f>'ASF-ADequations'!M76</f>
        <v>36.026751239094068</v>
      </c>
      <c r="N109" s="98">
        <f>'ASF-ADequations'!N76</f>
        <v>35.575528046928781</v>
      </c>
      <c r="O109" s="98">
        <f>'ASF-ADequations'!O76</f>
        <v>36.89411083547494</v>
      </c>
      <c r="P109" s="98">
        <f>'ASF-ADequations'!P76</f>
        <v>36.055772443090959</v>
      </c>
      <c r="Q109" s="98">
        <f>'ASF-ADequations'!Q76</f>
        <v>26.224383483681443</v>
      </c>
      <c r="R109" s="96"/>
    </row>
    <row r="110" spans="2:18" ht="15.75" x14ac:dyDescent="0.25">
      <c r="B110" s="96"/>
      <c r="C110" s="108"/>
      <c r="D110" s="98">
        <f>'ASF-ADequations'!L38</f>
        <v>40.409684818757853</v>
      </c>
      <c r="E110" s="98">
        <f>'ASF-ADequations'!M38</f>
        <v>39.910172230960725</v>
      </c>
      <c r="F110" s="98">
        <f>'ASF-ADequations'!N38</f>
        <v>39.110657318821126</v>
      </c>
      <c r="G110" s="98">
        <f>'ASF-ADequations'!O38</f>
        <v>45.133999382861546</v>
      </c>
      <c r="H110" s="98">
        <f>'ASF-ADequations'!P38</f>
        <v>12.020599913279625</v>
      </c>
      <c r="I110" s="98">
        <f>'ASF-ADequations'!Q38</f>
        <v>12.020599913279625</v>
      </c>
      <c r="J110" s="96"/>
      <c r="K110" s="108"/>
      <c r="L110" s="96"/>
      <c r="M110" s="96"/>
      <c r="N110" s="96"/>
      <c r="O110" s="96"/>
      <c r="P110" s="96"/>
      <c r="Q110" s="96"/>
      <c r="R110" s="96"/>
    </row>
    <row r="111" spans="2:18" x14ac:dyDescent="0.25">
      <c r="B111" s="96"/>
      <c r="C111" s="108"/>
      <c r="D111" s="96"/>
      <c r="E111" s="96"/>
      <c r="F111" s="96"/>
      <c r="G111" s="96"/>
      <c r="H111" s="96"/>
      <c r="I111" s="96"/>
      <c r="J111" s="96"/>
      <c r="K111" s="108"/>
      <c r="L111" s="96"/>
      <c r="M111" s="96"/>
      <c r="N111" s="96"/>
      <c r="O111" s="96"/>
      <c r="P111" s="96"/>
      <c r="Q111" s="96"/>
      <c r="R111" s="96"/>
    </row>
    <row r="112" spans="2:18" x14ac:dyDescent="0.25">
      <c r="B112" s="96"/>
      <c r="C112" s="108"/>
      <c r="D112" s="96"/>
      <c r="E112" s="96"/>
      <c r="F112" s="96"/>
      <c r="G112" s="96"/>
      <c r="H112" s="96"/>
      <c r="I112" s="96"/>
      <c r="J112" s="96"/>
      <c r="K112" s="108"/>
      <c r="L112" s="96"/>
      <c r="M112" s="96"/>
      <c r="N112" s="96"/>
      <c r="O112" s="96"/>
      <c r="P112" s="96"/>
      <c r="Q112" s="96"/>
      <c r="R112" s="96"/>
    </row>
    <row r="113" spans="2:18" x14ac:dyDescent="0.25">
      <c r="B113" s="96"/>
      <c r="C113" s="108"/>
      <c r="D113" s="96"/>
      <c r="E113" s="96"/>
      <c r="F113" s="96"/>
      <c r="G113" s="96"/>
      <c r="H113" s="96"/>
      <c r="I113" s="96"/>
      <c r="J113" s="96"/>
      <c r="K113" s="108"/>
      <c r="L113" s="96"/>
      <c r="M113" s="96"/>
      <c r="N113" s="96"/>
      <c r="O113" s="96"/>
      <c r="P113" s="96"/>
      <c r="Q113" s="96"/>
      <c r="R113" s="96"/>
    </row>
    <row r="114" spans="2:18" s="2" customFormat="1" ht="17.25" customHeight="1" x14ac:dyDescent="0.25">
      <c r="B114" s="142"/>
      <c r="C114" s="149" t="s">
        <v>70</v>
      </c>
      <c r="D114" s="113" t="s">
        <v>34</v>
      </c>
      <c r="E114" s="131" t="s">
        <v>39</v>
      </c>
      <c r="F114" s="113" t="s">
        <v>38</v>
      </c>
      <c r="G114" s="113" t="s">
        <v>37</v>
      </c>
      <c r="H114" s="113" t="s">
        <v>36</v>
      </c>
      <c r="I114" s="113" t="s">
        <v>35</v>
      </c>
      <c r="J114" s="154"/>
      <c r="K114" s="135" t="s">
        <v>71</v>
      </c>
      <c r="L114" s="113" t="s">
        <v>34</v>
      </c>
      <c r="M114" s="113" t="s">
        <v>39</v>
      </c>
      <c r="N114" s="113" t="s">
        <v>38</v>
      </c>
      <c r="O114" s="128" t="s">
        <v>37</v>
      </c>
      <c r="P114" s="114" t="s">
        <v>36</v>
      </c>
      <c r="Q114" s="113" t="s">
        <v>35</v>
      </c>
      <c r="R114" s="142"/>
    </row>
    <row r="115" spans="2:18" s="2" customFormat="1" ht="17.25" customHeight="1" x14ac:dyDescent="0.25">
      <c r="B115" s="142"/>
      <c r="C115" s="127" t="s">
        <v>57</v>
      </c>
      <c r="D115" s="129">
        <f>'ASF-ADequations'!C60</f>
        <v>29.409684818757853</v>
      </c>
      <c r="E115" s="144">
        <f>'ASF-ADequations'!D60</f>
        <v>28.910172230960725</v>
      </c>
      <c r="F115" s="144">
        <f>'ASF-ADequations'!E60</f>
        <v>28.110657318821126</v>
      </c>
      <c r="G115" s="144">
        <f>'ASF-ADequations'!F60</f>
        <v>34.133999382861546</v>
      </c>
      <c r="H115" s="156" t="str">
        <f>'ASF-ADequations'!G60</f>
        <v>&lt;5</v>
      </c>
      <c r="I115" s="144" t="str">
        <f>'ASF-ADequations'!H60</f>
        <v>&lt;5</v>
      </c>
      <c r="J115" s="155"/>
      <c r="K115" s="127" t="s">
        <v>57</v>
      </c>
      <c r="L115" s="144">
        <f>'ASF-ADequations'!C95</f>
        <v>23.026751239094072</v>
      </c>
      <c r="M115" s="130">
        <f>'ASF-ADequations'!D95</f>
        <v>25.026751239094072</v>
      </c>
      <c r="N115" s="144">
        <f>'ASF-ADequations'!E95</f>
        <v>24.575528046928785</v>
      </c>
      <c r="O115" s="156">
        <f>'ASF-ADequations'!F95</f>
        <v>25.89411083547494</v>
      </c>
      <c r="P115" s="116">
        <f>'ASF-ADequations'!G95</f>
        <v>25.055772443090955</v>
      </c>
      <c r="Q115" s="144">
        <f>'ASF-ADequations'!H95</f>
        <v>15.224383483681443</v>
      </c>
      <c r="R115" s="142"/>
    </row>
    <row r="116" spans="2:18" s="2" customFormat="1" ht="17.25" customHeight="1" x14ac:dyDescent="0.25">
      <c r="B116" s="142"/>
      <c r="C116" s="153" t="s">
        <v>54</v>
      </c>
      <c r="D116" s="140">
        <f>'ASF-ADequations'!I45</f>
        <v>34.825949724512853</v>
      </c>
      <c r="E116" s="121"/>
      <c r="F116" s="121"/>
      <c r="G116" s="121"/>
      <c r="H116" s="121"/>
      <c r="I116" s="121"/>
      <c r="J116" s="155"/>
      <c r="K116" s="153" t="s">
        <v>54</v>
      </c>
      <c r="L116" s="140">
        <f>'ASF-ADequations'!I82</f>
        <v>30.096733286206586</v>
      </c>
      <c r="M116" s="121"/>
      <c r="N116" s="121"/>
      <c r="O116" s="121"/>
      <c r="P116" s="121"/>
      <c r="Q116" s="121"/>
      <c r="R116" s="142"/>
    </row>
    <row r="117" spans="2:18" s="2" customFormat="1" ht="17.25" customHeight="1" x14ac:dyDescent="0.25">
      <c r="B117" s="142"/>
      <c r="C117" s="118" t="s">
        <v>55</v>
      </c>
      <c r="D117" s="141">
        <f>'ASF-ADequations'!R45</f>
        <v>45.825949724512853</v>
      </c>
      <c r="E117" s="121"/>
      <c r="F117" s="121"/>
      <c r="G117" s="121"/>
      <c r="H117" s="121"/>
      <c r="I117" s="125"/>
      <c r="J117" s="155"/>
      <c r="K117" s="118" t="s">
        <v>55</v>
      </c>
      <c r="L117" s="141">
        <f>'ASF-ADequations'!R82</f>
        <v>41.096733286206586</v>
      </c>
      <c r="M117" s="121"/>
      <c r="N117" s="121"/>
      <c r="O117" s="121"/>
      <c r="P117" s="121"/>
      <c r="Q117" s="125"/>
      <c r="R117" s="142"/>
    </row>
    <row r="118" spans="2:18" s="2" customFormat="1" ht="17.25" customHeight="1" x14ac:dyDescent="0.25">
      <c r="B118" s="142"/>
      <c r="C118" s="118" t="s">
        <v>56</v>
      </c>
      <c r="D118" s="126">
        <f>'ASF-ADequations'!R52</f>
        <v>43.748019364347392</v>
      </c>
      <c r="E118" s="121"/>
      <c r="F118" s="121"/>
      <c r="G118" s="121"/>
      <c r="H118" s="121"/>
      <c r="I118" s="125"/>
      <c r="J118" s="155"/>
      <c r="K118" s="118" t="s">
        <v>56</v>
      </c>
      <c r="L118" s="126">
        <f>'ASF-ADequations'!R88</f>
        <v>36.65577244309096</v>
      </c>
      <c r="M118" s="121"/>
      <c r="N118" s="121"/>
      <c r="O118" s="121"/>
      <c r="P118" s="121"/>
      <c r="Q118" s="125"/>
      <c r="R118" s="142"/>
    </row>
    <row r="119" spans="2:18" ht="15.75" x14ac:dyDescent="0.25">
      <c r="B119" s="96"/>
      <c r="C119" s="96"/>
      <c r="D119" s="96"/>
      <c r="E119" s="96"/>
      <c r="F119" s="96"/>
      <c r="G119" s="96"/>
      <c r="H119" s="96"/>
      <c r="I119" s="102"/>
      <c r="J119" s="105"/>
      <c r="K119" s="96"/>
      <c r="L119" s="96"/>
      <c r="M119" s="96"/>
      <c r="N119" s="96"/>
      <c r="O119" s="96"/>
      <c r="P119" s="96"/>
      <c r="Q119" s="102"/>
      <c r="R119" s="96"/>
    </row>
    <row r="120" spans="2:18" x14ac:dyDescent="0.25">
      <c r="B120" s="96"/>
      <c r="C120" s="96"/>
      <c r="D120" s="96"/>
      <c r="E120" s="96"/>
      <c r="F120" s="96"/>
      <c r="G120" s="96"/>
      <c r="H120" s="96"/>
      <c r="I120" s="96"/>
      <c r="J120" s="96"/>
      <c r="K120" s="108"/>
      <c r="L120" s="96"/>
      <c r="M120" s="96"/>
      <c r="N120" s="96"/>
      <c r="O120" s="96"/>
      <c r="P120" s="96"/>
      <c r="Q120" s="96"/>
      <c r="R120" s="96"/>
    </row>
    <row r="121" spans="2:18" x14ac:dyDescent="0.25">
      <c r="B121" s="96"/>
      <c r="C121" s="96"/>
      <c r="D121" s="96"/>
      <c r="E121" s="96"/>
      <c r="F121" s="96"/>
      <c r="G121" s="96"/>
      <c r="H121" s="96"/>
      <c r="I121" s="96"/>
      <c r="J121" s="96"/>
      <c r="K121" s="96"/>
      <c r="L121" s="96"/>
      <c r="M121" s="96"/>
      <c r="N121" s="96"/>
      <c r="O121" s="96"/>
      <c r="P121" s="96"/>
      <c r="Q121" s="96"/>
      <c r="R121" s="96"/>
    </row>
    <row r="122" spans="2:18" x14ac:dyDescent="0.25">
      <c r="B122" s="96"/>
      <c r="C122" s="96"/>
      <c r="D122" s="96"/>
      <c r="E122" s="96"/>
      <c r="F122" s="96"/>
      <c r="G122" s="96"/>
      <c r="H122" s="96"/>
      <c r="I122" s="96"/>
      <c r="J122" s="96"/>
      <c r="K122" s="96"/>
      <c r="L122" s="96"/>
      <c r="M122" s="96"/>
      <c r="N122" s="96"/>
      <c r="O122" s="96"/>
      <c r="P122" s="96"/>
      <c r="Q122" s="96"/>
      <c r="R122" s="96"/>
    </row>
    <row r="123" spans="2:18" x14ac:dyDescent="0.25">
      <c r="B123" s="96"/>
      <c r="C123" s="96"/>
      <c r="D123" s="96"/>
      <c r="E123" s="96"/>
      <c r="F123" s="96"/>
      <c r="G123" s="96"/>
      <c r="H123" s="96"/>
      <c r="I123" s="96"/>
      <c r="J123" s="96"/>
      <c r="K123" s="96"/>
      <c r="L123" s="96"/>
      <c r="M123" s="96"/>
      <c r="N123" s="96"/>
      <c r="O123" s="96"/>
      <c r="P123" s="96"/>
      <c r="Q123" s="96"/>
      <c r="R123" s="96"/>
    </row>
    <row r="124" spans="2:18" x14ac:dyDescent="0.25">
      <c r="B124" s="96"/>
      <c r="C124" s="96"/>
      <c r="D124" s="96"/>
      <c r="E124" s="96"/>
      <c r="F124" s="96"/>
      <c r="G124" s="96"/>
      <c r="H124" s="96"/>
      <c r="I124" s="96"/>
      <c r="J124" s="96"/>
      <c r="K124" s="96"/>
      <c r="L124" s="96"/>
      <c r="M124" s="96"/>
      <c r="N124" s="96"/>
      <c r="O124" s="96"/>
      <c r="P124" s="96"/>
      <c r="Q124" s="96"/>
      <c r="R124" s="96"/>
    </row>
    <row r="125" spans="2:18" x14ac:dyDescent="0.25">
      <c r="B125" s="96"/>
      <c r="C125" s="96"/>
      <c r="D125" s="96"/>
      <c r="E125" s="96"/>
      <c r="F125" s="96"/>
      <c r="G125" s="96"/>
      <c r="H125" s="96"/>
      <c r="I125" s="96"/>
      <c r="J125" s="96"/>
      <c r="K125" s="96"/>
      <c r="L125" s="96"/>
      <c r="M125" s="96"/>
      <c r="N125" s="96"/>
      <c r="O125" s="96"/>
      <c r="P125" s="96"/>
      <c r="Q125" s="96"/>
      <c r="R125" s="96"/>
    </row>
    <row r="126" spans="2:18" x14ac:dyDescent="0.25">
      <c r="B126" s="96"/>
      <c r="C126" s="96"/>
      <c r="D126" s="96"/>
      <c r="E126" s="96"/>
      <c r="F126" s="96"/>
      <c r="G126" s="96"/>
      <c r="H126" s="96"/>
      <c r="I126" s="96"/>
      <c r="J126" s="96"/>
      <c r="K126" s="96"/>
      <c r="L126" s="96"/>
      <c r="M126" s="96"/>
      <c r="N126" s="96"/>
      <c r="O126" s="96"/>
      <c r="P126" s="96"/>
      <c r="Q126" s="96"/>
      <c r="R126" s="96"/>
    </row>
    <row r="127" spans="2:18" x14ac:dyDescent="0.25">
      <c r="B127" s="96"/>
      <c r="C127" s="96"/>
      <c r="D127" s="96"/>
      <c r="E127" s="96"/>
      <c r="F127" s="96"/>
      <c r="G127" s="96"/>
      <c r="H127" s="96"/>
      <c r="I127" s="96"/>
      <c r="J127" s="96"/>
      <c r="K127" s="96"/>
      <c r="L127" s="96"/>
      <c r="M127" s="96"/>
      <c r="N127" s="96"/>
      <c r="O127" s="96"/>
      <c r="P127" s="96"/>
      <c r="Q127" s="96"/>
      <c r="R127" s="96"/>
    </row>
    <row r="128" spans="2:18" x14ac:dyDescent="0.25">
      <c r="B128" s="96"/>
      <c r="C128" s="96"/>
      <c r="D128" s="96"/>
      <c r="E128" s="96"/>
      <c r="F128" s="96"/>
      <c r="G128" s="96"/>
      <c r="H128" s="96"/>
      <c r="I128" s="96"/>
      <c r="J128" s="96"/>
      <c r="K128" s="96"/>
      <c r="L128" s="96"/>
      <c r="M128" s="96"/>
      <c r="N128" s="96"/>
      <c r="O128" s="96"/>
      <c r="P128" s="96"/>
      <c r="Q128" s="96"/>
      <c r="R128" s="96"/>
    </row>
    <row r="129" spans="2:18" x14ac:dyDescent="0.25">
      <c r="B129" s="96"/>
      <c r="C129" s="96"/>
      <c r="D129" s="96"/>
      <c r="E129" s="96"/>
      <c r="F129" s="96"/>
      <c r="G129" s="96"/>
      <c r="H129" s="96"/>
      <c r="I129" s="96"/>
      <c r="J129" s="96"/>
      <c r="K129" s="96"/>
      <c r="L129" s="96"/>
      <c r="M129" s="96"/>
      <c r="N129" s="96"/>
      <c r="O129" s="96"/>
      <c r="P129" s="96"/>
      <c r="Q129" s="96"/>
      <c r="R129" s="96"/>
    </row>
    <row r="130" spans="2:18" x14ac:dyDescent="0.25">
      <c r="B130" s="96"/>
      <c r="C130" s="96"/>
      <c r="D130" s="96"/>
      <c r="E130" s="96"/>
      <c r="F130" s="96"/>
      <c r="G130" s="96"/>
      <c r="H130" s="96"/>
      <c r="I130" s="96"/>
      <c r="J130" s="96"/>
      <c r="K130" s="96"/>
      <c r="L130" s="96"/>
      <c r="M130" s="96"/>
      <c r="N130" s="96"/>
      <c r="O130" s="96"/>
      <c r="P130" s="96"/>
      <c r="Q130" s="96"/>
      <c r="R130" s="96"/>
    </row>
    <row r="131" spans="2:18" x14ac:dyDescent="0.25">
      <c r="B131" s="96"/>
      <c r="C131" s="96"/>
      <c r="D131" s="96"/>
      <c r="E131" s="96"/>
      <c r="F131" s="96"/>
      <c r="G131" s="96"/>
      <c r="H131" s="96"/>
      <c r="I131" s="96"/>
      <c r="J131" s="96"/>
      <c r="K131" s="96"/>
      <c r="L131" s="96"/>
      <c r="M131" s="96"/>
      <c r="N131" s="96"/>
      <c r="O131" s="96"/>
      <c r="P131" s="96"/>
      <c r="Q131" s="96"/>
      <c r="R131" s="96"/>
    </row>
    <row r="132" spans="2:18" x14ac:dyDescent="0.25">
      <c r="B132" s="96"/>
      <c r="C132" s="96"/>
      <c r="D132" s="96"/>
      <c r="E132" s="96"/>
      <c r="F132" s="96"/>
      <c r="G132" s="96"/>
      <c r="H132" s="96"/>
      <c r="I132" s="96"/>
      <c r="J132" s="96"/>
      <c r="K132" s="96"/>
      <c r="L132" s="96"/>
      <c r="M132" s="96"/>
      <c r="N132" s="96"/>
      <c r="O132" s="96"/>
      <c r="P132" s="96"/>
      <c r="Q132" s="96"/>
      <c r="R132" s="96"/>
    </row>
    <row r="133" spans="2:18" x14ac:dyDescent="0.25">
      <c r="B133" s="96"/>
      <c r="C133" s="96"/>
      <c r="D133" s="96"/>
      <c r="E133" s="96"/>
      <c r="F133" s="96"/>
      <c r="G133" s="96"/>
      <c r="H133" s="96"/>
      <c r="I133" s="96"/>
      <c r="J133" s="96"/>
      <c r="K133" s="96"/>
      <c r="L133" s="96"/>
      <c r="M133" s="96"/>
      <c r="N133" s="96"/>
      <c r="O133" s="96"/>
      <c r="P133" s="96"/>
      <c r="Q133" s="96"/>
      <c r="R133" s="96"/>
    </row>
    <row r="134" spans="2:18" x14ac:dyDescent="0.25">
      <c r="B134" s="96"/>
      <c r="C134" s="96"/>
      <c r="D134" s="96"/>
      <c r="E134" s="96"/>
      <c r="F134" s="96"/>
      <c r="G134" s="96"/>
      <c r="H134" s="96"/>
      <c r="I134" s="96"/>
      <c r="J134" s="96"/>
      <c r="K134" s="96"/>
      <c r="L134" s="96"/>
      <c r="M134" s="96"/>
      <c r="N134" s="96"/>
      <c r="O134" s="96"/>
      <c r="P134" s="96"/>
      <c r="Q134" s="96"/>
      <c r="R134" s="96"/>
    </row>
    <row r="135" spans="2:18" x14ac:dyDescent="0.25">
      <c r="B135" s="96"/>
      <c r="C135" s="96"/>
      <c r="D135" s="96"/>
      <c r="E135" s="96"/>
      <c r="F135" s="96"/>
      <c r="G135" s="96"/>
      <c r="H135" s="96"/>
      <c r="I135" s="96"/>
      <c r="J135" s="96"/>
      <c r="K135" s="96"/>
      <c r="L135" s="96"/>
      <c r="M135" s="96"/>
      <c r="N135" s="96"/>
      <c r="O135" s="96"/>
      <c r="P135" s="96"/>
      <c r="Q135" s="96"/>
      <c r="R135" s="96"/>
    </row>
    <row r="136" spans="2:18" x14ac:dyDescent="0.25">
      <c r="B136" s="96"/>
      <c r="C136" s="96"/>
      <c r="D136" s="96"/>
      <c r="E136" s="96"/>
      <c r="F136" s="96"/>
      <c r="G136" s="96"/>
      <c r="H136" s="96"/>
      <c r="I136" s="96"/>
      <c r="J136" s="96"/>
      <c r="K136" s="96"/>
      <c r="L136" s="96"/>
      <c r="M136" s="96"/>
      <c r="N136" s="96"/>
      <c r="O136" s="96"/>
      <c r="P136" s="96"/>
      <c r="Q136" s="96"/>
      <c r="R136" s="96"/>
    </row>
    <row r="137" spans="2:18" x14ac:dyDescent="0.25">
      <c r="B137" s="96"/>
      <c r="C137" s="96"/>
      <c r="D137" s="96"/>
      <c r="E137" s="96"/>
      <c r="F137" s="96"/>
      <c r="G137" s="96"/>
      <c r="H137" s="96"/>
      <c r="I137" s="96"/>
      <c r="J137" s="96"/>
      <c r="K137" s="96"/>
      <c r="L137" s="96"/>
      <c r="M137" s="96"/>
      <c r="N137" s="96"/>
      <c r="O137" s="96"/>
      <c r="P137" s="96"/>
      <c r="Q137" s="96"/>
      <c r="R137" s="96"/>
    </row>
    <row r="138" spans="2:18" x14ac:dyDescent="0.25">
      <c r="B138" s="96"/>
      <c r="C138" s="96"/>
      <c r="D138" s="96"/>
      <c r="E138" s="96"/>
      <c r="F138" s="96"/>
      <c r="G138" s="96"/>
      <c r="H138" s="96"/>
      <c r="I138" s="96"/>
      <c r="J138" s="96"/>
      <c r="K138" s="96"/>
      <c r="L138" s="96"/>
      <c r="M138" s="96"/>
      <c r="N138" s="96"/>
      <c r="O138" s="96"/>
      <c r="P138" s="96"/>
      <c r="Q138" s="96"/>
      <c r="R138" s="96"/>
    </row>
    <row r="139" spans="2:18" x14ac:dyDescent="0.25">
      <c r="B139" s="96"/>
      <c r="C139" s="96"/>
      <c r="D139" s="106">
        <f>'ASF-ADequations'!L39</f>
        <v>48.690982963081332</v>
      </c>
      <c r="E139" s="106">
        <f>'ASF-ADequations'!M39</f>
        <v>50.40869811646656</v>
      </c>
      <c r="F139" s="106">
        <f>'ASF-ADequations'!N39</f>
        <v>48.797696223367879</v>
      </c>
      <c r="G139" s="106">
        <f>'ASF-ADequations'!O39</f>
        <v>66.681789964462013</v>
      </c>
      <c r="H139" s="106">
        <f>'ASF-ADequations'!P39</f>
        <v>9.0102999566398125</v>
      </c>
      <c r="I139" s="106">
        <f>'ASF-ADequations'!Q39</f>
        <v>9.0102999566398125</v>
      </c>
      <c r="J139" s="96"/>
      <c r="K139" s="96"/>
      <c r="L139" s="96"/>
      <c r="M139" s="96"/>
      <c r="N139" s="96"/>
      <c r="O139" s="96"/>
      <c r="P139" s="96"/>
      <c r="Q139" s="96"/>
      <c r="R139" s="96"/>
    </row>
    <row r="140" spans="2:18" x14ac:dyDescent="0.25">
      <c r="B140" s="96"/>
      <c r="C140" s="96"/>
      <c r="D140" s="96"/>
      <c r="E140" s="96"/>
      <c r="F140" s="96"/>
      <c r="G140" s="96"/>
      <c r="H140" s="96"/>
      <c r="I140" s="96"/>
      <c r="J140" s="96"/>
      <c r="K140" s="96"/>
      <c r="L140" s="96"/>
      <c r="M140" s="96"/>
      <c r="N140" s="96"/>
      <c r="O140" s="96"/>
      <c r="P140" s="96"/>
      <c r="Q140" s="96"/>
      <c r="R140" s="96"/>
    </row>
    <row r="141" spans="2:18" x14ac:dyDescent="0.25">
      <c r="B141" s="96"/>
      <c r="C141" s="96"/>
      <c r="D141" s="96"/>
      <c r="E141" s="96"/>
      <c r="F141" s="96"/>
      <c r="G141" s="96"/>
      <c r="H141" s="96"/>
      <c r="I141" s="96"/>
      <c r="J141" s="96"/>
      <c r="K141" s="96"/>
      <c r="L141" s="96"/>
      <c r="M141" s="96"/>
      <c r="N141" s="96"/>
      <c r="O141" s="96"/>
      <c r="P141" s="96"/>
      <c r="Q141" s="96"/>
      <c r="R141" s="96"/>
    </row>
    <row r="142" spans="2:18" ht="17.25" customHeight="1" x14ac:dyDescent="0.25">
      <c r="B142" s="96"/>
      <c r="C142" s="112" t="s">
        <v>72</v>
      </c>
      <c r="D142" s="113" t="s">
        <v>34</v>
      </c>
      <c r="E142" s="134" t="s">
        <v>39</v>
      </c>
      <c r="F142" s="134" t="s">
        <v>38</v>
      </c>
      <c r="G142" s="134" t="s">
        <v>37</v>
      </c>
      <c r="H142" s="134" t="s">
        <v>36</v>
      </c>
      <c r="I142" s="134" t="s">
        <v>35</v>
      </c>
      <c r="J142" s="96"/>
      <c r="K142" s="96"/>
      <c r="L142" s="96"/>
      <c r="M142" s="96"/>
      <c r="N142" s="96"/>
      <c r="O142" s="96"/>
      <c r="P142" s="96"/>
      <c r="Q142" s="96"/>
      <c r="R142" s="96"/>
    </row>
    <row r="143" spans="2:18" ht="17.25" customHeight="1" x14ac:dyDescent="0.25">
      <c r="B143" s="96"/>
      <c r="C143" s="136" t="s">
        <v>57</v>
      </c>
      <c r="D143" s="126">
        <f>'ASF-ADequations'!C61</f>
        <v>37.690982963081332</v>
      </c>
      <c r="E143" s="133">
        <f>'ASF-ADequations'!D61</f>
        <v>39.40869811646656</v>
      </c>
      <c r="F143" s="133">
        <f>'ASF-ADequations'!E61</f>
        <v>37.797696223367879</v>
      </c>
      <c r="G143" s="133">
        <f>'ASF-ADequations'!F61</f>
        <v>55.681789964462013</v>
      </c>
      <c r="H143" s="133" t="str">
        <f>'ASF-ADequations'!G61</f>
        <v>&lt;5</v>
      </c>
      <c r="I143" s="133" t="str">
        <f>'ASF-ADequations'!H61</f>
        <v>&lt;5</v>
      </c>
      <c r="J143" s="96"/>
      <c r="K143" s="96"/>
      <c r="L143" s="96"/>
      <c r="M143" s="96"/>
      <c r="N143" s="96"/>
      <c r="O143" s="96"/>
      <c r="P143" s="96"/>
      <c r="Q143" s="96"/>
      <c r="R143" s="96"/>
    </row>
    <row r="144" spans="2:18" ht="17.25" customHeight="1" x14ac:dyDescent="0.25">
      <c r="B144" s="96"/>
      <c r="C144" s="139" t="s">
        <v>54</v>
      </c>
      <c r="D144" s="140">
        <f>'ASF-ADequations'!I46</f>
        <v>55.731581659835179</v>
      </c>
      <c r="E144" s="121"/>
      <c r="F144" s="121"/>
      <c r="G144" s="121"/>
      <c r="H144" s="121"/>
      <c r="I144" s="121"/>
      <c r="J144" s="96"/>
      <c r="K144" s="96"/>
      <c r="L144" s="96"/>
      <c r="M144" s="96"/>
      <c r="N144" s="96"/>
      <c r="O144" s="96"/>
      <c r="P144" s="96"/>
      <c r="Q144" s="96"/>
      <c r="R144" s="96"/>
    </row>
    <row r="145" spans="2:18" ht="17.25" customHeight="1" x14ac:dyDescent="0.25">
      <c r="B145" s="96"/>
      <c r="C145" s="118" t="s">
        <v>55</v>
      </c>
      <c r="D145" s="141">
        <f>'ASF-ADequations'!R46</f>
        <v>66.731581659835172</v>
      </c>
      <c r="E145" s="121"/>
      <c r="F145" s="121"/>
      <c r="G145" s="121"/>
      <c r="H145" s="121"/>
      <c r="I145" s="121"/>
      <c r="J145" s="96"/>
      <c r="K145" s="96"/>
      <c r="L145" s="96"/>
      <c r="M145" s="96"/>
      <c r="N145" s="96"/>
      <c r="O145" s="96"/>
      <c r="P145" s="96"/>
      <c r="Q145" s="96"/>
      <c r="R145" s="96"/>
    </row>
    <row r="146" spans="2:18" ht="17.25" customHeight="1" x14ac:dyDescent="0.25">
      <c r="B146" s="96"/>
      <c r="C146" s="118" t="s">
        <v>56</v>
      </c>
      <c r="D146" s="126">
        <f>'ASF-ADequations'!R53</f>
        <v>65.942243663395885</v>
      </c>
      <c r="E146" s="121"/>
      <c r="F146" s="121"/>
      <c r="G146" s="121"/>
      <c r="H146" s="121"/>
      <c r="I146" s="121"/>
      <c r="J146" s="96"/>
      <c r="K146" s="96"/>
      <c r="L146" s="96"/>
      <c r="M146" s="96"/>
      <c r="N146" s="96"/>
      <c r="O146" s="96"/>
      <c r="P146" s="96"/>
      <c r="Q146" s="96"/>
      <c r="R146" s="96"/>
    </row>
    <row r="147" spans="2:18" x14ac:dyDescent="0.25">
      <c r="B147" s="96"/>
      <c r="C147" s="101"/>
      <c r="D147" s="101"/>
      <c r="E147" s="101"/>
      <c r="F147" s="101"/>
      <c r="G147" s="101"/>
      <c r="H147" s="101"/>
      <c r="I147" s="101"/>
      <c r="J147" s="96"/>
      <c r="K147" s="96"/>
      <c r="L147" s="96"/>
      <c r="M147" s="96"/>
      <c r="N147" s="96"/>
      <c r="O147" s="96"/>
      <c r="P147" s="96"/>
      <c r="Q147" s="96"/>
      <c r="R147" s="96"/>
    </row>
    <row r="148" spans="2:18" x14ac:dyDescent="0.25">
      <c r="B148" s="96"/>
      <c r="C148" s="96"/>
      <c r="D148" s="96"/>
      <c r="E148" s="96"/>
      <c r="F148" s="96"/>
      <c r="G148" s="96"/>
      <c r="H148" s="96"/>
      <c r="I148" s="96"/>
      <c r="J148" s="96"/>
      <c r="K148" s="96"/>
      <c r="L148" s="96"/>
      <c r="M148" s="96"/>
      <c r="N148" s="96"/>
      <c r="O148" s="96"/>
      <c r="P148" s="96"/>
      <c r="Q148" s="96"/>
      <c r="R148" s="96"/>
    </row>
  </sheetData>
  <sheetProtection algorithmName="SHA-512" hashValue="fN4J9WAiv701oAOvwYTW2OQcuBwFfx5XpDUQPf+2rUAG1Tu23tKlQa0CFxF+qwQ8ZMJVPEngW3KKz8p4XER6dw==" saltValue="kmRIyc26o2112ZuW0+sS0g==" spinCount="100000" sheet="1" objects="1" scenarios="1" selectLockedCells="1" selectUnlockedCells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ASF-AD</vt:lpstr>
      <vt:lpstr>ASF-ADequations</vt:lpstr>
      <vt:lpstr>ASF-AD Acoustic 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Smartair Diffusion</dc:creator>
  <cp:lastModifiedBy>Peter Tran</cp:lastModifiedBy>
  <dcterms:created xsi:type="dcterms:W3CDTF">2016-09-15T03:33:21Z</dcterms:created>
  <dcterms:modified xsi:type="dcterms:W3CDTF">2017-08-25T04:21:35Z</dcterms:modified>
</cp:coreProperties>
</file>