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e88369f42e4cf940/Documents/Work/Smartair/HSC-AD/"/>
    </mc:Choice>
  </mc:AlternateContent>
  <xr:revisionPtr revIDLastSave="734" documentId="13_ncr:1_{1EDD744D-A913-414D-94F5-36CC71816263}" xr6:coauthVersionLast="47" xr6:coauthVersionMax="47" xr10:uidLastSave="{71DE6D11-F6B2-4131-A2B8-144E936691B8}"/>
  <workbookProtection workbookAlgorithmName="SHA-512" workbookHashValue="7UJN4MqgR+3xFHJiDpaLSnpMtT/0Kg1kEOhF8qhaVisNl35+Ws76//Vr1PBPR0XpIQCrmAfYzI4CNZRxSL7+rw==" workbookSaltValue="J8A3msj4Tj1x1O15DfaVpA==" workbookSpinCount="100000" lockStructure="1"/>
  <bookViews>
    <workbookView xWindow="-9765" yWindow="-24120" windowWidth="57840" windowHeight="23520" tabRatio="621" xr2:uid="{87521DE1-9F6E-40D6-95BB-F64FB1714D99}"/>
  </bookViews>
  <sheets>
    <sheet name="HSC-AD" sheetId="1" r:id="rId1"/>
    <sheet name="Equations HSC-AD" sheetId="2" state="hidden" r:id="rId2"/>
    <sheet name="Notes &amp; Drawings" sheetId="4" r:id="rId3"/>
    <sheet name="Acoustic_Tool" sheetId="7" state="hidden" r:id="rId4"/>
    <sheet name="Heating " sheetId="10" state="hidden" r:id="rId5"/>
    <sheet name="HSC-AD data" sheetId="3" state="hidden" r:id="rId6"/>
    <sheet name="Charts" sheetId="6" state="hidden" r:id="rId7"/>
    <sheet name="Selection Summary &amp; Print" sheetId="5" r:id="rId8"/>
    <sheet name="Tender Text" sheetId="9" state="hidden" r:id="rId9"/>
  </sheets>
  <externalReferences>
    <externalReference r:id="rId10"/>
  </externalReferences>
  <definedNames>
    <definedName name="_productcode">'HSC-AD data'!$D$72</definedName>
    <definedName name="adpi." localSheetId="4">'[1]HSC-AD data'!$B$2:$B$5</definedName>
    <definedName name="adpi.">'HSC-AD data'!$B$2:$B$5</definedName>
    <definedName name="face250">'HSC-AD data'!$K$40:$K$42</definedName>
    <definedName name="face355">'HSC-AD data'!$L$40:$L$45</definedName>
    <definedName name="face500">'HSC-AD data'!$M$40:$M$44</definedName>
    <definedName name="getFrontChart" localSheetId="4">IF('[1]HSC-AD data'!$D$23=250,INDIRECT("Charts!$B$1"),IF('[1]HSC-AD data'!$D$23=355,INDIRECT("Charts!$B$3"),IF('[1]HSC-AD data'!$D$23=400,INDIRECT("Charts!$B$5"),IF('[1]HSC-AD data'!$D$23=500,INDIRECT("Charts!$B$7"),IF('[1]HSC-AD data'!$D$23=630,INDIRECT("Charts!$B$9"),IF('[1]HSC-AD data'!$D$23=710,INDIRECT("Charts!$B$11"),IF('[1]HSC-AD data'!$D$23=1000,INDIRECT("Charts!$B$13"),"")))))))</definedName>
    <definedName name="getFrontChart">INDIRECT("Charts!$B$1")</definedName>
    <definedName name="size." localSheetId="4">'[1]HSC-AD data'!$C$65:$C$71</definedName>
    <definedName name="size.">'HSC-AD data'!$C$76:$C$81</definedName>
    <definedName name="testchart" localSheetId="4">INDIRECT('[1]HSC-AD data diagrams'!$C$11)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Y113" i="2" l="1"/>
  <c r="CY103" i="2"/>
  <c r="B169" i="3"/>
  <c r="B172" i="3"/>
  <c r="C191" i="3" l="1"/>
  <c r="D48" i="1" l="1"/>
  <c r="B188" i="3"/>
  <c r="U55" i="1" s="1"/>
  <c r="DB92" i="2"/>
  <c r="DV92" i="2" s="1"/>
  <c r="DS139" i="2" s="1"/>
  <c r="DS140" i="2" s="1"/>
  <c r="CH92" i="2"/>
  <c r="CG98" i="2" s="1"/>
  <c r="B98" i="3"/>
  <c r="B104" i="3"/>
  <c r="B112" i="3"/>
  <c r="B114" i="3"/>
  <c r="B115" i="3"/>
  <c r="B116" i="3"/>
  <c r="B117" i="3"/>
  <c r="B119" i="3"/>
  <c r="B120" i="3"/>
  <c r="B121" i="3"/>
  <c r="B122" i="3"/>
  <c r="C23" i="3"/>
  <c r="C93" i="3" s="1"/>
  <c r="F50" i="5"/>
  <c r="O272" i="2"/>
  <c r="O271" i="2"/>
  <c r="L50" i="5"/>
  <c r="L71" i="1"/>
  <c r="K18" i="2"/>
  <c r="C19" i="2"/>
  <c r="F80" i="2" s="1"/>
  <c r="C17" i="2"/>
  <c r="M213" i="2" s="1"/>
  <c r="M254" i="2" s="1"/>
  <c r="Q49" i="1" s="1"/>
  <c r="C4" i="2"/>
  <c r="C126" i="2"/>
  <c r="C125" i="2"/>
  <c r="C46" i="2"/>
  <c r="DL92" i="2"/>
  <c r="EF92" i="2" s="1"/>
  <c r="C21" i="2"/>
  <c r="C23" i="2" s="1"/>
  <c r="W95" i="2"/>
  <c r="C15" i="2"/>
  <c r="C26" i="2" s="1"/>
  <c r="C87" i="2"/>
  <c r="D87" i="2" s="1"/>
  <c r="C95" i="2"/>
  <c r="M95" i="2"/>
  <c r="O93" i="2" s="1"/>
  <c r="AG95" i="2"/>
  <c r="AI93" i="2" s="1"/>
  <c r="BA95" i="2"/>
  <c r="BC93" i="2" s="1"/>
  <c r="BK95" i="2"/>
  <c r="BU95" i="2"/>
  <c r="BW93" i="2" s="1"/>
  <c r="CO95" i="2"/>
  <c r="CQ93" i="2" s="1"/>
  <c r="CY95" i="2"/>
  <c r="DI95" i="2"/>
  <c r="DS95" i="2"/>
  <c r="EC95" i="2"/>
  <c r="EM95" i="2"/>
  <c r="AQ95" i="2"/>
  <c r="CE95" i="2"/>
  <c r="M139" i="2"/>
  <c r="M140" i="2" s="1"/>
  <c r="C139" i="2"/>
  <c r="C140" i="2" s="1"/>
  <c r="W139" i="2"/>
  <c r="W140" i="2" s="1"/>
  <c r="AG139" i="2"/>
  <c r="AG140" i="2" s="1"/>
  <c r="BA139" i="2"/>
  <c r="BA140" i="2" s="1"/>
  <c r="BK139" i="2"/>
  <c r="BK140" i="2" s="1"/>
  <c r="BU139" i="2"/>
  <c r="BU140" i="2" s="1"/>
  <c r="CO139" i="2"/>
  <c r="CO140" i="2" s="1"/>
  <c r="W123" i="2"/>
  <c r="AG123" i="2"/>
  <c r="AQ123" i="2"/>
  <c r="BA123" i="2"/>
  <c r="BK123" i="2"/>
  <c r="BU123" i="2"/>
  <c r="CE123" i="2"/>
  <c r="CO123" i="2"/>
  <c r="CY123" i="2"/>
  <c r="DI123" i="2"/>
  <c r="DS123" i="2"/>
  <c r="EC123" i="2"/>
  <c r="EM123" i="2"/>
  <c r="C123" i="2"/>
  <c r="M123" i="2"/>
  <c r="E69" i="3"/>
  <c r="C89" i="3" s="1"/>
  <c r="H10" i="5" s="1"/>
  <c r="D69" i="3"/>
  <c r="B141" i="3"/>
  <c r="B173" i="3" s="1"/>
  <c r="B23" i="5" s="1"/>
  <c r="D63" i="3"/>
  <c r="EO98" i="2"/>
  <c r="BM98" i="2"/>
  <c r="C16" i="2"/>
  <c r="BW98" i="2"/>
  <c r="BY92" i="2" s="1"/>
  <c r="CQ98" i="2"/>
  <c r="CS92" i="2" s="1"/>
  <c r="BC98" i="2"/>
  <c r="Y98" i="2"/>
  <c r="O264" i="2"/>
  <c r="S59" i="1" s="1"/>
  <c r="C12" i="2"/>
  <c r="C75" i="2"/>
  <c r="C77" i="2"/>
  <c r="D75" i="2"/>
  <c r="D77" i="2"/>
  <c r="DA92" i="2"/>
  <c r="AS92" i="2"/>
  <c r="C14" i="2"/>
  <c r="H209" i="2" s="1"/>
  <c r="H251" i="2" s="1"/>
  <c r="L46" i="1" s="1"/>
  <c r="E92" i="2"/>
  <c r="BM92" i="2"/>
  <c r="CG92" i="2"/>
  <c r="DU92" i="2"/>
  <c r="Y92" i="2"/>
  <c r="J16" i="10"/>
  <c r="L30" i="10"/>
  <c r="M30" i="10"/>
  <c r="C16" i="10"/>
  <c r="E29" i="10"/>
  <c r="F29" i="10"/>
  <c r="L28" i="10"/>
  <c r="M28" i="10"/>
  <c r="L26" i="10"/>
  <c r="M26" i="10"/>
  <c r="L24" i="10"/>
  <c r="M24" i="10"/>
  <c r="L22" i="10"/>
  <c r="M22" i="10"/>
  <c r="E22" i="10"/>
  <c r="F22" i="10"/>
  <c r="L20" i="10"/>
  <c r="M20" i="10"/>
  <c r="E20" i="10"/>
  <c r="F20" i="10"/>
  <c r="L18" i="10"/>
  <c r="M18" i="10"/>
  <c r="E18" i="10"/>
  <c r="F18" i="10"/>
  <c r="L16" i="10"/>
  <c r="M16" i="10"/>
  <c r="E16" i="10"/>
  <c r="F16" i="10"/>
  <c r="C48" i="2"/>
  <c r="C47" i="2"/>
  <c r="E98" i="2"/>
  <c r="O98" i="2"/>
  <c r="Q92" i="2" s="1"/>
  <c r="AI98" i="2"/>
  <c r="AK92" i="2" s="1"/>
  <c r="C25" i="2"/>
  <c r="AQ139" i="2"/>
  <c r="AQ140" i="2" s="1"/>
  <c r="D78" i="2"/>
  <c r="C78" i="2"/>
  <c r="D76" i="2"/>
  <c r="C76" i="2"/>
  <c r="D74" i="2"/>
  <c r="C74" i="2"/>
  <c r="G76" i="2"/>
  <c r="F76" i="2"/>
  <c r="G66" i="2"/>
  <c r="F66" i="2"/>
  <c r="D66" i="2"/>
  <c r="C66" i="2"/>
  <c r="H64" i="1"/>
  <c r="I64" i="1"/>
  <c r="J64" i="1"/>
  <c r="K64" i="1"/>
  <c r="L64" i="1"/>
  <c r="M64" i="1"/>
  <c r="N64" i="1"/>
  <c r="O64" i="1"/>
  <c r="P64" i="1"/>
  <c r="Q64" i="1"/>
  <c r="R64" i="1"/>
  <c r="G64" i="1"/>
  <c r="D35" i="4"/>
  <c r="D37" i="4" s="1"/>
  <c r="B133" i="3"/>
  <c r="B3" i="5"/>
  <c r="D3" i="2"/>
  <c r="F42" i="1" s="1"/>
  <c r="F48" i="1"/>
  <c r="D6" i="2"/>
  <c r="F10" i="1" s="1"/>
  <c r="E3" i="2"/>
  <c r="B127" i="3"/>
  <c r="AS98" i="2"/>
  <c r="B144" i="3"/>
  <c r="O189" i="2"/>
  <c r="N189" i="2"/>
  <c r="D189" i="2"/>
  <c r="E189" i="2"/>
  <c r="F189" i="2"/>
  <c r="G189" i="2"/>
  <c r="H189" i="2"/>
  <c r="I189" i="2"/>
  <c r="J189" i="2"/>
  <c r="K189" i="2"/>
  <c r="L189" i="2"/>
  <c r="M189" i="2"/>
  <c r="C189" i="2"/>
  <c r="BO92" i="2"/>
  <c r="AA92" i="2"/>
  <c r="G3" i="2"/>
  <c r="N17" i="1" s="1"/>
  <c r="B128" i="3"/>
  <c r="B132" i="3"/>
  <c r="B250" i="2"/>
  <c r="B99" i="3" s="1"/>
  <c r="B251" i="2"/>
  <c r="B100" i="3" s="1"/>
  <c r="B252" i="2"/>
  <c r="B101" i="3" s="1"/>
  <c r="B232" i="2"/>
  <c r="B253" i="2" s="1"/>
  <c r="B102" i="3" s="1"/>
  <c r="B254" i="2"/>
  <c r="B103" i="3" s="1"/>
  <c r="B256" i="2"/>
  <c r="B105" i="3" s="1"/>
  <c r="B257" i="2"/>
  <c r="B106" i="3" s="1"/>
  <c r="B258" i="2"/>
  <c r="B107" i="3" s="1"/>
  <c r="B259" i="2"/>
  <c r="B108" i="3" s="1"/>
  <c r="B260" i="2"/>
  <c r="B109" i="3" s="1"/>
  <c r="B261" i="2"/>
  <c r="B110" i="3" s="1"/>
  <c r="B262" i="2"/>
  <c r="B111" i="3" s="1"/>
  <c r="B264" i="2"/>
  <c r="B113" i="3" s="1"/>
  <c r="C88" i="3"/>
  <c r="H9" i="5" s="1"/>
  <c r="H71" i="1"/>
  <c r="B131" i="3"/>
  <c r="B155" i="3" s="1"/>
  <c r="B161" i="3"/>
  <c r="B22" i="5"/>
  <c r="A175" i="3"/>
  <c r="B191" i="2"/>
  <c r="B190" i="2"/>
  <c r="C83" i="2"/>
  <c r="D45" i="2"/>
  <c r="S49" i="1"/>
  <c r="O244" i="2"/>
  <c r="C6" i="2"/>
  <c r="B234" i="2"/>
  <c r="O17" i="1"/>
  <c r="E84" i="2"/>
  <c r="E35" i="4"/>
  <c r="F35" i="4"/>
  <c r="F37" i="4" s="1"/>
  <c r="D38" i="4"/>
  <c r="C37" i="4" s="1"/>
  <c r="C38" i="4"/>
  <c r="G35" i="4"/>
  <c r="G37" i="4" s="1"/>
  <c r="H35" i="4"/>
  <c r="H37" i="4" s="1"/>
  <c r="I35" i="4"/>
  <c r="I37" i="4" s="1"/>
  <c r="J35" i="4"/>
  <c r="J37" i="4" s="1"/>
  <c r="K35" i="4"/>
  <c r="K37" i="4" s="1"/>
  <c r="L35" i="4"/>
  <c r="L37" i="4" s="1"/>
  <c r="M229" i="2"/>
  <c r="Z229" i="2" s="1"/>
  <c r="AA229" i="2"/>
  <c r="S229" i="2"/>
  <c r="E229" i="2"/>
  <c r="T229" i="2" s="1"/>
  <c r="U229" i="2"/>
  <c r="H229" i="2"/>
  <c r="V229" i="2" s="1"/>
  <c r="W229" i="2"/>
  <c r="K229" i="2"/>
  <c r="X229" i="2" s="1"/>
  <c r="Y229" i="2"/>
  <c r="C229" i="2"/>
  <c r="R229" i="2" s="1"/>
  <c r="C244" i="2"/>
  <c r="D244" i="2"/>
  <c r="E244" i="2"/>
  <c r="F244" i="2"/>
  <c r="K244" i="2"/>
  <c r="L244" i="2"/>
  <c r="M244" i="2"/>
  <c r="N244" i="2"/>
  <c r="J71" i="1"/>
  <c r="L17" i="10"/>
  <c r="M17" i="10"/>
  <c r="L19" i="10"/>
  <c r="M19" i="10"/>
  <c r="L21" i="10"/>
  <c r="M21" i="10"/>
  <c r="L23" i="10"/>
  <c r="M23" i="10"/>
  <c r="L25" i="10"/>
  <c r="M25" i="10"/>
  <c r="L27" i="10"/>
  <c r="M27" i="10"/>
  <c r="L29" i="10"/>
  <c r="M29" i="10"/>
  <c r="E24" i="10"/>
  <c r="F24" i="10"/>
  <c r="E26" i="10"/>
  <c r="F26" i="10"/>
  <c r="E28" i="10"/>
  <c r="F28" i="10"/>
  <c r="E17" i="10"/>
  <c r="F17" i="10"/>
  <c r="E19" i="10"/>
  <c r="F19" i="10"/>
  <c r="E21" i="10"/>
  <c r="F21" i="10"/>
  <c r="E23" i="10"/>
  <c r="F23" i="10"/>
  <c r="E25" i="10"/>
  <c r="F25" i="10"/>
  <c r="E27" i="10"/>
  <c r="F27" i="10"/>
  <c r="H79" i="1" l="1"/>
  <c r="H78" i="1"/>
  <c r="C119" i="3"/>
  <c r="C33" i="2"/>
  <c r="E30" i="2" s="1"/>
  <c r="C39" i="4"/>
  <c r="E37" i="4"/>
  <c r="E10" i="1"/>
  <c r="C11" i="2"/>
  <c r="D38" i="2"/>
  <c r="C84" i="2"/>
  <c r="J213" i="2"/>
  <c r="J254" i="2" s="1"/>
  <c r="N49" i="1" s="1"/>
  <c r="N213" i="2"/>
  <c r="N254" i="2" s="1"/>
  <c r="R49" i="1" s="1"/>
  <c r="D40" i="3"/>
  <c r="E42" i="3"/>
  <c r="F40" i="1"/>
  <c r="CG93" i="2"/>
  <c r="CE97" i="2" s="1"/>
  <c r="B248" i="2"/>
  <c r="B97" i="3" s="1"/>
  <c r="L213" i="2"/>
  <c r="L254" i="2" s="1"/>
  <c r="P49" i="1" s="1"/>
  <c r="F213" i="2"/>
  <c r="F254" i="2" s="1"/>
  <c r="J49" i="1" s="1"/>
  <c r="I213" i="2"/>
  <c r="I254" i="2" s="1"/>
  <c r="M49" i="1" s="1"/>
  <c r="G213" i="2"/>
  <c r="G254" i="2" s="1"/>
  <c r="K49" i="1" s="1"/>
  <c r="C213" i="2"/>
  <c r="C254" i="2" s="1"/>
  <c r="G49" i="1" s="1"/>
  <c r="E213" i="2"/>
  <c r="E254" i="2" s="1"/>
  <c r="I49" i="1" s="1"/>
  <c r="D213" i="2"/>
  <c r="D254" i="2" s="1"/>
  <c r="H49" i="1" s="1"/>
  <c r="H213" i="2"/>
  <c r="H254" i="2" s="1"/>
  <c r="L49" i="1" s="1"/>
  <c r="K213" i="2"/>
  <c r="K254" i="2" s="1"/>
  <c r="O49" i="1" s="1"/>
  <c r="F70" i="2"/>
  <c r="EE93" i="2"/>
  <c r="C20" i="2"/>
  <c r="E55" i="2" s="1"/>
  <c r="F79" i="2"/>
  <c r="F69" i="2"/>
  <c r="C80" i="2"/>
  <c r="C79" i="2"/>
  <c r="C70" i="2"/>
  <c r="C69" i="2"/>
  <c r="AS93" i="2"/>
  <c r="AQ97" i="2" s="1"/>
  <c r="CE139" i="2"/>
  <c r="CE140" i="2" s="1"/>
  <c r="BK98" i="2"/>
  <c r="H206" i="2" s="1"/>
  <c r="H248" i="2" s="1"/>
  <c r="L43" i="1" s="1"/>
  <c r="E40" i="3"/>
  <c r="DA93" i="2"/>
  <c r="CY139" i="2"/>
  <c r="CY140" i="2" s="1"/>
  <c r="AQ98" i="2"/>
  <c r="DA98" i="2"/>
  <c r="CY98" i="2" s="1"/>
  <c r="K206" i="2" s="1"/>
  <c r="K248" i="2" s="1"/>
  <c r="O43" i="1" s="1"/>
  <c r="C98" i="2"/>
  <c r="C206" i="2" s="1"/>
  <c r="C248" i="2" s="1"/>
  <c r="G43" i="1" s="1"/>
  <c r="AG98" i="2"/>
  <c r="F206" i="2" s="1"/>
  <c r="F248" i="2" s="1"/>
  <c r="J43" i="1" s="1"/>
  <c r="E41" i="3"/>
  <c r="CO98" i="2"/>
  <c r="J206" i="2" s="1"/>
  <c r="J248" i="2" s="1"/>
  <c r="N43" i="1" s="1"/>
  <c r="D42" i="3"/>
  <c r="BM93" i="2"/>
  <c r="BK97" i="2" s="1"/>
  <c r="H204" i="2" s="1"/>
  <c r="H246" i="2" s="1"/>
  <c r="BA97" i="2"/>
  <c r="G204" i="2" s="1"/>
  <c r="G246" i="2" s="1"/>
  <c r="K41" i="1" s="1"/>
  <c r="D39" i="3"/>
  <c r="EM98" i="2"/>
  <c r="O206" i="2" s="1"/>
  <c r="O248" i="2" s="1"/>
  <c r="S43" i="1" s="1"/>
  <c r="D44" i="3"/>
  <c r="DU93" i="2"/>
  <c r="D43" i="3"/>
  <c r="D45" i="3"/>
  <c r="B269" i="2"/>
  <c r="B118" i="3" s="1"/>
  <c r="D187" i="2"/>
  <c r="N209" i="2"/>
  <c r="N251" i="2" s="1"/>
  <c r="R46" i="1" s="1"/>
  <c r="I209" i="2"/>
  <c r="I251" i="2" s="1"/>
  <c r="M46" i="1" s="1"/>
  <c r="DK93" i="2"/>
  <c r="DI97" i="2" s="1"/>
  <c r="L204" i="2" s="1"/>
  <c r="L246" i="2" s="1"/>
  <c r="P41" i="1" s="1"/>
  <c r="J34" i="3"/>
  <c r="O209" i="2"/>
  <c r="O251" i="2" s="1"/>
  <c r="S46" i="1" s="1"/>
  <c r="N16" i="1"/>
  <c r="AG97" i="2"/>
  <c r="F204" i="2" s="1"/>
  <c r="F246" i="2" s="1"/>
  <c r="J41" i="1" s="1"/>
  <c r="K209" i="2"/>
  <c r="K251" i="2" s="1"/>
  <c r="O46" i="1" s="1"/>
  <c r="L209" i="2"/>
  <c r="L251" i="2" s="1"/>
  <c r="P46" i="1" s="1"/>
  <c r="D209" i="2"/>
  <c r="D251" i="2" s="1"/>
  <c r="H46" i="1" s="1"/>
  <c r="W98" i="2"/>
  <c r="E206" i="2" s="1"/>
  <c r="E248" i="2" s="1"/>
  <c r="I43" i="1" s="1"/>
  <c r="F209" i="2"/>
  <c r="F251" i="2" s="1"/>
  <c r="J46" i="1" s="1"/>
  <c r="E209" i="2"/>
  <c r="E251" i="2" s="1"/>
  <c r="I46" i="1" s="1"/>
  <c r="E39" i="3"/>
  <c r="BA98" i="2"/>
  <c r="G206" i="2" s="1"/>
  <c r="G248" i="2" s="1"/>
  <c r="K43" i="1" s="1"/>
  <c r="CE98" i="2"/>
  <c r="E23" i="3"/>
  <c r="D85" i="3" s="1"/>
  <c r="J209" i="2"/>
  <c r="J251" i="2" s="1"/>
  <c r="N46" i="1" s="1"/>
  <c r="CO97" i="2"/>
  <c r="J204" i="2" s="1"/>
  <c r="J246" i="2" s="1"/>
  <c r="N41" i="1" s="1"/>
  <c r="E93" i="2"/>
  <c r="D41" i="3"/>
  <c r="BU98" i="2"/>
  <c r="I206" i="2" s="1"/>
  <c r="I248" i="2" s="1"/>
  <c r="M43" i="1" s="1"/>
  <c r="D23" i="3"/>
  <c r="DI139" i="2"/>
  <c r="DI140" i="2" s="1"/>
  <c r="M97" i="2"/>
  <c r="D204" i="2" s="1"/>
  <c r="D246" i="2" s="1"/>
  <c r="H41" i="1" s="1"/>
  <c r="C209" i="2"/>
  <c r="C251" i="2" s="1"/>
  <c r="G46" i="1" s="1"/>
  <c r="G209" i="2"/>
  <c r="G251" i="2" s="1"/>
  <c r="K46" i="1" s="1"/>
  <c r="C130" i="3"/>
  <c r="M209" i="2"/>
  <c r="M251" i="2" s="1"/>
  <c r="Q46" i="1" s="1"/>
  <c r="BU97" i="2"/>
  <c r="I204" i="2" s="1"/>
  <c r="I246" i="2" s="1"/>
  <c r="M41" i="1" s="1"/>
  <c r="Y93" i="2"/>
  <c r="W97" i="2" s="1"/>
  <c r="E204" i="2" s="1"/>
  <c r="E246" i="2" s="1"/>
  <c r="I41" i="1" s="1"/>
  <c r="DU98" i="2"/>
  <c r="DS98" i="2" s="1"/>
  <c r="M206" i="2" s="1"/>
  <c r="M248" i="2" s="1"/>
  <c r="Q43" i="1" s="1"/>
  <c r="B57" i="2"/>
  <c r="CE179" i="2" s="1"/>
  <c r="DK98" i="2"/>
  <c r="DI98" i="2" s="1"/>
  <c r="L206" i="2" s="1"/>
  <c r="L248" i="2" s="1"/>
  <c r="P43" i="1" s="1"/>
  <c r="M98" i="2"/>
  <c r="D206" i="2" s="1"/>
  <c r="D248" i="2" s="1"/>
  <c r="B247" i="2"/>
  <c r="B96" i="3" s="1"/>
  <c r="B245" i="2"/>
  <c r="B94" i="3" s="1"/>
  <c r="F43" i="1"/>
  <c r="B246" i="2"/>
  <c r="B95" i="3" s="1"/>
  <c r="F41" i="1"/>
  <c r="BE92" i="2"/>
  <c r="EE98" i="2"/>
  <c r="EC98" i="2" s="1"/>
  <c r="N206" i="2" s="1"/>
  <c r="N248" i="2" s="1"/>
  <c r="EC139" i="2"/>
  <c r="EP92" i="2"/>
  <c r="M26" i="1"/>
  <c r="C95" i="3" l="1"/>
  <c r="D95" i="3" s="1"/>
  <c r="M92" i="2"/>
  <c r="D208" i="2" s="1"/>
  <c r="D250" i="2" s="1"/>
  <c r="H45" i="1" s="1"/>
  <c r="CY92" i="2"/>
  <c r="C100" i="3"/>
  <c r="C97" i="3"/>
  <c r="D97" i="3" s="1"/>
  <c r="C103" i="3"/>
  <c r="C92" i="3"/>
  <c r="B9" i="5" s="1"/>
  <c r="D30" i="2"/>
  <c r="C32" i="2" s="1"/>
  <c r="E32" i="2" s="1"/>
  <c r="E34" i="2" s="1"/>
  <c r="E33" i="2"/>
  <c r="AG100" i="2"/>
  <c r="CO96" i="2"/>
  <c r="J207" i="2" s="1"/>
  <c r="J249" i="2" s="1"/>
  <c r="J279" i="2" s="1"/>
  <c r="BA135" i="2"/>
  <c r="BA136" i="2" s="1"/>
  <c r="BK100" i="2"/>
  <c r="BK103" i="2" s="1"/>
  <c r="BK104" i="2" s="1"/>
  <c r="H211" i="2" s="1"/>
  <c r="H238" i="2" s="1"/>
  <c r="O203" i="2"/>
  <c r="O245" i="2" s="1"/>
  <c r="S40" i="1" s="1"/>
  <c r="L203" i="2"/>
  <c r="L245" i="2" s="1"/>
  <c r="P40" i="1" s="1"/>
  <c r="CE127" i="2"/>
  <c r="CE129" i="2" s="1"/>
  <c r="CO100" i="2"/>
  <c r="CO103" i="2" s="1"/>
  <c r="CO104" i="2" s="1"/>
  <c r="AQ92" i="2"/>
  <c r="AQ99" i="2" s="1"/>
  <c r="CY127" i="2"/>
  <c r="CY129" i="2" s="1"/>
  <c r="BU100" i="2"/>
  <c r="BU103" i="2" s="1"/>
  <c r="BU104" i="2" s="1"/>
  <c r="W135" i="2"/>
  <c r="W136" i="2" s="1"/>
  <c r="C96" i="2"/>
  <c r="C207" i="2" s="1"/>
  <c r="C249" i="2" s="1"/>
  <c r="G44" i="1" s="1"/>
  <c r="EC100" i="2"/>
  <c r="EC103" i="2" s="1"/>
  <c r="EC127" i="2"/>
  <c r="EC130" i="2" s="1"/>
  <c r="BU92" i="2"/>
  <c r="BU99" i="2" s="1"/>
  <c r="I210" i="2" s="1"/>
  <c r="I252" i="2" s="1"/>
  <c r="M47" i="1" s="1"/>
  <c r="CO135" i="2"/>
  <c r="CO136" i="2" s="1"/>
  <c r="AQ135" i="2"/>
  <c r="AQ136" i="2" s="1"/>
  <c r="BA96" i="2"/>
  <c r="G207" i="2" s="1"/>
  <c r="G249" i="2" s="1"/>
  <c r="G279" i="2" s="1"/>
  <c r="DS127" i="2"/>
  <c r="DS129" i="2" s="1"/>
  <c r="M135" i="2"/>
  <c r="M136" i="2" s="1"/>
  <c r="J203" i="2"/>
  <c r="J245" i="2" s="1"/>
  <c r="J277" i="2" s="1"/>
  <c r="N203" i="2"/>
  <c r="N245" i="2" s="1"/>
  <c r="R40" i="1" s="1"/>
  <c r="C100" i="2"/>
  <c r="BA100" i="2"/>
  <c r="BA103" i="2" s="1"/>
  <c r="DI100" i="2"/>
  <c r="DI103" i="2" s="1"/>
  <c r="DI104" i="2" s="1"/>
  <c r="W127" i="2"/>
  <c r="W130" i="2" s="1"/>
  <c r="BA127" i="2"/>
  <c r="BA129" i="2" s="1"/>
  <c r="DI92" i="2"/>
  <c r="DI99" i="2" s="1"/>
  <c r="L210" i="2" s="1"/>
  <c r="L252" i="2" s="1"/>
  <c r="P47" i="1" s="1"/>
  <c r="AG127" i="2"/>
  <c r="AG129" i="2" s="1"/>
  <c r="DI135" i="2"/>
  <c r="DI136" i="2" s="1"/>
  <c r="W100" i="2"/>
  <c r="W103" i="2" s="1"/>
  <c r="DI127" i="2"/>
  <c r="DI130" i="2" s="1"/>
  <c r="K203" i="2"/>
  <c r="K245" i="2" s="1"/>
  <c r="O40" i="1" s="1"/>
  <c r="CE135" i="2"/>
  <c r="CE136" i="2" s="1"/>
  <c r="CO127" i="2"/>
  <c r="CO129" i="2" s="1"/>
  <c r="BU135" i="2"/>
  <c r="BU136" i="2" s="1"/>
  <c r="M100" i="2"/>
  <c r="M103" i="2" s="1"/>
  <c r="M104" i="2" s="1"/>
  <c r="CY135" i="2"/>
  <c r="CY136" i="2" s="1"/>
  <c r="C13" i="2"/>
  <c r="CO149" i="2" s="1"/>
  <c r="CO152" i="2" s="1"/>
  <c r="BA92" i="2"/>
  <c r="BA99" i="2" s="1"/>
  <c r="G210" i="2" s="1"/>
  <c r="G252" i="2" s="1"/>
  <c r="K47" i="1" s="1"/>
  <c r="CE92" i="2"/>
  <c r="CE99" i="2" s="1"/>
  <c r="CO92" i="2"/>
  <c r="J208" i="2" s="1"/>
  <c r="J250" i="2" s="1"/>
  <c r="C127" i="2"/>
  <c r="C130" i="2" s="1"/>
  <c r="CE100" i="2"/>
  <c r="CE103" i="2" s="1"/>
  <c r="CE104" i="2" s="1"/>
  <c r="AG135" i="2"/>
  <c r="AG136" i="2" s="1"/>
  <c r="C135" i="2"/>
  <c r="C136" i="2" s="1"/>
  <c r="M127" i="2"/>
  <c r="M130" i="2" s="1"/>
  <c r="C203" i="2"/>
  <c r="C245" i="2" s="1"/>
  <c r="G40" i="1" s="1"/>
  <c r="AG96" i="2"/>
  <c r="F207" i="2" s="1"/>
  <c r="F249" i="2" s="1"/>
  <c r="J44" i="1" s="1"/>
  <c r="E203" i="2"/>
  <c r="E245" i="2" s="1"/>
  <c r="E277" i="2" s="1"/>
  <c r="M203" i="2"/>
  <c r="M245" i="2" s="1"/>
  <c r="Q40" i="1" s="1"/>
  <c r="BK127" i="2"/>
  <c r="BK130" i="2" s="1"/>
  <c r="EC135" i="2"/>
  <c r="EC136" i="2" s="1"/>
  <c r="BU127" i="2"/>
  <c r="BU130" i="2" s="1"/>
  <c r="DS135" i="2"/>
  <c r="DS136" i="2" s="1"/>
  <c r="AG92" i="2"/>
  <c r="F208" i="2" s="1"/>
  <c r="F250" i="2" s="1"/>
  <c r="DS100" i="2"/>
  <c r="DS103" i="2" s="1"/>
  <c r="DS104" i="2" s="1"/>
  <c r="D203" i="2"/>
  <c r="D245" i="2" s="1"/>
  <c r="D277" i="2" s="1"/>
  <c r="EC166" i="2"/>
  <c r="I203" i="2"/>
  <c r="I245" i="2" s="1"/>
  <c r="I277" i="2" s="1"/>
  <c r="K208" i="2"/>
  <c r="K250" i="2" s="1"/>
  <c r="EM127" i="2"/>
  <c r="EM129" i="2" s="1"/>
  <c r="EM131" i="2" s="1"/>
  <c r="O214" i="2" s="1"/>
  <c r="O258" i="2" s="1"/>
  <c r="AQ127" i="2"/>
  <c r="AQ131" i="2" s="1"/>
  <c r="EM100" i="2"/>
  <c r="EM103" i="2" s="1"/>
  <c r="BK135" i="2"/>
  <c r="BK136" i="2" s="1"/>
  <c r="BU96" i="2"/>
  <c r="I207" i="2" s="1"/>
  <c r="I249" i="2" s="1"/>
  <c r="I279" i="2" s="1"/>
  <c r="C92" i="2"/>
  <c r="C99" i="2" s="1"/>
  <c r="C210" i="2" s="1"/>
  <c r="C252" i="2" s="1"/>
  <c r="G47" i="1" s="1"/>
  <c r="DS92" i="2"/>
  <c r="M208" i="2" s="1"/>
  <c r="M250" i="2" s="1"/>
  <c r="M99" i="2"/>
  <c r="D210" i="2" s="1"/>
  <c r="D252" i="2" s="1"/>
  <c r="H47" i="1" s="1"/>
  <c r="G203" i="2"/>
  <c r="G245" i="2" s="1"/>
  <c r="K40" i="1" s="1"/>
  <c r="DS96" i="2"/>
  <c r="M207" i="2" s="1"/>
  <c r="M249" i="2" s="1"/>
  <c r="M279" i="2" s="1"/>
  <c r="M96" i="2"/>
  <c r="D207" i="2" s="1"/>
  <c r="D249" i="2" s="1"/>
  <c r="H44" i="1" s="1"/>
  <c r="EC96" i="2"/>
  <c r="N207" i="2" s="1"/>
  <c r="N249" i="2" s="1"/>
  <c r="R44" i="1" s="1"/>
  <c r="ER104" i="2"/>
  <c r="CY96" i="2"/>
  <c r="K207" i="2" s="1"/>
  <c r="K249" i="2" s="1"/>
  <c r="K279" i="2" s="1"/>
  <c r="H203" i="2"/>
  <c r="H245" i="2" s="1"/>
  <c r="AQ100" i="2"/>
  <c r="AQ103" i="2" s="1"/>
  <c r="AQ104" i="2" s="1"/>
  <c r="D280" i="2"/>
  <c r="EC92" i="2"/>
  <c r="N208" i="2" s="1"/>
  <c r="N250" i="2" s="1"/>
  <c r="R45" i="1" s="1"/>
  <c r="CY100" i="2"/>
  <c r="BK92" i="2"/>
  <c r="BK99" i="2" s="1"/>
  <c r="H210" i="2" s="1"/>
  <c r="H252" i="2" s="1"/>
  <c r="W92" i="2"/>
  <c r="W99" i="2" s="1"/>
  <c r="E210" i="2" s="1"/>
  <c r="E252" i="2" s="1"/>
  <c r="I47" i="1" s="1"/>
  <c r="DI166" i="2"/>
  <c r="BK166" i="2"/>
  <c r="C166" i="2"/>
  <c r="M166" i="2"/>
  <c r="EM166" i="2"/>
  <c r="F203" i="2"/>
  <c r="F245" i="2" s="1"/>
  <c r="J40" i="1" s="1"/>
  <c r="BA166" i="2"/>
  <c r="AQ166" i="2"/>
  <c r="BU166" i="2"/>
  <c r="BU179" i="2"/>
  <c r="CO166" i="2"/>
  <c r="C85" i="2"/>
  <c r="DS166" i="2"/>
  <c r="W166" i="2"/>
  <c r="CE166" i="2"/>
  <c r="AG166" i="2"/>
  <c r="CY166" i="2"/>
  <c r="DS97" i="2"/>
  <c r="M204" i="2" s="1"/>
  <c r="M246" i="2" s="1"/>
  <c r="Q41" i="1" s="1"/>
  <c r="CE96" i="2"/>
  <c r="AQ96" i="2"/>
  <c r="EC97" i="2"/>
  <c r="N204" i="2" s="1"/>
  <c r="N246" i="2" s="1"/>
  <c r="R41" i="1" s="1"/>
  <c r="E52" i="2"/>
  <c r="E53" i="2"/>
  <c r="CY97" i="2"/>
  <c r="K204" i="2" s="1"/>
  <c r="K246" i="2" s="1"/>
  <c r="O41" i="1" s="1"/>
  <c r="C97" i="2"/>
  <c r="C204" i="2" s="1"/>
  <c r="C246" i="2" s="1"/>
  <c r="G41" i="1" s="1"/>
  <c r="E54" i="2"/>
  <c r="E47" i="3"/>
  <c r="E49" i="3" s="1"/>
  <c r="J70" i="1" s="1"/>
  <c r="BK96" i="2"/>
  <c r="H207" i="2" s="1"/>
  <c r="H249" i="2" s="1"/>
  <c r="W96" i="2"/>
  <c r="E207" i="2" s="1"/>
  <c r="E249" i="2" s="1"/>
  <c r="E279" i="2" s="1"/>
  <c r="DI96" i="2"/>
  <c r="L207" i="2" s="1"/>
  <c r="L249" i="2" s="1"/>
  <c r="L279" i="2" s="1"/>
  <c r="C179" i="2"/>
  <c r="CY179" i="2"/>
  <c r="M179" i="2"/>
  <c r="CO179" i="2"/>
  <c r="AQ179" i="2"/>
  <c r="W179" i="2"/>
  <c r="DS179" i="2"/>
  <c r="BA179" i="2"/>
  <c r="EM179" i="2"/>
  <c r="EC179" i="2"/>
  <c r="BK179" i="2"/>
  <c r="DI179" i="2"/>
  <c r="C24" i="3"/>
  <c r="G47" i="3"/>
  <c r="D47" i="3"/>
  <c r="F47" i="3"/>
  <c r="F49" i="3" s="1"/>
  <c r="M70" i="1" s="1"/>
  <c r="H47" i="3"/>
  <c r="AG179" i="2"/>
  <c r="EM139" i="2"/>
  <c r="EM135" i="2"/>
  <c r="EM136" i="2" s="1"/>
  <c r="EO93" i="2"/>
  <c r="EM96" i="2" s="1"/>
  <c r="O207" i="2" s="1"/>
  <c r="O249" i="2" s="1"/>
  <c r="EM92" i="2"/>
  <c r="EC140" i="2"/>
  <c r="L41" i="1"/>
  <c r="R43" i="1"/>
  <c r="H43" i="1"/>
  <c r="CY104" i="2" l="1"/>
  <c r="CY114" i="2" s="1"/>
  <c r="DS131" i="2"/>
  <c r="M214" i="2" s="1"/>
  <c r="M258" i="2" s="1"/>
  <c r="C31" i="2"/>
  <c r="E31" i="2" s="1"/>
  <c r="L47" i="1"/>
  <c r="C101" i="3"/>
  <c r="D101" i="3" s="1"/>
  <c r="H279" i="2"/>
  <c r="C98" i="3"/>
  <c r="D98" i="3" s="1"/>
  <c r="L40" i="1"/>
  <c r="C94" i="3"/>
  <c r="D94" i="3" s="1"/>
  <c r="C103" i="2"/>
  <c r="C104" i="2" s="1"/>
  <c r="CE105" i="2"/>
  <c r="CE114" i="2"/>
  <c r="AQ105" i="2"/>
  <c r="AQ114" i="2"/>
  <c r="M105" i="2"/>
  <c r="M114" i="2"/>
  <c r="BU105" i="2"/>
  <c r="BU114" i="2"/>
  <c r="DS105" i="2"/>
  <c r="DS114" i="2"/>
  <c r="DI105" i="2"/>
  <c r="DI114" i="2"/>
  <c r="BK105" i="2"/>
  <c r="BK114" i="2"/>
  <c r="CY105" i="2"/>
  <c r="CO105" i="2"/>
  <c r="CO114" i="2"/>
  <c r="DS130" i="2"/>
  <c r="G208" i="2"/>
  <c r="G250" i="2" s="1"/>
  <c r="G280" i="2" s="1"/>
  <c r="K44" i="1"/>
  <c r="BA130" i="2"/>
  <c r="BA131" i="2" s="1"/>
  <c r="G214" i="2" s="1"/>
  <c r="G258" i="2" s="1"/>
  <c r="G287" i="2" s="1"/>
  <c r="AG103" i="2"/>
  <c r="AG104" i="2" s="1"/>
  <c r="M18" i="2"/>
  <c r="M16" i="2"/>
  <c r="M17" i="2"/>
  <c r="L18" i="2"/>
  <c r="L17" i="2"/>
  <c r="L16" i="2"/>
  <c r="D211" i="2"/>
  <c r="D238" i="2" s="1"/>
  <c r="H234" i="2"/>
  <c r="I211" i="2"/>
  <c r="I238" i="2" s="1"/>
  <c r="J211" i="2"/>
  <c r="J238" i="2" s="1"/>
  <c r="M211" i="2"/>
  <c r="M238" i="2" s="1"/>
  <c r="L211" i="2"/>
  <c r="L238" i="2" s="1"/>
  <c r="K211" i="2"/>
  <c r="K238" i="2" s="1"/>
  <c r="N44" i="1"/>
  <c r="W104" i="2"/>
  <c r="CY130" i="2"/>
  <c r="CY131" i="2" s="1"/>
  <c r="K214" i="2" s="1"/>
  <c r="K258" i="2" s="1"/>
  <c r="DI129" i="2"/>
  <c r="DI131" i="2" s="1"/>
  <c r="L214" i="2" s="1"/>
  <c r="L258" i="2" s="1"/>
  <c r="L287" i="2" s="1"/>
  <c r="C129" i="2"/>
  <c r="AG99" i="2"/>
  <c r="F210" i="2" s="1"/>
  <c r="F252" i="2" s="1"/>
  <c r="J47" i="1" s="1"/>
  <c r="BA104" i="2"/>
  <c r="EC104" i="2"/>
  <c r="EM104" i="2"/>
  <c r="CE149" i="2"/>
  <c r="CE152" i="2" s="1"/>
  <c r="CY99" i="2"/>
  <c r="K210" i="2" s="1"/>
  <c r="K252" i="2" s="1"/>
  <c r="O47" i="1" s="1"/>
  <c r="BK129" i="2"/>
  <c r="BK131" i="2" s="1"/>
  <c r="H214" i="2" s="1"/>
  <c r="H258" i="2" s="1"/>
  <c r="C156" i="2"/>
  <c r="C159" i="2" s="1"/>
  <c r="AG149" i="2"/>
  <c r="AG152" i="2" s="1"/>
  <c r="EC149" i="2"/>
  <c r="EC152" i="2" s="1"/>
  <c r="L277" i="2"/>
  <c r="BU149" i="2"/>
  <c r="BU152" i="2" s="1"/>
  <c r="BA149" i="2"/>
  <c r="BA152" i="2" s="1"/>
  <c r="CO157" i="2"/>
  <c r="CO160" i="2" s="1"/>
  <c r="O205" i="2"/>
  <c r="O247" i="2" s="1"/>
  <c r="O278" i="2" s="1"/>
  <c r="CY157" i="2"/>
  <c r="CY160" i="2" s="1"/>
  <c r="M149" i="2"/>
  <c r="M152" i="2" s="1"/>
  <c r="W157" i="2"/>
  <c r="W160" i="2" s="1"/>
  <c r="W149" i="2"/>
  <c r="W152" i="2" s="1"/>
  <c r="AQ157" i="2"/>
  <c r="AQ160" i="2" s="1"/>
  <c r="EM130" i="2"/>
  <c r="DI156" i="2"/>
  <c r="DI159" i="2" s="1"/>
  <c r="AG148" i="2"/>
  <c r="AG151" i="2" s="1"/>
  <c r="W156" i="2"/>
  <c r="W159" i="2" s="1"/>
  <c r="CY149" i="2"/>
  <c r="CY152" i="2" s="1"/>
  <c r="BA157" i="2"/>
  <c r="BA160" i="2" s="1"/>
  <c r="BU156" i="2"/>
  <c r="BU159" i="2" s="1"/>
  <c r="DS156" i="2"/>
  <c r="DS159" i="2" s="1"/>
  <c r="F205" i="2"/>
  <c r="F247" i="2" s="1"/>
  <c r="J42" i="1" s="1"/>
  <c r="CY156" i="2"/>
  <c r="CY159" i="2" s="1"/>
  <c r="AQ156" i="2"/>
  <c r="AQ159" i="2" s="1"/>
  <c r="I205" i="2"/>
  <c r="I247" i="2" s="1"/>
  <c r="M42" i="1" s="1"/>
  <c r="BK156" i="2"/>
  <c r="BK159" i="2" s="1"/>
  <c r="DI157" i="2"/>
  <c r="DI160" i="2" s="1"/>
  <c r="AG156" i="2"/>
  <c r="AG159" i="2" s="1"/>
  <c r="CE156" i="2"/>
  <c r="CE159" i="2" s="1"/>
  <c r="BA148" i="2"/>
  <c r="BA151" i="2" s="1"/>
  <c r="BA156" i="2"/>
  <c r="BA159" i="2" s="1"/>
  <c r="BK157" i="2"/>
  <c r="BK160" i="2" s="1"/>
  <c r="AQ148" i="2"/>
  <c r="AQ151" i="2" s="1"/>
  <c r="CY148" i="2"/>
  <c r="CY151" i="2" s="1"/>
  <c r="DS148" i="2"/>
  <c r="DS151" i="2" s="1"/>
  <c r="W148" i="2"/>
  <c r="W151" i="2" s="1"/>
  <c r="CO156" i="2"/>
  <c r="CO159" i="2" s="1"/>
  <c r="K205" i="2"/>
  <c r="K247" i="2" s="1"/>
  <c r="O42" i="1" s="1"/>
  <c r="DI149" i="2"/>
  <c r="DI152" i="2" s="1"/>
  <c r="AQ130" i="2"/>
  <c r="C149" i="2"/>
  <c r="C152" i="2" s="1"/>
  <c r="C157" i="2"/>
  <c r="C160" i="2" s="1"/>
  <c r="CE148" i="2"/>
  <c r="CE151" i="2" s="1"/>
  <c r="L205" i="2"/>
  <c r="L247" i="2" s="1"/>
  <c r="P42" i="1" s="1"/>
  <c r="BU157" i="2"/>
  <c r="BU160" i="2" s="1"/>
  <c r="BK148" i="2"/>
  <c r="BK151" i="2" s="1"/>
  <c r="N205" i="2"/>
  <c r="N247" i="2" s="1"/>
  <c r="R42" i="1" s="1"/>
  <c r="I208" i="2"/>
  <c r="I250" i="2" s="1"/>
  <c r="I280" i="2" s="1"/>
  <c r="AQ129" i="2"/>
  <c r="CO148" i="2"/>
  <c r="CO151" i="2" s="1"/>
  <c r="CO153" i="2" s="1"/>
  <c r="J216" i="2" s="1"/>
  <c r="J190" i="2" s="1"/>
  <c r="DI148" i="2"/>
  <c r="DI151" i="2" s="1"/>
  <c r="M157" i="2"/>
  <c r="M160" i="2" s="1"/>
  <c r="E205" i="2"/>
  <c r="E247" i="2" s="1"/>
  <c r="E278" i="2" s="1"/>
  <c r="E291" i="2" s="1"/>
  <c r="AG157" i="2"/>
  <c r="AG160" i="2" s="1"/>
  <c r="BK149" i="2"/>
  <c r="BK152" i="2" s="1"/>
  <c r="C205" i="2"/>
  <c r="C247" i="2" s="1"/>
  <c r="C278" i="2" s="1"/>
  <c r="J205" i="2"/>
  <c r="J247" i="2" s="1"/>
  <c r="N42" i="1" s="1"/>
  <c r="M156" i="2"/>
  <c r="M159" i="2" s="1"/>
  <c r="C279" i="2"/>
  <c r="C148" i="2"/>
  <c r="C151" i="2" s="1"/>
  <c r="M205" i="2"/>
  <c r="M247" i="2" s="1"/>
  <c r="M278" i="2" s="1"/>
  <c r="DS157" i="2"/>
  <c r="DS160" i="2" s="1"/>
  <c r="BU148" i="2"/>
  <c r="BU151" i="2" s="1"/>
  <c r="M129" i="2"/>
  <c r="M131" i="2" s="1"/>
  <c r="D214" i="2" s="1"/>
  <c r="D258" i="2" s="1"/>
  <c r="H53" i="1" s="1"/>
  <c r="CE157" i="2"/>
  <c r="CE160" i="2" s="1"/>
  <c r="AQ149" i="2"/>
  <c r="AQ152" i="2" s="1"/>
  <c r="H205" i="2"/>
  <c r="H247" i="2" s="1"/>
  <c r="DS149" i="2"/>
  <c r="DS152" i="2" s="1"/>
  <c r="M148" i="2"/>
  <c r="M151" i="2" s="1"/>
  <c r="G205" i="2"/>
  <c r="G247" i="2" s="1"/>
  <c r="G278" i="2" s="1"/>
  <c r="D205" i="2"/>
  <c r="D247" i="2" s="1"/>
  <c r="H42" i="1" s="1"/>
  <c r="CE130" i="2"/>
  <c r="L208" i="2"/>
  <c r="L250" i="2" s="1"/>
  <c r="P45" i="1" s="1"/>
  <c r="H277" i="2"/>
  <c r="EC129" i="2"/>
  <c r="EC131" i="2" s="1"/>
  <c r="N214" i="2" s="1"/>
  <c r="N258" i="2" s="1"/>
  <c r="N287" i="2" s="1"/>
  <c r="M40" i="1"/>
  <c r="CE131" i="2"/>
  <c r="BU129" i="2"/>
  <c r="BU131" i="2" s="1"/>
  <c r="I214" i="2" s="1"/>
  <c r="I258" i="2" s="1"/>
  <c r="M53" i="1" s="1"/>
  <c r="DS99" i="2"/>
  <c r="M210" i="2" s="1"/>
  <c r="M252" i="2" s="1"/>
  <c r="Q47" i="1" s="1"/>
  <c r="CO99" i="2"/>
  <c r="J210" i="2" s="1"/>
  <c r="J252" i="2" s="1"/>
  <c r="N47" i="1" s="1"/>
  <c r="H40" i="1"/>
  <c r="I40" i="1"/>
  <c r="N279" i="2"/>
  <c r="F279" i="2"/>
  <c r="W129" i="2"/>
  <c r="W131" i="2" s="1"/>
  <c r="E214" i="2" s="1"/>
  <c r="E258" i="2" s="1"/>
  <c r="I53" i="1" s="1"/>
  <c r="CO130" i="2"/>
  <c r="CO131" i="2" s="1"/>
  <c r="J214" i="2" s="1"/>
  <c r="J258" i="2" s="1"/>
  <c r="AG130" i="2"/>
  <c r="AG131" i="2" s="1"/>
  <c r="F214" i="2" s="1"/>
  <c r="F258" i="2" s="1"/>
  <c r="F287" i="2" s="1"/>
  <c r="M44" i="1"/>
  <c r="N40" i="1"/>
  <c r="O44" i="1"/>
  <c r="C208" i="2"/>
  <c r="C250" i="2" s="1"/>
  <c r="G45" i="1" s="1"/>
  <c r="G277" i="2"/>
  <c r="H208" i="2"/>
  <c r="H250" i="2" s="1"/>
  <c r="Q44" i="1"/>
  <c r="N280" i="2"/>
  <c r="EC99" i="2"/>
  <c r="N210" i="2" s="1"/>
  <c r="N252" i="2" s="1"/>
  <c r="R47" i="1" s="1"/>
  <c r="D279" i="2"/>
  <c r="E208" i="2"/>
  <c r="E250" i="2" s="1"/>
  <c r="I45" i="1" s="1"/>
  <c r="F277" i="2"/>
  <c r="C131" i="2"/>
  <c r="C214" i="2" s="1"/>
  <c r="C258" i="2" s="1"/>
  <c r="C287" i="2" s="1"/>
  <c r="C34" i="2"/>
  <c r="BK106" i="2" s="1"/>
  <c r="BK109" i="2" s="1"/>
  <c r="H273" i="2" s="1"/>
  <c r="M277" i="2"/>
  <c r="N277" i="2"/>
  <c r="C277" i="2"/>
  <c r="K277" i="2"/>
  <c r="L44" i="1"/>
  <c r="P44" i="1"/>
  <c r="I44" i="1"/>
  <c r="EC157" i="2"/>
  <c r="EC160" i="2" s="1"/>
  <c r="EC156" i="2"/>
  <c r="EC159" i="2" s="1"/>
  <c r="C85" i="3"/>
  <c r="B137" i="3"/>
  <c r="B15" i="5" s="1"/>
  <c r="EC148" i="2"/>
  <c r="EC151" i="2" s="1"/>
  <c r="EM97" i="2"/>
  <c r="O204" i="2" s="1"/>
  <c r="O246" i="2" s="1"/>
  <c r="Q45" i="1"/>
  <c r="M280" i="2"/>
  <c r="D51" i="3"/>
  <c r="D49" i="3"/>
  <c r="G70" i="1" s="1"/>
  <c r="S53" i="1"/>
  <c r="O287" i="2"/>
  <c r="O208" i="2"/>
  <c r="O250" i="2" s="1"/>
  <c r="EM99" i="2"/>
  <c r="O210" i="2" s="1"/>
  <c r="O252" i="2" s="1"/>
  <c r="S47" i="1" s="1"/>
  <c r="J280" i="2"/>
  <c r="N45" i="1"/>
  <c r="J45" i="1"/>
  <c r="F280" i="2"/>
  <c r="O279" i="2"/>
  <c r="S44" i="1"/>
  <c r="O45" i="1"/>
  <c r="K280" i="2"/>
  <c r="Q53" i="1"/>
  <c r="M287" i="2"/>
  <c r="EM140" i="2"/>
  <c r="EM148" i="2" s="1"/>
  <c r="EM151" i="2" s="1"/>
  <c r="J234" i="2" l="1"/>
  <c r="O301" i="2"/>
  <c r="I232" i="2"/>
  <c r="D234" i="2"/>
  <c r="K234" i="2"/>
  <c r="L329" i="2"/>
  <c r="L327" i="2" s="1"/>
  <c r="L330" i="2" s="1"/>
  <c r="L332" i="2" s="1"/>
  <c r="L333" i="2" s="1"/>
  <c r="L334" i="2" s="1"/>
  <c r="O305" i="2"/>
  <c r="H287" i="2"/>
  <c r="C107" i="3"/>
  <c r="D107" i="3" s="1"/>
  <c r="H280" i="2"/>
  <c r="C99" i="3"/>
  <c r="L42" i="1"/>
  <c r="C96" i="3"/>
  <c r="D96" i="3" s="1"/>
  <c r="B136" i="3" s="1"/>
  <c r="B14" i="5" s="1"/>
  <c r="C114" i="2"/>
  <c r="C211" i="2"/>
  <c r="C238" i="2" s="1"/>
  <c r="C105" i="2"/>
  <c r="C106" i="2" s="1"/>
  <c r="C110" i="2" s="1"/>
  <c r="E192" i="2"/>
  <c r="E293" i="2"/>
  <c r="K45" i="1"/>
  <c r="O300" i="2"/>
  <c r="H232" i="2"/>
  <c r="H329" i="2"/>
  <c r="H327" i="2" s="1"/>
  <c r="H330" i="2" s="1"/>
  <c r="H332" i="2" s="1"/>
  <c r="H333" i="2" s="1"/>
  <c r="H334" i="2" s="1"/>
  <c r="EM105" i="2"/>
  <c r="EM106" i="2" s="1"/>
  <c r="EM109" i="2" s="1"/>
  <c r="EM114" i="2"/>
  <c r="EC105" i="2"/>
  <c r="EC106" i="2" s="1"/>
  <c r="EC114" i="2"/>
  <c r="BA105" i="2"/>
  <c r="BA106" i="2" s="1"/>
  <c r="BA114" i="2"/>
  <c r="W105" i="2"/>
  <c r="W106" i="2" s="1"/>
  <c r="W109" i="2" s="1"/>
  <c r="E273" i="2" s="1"/>
  <c r="W114" i="2"/>
  <c r="AG105" i="2"/>
  <c r="AG106" i="2" s="1"/>
  <c r="AG109" i="2" s="1"/>
  <c r="F273" i="2" s="1"/>
  <c r="AG114" i="2"/>
  <c r="L232" i="2"/>
  <c r="K287" i="2"/>
  <c r="O53" i="1"/>
  <c r="N53" i="1"/>
  <c r="J287" i="2"/>
  <c r="P53" i="1"/>
  <c r="I329" i="2"/>
  <c r="I327" i="2" s="1"/>
  <c r="I330" i="2" s="1"/>
  <c r="I332" i="2" s="1"/>
  <c r="I333" i="2" s="1"/>
  <c r="I334" i="2" s="1"/>
  <c r="I234" i="2"/>
  <c r="F211" i="2"/>
  <c r="F238" i="2" s="1"/>
  <c r="O211" i="2"/>
  <c r="O238" i="2" s="1"/>
  <c r="E211" i="2"/>
  <c r="E238" i="2" s="1"/>
  <c r="N211" i="2"/>
  <c r="N238" i="2" s="1"/>
  <c r="G211" i="2"/>
  <c r="G238" i="2" s="1"/>
  <c r="L53" i="1"/>
  <c r="C151" i="3"/>
  <c r="B19" i="5" s="1"/>
  <c r="O304" i="2"/>
  <c r="B135" i="3"/>
  <c r="B13" i="5" s="1"/>
  <c r="L234" i="2"/>
  <c r="F278" i="2"/>
  <c r="F291" i="2" s="1"/>
  <c r="CE153" i="2"/>
  <c r="J278" i="2"/>
  <c r="J291" i="2" s="1"/>
  <c r="J293" i="2" s="1"/>
  <c r="M45" i="1"/>
  <c r="K42" i="1"/>
  <c r="C161" i="2"/>
  <c r="C215" i="2" s="1"/>
  <c r="S42" i="1"/>
  <c r="G42" i="1"/>
  <c r="D232" i="2"/>
  <c r="R53" i="1"/>
  <c r="H278" i="2"/>
  <c r="H291" i="2" s="1"/>
  <c r="H293" i="2" s="1"/>
  <c r="BU153" i="2"/>
  <c r="I216" i="2" s="1"/>
  <c r="I190" i="2" s="1"/>
  <c r="DI153" i="2"/>
  <c r="L216" i="2" s="1"/>
  <c r="L190" i="2" s="1"/>
  <c r="I278" i="2"/>
  <c r="I291" i="2" s="1"/>
  <c r="I293" i="2" s="1"/>
  <c r="AQ153" i="2"/>
  <c r="AG153" i="2"/>
  <c r="F216" i="2" s="1"/>
  <c r="F190" i="2" s="1"/>
  <c r="K53" i="1"/>
  <c r="J329" i="2"/>
  <c r="J327" i="2" s="1"/>
  <c r="J330" i="2" s="1"/>
  <c r="J332" i="2" s="1"/>
  <c r="J333" i="2" s="1"/>
  <c r="J232" i="2"/>
  <c r="O302" i="2"/>
  <c r="CY153" i="2"/>
  <c r="K216" i="2" s="1"/>
  <c r="K190" i="2" s="1"/>
  <c r="BK161" i="2"/>
  <c r="H215" i="2" s="1"/>
  <c r="W161" i="2"/>
  <c r="E215" i="2" s="1"/>
  <c r="EC153" i="2"/>
  <c r="N216" i="2" s="1"/>
  <c r="N190" i="2" s="1"/>
  <c r="AQ161" i="2"/>
  <c r="M153" i="2"/>
  <c r="D216" i="2" s="1"/>
  <c r="D190" i="2" s="1"/>
  <c r="BA153" i="2"/>
  <c r="G216" i="2" s="1"/>
  <c r="G190" i="2" s="1"/>
  <c r="C153" i="2"/>
  <c r="C216" i="2" s="1"/>
  <c r="C190" i="2" s="1"/>
  <c r="W153" i="2"/>
  <c r="E216" i="2" s="1"/>
  <c r="E190" i="2" s="1"/>
  <c r="AG161" i="2"/>
  <c r="F215" i="2" s="1"/>
  <c r="DS153" i="2"/>
  <c r="M216" i="2" s="1"/>
  <c r="M190" i="2" s="1"/>
  <c r="O296" i="2"/>
  <c r="L278" i="2"/>
  <c r="L291" i="2" s="1"/>
  <c r="L293" i="2" s="1"/>
  <c r="D329" i="2"/>
  <c r="D327" i="2" s="1"/>
  <c r="D330" i="2" s="1"/>
  <c r="D332" i="2" s="1"/>
  <c r="D333" i="2" s="1"/>
  <c r="D334" i="2" s="1"/>
  <c r="Q42" i="1"/>
  <c r="DS161" i="2"/>
  <c r="M215" i="2" s="1"/>
  <c r="BK153" i="2"/>
  <c r="H216" i="2" s="1"/>
  <c r="H190" i="2" s="1"/>
  <c r="CY161" i="2"/>
  <c r="K215" i="2" s="1"/>
  <c r="DI161" i="2"/>
  <c r="L215" i="2" s="1"/>
  <c r="M161" i="2"/>
  <c r="D215" i="2" s="1"/>
  <c r="CO161" i="2"/>
  <c r="J215" i="2" s="1"/>
  <c r="BU161" i="2"/>
  <c r="I215" i="2" s="1"/>
  <c r="BA161" i="2"/>
  <c r="G215" i="2" s="1"/>
  <c r="N278" i="2"/>
  <c r="N291" i="2" s="1"/>
  <c r="N293" i="2" s="1"/>
  <c r="CE161" i="2"/>
  <c r="L280" i="2"/>
  <c r="C280" i="2"/>
  <c r="K278" i="2"/>
  <c r="K291" i="2" s="1"/>
  <c r="K293" i="2" s="1"/>
  <c r="I42" i="1"/>
  <c r="M234" i="2"/>
  <c r="D278" i="2"/>
  <c r="D291" i="2" s="1"/>
  <c r="M232" i="2"/>
  <c r="I287" i="2"/>
  <c r="J53" i="1"/>
  <c r="M329" i="2"/>
  <c r="M327" i="2" s="1"/>
  <c r="M330" i="2" s="1"/>
  <c r="M332" i="2" s="1"/>
  <c r="M333" i="2" s="1"/>
  <c r="M334" i="2" s="1"/>
  <c r="D287" i="2"/>
  <c r="G291" i="2"/>
  <c r="G293" i="2" s="1"/>
  <c r="K329" i="2"/>
  <c r="K327" i="2" s="1"/>
  <c r="K330" i="2" s="1"/>
  <c r="K332" i="2" s="1"/>
  <c r="K333" i="2" s="1"/>
  <c r="K334" i="2" s="1"/>
  <c r="O303" i="2"/>
  <c r="E287" i="2"/>
  <c r="K232" i="2"/>
  <c r="G53" i="1"/>
  <c r="L45" i="1"/>
  <c r="E280" i="2"/>
  <c r="Z242" i="2"/>
  <c r="BU106" i="2"/>
  <c r="DS106" i="2"/>
  <c r="V242" i="2"/>
  <c r="DI106" i="2"/>
  <c r="W242" i="2"/>
  <c r="CE106" i="2"/>
  <c r="CY106" i="2"/>
  <c r="CO106" i="2"/>
  <c r="Y242" i="2"/>
  <c r="AQ106" i="2"/>
  <c r="X242" i="2"/>
  <c r="BK110" i="2"/>
  <c r="H223" i="2" s="1"/>
  <c r="H272" i="2" s="1"/>
  <c r="BK107" i="2"/>
  <c r="S242" i="2"/>
  <c r="M106" i="2"/>
  <c r="M109" i="2" s="1"/>
  <c r="D273" i="2" s="1"/>
  <c r="M291" i="2"/>
  <c r="M293" i="2" s="1"/>
  <c r="C291" i="2"/>
  <c r="EC161" i="2"/>
  <c r="N215" i="2" s="1"/>
  <c r="H75" i="1"/>
  <c r="H6" i="5"/>
  <c r="D52" i="3"/>
  <c r="D55" i="3"/>
  <c r="D53" i="3"/>
  <c r="E53" i="3" s="1"/>
  <c r="S41" i="1"/>
  <c r="O277" i="2"/>
  <c r="O291" i="2" s="1"/>
  <c r="O293" i="2" s="1"/>
  <c r="EM156" i="2"/>
  <c r="EM159" i="2" s="1"/>
  <c r="EM157" i="2"/>
  <c r="EM160" i="2" s="1"/>
  <c r="O280" i="2"/>
  <c r="S45" i="1"/>
  <c r="EM149" i="2"/>
  <c r="EM152" i="2" s="1"/>
  <c r="EM153" i="2" s="1"/>
  <c r="O216" i="2" s="1"/>
  <c r="E193" i="2" l="1"/>
  <c r="F232" i="2"/>
  <c r="C232" i="2"/>
  <c r="AA242" i="2"/>
  <c r="O297" i="2"/>
  <c r="R242" i="2"/>
  <c r="C329" i="2"/>
  <c r="C327" i="2" s="1"/>
  <c r="C330" i="2" s="1"/>
  <c r="C332" i="2" s="1"/>
  <c r="C234" i="2"/>
  <c r="B154" i="3"/>
  <c r="O295" i="2"/>
  <c r="BU110" i="2"/>
  <c r="I223" i="2" s="1"/>
  <c r="I272" i="2" s="1"/>
  <c r="BU109" i="2"/>
  <c r="I273" i="2" s="1"/>
  <c r="CE107" i="2"/>
  <c r="CE113" i="2" s="1"/>
  <c r="CE115" i="2" s="1"/>
  <c r="CE116" i="2" s="1"/>
  <c r="CE117" i="2" s="1"/>
  <c r="CE109" i="2"/>
  <c r="CY110" i="2"/>
  <c r="K223" i="2" s="1"/>
  <c r="K272" i="2" s="1"/>
  <c r="CY109" i="2"/>
  <c r="K273" i="2" s="1"/>
  <c r="C107" i="2"/>
  <c r="C113" i="2" s="1"/>
  <c r="C115" i="2" s="1"/>
  <c r="C116" i="2" s="1"/>
  <c r="C117" i="2" s="1"/>
  <c r="C119" i="2" s="1"/>
  <c r="C228" i="2" s="1"/>
  <c r="C268" i="2" s="1"/>
  <c r="G63" i="1" s="1"/>
  <c r="C223" i="2"/>
  <c r="C272" i="2" s="1"/>
  <c r="C109" i="2"/>
  <c r="C273" i="2" s="1"/>
  <c r="AQ110" i="2"/>
  <c r="AQ109" i="2"/>
  <c r="DI110" i="2"/>
  <c r="L223" i="2" s="1"/>
  <c r="L272" i="2" s="1"/>
  <c r="DI109" i="2"/>
  <c r="L273" i="2" s="1"/>
  <c r="BA110" i="2"/>
  <c r="G223" i="2" s="1"/>
  <c r="G272" i="2" s="1"/>
  <c r="C121" i="3" s="1"/>
  <c r="BA109" i="2"/>
  <c r="G273" i="2" s="1"/>
  <c r="C122" i="3" s="1"/>
  <c r="D122" i="3" s="1"/>
  <c r="CO110" i="2"/>
  <c r="J223" i="2" s="1"/>
  <c r="J272" i="2" s="1"/>
  <c r="CO109" i="2"/>
  <c r="J273" i="2" s="1"/>
  <c r="DS110" i="2"/>
  <c r="M223" i="2" s="1"/>
  <c r="M272" i="2" s="1"/>
  <c r="DS109" i="2"/>
  <c r="M273" i="2" s="1"/>
  <c r="EC107" i="2"/>
  <c r="EC113" i="2" s="1"/>
  <c r="EC115" i="2" s="1"/>
  <c r="EC116" i="2" s="1"/>
  <c r="EC117" i="2" s="1"/>
  <c r="EC109" i="2"/>
  <c r="N273" i="2" s="1"/>
  <c r="F192" i="2"/>
  <c r="F193" i="2" s="1"/>
  <c r="F293" i="2"/>
  <c r="L192" i="2"/>
  <c r="L193" i="2" s="1"/>
  <c r="N192" i="2"/>
  <c r="N193" i="2" s="1"/>
  <c r="D192" i="2"/>
  <c r="D193" i="2" s="1"/>
  <c r="D293" i="2"/>
  <c r="K192" i="2"/>
  <c r="K193" i="2" s="1"/>
  <c r="I192" i="2"/>
  <c r="I193" i="2" s="1"/>
  <c r="J192" i="2"/>
  <c r="J193" i="2" s="1"/>
  <c r="O192" i="2"/>
  <c r="G192" i="2"/>
  <c r="G193" i="2" s="1"/>
  <c r="H192" i="2"/>
  <c r="H193" i="2" s="1"/>
  <c r="C192" i="2"/>
  <c r="C193" i="2" s="1"/>
  <c r="C293" i="2"/>
  <c r="M192" i="2"/>
  <c r="M193" i="2" s="1"/>
  <c r="BK113" i="2"/>
  <c r="BK115" i="2" s="1"/>
  <c r="BK116" i="2" s="1"/>
  <c r="BK117" i="2" s="1"/>
  <c r="BK108" i="2"/>
  <c r="H224" i="2" s="1"/>
  <c r="T242" i="2"/>
  <c r="E329" i="2"/>
  <c r="E327" i="2" s="1"/>
  <c r="E330" i="2" s="1"/>
  <c r="E332" i="2" s="1"/>
  <c r="E333" i="2" s="1"/>
  <c r="E334" i="2" s="1"/>
  <c r="E335" i="2" s="1"/>
  <c r="F329" i="2"/>
  <c r="F327" i="2" s="1"/>
  <c r="F330" i="2" s="1"/>
  <c r="F332" i="2" s="1"/>
  <c r="F333" i="2" s="1"/>
  <c r="F334" i="2" s="1"/>
  <c r="F335" i="2" s="1"/>
  <c r="F234" i="2"/>
  <c r="O298" i="2"/>
  <c r="U242" i="2"/>
  <c r="E232" i="2"/>
  <c r="E234" i="2"/>
  <c r="G329" i="2"/>
  <c r="G327" i="2" s="1"/>
  <c r="G330" i="2" s="1"/>
  <c r="G332" i="2" s="1"/>
  <c r="G333" i="2" s="1"/>
  <c r="G334" i="2" s="1"/>
  <c r="G337" i="2" s="1"/>
  <c r="G232" i="2"/>
  <c r="G234" i="2"/>
  <c r="O299" i="2"/>
  <c r="O306" i="2"/>
  <c r="N234" i="2"/>
  <c r="N329" i="2"/>
  <c r="N327" i="2" s="1"/>
  <c r="N330" i="2" s="1"/>
  <c r="N332" i="2" s="1"/>
  <c r="N333" i="2" s="1"/>
  <c r="N232" i="2"/>
  <c r="O329" i="2"/>
  <c r="O327" i="2" s="1"/>
  <c r="O330" i="2" s="1"/>
  <c r="O332" i="2" s="1"/>
  <c r="O333" i="2" s="1"/>
  <c r="O234" i="2"/>
  <c r="O232" i="2"/>
  <c r="AG110" i="2"/>
  <c r="F223" i="2" s="1"/>
  <c r="F272" i="2" s="1"/>
  <c r="C28" i="3" s="1"/>
  <c r="G36" i="3" s="1"/>
  <c r="AG107" i="2"/>
  <c r="W110" i="2"/>
  <c r="E223" i="2" s="1"/>
  <c r="E272" i="2" s="1"/>
  <c r="W107" i="2"/>
  <c r="J334" i="2"/>
  <c r="J337" i="2" s="1"/>
  <c r="DI107" i="2"/>
  <c r="DS107" i="2"/>
  <c r="BU107" i="2"/>
  <c r="CY107" i="2"/>
  <c r="CO107" i="2"/>
  <c r="CE110" i="2"/>
  <c r="EC110" i="2"/>
  <c r="N223" i="2" s="1"/>
  <c r="N272" i="2" s="1"/>
  <c r="AQ107" i="2"/>
  <c r="M107" i="2"/>
  <c r="M110" i="2"/>
  <c r="D223" i="2" s="1"/>
  <c r="D272" i="2" s="1"/>
  <c r="EM107" i="2"/>
  <c r="EM110" i="2"/>
  <c r="BA107" i="2"/>
  <c r="D54" i="3"/>
  <c r="C86" i="3" s="1"/>
  <c r="H7" i="5" s="1"/>
  <c r="O190" i="2"/>
  <c r="K337" i="2"/>
  <c r="K335" i="2"/>
  <c r="M335" i="2"/>
  <c r="M337" i="2"/>
  <c r="H337" i="2"/>
  <c r="H335" i="2"/>
  <c r="D335" i="2"/>
  <c r="D337" i="2"/>
  <c r="L337" i="2"/>
  <c r="L335" i="2"/>
  <c r="EM161" i="2"/>
  <c r="O215" i="2" s="1"/>
  <c r="I337" i="2"/>
  <c r="I335" i="2"/>
  <c r="H237" i="2" l="1"/>
  <c r="H282" i="2"/>
  <c r="I282" i="2"/>
  <c r="I237" i="2"/>
  <c r="F237" i="2"/>
  <c r="F282" i="2"/>
  <c r="E282" i="2"/>
  <c r="E237" i="2"/>
  <c r="L237" i="2"/>
  <c r="L282" i="2"/>
  <c r="M237" i="2"/>
  <c r="M282" i="2"/>
  <c r="K237" i="2"/>
  <c r="K282" i="2"/>
  <c r="D237" i="2"/>
  <c r="D282" i="2"/>
  <c r="I233" i="2"/>
  <c r="C333" i="2"/>
  <c r="C334" i="2" s="1"/>
  <c r="CE108" i="2"/>
  <c r="EC108" i="2"/>
  <c r="C296" i="2"/>
  <c r="C108" i="2"/>
  <c r="C224" i="2" s="1"/>
  <c r="O193" i="2"/>
  <c r="B124" i="3"/>
  <c r="C124" i="3" s="1"/>
  <c r="C138" i="3" s="1"/>
  <c r="B138" i="3" s="1"/>
  <c r="H264" i="2"/>
  <c r="H271" i="2"/>
  <c r="H289" i="2" s="1"/>
  <c r="EM113" i="2"/>
  <c r="EM115" i="2" s="1"/>
  <c r="EM116" i="2" s="1"/>
  <c r="EM117" i="2" s="1"/>
  <c r="EM119" i="2" s="1"/>
  <c r="O228" i="2" s="1"/>
  <c r="O268" i="2" s="1"/>
  <c r="DI113" i="2"/>
  <c r="DI115" i="2" s="1"/>
  <c r="DI116" i="2" s="1"/>
  <c r="DI117" i="2" s="1"/>
  <c r="M113" i="2"/>
  <c r="M115" i="2" s="1"/>
  <c r="M116" i="2" s="1"/>
  <c r="M117" i="2" s="1"/>
  <c r="M119" i="2" s="1"/>
  <c r="D228" i="2" s="1"/>
  <c r="D268" i="2" s="1"/>
  <c r="H63" i="1" s="1"/>
  <c r="DS113" i="2"/>
  <c r="DS115" i="2" s="1"/>
  <c r="DS116" i="2" s="1"/>
  <c r="DS117" i="2" s="1"/>
  <c r="AQ113" i="2"/>
  <c r="AQ115" i="2" s="1"/>
  <c r="AQ116" i="2" s="1"/>
  <c r="AQ117" i="2" s="1"/>
  <c r="AQ119" i="2" s="1"/>
  <c r="BA113" i="2"/>
  <c r="BA115" i="2" s="1"/>
  <c r="BA116" i="2" s="1"/>
  <c r="BA117" i="2" s="1"/>
  <c r="AG113" i="2"/>
  <c r="AG115" i="2" s="1"/>
  <c r="AG116" i="2" s="1"/>
  <c r="AG117" i="2" s="1"/>
  <c r="AG119" i="2" s="1"/>
  <c r="F228" i="2" s="1"/>
  <c r="F268" i="2" s="1"/>
  <c r="J63" i="1" s="1"/>
  <c r="CO113" i="2"/>
  <c r="CO115" i="2" s="1"/>
  <c r="CO116" i="2" s="1"/>
  <c r="CO117" i="2" s="1"/>
  <c r="CO119" i="2" s="1"/>
  <c r="J228" i="2" s="1"/>
  <c r="J268" i="2" s="1"/>
  <c r="N63" i="1" s="1"/>
  <c r="BU113" i="2"/>
  <c r="BU115" i="2" s="1"/>
  <c r="BU116" i="2" s="1"/>
  <c r="BU117" i="2" s="1"/>
  <c r="CY115" i="2"/>
  <c r="CY116" i="2" s="1"/>
  <c r="CY117" i="2" s="1"/>
  <c r="W113" i="2"/>
  <c r="W115" i="2" s="1"/>
  <c r="W116" i="2" s="1"/>
  <c r="W117" i="2" s="1"/>
  <c r="AG108" i="2"/>
  <c r="M108" i="2"/>
  <c r="AQ108" i="2"/>
  <c r="DS108" i="2"/>
  <c r="M224" i="2" s="1"/>
  <c r="DI108" i="2"/>
  <c r="BU108" i="2"/>
  <c r="BA108" i="2"/>
  <c r="G224" i="2" s="1"/>
  <c r="CO108" i="2"/>
  <c r="EM108" i="2"/>
  <c r="CY108" i="2"/>
  <c r="W108" i="2"/>
  <c r="E337" i="2"/>
  <c r="F337" i="2"/>
  <c r="G335" i="2"/>
  <c r="N334" i="2"/>
  <c r="O334" i="2"/>
  <c r="O235" i="2"/>
  <c r="O269" i="2" s="1"/>
  <c r="C118" i="2"/>
  <c r="C227" i="2" s="1"/>
  <c r="C267" i="2" s="1"/>
  <c r="G62" i="1" s="1"/>
  <c r="EC119" i="2"/>
  <c r="CE119" i="2"/>
  <c r="H226" i="2"/>
  <c r="H225" i="2"/>
  <c r="H265" i="2" s="1"/>
  <c r="J335" i="2"/>
  <c r="N224" i="2"/>
  <c r="N225" i="2"/>
  <c r="N265" i="2" s="1"/>
  <c r="R60" i="1" s="1"/>
  <c r="C226" i="2"/>
  <c r="H76" i="1"/>
  <c r="M338" i="2"/>
  <c r="M212" i="2" s="1"/>
  <c r="K338" i="2"/>
  <c r="K212" i="2" s="1"/>
  <c r="I338" i="2"/>
  <c r="I212" i="2" s="1"/>
  <c r="D338" i="2"/>
  <c r="D212" i="2" s="1"/>
  <c r="E338" i="2"/>
  <c r="E212" i="2" s="1"/>
  <c r="L338" i="2"/>
  <c r="L212" i="2" s="1"/>
  <c r="L233" i="2" s="1"/>
  <c r="H338" i="2"/>
  <c r="H212" i="2" s="1"/>
  <c r="F338" i="2"/>
  <c r="F212" i="2" s="1"/>
  <c r="D296" i="2" l="1"/>
  <c r="R323" i="2" s="1"/>
  <c r="U323" i="2" s="1"/>
  <c r="B3" i="6"/>
  <c r="B16" i="5"/>
  <c r="J282" i="2"/>
  <c r="J237" i="2"/>
  <c r="G237" i="2"/>
  <c r="G282" i="2"/>
  <c r="F235" i="2"/>
  <c r="F269" i="2" s="1"/>
  <c r="F239" i="2"/>
  <c r="F240" i="2" s="1"/>
  <c r="D235" i="2"/>
  <c r="D269" i="2" s="1"/>
  <c r="D239" i="2"/>
  <c r="D240" i="2" s="1"/>
  <c r="M235" i="2"/>
  <c r="M269" i="2" s="1"/>
  <c r="M239" i="2"/>
  <c r="M240" i="2" s="1"/>
  <c r="M253" i="2" s="1"/>
  <c r="K235" i="2"/>
  <c r="K269" i="2" s="1"/>
  <c r="K239" i="2"/>
  <c r="K240" i="2" s="1"/>
  <c r="K253" i="2" s="1"/>
  <c r="E235" i="2"/>
  <c r="E269" i="2" s="1"/>
  <c r="E239" i="2"/>
  <c r="E240" i="2" s="1"/>
  <c r="H235" i="2"/>
  <c r="H269" i="2" s="1"/>
  <c r="H239" i="2"/>
  <c r="H240" i="2" s="1"/>
  <c r="I235" i="2"/>
  <c r="I269" i="2" s="1"/>
  <c r="I239" i="2"/>
  <c r="I240" i="2" s="1"/>
  <c r="I253" i="2" s="1"/>
  <c r="H233" i="2"/>
  <c r="L235" i="2"/>
  <c r="L269" i="2" s="1"/>
  <c r="L239" i="2"/>
  <c r="L240" i="2" s="1"/>
  <c r="L253" i="2" s="1"/>
  <c r="P48" i="1" s="1"/>
  <c r="G338" i="2"/>
  <c r="G212" i="2" s="1"/>
  <c r="C337" i="2"/>
  <c r="C335" i="2"/>
  <c r="J338" i="2"/>
  <c r="J212" i="2" s="1"/>
  <c r="J233" i="2" s="1"/>
  <c r="L59" i="1"/>
  <c r="L60" i="1"/>
  <c r="G299" i="2"/>
  <c r="M264" i="2"/>
  <c r="Q59" i="1" s="1"/>
  <c r="M271" i="2"/>
  <c r="M289" i="2" s="1"/>
  <c r="G264" i="2"/>
  <c r="C113" i="3" s="1"/>
  <c r="D113" i="3" s="1"/>
  <c r="G271" i="2"/>
  <c r="C264" i="2"/>
  <c r="G59" i="1" s="1"/>
  <c r="C271" i="2"/>
  <c r="C289" i="2" s="1"/>
  <c r="N264" i="2"/>
  <c r="R59" i="1" s="1"/>
  <c r="N271" i="2"/>
  <c r="N289" i="2" s="1"/>
  <c r="K233" i="2"/>
  <c r="M233" i="2"/>
  <c r="O335" i="2"/>
  <c r="O282" i="2" s="1"/>
  <c r="O337" i="2"/>
  <c r="N337" i="2"/>
  <c r="N335" i="2"/>
  <c r="O225" i="2"/>
  <c r="O265" i="2" s="1"/>
  <c r="AQ118" i="2"/>
  <c r="BK119" i="2"/>
  <c r="H228" i="2" s="1"/>
  <c r="H268" i="2" s="1"/>
  <c r="EC118" i="2"/>
  <c r="N227" i="2" s="1"/>
  <c r="N267" i="2" s="1"/>
  <c r="R62" i="1" s="1"/>
  <c r="CY118" i="2"/>
  <c r="K227" i="2" s="1"/>
  <c r="K267" i="2" s="1"/>
  <c r="O62" i="1" s="1"/>
  <c r="BK118" i="2"/>
  <c r="H227" i="2" s="1"/>
  <c r="H267" i="2" s="1"/>
  <c r="CE118" i="2"/>
  <c r="N228" i="2"/>
  <c r="N268" i="2" s="1"/>
  <c r="R63" i="1" s="1"/>
  <c r="N226" i="2"/>
  <c r="N266" i="2" s="1"/>
  <c r="R61" i="1" s="1"/>
  <c r="M225" i="2"/>
  <c r="M265" i="2" s="1"/>
  <c r="Q60" i="1" s="1"/>
  <c r="G225" i="2"/>
  <c r="G265" i="2" s="1"/>
  <c r="K60" i="1" s="1"/>
  <c r="K224" i="2"/>
  <c r="K225" i="2"/>
  <c r="K265" i="2" s="1"/>
  <c r="O60" i="1" s="1"/>
  <c r="E224" i="2"/>
  <c r="E225" i="2"/>
  <c r="E265" i="2" s="1"/>
  <c r="I60" i="1" s="1"/>
  <c r="D224" i="2"/>
  <c r="D225" i="2"/>
  <c r="D265" i="2" s="1"/>
  <c r="H60" i="1" s="1"/>
  <c r="I224" i="2"/>
  <c r="I225" i="2"/>
  <c r="I265" i="2" s="1"/>
  <c r="M60" i="1" s="1"/>
  <c r="J224" i="2"/>
  <c r="J225" i="2"/>
  <c r="J265" i="2" s="1"/>
  <c r="N60" i="1" s="1"/>
  <c r="C225" i="2"/>
  <c r="C265" i="2" s="1"/>
  <c r="G60" i="1" s="1"/>
  <c r="L224" i="2"/>
  <c r="L225" i="2"/>
  <c r="L265" i="2" s="1"/>
  <c r="P60" i="1" s="1"/>
  <c r="F224" i="2"/>
  <c r="F225" i="2"/>
  <c r="F265" i="2" s="1"/>
  <c r="J60" i="1" s="1"/>
  <c r="C266" i="2"/>
  <c r="G61" i="1" s="1"/>
  <c r="H266" i="2"/>
  <c r="F233" i="2"/>
  <c r="CO118" i="2"/>
  <c r="J227" i="2" s="1"/>
  <c r="J226" i="2"/>
  <c r="AG118" i="2"/>
  <c r="F227" i="2" s="1"/>
  <c r="F226" i="2"/>
  <c r="M118" i="2"/>
  <c r="D227" i="2" s="1"/>
  <c r="D226" i="2"/>
  <c r="EM118" i="2"/>
  <c r="O227" i="2" s="1"/>
  <c r="O267" i="2" s="1"/>
  <c r="O226" i="2"/>
  <c r="O266" i="2" s="1"/>
  <c r="E233" i="2"/>
  <c r="D233" i="2"/>
  <c r="U322" i="2" l="1"/>
  <c r="D300" i="2"/>
  <c r="D305" i="2" s="1"/>
  <c r="C306" i="2"/>
  <c r="C313" i="2" s="1"/>
  <c r="C120" i="3"/>
  <c r="G289" i="2"/>
  <c r="O48" i="1"/>
  <c r="Q48" i="1"/>
  <c r="C237" i="2"/>
  <c r="C282" i="2"/>
  <c r="H253" i="2"/>
  <c r="L48" i="1" s="1"/>
  <c r="O237" i="2"/>
  <c r="O240" i="2" s="1"/>
  <c r="O253" i="2" s="1"/>
  <c r="N237" i="2"/>
  <c r="N282" i="2"/>
  <c r="F253" i="2"/>
  <c r="J48" i="1" s="1"/>
  <c r="E253" i="2"/>
  <c r="I48" i="1" s="1"/>
  <c r="D253" i="2"/>
  <c r="H48" i="1" s="1"/>
  <c r="J235" i="2"/>
  <c r="J269" i="2" s="1"/>
  <c r="J239" i="2"/>
  <c r="J240" i="2" s="1"/>
  <c r="J253" i="2" s="1"/>
  <c r="N48" i="1" s="1"/>
  <c r="G235" i="2"/>
  <c r="G269" i="2" s="1"/>
  <c r="C118" i="3" s="1"/>
  <c r="G239" i="2"/>
  <c r="G240" i="2" s="1"/>
  <c r="G233" i="2"/>
  <c r="B125" i="3" s="1"/>
  <c r="C125" i="3" s="1"/>
  <c r="B140" i="3" s="1"/>
  <c r="B146" i="3" s="1"/>
  <c r="C149" i="3" s="1"/>
  <c r="C338" i="2"/>
  <c r="C212" i="2" s="1"/>
  <c r="C239" i="2" s="1"/>
  <c r="M48" i="1"/>
  <c r="C114" i="3"/>
  <c r="L62" i="1"/>
  <c r="L61" i="1"/>
  <c r="L63" i="1"/>
  <c r="G303" i="2"/>
  <c r="J300" i="2"/>
  <c r="J301" i="2"/>
  <c r="J302" i="2"/>
  <c r="J298" i="2"/>
  <c r="J299" i="2"/>
  <c r="K59" i="1"/>
  <c r="E264" i="2"/>
  <c r="I59" i="1" s="1"/>
  <c r="E271" i="2"/>
  <c r="E289" i="2" s="1"/>
  <c r="F264" i="2"/>
  <c r="E36" i="3" s="1"/>
  <c r="F271" i="2"/>
  <c r="L264" i="2"/>
  <c r="P59" i="1" s="1"/>
  <c r="L271" i="2"/>
  <c r="L289" i="2" s="1"/>
  <c r="K264" i="2"/>
  <c r="O59" i="1" s="1"/>
  <c r="K271" i="2"/>
  <c r="K289" i="2" s="1"/>
  <c r="J264" i="2"/>
  <c r="N59" i="1" s="1"/>
  <c r="J271" i="2"/>
  <c r="J289" i="2" s="1"/>
  <c r="I264" i="2"/>
  <c r="M59" i="1" s="1"/>
  <c r="I271" i="2"/>
  <c r="I289" i="2" s="1"/>
  <c r="D264" i="2"/>
  <c r="H59" i="1" s="1"/>
  <c r="D271" i="2"/>
  <c r="D289" i="2" s="1"/>
  <c r="N338" i="2"/>
  <c r="N212" i="2" s="1"/>
  <c r="O233" i="2"/>
  <c r="O338" i="2"/>
  <c r="O212" i="2" s="1"/>
  <c r="O239" i="2" s="1"/>
  <c r="K226" i="2"/>
  <c r="K266" i="2" s="1"/>
  <c r="O61" i="1" s="1"/>
  <c r="BA119" i="2"/>
  <c r="G228" i="2" s="1"/>
  <c r="G268" i="2" s="1"/>
  <c r="K63" i="1" s="1"/>
  <c r="DS119" i="2"/>
  <c r="M228" i="2" s="1"/>
  <c r="M268" i="2" s="1"/>
  <c r="Q63" i="1" s="1"/>
  <c r="CY119" i="2"/>
  <c r="K228" i="2" s="1"/>
  <c r="K268" i="2" s="1"/>
  <c r="O63" i="1" s="1"/>
  <c r="W119" i="2"/>
  <c r="E228" i="2" s="1"/>
  <c r="E268" i="2" s="1"/>
  <c r="I63" i="1" s="1"/>
  <c r="BU119" i="2"/>
  <c r="I228" i="2" s="1"/>
  <c r="I268" i="2" s="1"/>
  <c r="M63" i="1" s="1"/>
  <c r="DI119" i="2"/>
  <c r="L228" i="2" s="1"/>
  <c r="L268" i="2" s="1"/>
  <c r="P63" i="1" s="1"/>
  <c r="M226" i="2"/>
  <c r="M266" i="2" s="1"/>
  <c r="Q61" i="1" s="1"/>
  <c r="DI118" i="2"/>
  <c r="L227" i="2" s="1"/>
  <c r="L267" i="2" s="1"/>
  <c r="P62" i="1" s="1"/>
  <c r="W118" i="2"/>
  <c r="E227" i="2" s="1"/>
  <c r="E267" i="2" s="1"/>
  <c r="I62" i="1" s="1"/>
  <c r="BA118" i="2"/>
  <c r="G227" i="2" s="1"/>
  <c r="G267" i="2" s="1"/>
  <c r="K62" i="1" s="1"/>
  <c r="L226" i="2"/>
  <c r="L266" i="2" s="1"/>
  <c r="P61" i="1" s="1"/>
  <c r="G226" i="2"/>
  <c r="G266" i="2" s="1"/>
  <c r="K61" i="1" s="1"/>
  <c r="I226" i="2"/>
  <c r="I266" i="2" s="1"/>
  <c r="M61" i="1" s="1"/>
  <c r="BU118" i="2"/>
  <c r="I227" i="2" s="1"/>
  <c r="I267" i="2" s="1"/>
  <c r="M62" i="1" s="1"/>
  <c r="DS118" i="2"/>
  <c r="M227" i="2" s="1"/>
  <c r="M267" i="2" s="1"/>
  <c r="Q62" i="1" s="1"/>
  <c r="E226" i="2"/>
  <c r="E266" i="2" s="1"/>
  <c r="I61" i="1" s="1"/>
  <c r="F266" i="2"/>
  <c r="J61" i="1" s="1"/>
  <c r="J267" i="2"/>
  <c r="N62" i="1" s="1"/>
  <c r="F267" i="2"/>
  <c r="J62" i="1" s="1"/>
  <c r="J266" i="2"/>
  <c r="N61" i="1" s="1"/>
  <c r="D266" i="2"/>
  <c r="H61" i="1" s="1"/>
  <c r="D267" i="2"/>
  <c r="H62" i="1" s="1"/>
  <c r="C307" i="2" l="1"/>
  <c r="F304" i="2"/>
  <c r="F305" i="2" s="1"/>
  <c r="G305" i="2" s="1"/>
  <c r="P282" i="2"/>
  <c r="C27" i="3"/>
  <c r="F34" i="3" s="1"/>
  <c r="F289" i="2"/>
  <c r="C240" i="2"/>
  <c r="C253" i="2" s="1"/>
  <c r="G48" i="1" s="1"/>
  <c r="G253" i="2"/>
  <c r="S48" i="1"/>
  <c r="N235" i="2"/>
  <c r="N269" i="2" s="1"/>
  <c r="N239" i="2"/>
  <c r="N240" i="2" s="1"/>
  <c r="N253" i="2" s="1"/>
  <c r="C233" i="2"/>
  <c r="C235" i="2"/>
  <c r="C269" i="2" s="1"/>
  <c r="E305" i="2"/>
  <c r="C310" i="2"/>
  <c r="C311" i="2"/>
  <c r="C115" i="3"/>
  <c r="C116" i="3"/>
  <c r="C117" i="3"/>
  <c r="J59" i="1"/>
  <c r="B139" i="3" s="1"/>
  <c r="N233" i="2"/>
  <c r="B189" i="3"/>
  <c r="U56" i="1" s="1"/>
  <c r="B145" i="3"/>
  <c r="C148" i="3" s="1"/>
  <c r="E34" i="3"/>
  <c r="D36" i="3" s="1"/>
  <c r="G304" i="2" l="1"/>
  <c r="D311" i="2" s="1"/>
  <c r="P289" i="2"/>
  <c r="B191" i="3" s="1"/>
  <c r="T59" i="1" s="1"/>
  <c r="R48" i="1"/>
  <c r="K48" i="1"/>
  <c r="C102" i="3"/>
  <c r="D102" i="3" s="1"/>
  <c r="E313" i="2"/>
  <c r="D147" i="3"/>
  <c r="D34" i="3"/>
  <c r="N71" i="1" s="1"/>
  <c r="F36" i="3"/>
  <c r="B147" i="3" s="1"/>
  <c r="H3" i="5" s="1"/>
  <c r="B10" i="5"/>
  <c r="D72" i="3"/>
  <c r="H12" i="5" s="1"/>
  <c r="D57" i="2"/>
  <c r="C57" i="2"/>
  <c r="D310" i="2" l="1"/>
  <c r="F313" i="2" s="1"/>
  <c r="G74" i="1"/>
  <c r="B182" i="3"/>
  <c r="B183" i="3" s="1"/>
  <c r="C87" i="3"/>
  <c r="E57" i="2"/>
  <c r="C58" i="2" s="1"/>
  <c r="C59" i="2" s="1"/>
  <c r="H4" i="5" l="1"/>
  <c r="H8" i="5"/>
  <c r="H77" i="1"/>
  <c r="DS143" i="2"/>
  <c r="DS144" i="2" s="1"/>
  <c r="DS145" i="2" s="1"/>
  <c r="M217" i="2" s="1"/>
  <c r="M256" i="2" s="1"/>
  <c r="CO143" i="2"/>
  <c r="CO144" i="2" s="1"/>
  <c r="CO145" i="2" s="1"/>
  <c r="J217" i="2" s="1"/>
  <c r="J257" i="2" s="1"/>
  <c r="N52" i="1" s="1"/>
  <c r="DI143" i="2"/>
  <c r="DI144" i="2" s="1"/>
  <c r="DI145" i="2" s="1"/>
  <c r="L217" i="2" s="1"/>
  <c r="L257" i="2" s="1"/>
  <c r="EC143" i="2"/>
  <c r="EC144" i="2" s="1"/>
  <c r="EC145" i="2" s="1"/>
  <c r="N217" i="2" s="1"/>
  <c r="N255" i="2" s="1"/>
  <c r="R50" i="1" s="1"/>
  <c r="AQ143" i="2"/>
  <c r="AQ144" i="2" s="1"/>
  <c r="AQ145" i="2" s="1"/>
  <c r="BK143" i="2"/>
  <c r="BK144" i="2" s="1"/>
  <c r="BK145" i="2" s="1"/>
  <c r="H217" i="2" s="1"/>
  <c r="H256" i="2" s="1"/>
  <c r="CE143" i="2"/>
  <c r="CE144" i="2" s="1"/>
  <c r="CE145" i="2" s="1"/>
  <c r="M143" i="2"/>
  <c r="M144" i="2" s="1"/>
  <c r="M145" i="2" s="1"/>
  <c r="D217" i="2" s="1"/>
  <c r="C143" i="2"/>
  <c r="C144" i="2" s="1"/>
  <c r="C145" i="2" s="1"/>
  <c r="C217" i="2" s="1"/>
  <c r="EM143" i="2"/>
  <c r="EM144" i="2" s="1"/>
  <c r="EM145" i="2" s="1"/>
  <c r="O217" i="2" s="1"/>
  <c r="CY143" i="2"/>
  <c r="CY144" i="2" s="1"/>
  <c r="CY145" i="2" s="1"/>
  <c r="K217" i="2" s="1"/>
  <c r="AG143" i="2"/>
  <c r="AG144" i="2" s="1"/>
  <c r="AG145" i="2" s="1"/>
  <c r="F217" i="2" s="1"/>
  <c r="W143" i="2"/>
  <c r="W144" i="2" s="1"/>
  <c r="W145" i="2" s="1"/>
  <c r="E217" i="2" s="1"/>
  <c r="BA143" i="2"/>
  <c r="BA144" i="2" s="1"/>
  <c r="BA145" i="2" s="1"/>
  <c r="G217" i="2" s="1"/>
  <c r="BU143" i="2"/>
  <c r="BU144" i="2" s="1"/>
  <c r="BU145" i="2" s="1"/>
  <c r="I217" i="2" s="1"/>
  <c r="J256" i="2" l="1"/>
  <c r="N51" i="1" s="1"/>
  <c r="N257" i="2"/>
  <c r="P344" i="2" s="1"/>
  <c r="M191" i="2"/>
  <c r="N191" i="2"/>
  <c r="M255" i="2"/>
  <c r="Q50" i="1" s="1"/>
  <c r="N256" i="2"/>
  <c r="P343" i="2" s="1"/>
  <c r="J255" i="2"/>
  <c r="N50" i="1" s="1"/>
  <c r="M257" i="2"/>
  <c r="O344" i="2" s="1"/>
  <c r="J191" i="2"/>
  <c r="L255" i="2"/>
  <c r="P50" i="1" s="1"/>
  <c r="L256" i="2"/>
  <c r="N343" i="2" s="1"/>
  <c r="L191" i="2"/>
  <c r="H257" i="2"/>
  <c r="L52" i="1" s="1"/>
  <c r="H191" i="2"/>
  <c r="H194" i="2" s="1"/>
  <c r="H255" i="2"/>
  <c r="L50" i="1" s="1"/>
  <c r="K255" i="2"/>
  <c r="O50" i="1" s="1"/>
  <c r="K256" i="2"/>
  <c r="K191" i="2"/>
  <c r="K257" i="2"/>
  <c r="Q51" i="1"/>
  <c r="O343" i="2"/>
  <c r="G191" i="2"/>
  <c r="G257" i="2"/>
  <c r="K52" i="1" s="1"/>
  <c r="G256" i="2"/>
  <c r="K51" i="1" s="1"/>
  <c r="G255" i="2"/>
  <c r="K50" i="1" s="1"/>
  <c r="N344" i="2"/>
  <c r="P52" i="1"/>
  <c r="O257" i="2"/>
  <c r="O191" i="2"/>
  <c r="O256" i="2"/>
  <c r="O255" i="2"/>
  <c r="I191" i="2"/>
  <c r="I255" i="2"/>
  <c r="M50" i="1" s="1"/>
  <c r="I257" i="2"/>
  <c r="I256" i="2"/>
  <c r="C257" i="2"/>
  <c r="C255" i="2"/>
  <c r="G50" i="1" s="1"/>
  <c r="C256" i="2"/>
  <c r="C191" i="2"/>
  <c r="D257" i="2"/>
  <c r="D255" i="2"/>
  <c r="D191" i="2"/>
  <c r="D256" i="2"/>
  <c r="E257" i="2"/>
  <c r="E256" i="2"/>
  <c r="E191" i="2"/>
  <c r="E255" i="2"/>
  <c r="I50" i="1" s="1"/>
  <c r="I343" i="2"/>
  <c r="L51" i="1"/>
  <c r="F255" i="2"/>
  <c r="F191" i="2"/>
  <c r="F256" i="2"/>
  <c r="F257" i="2"/>
  <c r="C105" i="3" l="1"/>
  <c r="D105" i="3" s="1"/>
  <c r="C106" i="3"/>
  <c r="D106" i="3" s="1"/>
  <c r="J50" i="1"/>
  <c r="C104" i="3"/>
  <c r="H50" i="1"/>
  <c r="O195" i="2"/>
  <c r="O197" i="2" s="1"/>
  <c r="O194" i="2"/>
  <c r="N195" i="2"/>
  <c r="N196" i="2" s="1"/>
  <c r="N194" i="2"/>
  <c r="M195" i="2"/>
  <c r="M197" i="2" s="1"/>
  <c r="M194" i="2"/>
  <c r="E195" i="2"/>
  <c r="E196" i="2" s="1"/>
  <c r="E194" i="2"/>
  <c r="R51" i="1"/>
  <c r="R52" i="1"/>
  <c r="L195" i="2"/>
  <c r="L197" i="2" s="1"/>
  <c r="L194" i="2"/>
  <c r="K195" i="2"/>
  <c r="K197" i="2" s="1"/>
  <c r="K194" i="2"/>
  <c r="J195" i="2"/>
  <c r="J196" i="2" s="1"/>
  <c r="J194" i="2"/>
  <c r="D195" i="2"/>
  <c r="D196" i="2" s="1"/>
  <c r="D194" i="2"/>
  <c r="C195" i="2"/>
  <c r="C197" i="2" s="1"/>
  <c r="C194" i="2"/>
  <c r="I344" i="2"/>
  <c r="I345" i="2" s="1"/>
  <c r="Q52" i="1"/>
  <c r="P51" i="1"/>
  <c r="H195" i="2"/>
  <c r="H197" i="2" s="1"/>
  <c r="O345" i="2"/>
  <c r="P345" i="2"/>
  <c r="S51" i="1"/>
  <c r="Q343" i="2"/>
  <c r="I51" i="1"/>
  <c r="E343" i="2"/>
  <c r="F343" i="2"/>
  <c r="J51" i="1"/>
  <c r="E344" i="2"/>
  <c r="I52" i="1"/>
  <c r="M51" i="1"/>
  <c r="J343" i="2"/>
  <c r="Q344" i="2"/>
  <c r="S52" i="1"/>
  <c r="J52" i="1"/>
  <c r="F344" i="2"/>
  <c r="H52" i="1"/>
  <c r="D344" i="2"/>
  <c r="M52" i="1"/>
  <c r="J344" i="2"/>
  <c r="M344" i="2"/>
  <c r="O52" i="1"/>
  <c r="G51" i="1"/>
  <c r="C343" i="2"/>
  <c r="C344" i="2"/>
  <c r="G52" i="1"/>
  <c r="I195" i="2"/>
  <c r="I194" i="2"/>
  <c r="N345" i="2"/>
  <c r="M343" i="2"/>
  <c r="O51" i="1"/>
  <c r="G194" i="2"/>
  <c r="G195" i="2"/>
  <c r="F194" i="2"/>
  <c r="F195" i="2"/>
  <c r="D343" i="2"/>
  <c r="H51" i="1"/>
  <c r="O196" i="2" l="1"/>
  <c r="N197" i="2"/>
  <c r="M196" i="2"/>
  <c r="E197" i="2"/>
  <c r="D197" i="2"/>
  <c r="K196" i="2"/>
  <c r="J197" i="2"/>
  <c r="L196" i="2"/>
  <c r="C196" i="2"/>
  <c r="H196" i="2"/>
  <c r="B157" i="3"/>
  <c r="B160" i="3" s="1"/>
  <c r="C157" i="3"/>
  <c r="B159" i="3" s="1"/>
  <c r="B165" i="3" s="1"/>
  <c r="J345" i="2"/>
  <c r="F345" i="2"/>
  <c r="M345" i="2"/>
  <c r="E345" i="2"/>
  <c r="C345" i="2"/>
  <c r="Q345" i="2"/>
  <c r="G196" i="2"/>
  <c r="G197" i="2"/>
  <c r="D345" i="2"/>
  <c r="F197" i="2"/>
  <c r="F196" i="2"/>
  <c r="I196" i="2"/>
  <c r="I197" i="2"/>
  <c r="B166" i="3" l="1"/>
  <c r="C198" i="2"/>
  <c r="BA165" i="2" s="1"/>
  <c r="BA167" i="2" s="1"/>
  <c r="R345" i="2"/>
  <c r="T52" i="1" l="1"/>
  <c r="B190" i="3"/>
  <c r="AQ165" i="2"/>
  <c r="AQ167" i="2" s="1"/>
  <c r="AQ186" i="2" s="1"/>
  <c r="W165" i="2"/>
  <c r="W167" i="2" s="1"/>
  <c r="W168" i="2" s="1"/>
  <c r="W169" i="2" s="1"/>
  <c r="BU165" i="2"/>
  <c r="BU167" i="2" s="1"/>
  <c r="BU186" i="2" s="1"/>
  <c r="DI165" i="2"/>
  <c r="DI167" i="2" s="1"/>
  <c r="DI186" i="2" s="1"/>
  <c r="EM165" i="2"/>
  <c r="EM167" i="2" s="1"/>
  <c r="EM186" i="2" s="1"/>
  <c r="AG165" i="2"/>
  <c r="AG167" i="2" s="1"/>
  <c r="AG186" i="2" s="1"/>
  <c r="C165" i="2"/>
  <c r="C167" i="2" s="1"/>
  <c r="C168" i="2" s="1"/>
  <c r="C169" i="2" s="1"/>
  <c r="EC165" i="2"/>
  <c r="EC167" i="2" s="1"/>
  <c r="EC168" i="2" s="1"/>
  <c r="EC169" i="2" s="1"/>
  <c r="CY165" i="2"/>
  <c r="CY167" i="2" s="1"/>
  <c r="CY168" i="2" s="1"/>
  <c r="CY169" i="2" s="1"/>
  <c r="BK165" i="2"/>
  <c r="BK167" i="2" s="1"/>
  <c r="BK168" i="2" s="1"/>
  <c r="BK169" i="2" s="1"/>
  <c r="M165" i="2"/>
  <c r="M167" i="2" s="1"/>
  <c r="M186" i="2" s="1"/>
  <c r="B129" i="3"/>
  <c r="B162" i="3" s="1"/>
  <c r="B163" i="3" s="1"/>
  <c r="B167" i="3" s="1"/>
  <c r="DS165" i="2"/>
  <c r="DS167" i="2" s="1"/>
  <c r="DS186" i="2" s="1"/>
  <c r="CO165" i="2"/>
  <c r="CO167" i="2" s="1"/>
  <c r="CO168" i="2" s="1"/>
  <c r="CO169" i="2" s="1"/>
  <c r="M14" i="1"/>
  <c r="CE165" i="2"/>
  <c r="CE167" i="2" s="1"/>
  <c r="CE186" i="2" s="1"/>
  <c r="BA168" i="2"/>
  <c r="BA169" i="2" s="1"/>
  <c r="BA186" i="2"/>
  <c r="W186" i="2" l="1"/>
  <c r="M168" i="2"/>
  <c r="M169" i="2" s="1"/>
  <c r="M185" i="2" s="1"/>
  <c r="BK186" i="2"/>
  <c r="CY186" i="2"/>
  <c r="BU168" i="2"/>
  <c r="BU169" i="2" s="1"/>
  <c r="BU185" i="2" s="1"/>
  <c r="AG168" i="2"/>
  <c r="AG169" i="2" s="1"/>
  <c r="AG171" i="2" s="1"/>
  <c r="AG172" i="2" s="1"/>
  <c r="AG173" i="2" s="1"/>
  <c r="CO186" i="2"/>
  <c r="DS168" i="2"/>
  <c r="DS169" i="2" s="1"/>
  <c r="DS171" i="2" s="1"/>
  <c r="DS172" i="2" s="1"/>
  <c r="DS173" i="2" s="1"/>
  <c r="EM168" i="2"/>
  <c r="EM169" i="2" s="1"/>
  <c r="EM171" i="2" s="1"/>
  <c r="EM172" i="2" s="1"/>
  <c r="EM173" i="2" s="1"/>
  <c r="DI168" i="2"/>
  <c r="DI169" i="2" s="1"/>
  <c r="DI170" i="2" s="1"/>
  <c r="C186" i="2"/>
  <c r="B187" i="3" s="1"/>
  <c r="T54" i="1" s="1"/>
  <c r="AQ168" i="2"/>
  <c r="AQ169" i="2" s="1"/>
  <c r="AQ170" i="2" s="1"/>
  <c r="EC186" i="2"/>
  <c r="CE168" i="2"/>
  <c r="CE169" i="2" s="1"/>
  <c r="CE185" i="2" s="1"/>
  <c r="W185" i="2"/>
  <c r="W171" i="2"/>
  <c r="W172" i="2" s="1"/>
  <c r="W173" i="2" s="1"/>
  <c r="W170" i="2"/>
  <c r="CO171" i="2"/>
  <c r="CO172" i="2" s="1"/>
  <c r="CO173" i="2" s="1"/>
  <c r="CO185" i="2"/>
  <c r="CO170" i="2"/>
  <c r="BA185" i="2"/>
  <c r="BA171" i="2"/>
  <c r="BA172" i="2" s="1"/>
  <c r="BA173" i="2" s="1"/>
  <c r="BA170" i="2"/>
  <c r="BK171" i="2"/>
  <c r="BK172" i="2" s="1"/>
  <c r="BK173" i="2" s="1"/>
  <c r="BK185" i="2"/>
  <c r="BK170" i="2"/>
  <c r="CY170" i="2"/>
  <c r="CY171" i="2"/>
  <c r="CY172" i="2" s="1"/>
  <c r="CY173" i="2" s="1"/>
  <c r="CY185" i="2"/>
  <c r="C185" i="2"/>
  <c r="C171" i="2"/>
  <c r="C172" i="2" s="1"/>
  <c r="C173" i="2" s="1"/>
  <c r="C170" i="2"/>
  <c r="EC185" i="2"/>
  <c r="EC171" i="2"/>
  <c r="EC172" i="2" s="1"/>
  <c r="EC173" i="2" s="1"/>
  <c r="EC170" i="2"/>
  <c r="O284" i="2" l="1"/>
  <c r="AG170" i="2"/>
  <c r="M171" i="2"/>
  <c r="M172" i="2" s="1"/>
  <c r="M173" i="2" s="1"/>
  <c r="P177" i="2" s="1"/>
  <c r="M170" i="2"/>
  <c r="DS185" i="2"/>
  <c r="DS170" i="2"/>
  <c r="AG185" i="2"/>
  <c r="BU170" i="2"/>
  <c r="BU171" i="2"/>
  <c r="BU172" i="2" s="1"/>
  <c r="BU173" i="2" s="1"/>
  <c r="BX174" i="2" s="1"/>
  <c r="DI171" i="2"/>
  <c r="DI172" i="2" s="1"/>
  <c r="DI173" i="2" s="1"/>
  <c r="DL174" i="2" s="1"/>
  <c r="DI185" i="2"/>
  <c r="H285" i="2"/>
  <c r="M284" i="2"/>
  <c r="I284" i="2"/>
  <c r="D286" i="2"/>
  <c r="H286" i="2"/>
  <c r="E285" i="2"/>
  <c r="H284" i="2"/>
  <c r="K285" i="2"/>
  <c r="O285" i="2"/>
  <c r="K284" i="2"/>
  <c r="C285" i="2"/>
  <c r="C284" i="2"/>
  <c r="D285" i="2"/>
  <c r="EM170" i="2"/>
  <c r="E286" i="2"/>
  <c r="K286" i="2"/>
  <c r="EM185" i="2"/>
  <c r="O286" i="2"/>
  <c r="N285" i="2"/>
  <c r="J286" i="2"/>
  <c r="I285" i="2"/>
  <c r="N286" i="2"/>
  <c r="F284" i="2"/>
  <c r="D284" i="2"/>
  <c r="J284" i="2"/>
  <c r="N284" i="2"/>
  <c r="E284" i="2"/>
  <c r="G286" i="2"/>
  <c r="F285" i="2"/>
  <c r="M18" i="1"/>
  <c r="G284" i="2"/>
  <c r="L284" i="2"/>
  <c r="L285" i="2"/>
  <c r="L286" i="2"/>
  <c r="CE171" i="2"/>
  <c r="CE172" i="2" s="1"/>
  <c r="CE173" i="2" s="1"/>
  <c r="CH174" i="2" s="1"/>
  <c r="C286" i="2"/>
  <c r="I286" i="2"/>
  <c r="F286" i="2"/>
  <c r="J285" i="2"/>
  <c r="M285" i="2"/>
  <c r="M286" i="2"/>
  <c r="G285" i="2"/>
  <c r="CE170" i="2"/>
  <c r="AQ185" i="2"/>
  <c r="AQ171" i="2"/>
  <c r="AQ172" i="2" s="1"/>
  <c r="AQ173" i="2" s="1"/>
  <c r="AT176" i="2" s="1"/>
  <c r="EP174" i="2"/>
  <c r="EP175" i="2"/>
  <c r="EP177" i="2"/>
  <c r="EP176" i="2"/>
  <c r="DB176" i="2"/>
  <c r="DB177" i="2"/>
  <c r="DB174" i="2"/>
  <c r="DB175" i="2"/>
  <c r="F174" i="2"/>
  <c r="F176" i="2"/>
  <c r="F175" i="2"/>
  <c r="F177" i="2"/>
  <c r="CR176" i="2"/>
  <c r="CR174" i="2"/>
  <c r="CR177" i="2"/>
  <c r="CR175" i="2"/>
  <c r="AJ177" i="2"/>
  <c r="AJ176" i="2"/>
  <c r="AJ174" i="2"/>
  <c r="AJ175" i="2"/>
  <c r="EF176" i="2"/>
  <c r="EF174" i="2"/>
  <c r="EF175" i="2"/>
  <c r="EF177" i="2"/>
  <c r="BD175" i="2"/>
  <c r="BD177" i="2"/>
  <c r="BD174" i="2"/>
  <c r="BD176" i="2"/>
  <c r="Z174" i="2"/>
  <c r="Z176" i="2"/>
  <c r="Z177" i="2"/>
  <c r="Z175" i="2"/>
  <c r="BN176" i="2"/>
  <c r="BN175" i="2"/>
  <c r="BN174" i="2"/>
  <c r="BN177" i="2"/>
  <c r="DV174" i="2"/>
  <c r="DV176" i="2"/>
  <c r="DV177" i="2"/>
  <c r="DV175" i="2"/>
  <c r="C187" i="2"/>
  <c r="B130" i="3" s="1"/>
  <c r="M16" i="1"/>
  <c r="D166" i="3" l="1"/>
  <c r="D165" i="3"/>
  <c r="P175" i="2"/>
  <c r="P176" i="2"/>
  <c r="P174" i="2"/>
  <c r="DL177" i="2"/>
  <c r="CH176" i="2"/>
  <c r="BX175" i="2"/>
  <c r="BX177" i="2"/>
  <c r="BX176" i="2"/>
  <c r="CH177" i="2"/>
  <c r="DL176" i="2"/>
  <c r="DL175" i="2"/>
  <c r="CH175" i="2"/>
  <c r="AT174" i="2"/>
  <c r="AT177" i="2"/>
  <c r="AT175" i="2"/>
  <c r="EE179" i="2"/>
  <c r="ED179" i="2"/>
  <c r="X179" i="2"/>
  <c r="Y179" i="2"/>
  <c r="AI179" i="2"/>
  <c r="AH179" i="2"/>
  <c r="CZ179" i="2"/>
  <c r="DA179" i="2"/>
  <c r="BL179" i="2"/>
  <c r="BM179" i="2"/>
  <c r="E179" i="2"/>
  <c r="D179" i="2"/>
  <c r="BC179" i="2"/>
  <c r="BB179" i="2"/>
  <c r="CQ179" i="2"/>
  <c r="CP179" i="2"/>
  <c r="D167" i="3"/>
  <c r="DU179" i="2"/>
  <c r="DT179" i="2"/>
  <c r="EN179" i="2"/>
  <c r="EO179" i="2"/>
  <c r="B168" i="3" l="1"/>
  <c r="BD179" i="2"/>
  <c r="BA180" i="2" s="1"/>
  <c r="AJ179" i="2"/>
  <c r="AG180" i="2" s="1"/>
  <c r="EF179" i="2"/>
  <c r="EC180" i="2" s="1"/>
  <c r="DV179" i="2"/>
  <c r="DS180" i="2" s="1"/>
  <c r="DB179" i="2"/>
  <c r="CY180" i="2" s="1"/>
  <c r="Z179" i="2"/>
  <c r="W180" i="2" s="1"/>
  <c r="F179" i="2"/>
  <c r="C218" i="2" s="1"/>
  <c r="C259" i="2" s="1"/>
  <c r="G54" i="1" s="1"/>
  <c r="BN179" i="2"/>
  <c r="BK180" i="2" s="1"/>
  <c r="EP179" i="2"/>
  <c r="CR179" i="2"/>
  <c r="G218" i="2" l="1"/>
  <c r="G259" i="2" s="1"/>
  <c r="K54" i="1" s="1"/>
  <c r="F218" i="2"/>
  <c r="F259" i="2" s="1"/>
  <c r="N218" i="2"/>
  <c r="N259" i="2" s="1"/>
  <c r="R54" i="1" s="1"/>
  <c r="K218" i="2"/>
  <c r="K259" i="2" s="1"/>
  <c r="O54" i="1" s="1"/>
  <c r="E218" i="2"/>
  <c r="E259" i="2" s="1"/>
  <c r="I54" i="1" s="1"/>
  <c r="M218" i="2"/>
  <c r="M259" i="2" s="1"/>
  <c r="Q54" i="1" s="1"/>
  <c r="C180" i="2"/>
  <c r="C181" i="2" s="1"/>
  <c r="C220" i="2" s="1"/>
  <c r="C261" i="2" s="1"/>
  <c r="G56" i="1" s="1"/>
  <c r="H218" i="2"/>
  <c r="H259" i="2" s="1"/>
  <c r="L54" i="1" s="1"/>
  <c r="EC181" i="2"/>
  <c r="N220" i="2" s="1"/>
  <c r="N261" i="2" s="1"/>
  <c r="R56" i="1" s="1"/>
  <c r="EC183" i="2"/>
  <c r="N222" i="2" s="1"/>
  <c r="N263" i="2" s="1"/>
  <c r="R58" i="1" s="1"/>
  <c r="EC182" i="2"/>
  <c r="N221" i="2" s="1"/>
  <c r="N262" i="2" s="1"/>
  <c r="R57" i="1" s="1"/>
  <c r="N219" i="2"/>
  <c r="N260" i="2" s="1"/>
  <c r="R55" i="1" s="1"/>
  <c r="W182" i="2"/>
  <c r="E221" i="2" s="1"/>
  <c r="E262" i="2" s="1"/>
  <c r="I57" i="1" s="1"/>
  <c r="W181" i="2"/>
  <c r="E220" i="2" s="1"/>
  <c r="E261" i="2" s="1"/>
  <c r="I56" i="1" s="1"/>
  <c r="E219" i="2"/>
  <c r="E260" i="2" s="1"/>
  <c r="I55" i="1" s="1"/>
  <c r="W183" i="2"/>
  <c r="E222" i="2" s="1"/>
  <c r="E263" i="2" s="1"/>
  <c r="I58" i="1" s="1"/>
  <c r="EM180" i="2"/>
  <c r="O218" i="2"/>
  <c r="O259" i="2" s="1"/>
  <c r="S54" i="1" s="1"/>
  <c r="CY181" i="2"/>
  <c r="K220" i="2" s="1"/>
  <c r="K261" i="2" s="1"/>
  <c r="O56" i="1" s="1"/>
  <c r="K219" i="2"/>
  <c r="K260" i="2" s="1"/>
  <c r="O55" i="1" s="1"/>
  <c r="CY182" i="2"/>
  <c r="K221" i="2" s="1"/>
  <c r="K262" i="2" s="1"/>
  <c r="O57" i="1" s="1"/>
  <c r="CY183" i="2"/>
  <c r="K222" i="2" s="1"/>
  <c r="K263" i="2" s="1"/>
  <c r="O58" i="1" s="1"/>
  <c r="J218" i="2"/>
  <c r="J259" i="2" s="1"/>
  <c r="N54" i="1" s="1"/>
  <c r="CO180" i="2"/>
  <c r="AG182" i="2"/>
  <c r="F221" i="2" s="1"/>
  <c r="F262" i="2" s="1"/>
  <c r="AG181" i="2"/>
  <c r="F220" i="2" s="1"/>
  <c r="F261" i="2" s="1"/>
  <c r="AG183" i="2"/>
  <c r="F222" i="2" s="1"/>
  <c r="F263" i="2" s="1"/>
  <c r="F219" i="2"/>
  <c r="F260" i="2" s="1"/>
  <c r="H219" i="2"/>
  <c r="H260" i="2" s="1"/>
  <c r="L55" i="1" s="1"/>
  <c r="BK182" i="2"/>
  <c r="H221" i="2" s="1"/>
  <c r="H262" i="2" s="1"/>
  <c r="L57" i="1" s="1"/>
  <c r="BK183" i="2"/>
  <c r="H222" i="2" s="1"/>
  <c r="H263" i="2" s="1"/>
  <c r="L58" i="1" s="1"/>
  <c r="BK181" i="2"/>
  <c r="H220" i="2" s="1"/>
  <c r="H261" i="2" s="1"/>
  <c r="L56" i="1" s="1"/>
  <c r="BA183" i="2"/>
  <c r="G222" i="2" s="1"/>
  <c r="G263" i="2" s="1"/>
  <c r="K58" i="1" s="1"/>
  <c r="G219" i="2"/>
  <c r="G260" i="2" s="1"/>
  <c r="K55" i="1" s="1"/>
  <c r="BA182" i="2"/>
  <c r="G221" i="2" s="1"/>
  <c r="G262" i="2" s="1"/>
  <c r="K57" i="1" s="1"/>
  <c r="BA181" i="2"/>
  <c r="G220" i="2" s="1"/>
  <c r="G261" i="2" s="1"/>
  <c r="K56" i="1" s="1"/>
  <c r="DS181" i="2"/>
  <c r="M220" i="2" s="1"/>
  <c r="M261" i="2" s="1"/>
  <c r="Q56" i="1" s="1"/>
  <c r="DS182" i="2"/>
  <c r="M221" i="2" s="1"/>
  <c r="M262" i="2" s="1"/>
  <c r="Q57" i="1" s="1"/>
  <c r="DS183" i="2"/>
  <c r="M222" i="2" s="1"/>
  <c r="M263" i="2" s="1"/>
  <c r="Q58" i="1" s="1"/>
  <c r="M219" i="2"/>
  <c r="M260" i="2" s="1"/>
  <c r="Q55" i="1" s="1"/>
  <c r="J55" i="1" l="1"/>
  <c r="J56" i="1"/>
  <c r="J54" i="1"/>
  <c r="J58" i="1"/>
  <c r="J57" i="1"/>
  <c r="C219" i="2"/>
  <c r="C260" i="2" s="1"/>
  <c r="G55" i="1" s="1"/>
  <c r="C182" i="2"/>
  <c r="C221" i="2" s="1"/>
  <c r="C262" i="2" s="1"/>
  <c r="G57" i="1" s="1"/>
  <c r="C183" i="2"/>
  <c r="C222" i="2" s="1"/>
  <c r="C263" i="2" s="1"/>
  <c r="G58" i="1" s="1"/>
  <c r="EM183" i="2"/>
  <c r="O222" i="2" s="1"/>
  <c r="O263" i="2" s="1"/>
  <c r="S58" i="1" s="1"/>
  <c r="O219" i="2"/>
  <c r="O260" i="2" s="1"/>
  <c r="S55" i="1" s="1"/>
  <c r="EM182" i="2"/>
  <c r="O221" i="2" s="1"/>
  <c r="O262" i="2" s="1"/>
  <c r="S57" i="1" s="1"/>
  <c r="EM181" i="2"/>
  <c r="O220" i="2" s="1"/>
  <c r="O261" i="2" s="1"/>
  <c r="S56" i="1" s="1"/>
  <c r="CO181" i="2"/>
  <c r="J220" i="2" s="1"/>
  <c r="J261" i="2" s="1"/>
  <c r="N56" i="1" s="1"/>
  <c r="J219" i="2"/>
  <c r="J260" i="2" s="1"/>
  <c r="N55" i="1" s="1"/>
  <c r="CO182" i="2"/>
  <c r="J221" i="2" s="1"/>
  <c r="J262" i="2" s="1"/>
  <c r="N57" i="1" s="1"/>
  <c r="CO183" i="2"/>
  <c r="J222" i="2" s="1"/>
  <c r="J263" i="2" s="1"/>
  <c r="N58" i="1" s="1"/>
  <c r="AS179" i="2"/>
  <c r="AR179" i="2" l="1"/>
  <c r="AT179" i="2" s="1"/>
  <c r="AQ180" i="2" s="1"/>
  <c r="AQ183" i="2" l="1"/>
  <c r="AQ182" i="2"/>
  <c r="AQ181" i="2"/>
  <c r="DK179" i="2"/>
  <c r="DJ179" i="2"/>
  <c r="DL179" i="2" l="1"/>
  <c r="DI180" i="2" s="1"/>
  <c r="L218" i="2" l="1"/>
  <c r="L259" i="2" s="1"/>
  <c r="P54" i="1" s="1"/>
  <c r="DI181" i="2"/>
  <c r="L220" i="2" s="1"/>
  <c r="L261" i="2" s="1"/>
  <c r="P56" i="1" s="1"/>
  <c r="DI183" i="2"/>
  <c r="L222" i="2" s="1"/>
  <c r="L263" i="2" s="1"/>
  <c r="P58" i="1" s="1"/>
  <c r="L219" i="2"/>
  <c r="L260" i="2" s="1"/>
  <c r="P55" i="1" s="1"/>
  <c r="DI182" i="2"/>
  <c r="L221" i="2" s="1"/>
  <c r="L262" i="2" s="1"/>
  <c r="P57" i="1" s="1"/>
  <c r="CF179" i="2"/>
  <c r="BV179" i="2"/>
  <c r="CG179" i="2"/>
  <c r="CH179" i="2" l="1"/>
  <c r="CE180" i="2" s="1"/>
  <c r="CE182" i="2" s="1"/>
  <c r="BW179" i="2"/>
  <c r="BX179" i="2" s="1"/>
  <c r="BU180" i="2" l="1"/>
  <c r="I218" i="2"/>
  <c r="I259" i="2" s="1"/>
  <c r="M54" i="1" s="1"/>
  <c r="CE181" i="2"/>
  <c r="CE183" i="2"/>
  <c r="BU182" i="2" l="1"/>
  <c r="I221" i="2" s="1"/>
  <c r="I262" i="2" s="1"/>
  <c r="M57" i="1" s="1"/>
  <c r="I219" i="2"/>
  <c r="I260" i="2" s="1"/>
  <c r="M55" i="1" s="1"/>
  <c r="BU183" i="2"/>
  <c r="I222" i="2" s="1"/>
  <c r="I263" i="2" s="1"/>
  <c r="M58" i="1" s="1"/>
  <c r="BU181" i="2"/>
  <c r="I220" i="2" s="1"/>
  <c r="I261" i="2" s="1"/>
  <c r="M56" i="1" s="1"/>
  <c r="N179" i="2"/>
  <c r="O179" i="2"/>
  <c r="P179" i="2" l="1"/>
  <c r="M180" i="2" s="1"/>
  <c r="D218" i="2" l="1"/>
  <c r="D259" i="2" s="1"/>
  <c r="C108" i="3" s="1"/>
  <c r="D108" i="3" s="1"/>
  <c r="B174" i="3" s="1"/>
  <c r="B24" i="5" s="1"/>
  <c r="M182" i="2"/>
  <c r="D221" i="2" s="1"/>
  <c r="D262" i="2" s="1"/>
  <c r="C111" i="3" s="1"/>
  <c r="B177" i="3" s="1"/>
  <c r="B27" i="5" s="1"/>
  <c r="M183" i="2"/>
  <c r="D222" i="2" s="1"/>
  <c r="D263" i="2" s="1"/>
  <c r="C112" i="3" s="1"/>
  <c r="D112" i="3" s="1"/>
  <c r="B178" i="3" s="1"/>
  <c r="B28" i="5" s="1"/>
  <c r="M181" i="2"/>
  <c r="D220" i="2" s="1"/>
  <c r="D261" i="2" s="1"/>
  <c r="C110" i="3" s="1"/>
  <c r="D110" i="3" s="1"/>
  <c r="B176" i="3" s="1"/>
  <c r="B26" i="5" s="1"/>
  <c r="D219" i="2"/>
  <c r="D260" i="2" s="1"/>
  <c r="C109" i="3" s="1"/>
  <c r="D109" i="3" s="1"/>
  <c r="B175" i="3" s="1"/>
  <c r="B25" i="5" s="1"/>
  <c r="H54" i="1" l="1"/>
  <c r="H55" i="1"/>
  <c r="H56" i="1"/>
  <c r="H58" i="1"/>
  <c r="H57" i="1"/>
  <c r="S324" i="2"/>
  <c r="D3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tc={BA27AD6C-CE4E-418E-8ACE-264CE4248E91}</author>
  </authors>
  <commentList>
    <comment ref="CY103" authorId="0" shapeId="0" xr:uid="{BA27AD6C-CE4E-418E-8ACE-264CE4248E91}">
      <text>
        <t>[Threaded comment]
Your version of Excel allows you to read this threaded comment; however, any edits to it will get removed if the file is opened in a newer version of Excel. Learn more: https://go.microsoft.com/fwlink/?linkid=870924
Comment:
    Note DN710-R1 K value 10% lower</t>
      </text>
    </comment>
  </commentList>
</comments>
</file>

<file path=xl/sharedStrings.xml><?xml version="1.0" encoding="utf-8"?>
<sst xmlns="http://schemas.openxmlformats.org/spreadsheetml/2006/main" count="2069" uniqueCount="590">
  <si>
    <t>Inputs</t>
  </si>
  <si>
    <t>Pa</t>
  </si>
  <si>
    <t>Diffuser Height</t>
  </si>
  <si>
    <t>m</t>
  </si>
  <si>
    <t>K</t>
  </si>
  <si>
    <t>Thermal Comfort Guide</t>
  </si>
  <si>
    <t>Premium comfort, sedentary activity, such as in auditoria.</t>
  </si>
  <si>
    <t>High comfort near-sedentary activity, such as in board rooms, high end offices and libraries.</t>
  </si>
  <si>
    <t>Good comfort near sedentary activity, such as open-plan offices and meeting rooms.</t>
  </si>
  <si>
    <t>Standard comfort medium activity, such as in transient spaces, retail and lobbies.</t>
  </si>
  <si>
    <r>
      <t xml:space="preserve">SMARTEMP </t>
    </r>
    <r>
      <rPr>
        <sz val="14"/>
        <color rgb="FFFF9900"/>
        <rFont val="Calibri"/>
        <family val="2"/>
      </rPr>
      <t>PRODUCT SELECTION CALCULATOR</t>
    </r>
  </si>
  <si>
    <r>
      <t xml:space="preserve">ADPI </t>
    </r>
    <r>
      <rPr>
        <b/>
        <sz val="11"/>
        <color rgb="FF808080"/>
        <rFont val="Calibri"/>
        <family val="2"/>
      </rPr>
      <t>≥</t>
    </r>
  </si>
  <si>
    <r>
      <t xml:space="preserve">ADPI </t>
    </r>
    <r>
      <rPr>
        <sz val="9"/>
        <color rgb="FF808080"/>
        <rFont val="Calibri"/>
        <family val="2"/>
      </rPr>
      <t xml:space="preserve">≥ </t>
    </r>
    <r>
      <rPr>
        <b/>
        <sz val="9"/>
        <color rgb="FF808080"/>
        <rFont val="Calibri"/>
        <family val="2"/>
      </rPr>
      <t>95%</t>
    </r>
    <r>
      <rPr>
        <sz val="9"/>
        <color rgb="FF808080"/>
        <rFont val="Calibri"/>
        <family val="2"/>
      </rPr>
      <t xml:space="preserve">; ṽ ≤ </t>
    </r>
    <r>
      <rPr>
        <b/>
        <sz val="9"/>
        <color rgb="FF808080"/>
        <rFont val="Calibri"/>
        <family val="2"/>
      </rPr>
      <t>0.20</t>
    </r>
    <r>
      <rPr>
        <sz val="9"/>
        <color rgb="FF808080"/>
        <rFont val="Calibri"/>
        <family val="2"/>
      </rPr>
      <t xml:space="preserve"> m/s:</t>
    </r>
  </si>
  <si>
    <r>
      <t xml:space="preserve">ADPI </t>
    </r>
    <r>
      <rPr>
        <sz val="9"/>
        <color rgb="FF808080"/>
        <rFont val="Calibri"/>
        <family val="2"/>
      </rPr>
      <t xml:space="preserve">≥ </t>
    </r>
    <r>
      <rPr>
        <b/>
        <sz val="9"/>
        <color rgb="FF808080"/>
        <rFont val="Calibri"/>
        <family val="2"/>
      </rPr>
      <t>90%</t>
    </r>
    <r>
      <rPr>
        <sz val="9"/>
        <color rgb="FF808080"/>
        <rFont val="Calibri"/>
        <family val="2"/>
      </rPr>
      <t xml:space="preserve">; ṽ ≤ </t>
    </r>
    <r>
      <rPr>
        <b/>
        <sz val="9"/>
        <color rgb="FF808080"/>
        <rFont val="Calibri"/>
        <family val="2"/>
      </rPr>
      <t>0.25</t>
    </r>
    <r>
      <rPr>
        <sz val="9"/>
        <color rgb="FF808080"/>
        <rFont val="Calibri"/>
        <family val="2"/>
      </rPr>
      <t xml:space="preserve"> m/s:</t>
    </r>
  </si>
  <si>
    <r>
      <t xml:space="preserve">ADPI </t>
    </r>
    <r>
      <rPr>
        <sz val="9"/>
        <color rgb="FF808080"/>
        <rFont val="Calibri"/>
        <family val="2"/>
      </rPr>
      <t xml:space="preserve">≥ </t>
    </r>
    <r>
      <rPr>
        <b/>
        <sz val="9"/>
        <color rgb="FF808080"/>
        <rFont val="Calibri"/>
        <family val="2"/>
      </rPr>
      <t>80%</t>
    </r>
    <r>
      <rPr>
        <sz val="9"/>
        <color rgb="FF808080"/>
        <rFont val="Calibri"/>
        <family val="2"/>
      </rPr>
      <t xml:space="preserve">; ṽ ≤ </t>
    </r>
    <r>
      <rPr>
        <b/>
        <sz val="9"/>
        <color rgb="FF808080"/>
        <rFont val="Calibri"/>
        <family val="2"/>
      </rPr>
      <t>0.29</t>
    </r>
    <r>
      <rPr>
        <sz val="9"/>
        <color rgb="FF808080"/>
        <rFont val="Calibri"/>
        <family val="2"/>
      </rPr>
      <t xml:space="preserve"> m/s:</t>
    </r>
  </si>
  <si>
    <r>
      <t xml:space="preserve">ADPI </t>
    </r>
    <r>
      <rPr>
        <sz val="9"/>
        <color rgb="FF808080"/>
        <rFont val="Calibri"/>
        <family val="2"/>
      </rPr>
      <t xml:space="preserve">≥ </t>
    </r>
    <r>
      <rPr>
        <b/>
        <sz val="9"/>
        <color rgb="FF808080"/>
        <rFont val="Calibri"/>
        <family val="2"/>
      </rPr>
      <t>70%</t>
    </r>
    <r>
      <rPr>
        <sz val="9"/>
        <color rgb="FF808080"/>
        <rFont val="Calibri"/>
        <family val="2"/>
      </rPr>
      <t xml:space="preserve">; ṽ ≤ </t>
    </r>
    <r>
      <rPr>
        <b/>
        <sz val="9"/>
        <color rgb="FF808080"/>
        <rFont val="Calibri"/>
        <family val="2"/>
      </rPr>
      <t>0.33</t>
    </r>
    <r>
      <rPr>
        <sz val="9"/>
        <color rgb="FF808080"/>
        <rFont val="Calibri"/>
        <family val="2"/>
      </rPr>
      <t xml:space="preserve"> m/s:</t>
    </r>
  </si>
  <si>
    <t>Adjustable Helical Swirl Diffuser [HSC-AD]</t>
  </si>
  <si>
    <t>Input</t>
  </si>
  <si>
    <t>Size</t>
  </si>
  <si>
    <t>Max airflow rate</t>
  </si>
  <si>
    <t>max pressure</t>
  </si>
  <si>
    <t>diffuser height</t>
  </si>
  <si>
    <t>DN250</t>
  </si>
  <si>
    <t>Pressure at airflow</t>
  </si>
  <si>
    <t>p-v</t>
  </si>
  <si>
    <t>SWL</t>
  </si>
  <si>
    <t>dT Heating</t>
  </si>
  <si>
    <t>H</t>
  </si>
  <si>
    <t>C</t>
  </si>
  <si>
    <t>T n.s.</t>
  </si>
  <si>
    <t>Tn.s.</t>
  </si>
  <si>
    <t>T s.</t>
  </si>
  <si>
    <t>DN355</t>
  </si>
  <si>
    <t>dT heating</t>
  </si>
  <si>
    <t>DN500</t>
  </si>
  <si>
    <t>DN710</t>
  </si>
  <si>
    <t>Results</t>
  </si>
  <si>
    <t>Max Airflow</t>
  </si>
  <si>
    <t>Total Pressure</t>
  </si>
  <si>
    <t>Max Permissible P</t>
  </si>
  <si>
    <t>Sound Power Level</t>
  </si>
  <si>
    <t>ΔT_max (heating)</t>
  </si>
  <si>
    <t>Cmax</t>
  </si>
  <si>
    <t>Cmin</t>
  </si>
  <si>
    <t>Draft Rating</t>
  </si>
  <si>
    <t>PPD</t>
  </si>
  <si>
    <t>Flow at max pressure</t>
  </si>
  <si>
    <t>DN1000</t>
  </si>
  <si>
    <t>DN250 R1</t>
  </si>
  <si>
    <t>DN355 R1</t>
  </si>
  <si>
    <t>DN500 R1</t>
  </si>
  <si>
    <t>DN710 R1</t>
  </si>
  <si>
    <t>DN1000 R1</t>
  </si>
  <si>
    <t>Q''</t>
  </si>
  <si>
    <t>ax</t>
  </si>
  <si>
    <t>^b</t>
  </si>
  <si>
    <t>x = velocity</t>
  </si>
  <si>
    <t>Mean room v</t>
  </si>
  <si>
    <t>W/m2</t>
  </si>
  <si>
    <t>DN250-R0</t>
  </si>
  <si>
    <t>DN250-R1</t>
  </si>
  <si>
    <t>DN355-R1</t>
  </si>
  <si>
    <t>DN355-R0</t>
  </si>
  <si>
    <t>DN500-R1</t>
  </si>
  <si>
    <t>DN500-R0</t>
  </si>
  <si>
    <t>DN710-R1</t>
  </si>
  <si>
    <t>DN710-R0</t>
  </si>
  <si>
    <t>DN1000-R1</t>
  </si>
  <si>
    <t>DN1000-R0</t>
  </si>
  <si>
    <t>dT cooling</t>
  </si>
  <si>
    <t>adpi</t>
  </si>
  <si>
    <t>DR</t>
  </si>
  <si>
    <t>Room Temperature (cooling)</t>
  </si>
  <si>
    <t>ADPI</t>
  </si>
  <si>
    <t>Room Temp Cooling</t>
  </si>
  <si>
    <t>T max Correction</t>
  </si>
  <si>
    <t>Mean PPD</t>
  </si>
  <si>
    <t>Mean Air Velocity</t>
  </si>
  <si>
    <t>m/s</t>
  </si>
  <si>
    <t>V</t>
  </si>
  <si>
    <t>ISO category</t>
  </si>
  <si>
    <t>Room Height</t>
  </si>
  <si>
    <t>PPD Class</t>
  </si>
  <si>
    <t>note: Q*1.2 density ignored to compensate for mean velocity to max velocity</t>
  </si>
  <si>
    <t>°C</t>
  </si>
  <si>
    <t>Room Temperature (heating)</t>
  </si>
  <si>
    <t>Result Validation</t>
  </si>
  <si>
    <t>check for manual input</t>
  </si>
  <si>
    <t>Room Temp Heating</t>
  </si>
  <si>
    <t>Draught Rating &amp; Heating</t>
  </si>
  <si>
    <t xml:space="preserve"> Diffuser Airflow Rate</t>
  </si>
  <si>
    <t>Controls</t>
  </si>
  <si>
    <t>T</t>
  </si>
  <si>
    <t>Manual Diffuser Distance</t>
  </si>
  <si>
    <t>Area</t>
  </si>
  <si>
    <t>Vmin</t>
  </si>
  <si>
    <t>Min Airflow</t>
  </si>
  <si>
    <t>V at -12K</t>
  </si>
  <si>
    <t>Diffuser Distance Selection Type</t>
  </si>
  <si>
    <t>20 °C to 26 °C</t>
  </si>
  <si>
    <t>heating factor</t>
  </si>
  <si>
    <t>0% to 100% (default 0%)</t>
  </si>
  <si>
    <t>% Low Level Return (heating)</t>
  </si>
  <si>
    <t>Low level return</t>
  </si>
  <si>
    <t xml:space="preserve">Key: </t>
  </si>
  <si>
    <t>Suitable</t>
  </si>
  <si>
    <t>Not Suitable</t>
  </si>
  <si>
    <t>Warning</t>
  </si>
  <si>
    <t>Model Selection</t>
  </si>
  <si>
    <t>Model</t>
  </si>
  <si>
    <t>Left</t>
  </si>
  <si>
    <t>dT</t>
  </si>
  <si>
    <t>Right</t>
  </si>
  <si>
    <t>dT Heating low level corrected</t>
  </si>
  <si>
    <t>OR</t>
  </si>
  <si>
    <t>Room Temp. @ heating startup</t>
  </si>
  <si>
    <t>R0 - no reducer; R1 - with reducer</t>
  </si>
  <si>
    <t xml:space="preserve">Note: </t>
  </si>
  <si>
    <t>Colour</t>
  </si>
  <si>
    <t>Order Code</t>
  </si>
  <si>
    <t>Product code</t>
  </si>
  <si>
    <t>DN</t>
  </si>
  <si>
    <t>R</t>
  </si>
  <si>
    <t>Adjustment</t>
  </si>
  <si>
    <t>RAL9005</t>
  </si>
  <si>
    <t>M</t>
  </si>
  <si>
    <t>RAL9003</t>
  </si>
  <si>
    <t>&lt;colour&gt;</t>
  </si>
  <si>
    <t>Code</t>
  </si>
  <si>
    <t>RAL9003* (signal white)</t>
  </si>
  <si>
    <t>RAL9005 (jet black)</t>
  </si>
  <si>
    <t>* indicates standard/default option</t>
  </si>
  <si>
    <r>
      <t xml:space="preserve">SMARTEMP </t>
    </r>
    <r>
      <rPr>
        <sz val="14"/>
        <color rgb="FFFF9900"/>
        <rFont val="Calibri"/>
        <family val="2"/>
        <scheme val="minor"/>
      </rPr>
      <t>PRODUCT SELECTION CALCULATOR</t>
    </r>
  </si>
  <si>
    <t>Adjustable Helical Swirl Diffuser [HSC-AD] Notes</t>
  </si>
  <si>
    <t>D2</t>
  </si>
  <si>
    <t>D4</t>
  </si>
  <si>
    <t>E</t>
  </si>
  <si>
    <t>D5</t>
  </si>
  <si>
    <t>L</t>
  </si>
  <si>
    <t>H1</t>
  </si>
  <si>
    <t>H2</t>
  </si>
  <si>
    <t>H3</t>
  </si>
  <si>
    <t>F</t>
  </si>
  <si>
    <t>* all dimensions in mm</t>
  </si>
  <si>
    <t>445, 595, 603</t>
  </si>
  <si>
    <t>595, 603</t>
  </si>
  <si>
    <r>
      <t>D</t>
    </r>
    <r>
      <rPr>
        <b/>
        <vertAlign val="subscript"/>
        <sz val="12"/>
        <color theme="1"/>
        <rFont val="Calibri"/>
        <family val="2"/>
        <scheme val="minor"/>
      </rPr>
      <t>2</t>
    </r>
  </si>
  <si>
    <r>
      <t>D</t>
    </r>
    <r>
      <rPr>
        <b/>
        <vertAlign val="subscript"/>
        <sz val="12"/>
        <color theme="1"/>
        <rFont val="Calibri"/>
        <family val="2"/>
        <scheme val="minor"/>
      </rPr>
      <t>4</t>
    </r>
  </si>
  <si>
    <r>
      <t>D</t>
    </r>
    <r>
      <rPr>
        <b/>
        <vertAlign val="subscript"/>
        <sz val="12"/>
        <color theme="1"/>
        <rFont val="Calibri"/>
        <family val="2"/>
        <scheme val="minor"/>
      </rPr>
      <t>5</t>
    </r>
  </si>
  <si>
    <r>
      <t>H</t>
    </r>
    <r>
      <rPr>
        <b/>
        <vertAlign val="subscript"/>
        <sz val="12"/>
        <color theme="1"/>
        <rFont val="Calibri"/>
        <family val="2"/>
        <scheme val="minor"/>
      </rPr>
      <t>1</t>
    </r>
  </si>
  <si>
    <r>
      <t>H</t>
    </r>
    <r>
      <rPr>
        <b/>
        <vertAlign val="subscript"/>
        <sz val="12"/>
        <color theme="1"/>
        <rFont val="Calibri"/>
        <family val="2"/>
        <scheme val="minor"/>
      </rPr>
      <t>2</t>
    </r>
  </si>
  <si>
    <r>
      <t>H</t>
    </r>
    <r>
      <rPr>
        <b/>
        <vertAlign val="subscript"/>
        <sz val="12"/>
        <color theme="1"/>
        <rFont val="Calibri"/>
        <family val="2"/>
        <scheme val="minor"/>
      </rPr>
      <t>3</t>
    </r>
  </si>
  <si>
    <t>Diffuser can be installed substantially flush with a false ceiling or freely suspended.</t>
  </si>
  <si>
    <t>click to see product on smartair.asia</t>
  </si>
  <si>
    <t>Symbol</t>
  </si>
  <si>
    <t>Description</t>
  </si>
  <si>
    <t>Adjustment Type Description (for 'Product Code Generator')</t>
  </si>
  <si>
    <t>Select Size &amp; Reducer</t>
  </si>
  <si>
    <t>Product Code &amp; Control Voltage Generator</t>
  </si>
  <si>
    <t>default 60 Pa</t>
  </si>
  <si>
    <t>Units</t>
  </si>
  <si>
    <t>Unit Type</t>
  </si>
  <si>
    <t>Multiplier</t>
  </si>
  <si>
    <t>[L/s]</t>
  </si>
  <si>
    <t>max</t>
  </si>
  <si>
    <t>Project</t>
  </si>
  <si>
    <t>Company</t>
  </si>
  <si>
    <t>Consultant</t>
  </si>
  <si>
    <t>&lt;Name&gt;</t>
  </si>
  <si>
    <t>Product</t>
  </si>
  <si>
    <t>Project Summary</t>
  </si>
  <si>
    <t>Acoustic Performance</t>
  </si>
  <si>
    <t>Comfort Performance</t>
  </si>
  <si>
    <t>Mean Room Air Velocity</t>
  </si>
  <si>
    <t>Satisfies PPD (ISO7730)</t>
  </si>
  <si>
    <t>%</t>
  </si>
  <si>
    <t>Diagram</t>
  </si>
  <si>
    <t>Selected C</t>
  </si>
  <si>
    <t>Guide Ring Adjustment Type</t>
  </si>
  <si>
    <t>Manual</t>
  </si>
  <si>
    <t>Electric</t>
  </si>
  <si>
    <t>Thermal element</t>
  </si>
  <si>
    <t>summary</t>
  </si>
  <si>
    <t>description</t>
  </si>
  <si>
    <t>custom colour</t>
  </si>
  <si>
    <t>RAL9003 (signal white)</t>
  </si>
  <si>
    <t>Project:</t>
  </si>
  <si>
    <t>Adjustment Type</t>
  </si>
  <si>
    <t>^ contact Smartair Diffusion for custom colours</t>
  </si>
  <si>
    <t>Selected Airflow Rate</t>
  </si>
  <si>
    <t>HSC-AD Performance Calculator Summary</t>
  </si>
  <si>
    <t>SMARTEMP HSC-AD</t>
  </si>
  <si>
    <t>Adjustable Helical Swirl Diffuser</t>
  </si>
  <si>
    <t>room temp checkbox</t>
  </si>
  <si>
    <t>dT heating checkbox</t>
  </si>
  <si>
    <t>dT heating manual input</t>
  </si>
  <si>
    <t>Highlighting Rules</t>
  </si>
  <si>
    <t>Max Permissible dT</t>
  </si>
  <si>
    <t>Guide Ring Settings</t>
  </si>
  <si>
    <t>Max dT</t>
  </si>
  <si>
    <t>2x dT</t>
  </si>
  <si>
    <t>Intercept</t>
  </si>
  <si>
    <t>Setting</t>
  </si>
  <si>
    <t>Manual dT</t>
  </si>
  <si>
    <t>Penetration Constant</t>
  </si>
  <si>
    <t>Diameter</t>
  </si>
  <si>
    <t>velocity</t>
  </si>
  <si>
    <t>mm</t>
  </si>
  <si>
    <t>mm (100%)</t>
  </si>
  <si>
    <t>Stroke</t>
  </si>
  <si>
    <t>Distance</t>
  </si>
  <si>
    <t>Guide ring mm</t>
  </si>
  <si>
    <t>Guide Ring mm</t>
  </si>
  <si>
    <t>Inverse</t>
  </si>
  <si>
    <t>Round &lt;20%</t>
  </si>
  <si>
    <t>Round</t>
  </si>
  <si>
    <t>Hmin</t>
  </si>
  <si>
    <t>Distance not rounded</t>
  </si>
  <si>
    <t>E3</t>
  </si>
  <si>
    <t>T__</t>
  </si>
  <si>
    <t>warning</t>
  </si>
  <si>
    <t>Hmin factor</t>
  </si>
  <si>
    <t>Factor</t>
  </si>
  <si>
    <t>Hmin Factor</t>
  </si>
  <si>
    <t>- option not available for DN250 - DN500</t>
  </si>
  <si>
    <t>- option not available for size DN710 and DN1000</t>
  </si>
  <si>
    <t>Ax</t>
  </si>
  <si>
    <t>Product Description</t>
  </si>
  <si>
    <t>0 K to -15 K (default -12 K)</t>
  </si>
  <si>
    <t>Alternate</t>
  </si>
  <si>
    <t>Static Pressure</t>
  </si>
  <si>
    <t>DN1340</t>
  </si>
  <si>
    <t>-</t>
  </si>
  <si>
    <t>Q'' Target</t>
  </si>
  <si>
    <t>v' at Vmax</t>
  </si>
  <si>
    <t>v' at Vmin</t>
  </si>
  <si>
    <t>Vmax</t>
  </si>
  <si>
    <t>v'</t>
  </si>
  <si>
    <t>Cmin Freely Suspended</t>
  </si>
  <si>
    <t>adjusts for adpi/temp/height through Q vs u_max</t>
  </si>
  <si>
    <t>pressure</t>
  </si>
  <si>
    <t>v</t>
  </si>
  <si>
    <t>PMV</t>
  </si>
  <si>
    <t>cmin</t>
  </si>
  <si>
    <t>v' @Vmax</t>
  </si>
  <si>
    <t>v' @ Vmin</t>
  </si>
  <si>
    <t>Hfactor @ Vmax</t>
  </si>
  <si>
    <t>Hfactor @ Vmin</t>
  </si>
  <si>
    <t>v' &amp; Vmax</t>
  </si>
  <si>
    <t>at ADPI</t>
  </si>
  <si>
    <t>v' &amp; Vmin</t>
  </si>
  <si>
    <t>v' @ V</t>
  </si>
  <si>
    <t>H Factor</t>
  </si>
  <si>
    <t>Turndown to</t>
  </si>
  <si>
    <t>min flowrate</t>
  </si>
  <si>
    <t>c max eqn</t>
  </si>
  <si>
    <t>c max room height</t>
  </si>
  <si>
    <t>Freely Suspended</t>
  </si>
  <si>
    <t>Diffuser Location</t>
  </si>
  <si>
    <t>Closed Ceiling</t>
  </si>
  <si>
    <t>Freely Suspended (≥ 600mm below ceiling)</t>
  </si>
  <si>
    <t>Cmin Multiplier</t>
  </si>
  <si>
    <t>Cmax Multiplier</t>
  </si>
  <si>
    <t>Avg Diffuser Distance</t>
  </si>
  <si>
    <t>Dist. From Spec. flowrate</t>
  </si>
  <si>
    <t>Distance Selected</t>
  </si>
  <si>
    <t>V"</t>
  </si>
  <si>
    <t>Q"</t>
  </si>
  <si>
    <t>V'' Result</t>
  </si>
  <si>
    <t>Distance Result</t>
  </si>
  <si>
    <t>final selection</t>
  </si>
  <si>
    <t>factor * room height</t>
  </si>
  <si>
    <t>Distance Selection</t>
  </si>
  <si>
    <t>Heating</t>
  </si>
  <si>
    <t>Min Height</t>
  </si>
  <si>
    <t>Spacing</t>
  </si>
  <si>
    <t>Q'' adjusted</t>
  </si>
  <si>
    <t>V'' correction factor</t>
  </si>
  <si>
    <t>correction v' factor</t>
  </si>
  <si>
    <t>V'' corrected</t>
  </si>
  <si>
    <t>hmin</t>
  </si>
  <si>
    <t>T element setting</t>
  </si>
  <si>
    <t>Maximum Static Pressure</t>
  </si>
  <si>
    <t>Average Dist</t>
  </si>
  <si>
    <t>ACCEPT</t>
  </si>
  <si>
    <t>Average</t>
  </si>
  <si>
    <t>dist spec flow rate</t>
  </si>
  <si>
    <t>Specific Flow rate</t>
  </si>
  <si>
    <t>Mean PMV ^</t>
  </si>
  <si>
    <t>Selected Airflow</t>
  </si>
  <si>
    <t>Format</t>
  </si>
  <si>
    <t>Min Permissible Airflow</t>
  </si>
  <si>
    <t>Max Heating</t>
  </si>
  <si>
    <t>Thermal element setting</t>
  </si>
  <si>
    <t>Mean Draught Rating</t>
  </si>
  <si>
    <t>Mean PMV *</t>
  </si>
  <si>
    <t>* ISO7730; ASHRAE Std 55</t>
  </si>
  <si>
    <t>Sound Power level</t>
  </si>
  <si>
    <t xml:space="preserve">Cmin </t>
  </si>
  <si>
    <t>C select</t>
  </si>
  <si>
    <t>Top box</t>
  </si>
  <si>
    <t>box 2</t>
  </si>
  <si>
    <t>box 3</t>
  </si>
  <si>
    <t>room box</t>
  </si>
  <si>
    <t>Spec. airflow</t>
  </si>
  <si>
    <t>input diffuser height</t>
  </si>
  <si>
    <t xml:space="preserve">Direction Adjustment </t>
  </si>
  <si>
    <t>Comfort Performance &amp; Recommended Layout</t>
  </si>
  <si>
    <t>Face Shape</t>
  </si>
  <si>
    <t>E1</t>
  </si>
  <si>
    <t>Manual*</t>
  </si>
  <si>
    <t>E2</t>
  </si>
  <si>
    <t>Face Size</t>
  </si>
  <si>
    <t>C375</t>
  </si>
  <si>
    <t>C530</t>
  </si>
  <si>
    <t>C750</t>
  </si>
  <si>
    <t>S595</t>
  </si>
  <si>
    <t>SELECTION</t>
  </si>
  <si>
    <t>size</t>
  </si>
  <si>
    <t>Shape</t>
  </si>
  <si>
    <t>Table</t>
  </si>
  <si>
    <t>Selection Code</t>
  </si>
  <si>
    <t>Mode Code</t>
  </si>
  <si>
    <t>Is Min C &gt; Max C</t>
  </si>
  <si>
    <t>Max C</t>
  </si>
  <si>
    <t>Min C</t>
  </si>
  <si>
    <t>Min&gt;Max?</t>
  </si>
  <si>
    <t>room temp</t>
  </si>
  <si>
    <t>max heating</t>
  </si>
  <si>
    <t>guide ring</t>
  </si>
  <si>
    <t>Guide Ring</t>
  </si>
  <si>
    <t>selected heating dt</t>
  </si>
  <si>
    <t>Selection</t>
  </si>
  <si>
    <t>Manual mode</t>
  </si>
  <si>
    <t>Manual adjustment</t>
  </si>
  <si>
    <t>adjusted heating height</t>
  </si>
  <si>
    <r>
      <t>[m</t>
    </r>
    <r>
      <rPr>
        <vertAlign val="superscript"/>
        <sz val="11"/>
        <color theme="1" tint="0.34998626667073579"/>
        <rFont val="Calibri"/>
        <family val="2"/>
      </rPr>
      <t>3</t>
    </r>
    <r>
      <rPr>
        <sz val="11"/>
        <color theme="1" tint="0.34998626667073579"/>
        <rFont val="Calibri"/>
        <family val="2"/>
      </rPr>
      <t>/h]</t>
    </r>
  </si>
  <si>
    <t>V'' Result Unit_edit</t>
  </si>
  <si>
    <t>L/s</t>
  </si>
  <si>
    <t>ptotal-v</t>
  </si>
  <si>
    <t>pstatic</t>
  </si>
  <si>
    <t>Airflow @ Max Pressure</t>
  </si>
  <si>
    <t>DN400</t>
  </si>
  <si>
    <t>DN630</t>
  </si>
  <si>
    <t>DN400-R0</t>
  </si>
  <si>
    <t>DN630-R0</t>
  </si>
  <si>
    <t>C600</t>
  </si>
  <si>
    <t>airfow-shade</t>
  </si>
  <si>
    <t>true = shade</t>
  </si>
  <si>
    <t>Static Pressure not number</t>
  </si>
  <si>
    <t>Total Pressure not number</t>
  </si>
  <si>
    <t>IF ALL NUMBERS FAILED</t>
  </si>
  <si>
    <t xml:space="preserve">Max Recommended Heating ΔT </t>
  </si>
  <si>
    <t>Min Selected Airflow</t>
  </si>
  <si>
    <t>turndown %</t>
  </si>
  <si>
    <t>Airflow @ Selected Pressure</t>
  </si>
  <si>
    <t>Selected Minimum Airflow</t>
  </si>
  <si>
    <t>[Pa]</t>
  </si>
  <si>
    <t>Static Pressure @ Selected Airflow</t>
  </si>
  <si>
    <t>Total Pressure @ Selected Airflow</t>
  </si>
  <si>
    <t>Max Permissible Static Pressure</t>
  </si>
  <si>
    <t>[dB(A)]</t>
  </si>
  <si>
    <t>[°C]</t>
  </si>
  <si>
    <t xml:space="preserve">Selected Room Temp. @ heating startup </t>
  </si>
  <si>
    <t>[m]</t>
  </si>
  <si>
    <t>Min Recommended Diffuser Height</t>
  </si>
  <si>
    <t>[m/s]</t>
  </si>
  <si>
    <t xml:space="preserve">Mean Draught Rating </t>
  </si>
  <si>
    <t>Satifies PPD Category</t>
  </si>
  <si>
    <t>ISO7730</t>
  </si>
  <si>
    <t>|PMV|</t>
  </si>
  <si>
    <t xml:space="preserve"> ISO7730; ASHRAE Std 55</t>
  </si>
  <si>
    <t>Thermal Element Setting</t>
  </si>
  <si>
    <t>default ≥ 90% (ADPI valid for cooling mode only)</t>
  </si>
  <si>
    <t>SMARTEMP HSC-AD-</t>
  </si>
  <si>
    <t xml:space="preserve">ADPI valid for cooling in horizontal mode only </t>
  </si>
  <si>
    <t>ex-factory only</t>
  </si>
  <si>
    <t>Electric actuator 24V, 2-10V</t>
  </si>
  <si>
    <t>grey shade</t>
  </si>
  <si>
    <t>use 100% for CAV</t>
  </si>
  <si>
    <t xml:space="preserve"> - note: some dimensions currently not available</t>
  </si>
  <si>
    <t>Ceiling location</t>
  </si>
  <si>
    <t>1 = ceiling; 2 = free</t>
  </si>
  <si>
    <t>ø</t>
  </si>
  <si>
    <t>□</t>
  </si>
  <si>
    <t>&lt;face&gt;</t>
  </si>
  <si>
    <t>S295</t>
  </si>
  <si>
    <t>Recommended Spigot Dia.</t>
  </si>
  <si>
    <t>Recommended Spigot Diameter</t>
  </si>
  <si>
    <t>[mm]</t>
  </si>
  <si>
    <t>Airflow</t>
  </si>
  <si>
    <t>Acoustic</t>
  </si>
  <si>
    <t>Pressure</t>
  </si>
  <si>
    <t>Comfort</t>
  </si>
  <si>
    <t>Cmax-Centre Zone Table</t>
  </si>
  <si>
    <t>Cmax Table Permiter Zone</t>
  </si>
  <si>
    <t>Cmax - Perimeter</t>
  </si>
  <si>
    <t>Cmax - Centre Zone</t>
  </si>
  <si>
    <t>Cmax - Perimeter Zone</t>
  </si>
  <si>
    <t>Cmax - Centre</t>
  </si>
  <si>
    <t>Cmax  - Centre</t>
  </si>
  <si>
    <t>Max Coverage for Centre Zones (Cmax)</t>
  </si>
  <si>
    <t>Max Coverage for Perimeter Zones (Cmax)</t>
  </si>
  <si>
    <t>Min Coverage (Cmin)</t>
  </si>
  <si>
    <t>cmax - perimeter</t>
  </si>
  <si>
    <t>cmax - centre</t>
  </si>
  <si>
    <t>Recommended Distances
&amp;
Layout</t>
  </si>
  <si>
    <t>check for manual supply temperature input</t>
  </si>
  <si>
    <t>See note ¹</t>
  </si>
  <si>
    <t>Combine boolean up to DN1000</t>
  </si>
  <si>
    <t>ΔT supply (heating)</t>
  </si>
  <si>
    <t>ΔT supply (cooling)</t>
  </si>
  <si>
    <t>Detailed Selection</t>
  </si>
  <si>
    <t>Manual Diffuser Coverage</t>
  </si>
  <si>
    <t>see layout diagram below</t>
  </si>
  <si>
    <t xml:space="preserve">Average Recommended Diffuser Coverage </t>
  </si>
  <si>
    <t>See Rows 50 to 52</t>
  </si>
  <si>
    <t>INPUT TO GREEN CELLS</t>
  </si>
  <si>
    <t>k</t>
  </si>
  <si>
    <t>WITH REDUCER</t>
  </si>
  <si>
    <t>NO REDUCER</t>
  </si>
  <si>
    <t>Velocity</t>
  </si>
  <si>
    <t>Flowrate</t>
  </si>
  <si>
    <t>Sound power level is valid for diffusers used with round duct connection. For installation with connection boxes, add 6 dB(A). For non-acoustically lined connection boxes, add a further 2 dB(A).</t>
  </si>
  <si>
    <t>Tmax correction</t>
  </si>
  <si>
    <t>T- element Note</t>
  </si>
  <si>
    <t>DN630-R1</t>
  </si>
  <si>
    <t>T.s-note</t>
  </si>
  <si>
    <t xml:space="preserve"> </t>
  </si>
  <si>
    <t>C900</t>
  </si>
  <si>
    <t>C1000</t>
  </si>
  <si>
    <t>C1420</t>
  </si>
  <si>
    <t>Selection Table</t>
  </si>
  <si>
    <t>Open Ceiling</t>
  </si>
  <si>
    <t>Electric actuator 24V, 3-pt (2 position)</t>
  </si>
  <si>
    <t>Electric actuator 230V, 3-pt (2 position)</t>
  </si>
  <si>
    <t>24V Elec. motor 2-10V</t>
  </si>
  <si>
    <t>24V Elec. motor 2-position</t>
  </si>
  <si>
    <t>230V Elec. motor 2-position</t>
  </si>
  <si>
    <t>RAL9006</t>
  </si>
  <si>
    <t>RAL9006 (white aluminium)</t>
  </si>
  <si>
    <t>custom colour^</t>
  </si>
  <si>
    <t>Hmin Multiplier</t>
  </si>
  <si>
    <t>Hmin Flowrate Factor</t>
  </si>
  <si>
    <t>Accessories</t>
  </si>
  <si>
    <t>Diffuser only</t>
  </si>
  <si>
    <t>With uninsulated connection box</t>
  </si>
  <si>
    <t>With mounting bracket (for round duct connection)</t>
  </si>
  <si>
    <t>Diffuser only*</t>
  </si>
  <si>
    <t>B</t>
  </si>
  <si>
    <t>Acc</t>
  </si>
  <si>
    <t>Warm-Up Airflow Boost</t>
  </si>
  <si>
    <t>Warm-Up Pressure Boost</t>
  </si>
  <si>
    <t xml:space="preserve">  </t>
  </si>
  <si>
    <t>New Min Height</t>
  </si>
  <si>
    <t>V 100%</t>
  </si>
  <si>
    <t>Hmin @ 100%</t>
  </si>
  <si>
    <t>V 50%</t>
  </si>
  <si>
    <t>Warm-up Boost</t>
  </si>
  <si>
    <t>RAL9006 (aluminium)</t>
  </si>
  <si>
    <t>Pressure boost</t>
  </si>
  <si>
    <t>DT % Airflow boost</t>
  </si>
  <si>
    <t>warm-up airflow boost</t>
  </si>
  <si>
    <t>pressure airflow boost</t>
  </si>
  <si>
    <t>Hmin Select</t>
  </si>
  <si>
    <t>Ratio above v' 1.0</t>
  </si>
  <si>
    <t>Ratio below v' 1.0</t>
  </si>
  <si>
    <t>&lt;=1.0</t>
  </si>
  <si>
    <t>&gt;1</t>
  </si>
  <si>
    <t>Ratio</t>
  </si>
  <si>
    <t>Min Thermal Setting</t>
  </si>
  <si>
    <t>Thermal element setting raw</t>
  </si>
  <si>
    <t>T s. comfort corrected</t>
  </si>
  <si>
    <t>Heating and Thermal Element</t>
  </si>
  <si>
    <t>T.e. setting not rounded</t>
  </si>
  <si>
    <t>Thermal Element</t>
  </si>
  <si>
    <t>night setback temperature (default 16°C)</t>
  </si>
  <si>
    <t>[K]</t>
  </si>
  <si>
    <t>Warm-up DT</t>
  </si>
  <si>
    <t>warm-up dt</t>
  </si>
  <si>
    <t>Warm-Up Airflow Boost Factor</t>
  </si>
  <si>
    <t>Warm-Up Pressure Boost Factor</t>
  </si>
  <si>
    <t>Diffuser shut off %</t>
  </si>
  <si>
    <t>% Diffusers Active</t>
  </si>
  <si>
    <t xml:space="preserve">Selected Airflow </t>
  </si>
  <si>
    <t>500 L/s @ 30.4 Pa static</t>
  </si>
  <si>
    <t>Row 60</t>
  </si>
  <si>
    <t>Row 61</t>
  </si>
  <si>
    <t>Row 62</t>
  </si>
  <si>
    <t>Row 63</t>
  </si>
  <si>
    <t>Row 59</t>
  </si>
  <si>
    <t>Results:</t>
  </si>
  <si>
    <t>Night Setback Temperature</t>
  </si>
  <si>
    <t>16°C</t>
  </si>
  <si>
    <t>Room Temperature Setpoint</t>
  </si>
  <si>
    <t>Pre-Occupancy Warm-up Boost</t>
  </si>
  <si>
    <t>T-Element</t>
  </si>
  <si>
    <t>Warm-Up Max Boost ΔT</t>
  </si>
  <si>
    <t>Diffusers Active During Warm-Up Boost</t>
  </si>
  <si>
    <r>
      <rPr>
        <b/>
        <sz val="10"/>
        <color theme="1"/>
        <rFont val="Calibri"/>
        <family val="2"/>
      </rPr>
      <t>Thermal Element for Heating</t>
    </r>
    <r>
      <rPr>
        <sz val="10"/>
        <color theme="1"/>
        <rFont val="Calibri"/>
        <family val="2"/>
      </rPr>
      <t xml:space="preserve">
When the thermal element is used, the space should always be warmed up from night setback using a supply air temperature greater than or equal to the thermal element setting (row 59), otherwise the guide-ring will retract and prevent heat projection to the floor. Consider introducing a Pre-Occupancy Warm-Up Boost mode (see ‘Notes &amp; Drawings’ rows 12:25).</t>
    </r>
  </si>
  <si>
    <t>For warm-up from a low night setback temperature (cell M27), especially where high infiltration heat loss occurs (e.g. lobbies), consider introducing a Pre-Occupancy Warm-Up Boost mode that increases diffuser airflow by the Airflow Boost Factor (row 61) and pressure by the Pressure Boost Factor (row 62) during pre-occupancy warm-up only. This is typically achieved by either:</t>
  </si>
  <si>
    <t>1.</t>
  </si>
  <si>
    <t>2.</t>
  </si>
  <si>
    <t>Speeding up the supply fan to increase total airflow by the Airflow Boost Factor (row 61); or</t>
  </si>
  <si>
    <t>By not increasing total airflow, but instead only supplying air to the percentage of Diffusers Active During Warm-Up Boost (row 67), typically achieved by having motorised dampers (by others) shut off airflow to the remaining diffusers (typically to a duct run of diffusers). Round up/down the percentage to avoid fractions of diffusers to which airflow is to be shut-off. Minimise motorised dampers by grouping diffusers to be shut-off onto common ducts. Refer to example below.</t>
  </si>
  <si>
    <r>
      <rPr>
        <i/>
        <sz val="11"/>
        <color theme="1"/>
        <rFont val="Calibri"/>
        <family val="2"/>
        <scheme val="minor"/>
      </rPr>
      <t>Pre-Occupancy Warm-Up</t>
    </r>
    <r>
      <rPr>
        <sz val="11"/>
        <color theme="1"/>
        <rFont val="Calibri"/>
        <family val="2"/>
        <scheme val="minor"/>
      </rPr>
      <t xml:space="preserve"> is to be </t>
    </r>
    <r>
      <rPr>
        <u/>
        <sz val="11"/>
        <color theme="1"/>
        <rFont val="Calibri"/>
        <family val="2"/>
        <scheme val="minor"/>
      </rPr>
      <t>deactivated</t>
    </r>
    <r>
      <rPr>
        <sz val="11"/>
        <color theme="1"/>
        <rFont val="Calibri"/>
        <family val="2"/>
        <scheme val="minor"/>
      </rPr>
      <t xml:space="preserve"> when room temperature setpoint is achieved, and is to remain deactivated until the next warm-up cycle is initiated.</t>
    </r>
  </si>
  <si>
    <t>Example of Option 2, above:</t>
  </si>
  <si>
    <t>Explanation:</t>
  </si>
  <si>
    <t>H actual</t>
  </si>
  <si>
    <t>DT old</t>
  </si>
  <si>
    <t>DT new</t>
  </si>
  <si>
    <t>Height Adjusted</t>
  </si>
  <si>
    <t>Related Products</t>
  </si>
  <si>
    <t xml:space="preserve">Smartemp JSC-AD: </t>
  </si>
  <si>
    <t xml:space="preserve">Smartemp LJC-AD: </t>
  </si>
  <si>
    <t>for a  linear-slot solution also with electric and thermal actuator</t>
  </si>
  <si>
    <t>for use in ultra high ceilings; increased heating penetration also with electric and thermal actuator</t>
  </si>
  <si>
    <t>DT warmup error</t>
  </si>
  <si>
    <t>Actual max DT</t>
  </si>
  <si>
    <t>Choose warmup DT</t>
  </si>
  <si>
    <t>Warm-up Room to Te setting</t>
  </si>
  <si>
    <t>21°C</t>
  </si>
  <si>
    <t>27°C</t>
  </si>
  <si>
    <t>+11 K</t>
  </si>
  <si>
    <t>Supply air to be greater than or equal to 27 °C, otherwise the guide-ring will retract and prevent heat project to the floor.</t>
  </si>
  <si>
    <t>Boosted Airflow per diffuser: 1.25 × 500 L/s = 625 L/s</t>
  </si>
  <si>
    <t>Pressure required to achieve Boosted Airflow: 1.57 × 30.4 = 47.7 Pa</t>
  </si>
  <si>
    <t>Boost airflow by supplying the fixed total airflow only to the percentage of Diffusers Active During Warm-Up (80%), achieved by shutting off airflow, via motorised dampers, to the remaining diffusers (i.e. 20%).</t>
  </si>
  <si>
    <t>Selected Installation</t>
  </si>
  <si>
    <t>Insatll</t>
  </si>
  <si>
    <t>CEILING TYPE</t>
  </si>
  <si>
    <t>ACOUSTICS</t>
  </si>
  <si>
    <t>PRE-OCCUPANCY WARM-UP BOOST</t>
  </si>
  <si>
    <t>DIFFUSER DIMENSIONS</t>
  </si>
  <si>
    <t>Control Curve</t>
  </si>
  <si>
    <t>Chart</t>
  </si>
  <si>
    <t>Default Selection</t>
  </si>
  <si>
    <t>Unshaded Number</t>
  </si>
  <si>
    <t>Title</t>
  </si>
  <si>
    <t>Electric actuator 24V; 2-10V</t>
  </si>
  <si>
    <t>Electric actuator 24V; 3-pt (2 position)</t>
  </si>
  <si>
    <t>Electric actuator 230V; 3-pt (2 position)</t>
  </si>
  <si>
    <t>T-setting Number</t>
  </si>
  <si>
    <t>T-Setting Note</t>
  </si>
  <si>
    <t>Thermal El. Result</t>
  </si>
  <si>
    <t>Thermal El. Note</t>
  </si>
  <si>
    <t xml:space="preserve">‡ moderately elevated air velocities in heating </t>
  </si>
  <si>
    <t>† slightly elevated air velocities in heating</t>
  </si>
  <si>
    <t>Chart Tick Marks</t>
  </si>
  <si>
    <t>Order Code (select to copy)</t>
  </si>
  <si>
    <t>T-element note category</t>
  </si>
  <si>
    <t>T-setting Category</t>
  </si>
  <si>
    <t>high</t>
  </si>
  <si>
    <t>mid</t>
  </si>
  <si>
    <t>slightly elevated air velocities in heating</t>
  </si>
  <si>
    <t xml:space="preserve">moderately elevated air velocities in heating </t>
  </si>
  <si>
    <t>Temperature note</t>
  </si>
  <si>
    <t>Control voltage only for Electric Motor Adjustment Type 24V 2-10V (E1)</t>
  </si>
  <si>
    <t>Guide ring position is the recessed distance as measured from the diffuser face to the bottom of the guide ring. Use curve as a guide for Manual Adjustment</t>
  </si>
  <si>
    <t>refer to Selection Summary &amp; Print' for a printable summary</t>
  </si>
  <si>
    <t>%x</t>
  </si>
  <si>
    <t>dt</t>
  </si>
  <si>
    <t>slope</t>
  </si>
  <si>
    <t>int</t>
  </si>
  <si>
    <t>Right Curve</t>
  </si>
  <si>
    <t>b</t>
  </si>
  <si>
    <t>(x,y)</t>
  </si>
  <si>
    <t>display</t>
  </si>
  <si>
    <t>Select</t>
  </si>
  <si>
    <t>True = mm</t>
  </si>
  <si>
    <t>true = red</t>
  </si>
  <si>
    <t>Notes Front Page</t>
  </si>
  <si>
    <t>Note ¹ :  'Guide Ring Position' is measured from diffuser face to guide ring trailing edge.</t>
  </si>
  <si>
    <t>guide ring dist selected</t>
  </si>
  <si>
    <t>guide ring dist warnign</t>
  </si>
  <si>
    <t>Comfort note</t>
  </si>
  <si>
    <t>Note ¹ Warning: Selected ΔT (heating) &gt; recommended max ΔT</t>
  </si>
  <si>
    <t>Cminmax warning</t>
  </si>
  <si>
    <t>Warning: Threat of draught when Cmin &gt; Cmax. Consider increasing turndown % (Cell E11)</t>
  </si>
  <si>
    <t>2 m ≤ height ≤ 20 m (heating and cooling)</t>
  </si>
  <si>
    <t>‡ moderately elevated air velocities in heating 
† slightly elevated air velocities in heating</t>
  </si>
  <si>
    <t>thermal element warning</t>
  </si>
  <si>
    <t>thermal element</t>
  </si>
  <si>
    <t>bottom box</t>
  </si>
  <si>
    <t>2 m ≤ height ≤ 26 m (cooling only)</t>
  </si>
  <si>
    <t>With base module and thermal actuator set to __ (22°C - 30°C, default 26°C).</t>
  </si>
  <si>
    <t>engineered for FUSION Modulair</t>
  </si>
  <si>
    <t>Copyright © 2025 SMARTAIR DIFFUSION</t>
  </si>
  <si>
    <t>Max Specific Airflow Rate</t>
  </si>
  <si>
    <t>v 8.2 [03/26]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</si>
</sst>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
    <numFmt numFmtId="166" formatCode="0.0000"/>
    <numFmt numFmtId="167" formatCode="0.00000"/>
    <numFmt numFmtId="168" formatCode="0.0%"/>
    <numFmt numFmtId="169" formatCode="\+\ 0.0;\-\ 0.0;\ 0.0"/>
    <numFmt numFmtId="170" formatCode="0\ &quot;mm&quot;"/>
    <numFmt numFmtId="171" formatCode="\+0.0\ \K;\-0.0\ \K;0.0\ \K"/>
    <numFmt numFmtId="172" formatCode="0.000000"/>
  </numFmts>
  <fonts count="94" x14ac:knownFonts="1">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sz val="11"/>
      <color rgb="FFFA7D00"/>
      <name val="Calibri"/>
      <family val="2"/>
      <scheme val="minor"/>
    </font>
    <font>
      <b/>
      <sz val="11"/>
      <color theme="1"/>
      <name val="Calibri"/>
      <family val="2"/>
      <scheme val="minor"/>
    </font>
    <font>
      <sz val="11"/>
      <color theme="1"/>
      <name val="Calibri"/>
      <family val="2"/>
    </font>
    <font>
      <b/>
      <sz val="16"/>
      <color rgb="FFFF9900"/>
      <name val="Calibri"/>
      <family val="2"/>
    </font>
    <font>
      <sz val="14"/>
      <color rgb="FFFF9900"/>
      <name val="Calibri"/>
      <family val="2"/>
    </font>
    <font>
      <b/>
      <sz val="11"/>
      <color rgb="FFA6A6A6"/>
      <name val="Calibri"/>
      <family val="2"/>
    </font>
    <font>
      <b/>
      <sz val="16"/>
      <color rgb="FFFFFFFF"/>
      <name val="Calibri"/>
      <family val="2"/>
    </font>
    <font>
      <b/>
      <sz val="15"/>
      <color rgb="FF000000"/>
      <name val="Calibri"/>
      <family val="2"/>
    </font>
    <font>
      <b/>
      <sz val="11"/>
      <color rgb="FFFFFFFF"/>
      <name val="Calibri"/>
      <family val="2"/>
    </font>
    <font>
      <b/>
      <sz val="11"/>
      <color rgb="FF808080"/>
      <name val="Calibri"/>
      <family val="2"/>
    </font>
    <font>
      <b/>
      <sz val="11"/>
      <name val="Calibri"/>
      <family val="2"/>
    </font>
    <font>
      <sz val="11"/>
      <color rgb="FF595959"/>
      <name val="Calibri"/>
      <family val="2"/>
    </font>
    <font>
      <sz val="11"/>
      <color rgb="FFA6A6A6"/>
      <name val="Calibri"/>
      <family val="2"/>
    </font>
    <font>
      <sz val="9"/>
      <color rgb="FF808080"/>
      <name val="Calibri"/>
      <family val="2"/>
    </font>
    <font>
      <b/>
      <sz val="9"/>
      <color rgb="FF808080"/>
      <name val="Calibri"/>
      <family val="2"/>
    </font>
    <font>
      <sz val="12"/>
      <color rgb="FF000000"/>
      <name val="Calibri"/>
      <family val="2"/>
    </font>
    <font>
      <b/>
      <sz val="15"/>
      <color theme="1"/>
      <name val="Calibri"/>
      <family val="2"/>
    </font>
    <font>
      <b/>
      <sz val="12"/>
      <color theme="1" tint="0.14999847407452621"/>
      <name val="Calibri"/>
      <family val="2"/>
    </font>
    <font>
      <sz val="12"/>
      <color theme="1" tint="0.14999847407452621"/>
      <name val="Calibri"/>
      <family val="2"/>
    </font>
    <font>
      <sz val="11"/>
      <color theme="1"/>
      <name val="Calibri"/>
      <family val="2"/>
      <scheme val="minor"/>
    </font>
    <font>
      <sz val="11"/>
      <color theme="2" tint="-0.499984740745262"/>
      <name val="Calibri"/>
      <family val="2"/>
      <scheme val="minor"/>
    </font>
    <font>
      <b/>
      <sz val="12"/>
      <color theme="0" tint="-0.499984740745262"/>
      <name val="Calibri"/>
      <family val="2"/>
    </font>
    <font>
      <b/>
      <sz val="11"/>
      <color theme="0" tint="-0.499984740745262"/>
      <name val="Calibri"/>
      <family val="2"/>
    </font>
    <font>
      <sz val="11"/>
      <color theme="0" tint="-0.499984740745262"/>
      <name val="Calibri"/>
      <family val="2"/>
    </font>
    <font>
      <sz val="11"/>
      <color theme="0" tint="-0.249977111117893"/>
      <name val="Calibri"/>
      <family val="2"/>
      <scheme val="minor"/>
    </font>
    <font>
      <b/>
      <sz val="12"/>
      <color theme="1"/>
      <name val="Calibri"/>
      <family val="2"/>
    </font>
    <font>
      <b/>
      <sz val="11"/>
      <color theme="1"/>
      <name val="Calibri"/>
      <family val="2"/>
    </font>
    <font>
      <b/>
      <sz val="11"/>
      <color theme="1" tint="0.34998626667073579"/>
      <name val="Calibri"/>
      <family val="2"/>
      <scheme val="minor"/>
    </font>
    <font>
      <sz val="9"/>
      <color theme="1"/>
      <name val="Calibri"/>
      <family val="2"/>
    </font>
    <font>
      <sz val="11"/>
      <color theme="1" tint="0.499984740745262"/>
      <name val="Calibri"/>
      <family val="2"/>
    </font>
    <font>
      <sz val="11"/>
      <color theme="1" tint="0.34998626667073579"/>
      <name val="Calibri"/>
      <family val="2"/>
    </font>
    <font>
      <sz val="11"/>
      <color theme="1" tint="0.499984740745262"/>
      <name val="Calibri"/>
      <family val="2"/>
      <scheme val="minor"/>
    </font>
    <font>
      <b/>
      <sz val="11"/>
      <color theme="1" tint="0.499984740745262"/>
      <name val="Calibri"/>
      <family val="2"/>
    </font>
    <font>
      <sz val="10"/>
      <color theme="1"/>
      <name val="Calibri"/>
      <family val="2"/>
      <scheme val="minor"/>
    </font>
    <font>
      <sz val="8"/>
      <color rgb="FF000000"/>
      <name val="Segoe UI"/>
      <family val="2"/>
    </font>
    <font>
      <sz val="10"/>
      <color theme="1" tint="0.34998626667073579"/>
      <name val="Calibri"/>
      <family val="2"/>
    </font>
    <font>
      <sz val="10"/>
      <color theme="1"/>
      <name val="Calibri"/>
      <family val="2"/>
    </font>
    <font>
      <b/>
      <sz val="11"/>
      <color theme="3"/>
      <name val="Calibri"/>
      <family val="2"/>
      <scheme val="minor"/>
    </font>
    <font>
      <sz val="11"/>
      <color theme="0"/>
      <name val="Calibri"/>
      <family val="2"/>
      <scheme val="minor"/>
    </font>
    <font>
      <b/>
      <sz val="15"/>
      <color theme="1"/>
      <name val="Calibri"/>
      <family val="2"/>
      <scheme val="minor"/>
    </font>
    <font>
      <b/>
      <sz val="12"/>
      <color theme="1"/>
      <name val="Calibri"/>
      <family val="2"/>
      <scheme val="minor"/>
    </font>
    <font>
      <sz val="10"/>
      <color theme="1" tint="0.249977111117893"/>
      <name val="Calibri"/>
      <family val="2"/>
    </font>
    <font>
      <sz val="10"/>
      <color theme="1" tint="0.249977111117893"/>
      <name val="Calibri"/>
      <family val="2"/>
      <scheme val="minor"/>
    </font>
    <font>
      <sz val="10"/>
      <color rgb="FFC00000"/>
      <name val="Calibri"/>
      <family val="2"/>
      <scheme val="minor"/>
    </font>
    <font>
      <b/>
      <sz val="16"/>
      <color rgb="FFFF9900"/>
      <name val="Calibri"/>
      <family val="2"/>
      <scheme val="minor"/>
    </font>
    <font>
      <sz val="14"/>
      <color rgb="FFFF9900"/>
      <name val="Calibri"/>
      <family val="2"/>
      <scheme val="minor"/>
    </font>
    <font>
      <b/>
      <sz val="11"/>
      <color theme="0" tint="-0.34998626667073579"/>
      <name val="Calibri"/>
      <family val="2"/>
      <scheme val="minor"/>
    </font>
    <font>
      <b/>
      <sz val="12"/>
      <name val="Calibri"/>
      <family val="2"/>
    </font>
    <font>
      <b/>
      <sz val="12"/>
      <name val="Calibri"/>
      <family val="2"/>
      <scheme val="minor"/>
    </font>
    <font>
      <sz val="12"/>
      <color theme="1"/>
      <name val="Calibri"/>
      <family val="2"/>
      <scheme val="minor"/>
    </font>
    <font>
      <sz val="12"/>
      <name val="Calibri"/>
      <family val="2"/>
      <scheme val="minor"/>
    </font>
    <font>
      <sz val="11"/>
      <color theme="1"/>
      <name val="Webdings"/>
      <family val="1"/>
      <charset val="2"/>
    </font>
    <font>
      <b/>
      <vertAlign val="subscript"/>
      <sz val="12"/>
      <color theme="1"/>
      <name val="Calibri"/>
      <family val="2"/>
      <scheme val="minor"/>
    </font>
    <font>
      <sz val="11"/>
      <color theme="1"/>
      <name val="Wingdings"/>
      <charset val="2"/>
    </font>
    <font>
      <sz val="12"/>
      <color theme="0"/>
      <name val="Calibri"/>
      <family val="2"/>
      <scheme val="minor"/>
    </font>
    <font>
      <u/>
      <sz val="11"/>
      <color theme="10"/>
      <name val="Calibri"/>
      <family val="2"/>
      <scheme val="minor"/>
    </font>
    <font>
      <sz val="11"/>
      <color theme="5"/>
      <name val="Calibri"/>
      <family val="2"/>
      <scheme val="minor"/>
    </font>
    <font>
      <b/>
      <sz val="11"/>
      <color theme="0" tint="-0.14999847407452621"/>
      <name val="Calibri"/>
      <family val="2"/>
    </font>
    <font>
      <sz val="16"/>
      <color theme="1"/>
      <name val="Cambria"/>
      <family val="1"/>
    </font>
    <font>
      <b/>
      <sz val="16"/>
      <color theme="1"/>
      <name val="Cambria"/>
      <family val="1"/>
    </font>
    <font>
      <sz val="10"/>
      <color theme="0" tint="-4.9989318521683403E-2"/>
      <name val="Calibri"/>
      <family val="2"/>
    </font>
    <font>
      <b/>
      <sz val="16"/>
      <color theme="1"/>
      <name val="Times New Roman"/>
      <family val="1"/>
    </font>
    <font>
      <sz val="10"/>
      <color theme="1"/>
      <name val="Times New Roman"/>
      <family val="1"/>
    </font>
    <font>
      <sz val="10"/>
      <color theme="0" tint="-4.9989318521683403E-2"/>
      <name val="Calibri"/>
      <family val="2"/>
      <scheme val="minor"/>
    </font>
    <font>
      <sz val="11"/>
      <color theme="1" tint="0.249977111117893"/>
      <name val="Calibri"/>
      <family val="2"/>
    </font>
    <font>
      <sz val="11"/>
      <color theme="1" tint="0.14999847407452621"/>
      <name val="Calibri"/>
      <family val="2"/>
    </font>
    <font>
      <sz val="11"/>
      <color theme="0" tint="-0.499984740745262"/>
      <name val="Calibri"/>
      <family val="2"/>
      <scheme val="minor"/>
    </font>
    <font>
      <sz val="11"/>
      <name val="Calibri"/>
      <family val="2"/>
      <scheme val="minor"/>
    </font>
    <font>
      <b/>
      <sz val="10"/>
      <color theme="1"/>
      <name val="Times New Roman"/>
      <family val="1"/>
    </font>
    <font>
      <sz val="8"/>
      <name val="Calibri"/>
      <family val="2"/>
      <scheme val="minor"/>
    </font>
    <font>
      <i/>
      <sz val="10"/>
      <color theme="1" tint="0.249977111117893"/>
      <name val="Calibri"/>
      <family val="2"/>
      <scheme val="minor"/>
    </font>
    <font>
      <vertAlign val="superscript"/>
      <sz val="11"/>
      <color theme="1" tint="0.34998626667073579"/>
      <name val="Calibri"/>
      <family val="2"/>
    </font>
    <font>
      <sz val="11"/>
      <color rgb="FFFF0000"/>
      <name val="Calibri"/>
      <family val="2"/>
      <scheme val="minor"/>
    </font>
    <font>
      <b/>
      <sz val="14"/>
      <color theme="1" tint="0.14999847407452621"/>
      <name val="Calibri"/>
      <family val="2"/>
    </font>
    <font>
      <sz val="11"/>
      <color rgb="FFC00000"/>
      <name val="Calibri"/>
      <family val="2"/>
    </font>
    <font>
      <b/>
      <sz val="11"/>
      <color theme="1" tint="0.34998626667073579"/>
      <name val="Calibri"/>
      <family val="2"/>
    </font>
    <font>
      <sz val="10"/>
      <color rgb="FFC00000"/>
      <name val="Calibri"/>
      <family val="2"/>
    </font>
    <font>
      <b/>
      <sz val="10"/>
      <color theme="1"/>
      <name val="Calibri"/>
      <family val="2"/>
    </font>
    <font>
      <b/>
      <sz val="12"/>
      <color rgb="FF242424"/>
      <name val="Calibri"/>
      <family val="2"/>
    </font>
    <font>
      <i/>
      <sz val="11"/>
      <color theme="1"/>
      <name val="Calibri"/>
      <family val="2"/>
      <scheme val="minor"/>
    </font>
    <font>
      <u/>
      <sz val="11"/>
      <color theme="1"/>
      <name val="Calibri"/>
      <family val="2"/>
      <scheme val="minor"/>
    </font>
    <font>
      <sz val="11"/>
      <color theme="1" tint="0.34998626667073579"/>
      <name val="Calibri"/>
      <family val="2"/>
      <scheme val="minor"/>
    </font>
    <font>
      <b/>
      <sz val="11"/>
      <color theme="1" tint="0.499984740745262"/>
      <name val="Calibri"/>
      <family val="2"/>
      <scheme val="minor"/>
    </font>
    <font>
      <sz val="24"/>
      <color theme="1"/>
      <name val="Aptos"/>
      <family val="2"/>
    </font>
    <font>
      <b/>
      <sz val="16"/>
      <color theme="1"/>
      <name val="Aptos"/>
      <family val="2"/>
    </font>
    <font>
      <sz val="11"/>
      <color theme="1"/>
      <name val="Aptos"/>
      <family val="2"/>
    </font>
    <font>
      <sz val="12"/>
      <color theme="1"/>
      <name val="Aptos"/>
      <family val="2"/>
    </font>
    <font>
      <b/>
      <sz val="10"/>
      <color theme="1"/>
      <name val="Aptos"/>
      <family val="2"/>
    </font>
    <font>
      <sz val="10"/>
      <color theme="1"/>
      <name val="Aptos"/>
      <family val="2"/>
    </font>
    <font>
      <sz val="9"/>
      <color theme="1"/>
      <name val="Aptos"/>
      <family val="2"/>
    </font>
  </fonts>
  <fills count="16">
    <fill>
      <patternFill patternType="none"/>
    </fill>
    <fill>
      <patternFill patternType="gray125"/>
    </fill>
    <fill>
      <patternFill patternType="solid">
        <fgColor rgb="FF262626"/>
        <bgColor rgb="FF000000"/>
      </patternFill>
    </fill>
    <fill>
      <patternFill patternType="solid">
        <fgColor rgb="FFF2F2F2"/>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0.14999847407452621"/>
        <bgColor rgb="FF000000"/>
      </patternFill>
    </fill>
    <fill>
      <patternFill patternType="solid">
        <fgColor theme="1" tint="0.14999847407452621"/>
        <bgColor rgb="FF000000"/>
      </patternFill>
    </fill>
    <fill>
      <patternFill patternType="solid">
        <fgColor theme="0"/>
        <bgColor indexed="64"/>
      </patternFill>
    </fill>
    <fill>
      <patternFill patternType="solid">
        <fgColor theme="0"/>
        <bgColor rgb="FF000000"/>
      </patternFill>
    </fill>
    <fill>
      <patternFill patternType="solid">
        <fgColor theme="1" tint="0.14999847407452621"/>
        <bgColor indexed="64"/>
      </patternFill>
    </fill>
    <fill>
      <patternFill patternType="solid">
        <fgColor theme="9" tint="0.79998168889431442"/>
        <bgColor indexed="64"/>
      </patternFill>
    </fill>
    <fill>
      <patternFill patternType="solid">
        <fgColor theme="4"/>
        <bgColor indexed="64"/>
      </patternFill>
    </fill>
    <fill>
      <patternFill patternType="solid">
        <fgColor theme="8" tint="0.39997558519241921"/>
        <bgColor indexed="64"/>
      </patternFill>
    </fill>
  </fills>
  <borders count="110">
    <border>
      <left/>
      <right/>
      <top/>
      <bottom/>
      <diagonal/>
    </border>
    <border>
      <left/>
      <right/>
      <top/>
      <bottom style="thick">
        <color theme="4"/>
      </bottom>
      <diagonal/>
    </border>
    <border>
      <left/>
      <right/>
      <top/>
      <bottom style="thick">
        <color theme="4" tint="0.499984740745262"/>
      </bottom>
      <diagonal/>
    </border>
    <border>
      <left/>
      <right/>
      <top/>
      <bottom style="double">
        <color rgb="FFFF8001"/>
      </bottom>
      <diagonal/>
    </border>
    <border>
      <left style="thin">
        <color rgb="FFBFBFBF"/>
      </left>
      <right/>
      <top style="thin">
        <color rgb="FFBFBFBF"/>
      </top>
      <bottom/>
      <diagonal/>
    </border>
    <border>
      <left style="thin">
        <color rgb="FF262626"/>
      </left>
      <right/>
      <top style="thin">
        <color rgb="FFBFBFBF"/>
      </top>
      <bottom/>
      <diagonal/>
    </border>
    <border>
      <left/>
      <right/>
      <top style="thin">
        <color rgb="FFBFBFBF"/>
      </top>
      <bottom/>
      <diagonal/>
    </border>
    <border>
      <left/>
      <right style="thin">
        <color rgb="FFBFBFBF"/>
      </right>
      <top/>
      <bottom/>
      <diagonal/>
    </border>
    <border>
      <left style="thin">
        <color rgb="FFBFBFBF"/>
      </left>
      <right/>
      <top/>
      <bottom/>
      <diagonal/>
    </border>
    <border>
      <left style="thin">
        <color rgb="FF262626"/>
      </left>
      <right/>
      <top/>
      <bottom/>
      <diagonal/>
    </border>
    <border>
      <left/>
      <right/>
      <top/>
      <bottom style="thick">
        <color rgb="FFBFBFBF"/>
      </bottom>
      <diagonal/>
    </border>
    <border>
      <left style="thin">
        <color rgb="FFE26B0A"/>
      </left>
      <right style="thin">
        <color rgb="FFE26B0A"/>
      </right>
      <top style="thin">
        <color rgb="FFE26B0A"/>
      </top>
      <bottom style="double">
        <color rgb="FFF79646"/>
      </bottom>
      <diagonal/>
    </border>
    <border>
      <left/>
      <right/>
      <top/>
      <bottom style="thin">
        <color rgb="FFE26B0A"/>
      </bottom>
      <diagonal/>
    </border>
    <border>
      <left style="thin">
        <color rgb="FFE26B0A"/>
      </left>
      <right style="thin">
        <color rgb="FFE26B0A"/>
      </right>
      <top style="thin">
        <color rgb="FFE26B0A"/>
      </top>
      <bottom style="double">
        <color rgb="FFFF8001"/>
      </bottom>
      <diagonal/>
    </border>
    <border>
      <left/>
      <right/>
      <top/>
      <bottom style="thin">
        <color theme="0" tint="-0.249977111117893"/>
      </bottom>
      <diagonal/>
    </border>
    <border>
      <left style="thin">
        <color rgb="FFBFBFBF"/>
      </left>
      <right/>
      <top/>
      <bottom style="thin">
        <color theme="0" tint="-0.34998626667073579"/>
      </bottom>
      <diagonal/>
    </border>
    <border>
      <left/>
      <right/>
      <top/>
      <bottom style="thin">
        <color theme="0" tint="-0.34998626667073579"/>
      </bottom>
      <diagonal/>
    </border>
    <border>
      <left/>
      <right style="thin">
        <color rgb="FFBFBFBF"/>
      </right>
      <top/>
      <bottom style="thin">
        <color theme="0" tint="-0.34998626667073579"/>
      </bottom>
      <diagonal/>
    </border>
    <border>
      <left/>
      <right/>
      <top/>
      <bottom style="thin">
        <color indexed="64"/>
      </bottom>
      <diagonal/>
    </border>
    <border>
      <left/>
      <right style="medium">
        <color theme="1" tint="0.34998626667073579"/>
      </right>
      <top/>
      <bottom/>
      <diagonal/>
    </border>
    <border>
      <left/>
      <right style="thin">
        <color theme="0" tint="-0.34998626667073579"/>
      </right>
      <top/>
      <bottom style="thin">
        <color indexed="64"/>
      </bottom>
      <diagonal/>
    </border>
    <border>
      <left/>
      <right style="thin">
        <color theme="0" tint="-0.34998626667073579"/>
      </right>
      <top/>
      <bottom/>
      <diagonal/>
    </border>
    <border>
      <left/>
      <right style="medium">
        <color theme="1" tint="0.34998626667073579"/>
      </right>
      <top/>
      <bottom style="thin">
        <color theme="0" tint="-0.249977111117893"/>
      </bottom>
      <diagonal/>
    </border>
    <border>
      <left style="thin">
        <color theme="0" tint="-0.34998626667073579"/>
      </left>
      <right style="medium">
        <color theme="1" tint="0.34998626667073579"/>
      </right>
      <top/>
      <bottom/>
      <diagonal/>
    </border>
    <border>
      <left style="thin">
        <color theme="0" tint="-0.34998626667073579"/>
      </left>
      <right style="medium">
        <color theme="1" tint="0.34998626667073579"/>
      </right>
      <top/>
      <bottom style="thin">
        <color indexed="64"/>
      </bottom>
      <diagonal/>
    </border>
    <border>
      <left/>
      <right/>
      <top style="thin">
        <color theme="0" tint="-0.34998626667073579"/>
      </top>
      <bottom/>
      <diagonal/>
    </border>
    <border>
      <left style="thin">
        <color theme="0" tint="-0.34998626667073579"/>
      </left>
      <right style="medium">
        <color theme="1" tint="0.34998626667073579"/>
      </right>
      <top/>
      <bottom style="thin">
        <color theme="1" tint="0.249977111117893"/>
      </bottom>
      <diagonal/>
    </border>
    <border>
      <left/>
      <right style="thin">
        <color theme="0" tint="-0.34998626667073579"/>
      </right>
      <top/>
      <bottom style="thin">
        <color theme="1" tint="0.249977111117893"/>
      </bottom>
      <diagonal/>
    </border>
    <border>
      <left/>
      <right style="medium">
        <color theme="1" tint="0.34998626667073579"/>
      </right>
      <top/>
      <bottom style="thin">
        <color theme="1" tint="0.249977111117893"/>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34998626667073579"/>
      </left>
      <right style="medium">
        <color theme="1" tint="0.34998626667073579"/>
      </right>
      <top style="thin">
        <color theme="1" tint="0.249977111117893"/>
      </top>
      <bottom style="thin">
        <color theme="1" tint="0.249977111117893"/>
      </bottom>
      <diagonal/>
    </border>
    <border>
      <left/>
      <right style="thin">
        <color theme="0" tint="-0.34998626667073579"/>
      </right>
      <top style="thin">
        <color theme="1" tint="0.249977111117893"/>
      </top>
      <bottom style="thin">
        <color theme="1" tint="0.249977111117893"/>
      </bottom>
      <diagonal/>
    </border>
    <border>
      <left/>
      <right style="medium">
        <color theme="1" tint="0.34998626667073579"/>
      </right>
      <top style="thin">
        <color theme="1" tint="0.249977111117893"/>
      </top>
      <bottom style="thin">
        <color theme="1" tint="0.249977111117893"/>
      </bottom>
      <diagonal/>
    </border>
    <border>
      <left/>
      <right/>
      <top style="thin">
        <color theme="0" tint="-0.249977111117893"/>
      </top>
      <bottom style="thin">
        <color theme="0" tint="-0.249977111117893"/>
      </bottom>
      <diagonal/>
    </border>
    <border>
      <left/>
      <right/>
      <top/>
      <bottom style="thin">
        <color theme="1" tint="0.249977111117893"/>
      </bottom>
      <diagonal/>
    </border>
    <border>
      <left/>
      <right/>
      <top/>
      <bottom style="medium">
        <color theme="0" tint="-0.249977111117893"/>
      </bottom>
      <diagonal/>
    </border>
    <border>
      <left/>
      <right/>
      <top style="thin">
        <color theme="0" tint="-0.249977111117893"/>
      </top>
      <bottom style="medium">
        <color theme="0" tint="-0.249977111117893"/>
      </bottom>
      <diagonal/>
    </border>
    <border>
      <left/>
      <right/>
      <top style="medium">
        <color theme="0" tint="-0.249977111117893"/>
      </top>
      <bottom/>
      <diagonal/>
    </border>
    <border>
      <left style="thin">
        <color theme="1" tint="0.14996795556505021"/>
      </left>
      <right/>
      <top style="thin">
        <color theme="1" tint="0.14996795556505021"/>
      </top>
      <bottom/>
      <diagonal/>
    </border>
    <border>
      <left/>
      <right/>
      <top style="thin">
        <color theme="1" tint="0.14996795556505021"/>
      </top>
      <bottom/>
      <diagonal/>
    </border>
    <border>
      <left/>
      <right style="thin">
        <color theme="1" tint="0.14996795556505021"/>
      </right>
      <top style="thin">
        <color theme="1" tint="0.14996795556505021"/>
      </top>
      <bottom/>
      <diagonal/>
    </border>
    <border>
      <left style="thin">
        <color theme="1" tint="0.14996795556505021"/>
      </left>
      <right/>
      <top/>
      <bottom/>
      <diagonal/>
    </border>
    <border>
      <left/>
      <right style="thin">
        <color theme="1" tint="0.14996795556505021"/>
      </right>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medium">
        <color indexed="64"/>
      </right>
      <top/>
      <bottom/>
      <diagonal/>
    </border>
    <border>
      <left style="medium">
        <color theme="1" tint="0.34998626667073579"/>
      </left>
      <right style="medium">
        <color indexed="64"/>
      </right>
      <top style="thin">
        <color indexed="64"/>
      </top>
      <bottom style="medium">
        <color indexed="64"/>
      </bottom>
      <diagonal/>
    </border>
    <border>
      <left style="medium">
        <color theme="1" tint="0.34998626667073579"/>
      </left>
      <right style="medium">
        <color indexed="64"/>
      </right>
      <top/>
      <bottom/>
      <diagonal/>
    </border>
    <border>
      <left style="medium">
        <color theme="1" tint="0.34998626667073579"/>
      </left>
      <right style="medium">
        <color indexed="64"/>
      </right>
      <top style="thin">
        <color indexed="64"/>
      </top>
      <bottom/>
      <diagonal/>
    </border>
    <border>
      <left style="medium">
        <color theme="1" tint="0.34998626667073579"/>
      </left>
      <right style="medium">
        <color indexed="64"/>
      </right>
      <top/>
      <bottom style="thin">
        <color indexed="64"/>
      </bottom>
      <diagonal/>
    </border>
    <border>
      <left style="medium">
        <color indexed="64"/>
      </left>
      <right/>
      <top/>
      <bottom/>
      <diagonal/>
    </border>
    <border>
      <left style="thin">
        <color theme="0" tint="-0.34998626667073579"/>
      </left>
      <right style="medium">
        <color theme="1" tint="0.34998626667073579"/>
      </right>
      <top/>
      <bottom style="thin">
        <color theme="1" tint="0.14999847407452621"/>
      </bottom>
      <diagonal/>
    </border>
    <border>
      <left/>
      <right style="thin">
        <color theme="0" tint="-0.34998626667073579"/>
      </right>
      <top/>
      <bottom style="thin">
        <color theme="1" tint="0.14999847407452621"/>
      </bottom>
      <diagonal/>
    </border>
    <border>
      <left/>
      <right style="medium">
        <color theme="1" tint="0.34998626667073579"/>
      </right>
      <top/>
      <bottom style="thin">
        <color theme="1" tint="0.14999847407452621"/>
      </bottom>
      <diagonal/>
    </border>
    <border>
      <left style="medium">
        <color theme="1" tint="0.34998626667073579"/>
      </left>
      <right/>
      <top/>
      <bottom/>
      <diagonal/>
    </border>
    <border>
      <left style="medium">
        <color theme="1" tint="0.14999847407452621"/>
      </left>
      <right/>
      <top/>
      <bottom/>
      <diagonal/>
    </border>
    <border>
      <left style="thin">
        <color theme="0" tint="-0.34998626667073579"/>
      </left>
      <right style="medium">
        <color theme="2" tint="-0.749992370372631"/>
      </right>
      <top/>
      <bottom/>
      <diagonal/>
    </border>
    <border>
      <left style="thin">
        <color theme="0" tint="-0.34998626667073579"/>
      </left>
      <right style="medium">
        <color theme="1" tint="0.249977111117893"/>
      </right>
      <top/>
      <bottom/>
      <diagonal/>
    </border>
    <border>
      <left/>
      <right style="thin">
        <color theme="0" tint="-0.249977111117893"/>
      </right>
      <top style="thin">
        <color rgb="FFBFBFBF"/>
      </top>
      <bottom/>
      <diagonal/>
    </border>
    <border>
      <left style="thin">
        <color theme="0" tint="-0.34998626667073579"/>
      </left>
      <right/>
      <top/>
      <bottom style="thin">
        <color indexed="64"/>
      </bottom>
      <diagonal/>
    </border>
    <border>
      <left/>
      <right/>
      <top/>
      <bottom style="thin">
        <color theme="1" tint="0.34998626667073579"/>
      </bottom>
      <diagonal/>
    </border>
    <border>
      <left style="medium">
        <color indexed="64"/>
      </left>
      <right style="medium">
        <color theme="1" tint="0.34998626667073579"/>
      </right>
      <top style="thin">
        <color theme="1" tint="0.249977111117893"/>
      </top>
      <bottom style="thin">
        <color indexed="64"/>
      </bottom>
      <diagonal/>
    </border>
    <border>
      <left/>
      <right style="thin">
        <color theme="0" tint="-0.34998626667073579"/>
      </right>
      <top style="thin">
        <color theme="1" tint="0.249977111117893"/>
      </top>
      <bottom style="thin">
        <color indexed="64"/>
      </bottom>
      <diagonal/>
    </border>
    <border>
      <left/>
      <right style="medium">
        <color theme="1" tint="0.34998626667073579"/>
      </right>
      <top style="thin">
        <color theme="0" tint="-0.249977111117893"/>
      </top>
      <bottom/>
      <diagonal/>
    </border>
    <border>
      <left/>
      <right style="medium">
        <color theme="1" tint="0.34998626667073579"/>
      </right>
      <top style="thin">
        <color theme="0" tint="-0.249977111117893"/>
      </top>
      <bottom style="thin">
        <color theme="0" tint="-0.249977111117893"/>
      </bottom>
      <diagonal/>
    </border>
    <border>
      <left/>
      <right/>
      <top style="thin">
        <color theme="0" tint="-0.249977111117893"/>
      </top>
      <bottom/>
      <diagonal/>
    </border>
    <border>
      <left/>
      <right style="medium">
        <color theme="1" tint="0.34998626667073579"/>
      </right>
      <top style="thin">
        <color theme="0" tint="-0.249977111117893"/>
      </top>
      <bottom style="medium">
        <color theme="0" tint="-0.249977111117893"/>
      </bottom>
      <diagonal/>
    </border>
    <border>
      <left/>
      <right style="thin">
        <color theme="0" tint="-0.34998626667073579"/>
      </right>
      <top/>
      <bottom style="medium">
        <color theme="1" tint="0.249977111117893"/>
      </bottom>
      <diagonal/>
    </border>
    <border>
      <left style="thin">
        <color theme="0" tint="-0.34998626667073579"/>
      </left>
      <right style="medium">
        <color theme="1" tint="0.34998626667073579"/>
      </right>
      <top/>
      <bottom style="medium">
        <color theme="1" tint="0.249977111117893"/>
      </bottom>
      <diagonal/>
    </border>
    <border>
      <left/>
      <right style="medium">
        <color theme="1" tint="0.34998626667073579"/>
      </right>
      <top/>
      <bottom style="medium">
        <color theme="1" tint="0.249977111117893"/>
      </bottom>
      <diagonal/>
    </border>
    <border>
      <left/>
      <right style="thin">
        <color indexed="64"/>
      </right>
      <top/>
      <bottom/>
      <diagonal/>
    </border>
    <border>
      <left style="medium">
        <color theme="1" tint="0.34998626667073579"/>
      </left>
      <right style="thin">
        <color theme="0" tint="-0.34998626667073579"/>
      </right>
      <top style="thin">
        <color theme="1" tint="0.249977111117893"/>
      </top>
      <bottom style="medium">
        <color theme="1" tint="0.249977111117893"/>
      </bottom>
      <diagonal/>
    </border>
    <border>
      <left style="medium">
        <color theme="1" tint="0.34998626667073579"/>
      </left>
      <right style="thin">
        <color theme="0" tint="-0.34998626667073579"/>
      </right>
      <top/>
      <bottom style="thin">
        <color theme="1" tint="0.249977111117893"/>
      </bottom>
      <diagonal/>
    </border>
    <border>
      <left style="medium">
        <color theme="1" tint="0.34998626667073579"/>
      </left>
      <right style="medium">
        <color theme="1" tint="0.34998626667073579"/>
      </right>
      <top/>
      <bottom style="thin">
        <color theme="1" tint="0.249977111117893"/>
      </bottom>
      <diagonal/>
    </border>
    <border>
      <left style="medium">
        <color theme="1" tint="0.34998626667073579"/>
      </left>
      <right style="thin">
        <color theme="0" tint="-0.34998626667073579"/>
      </right>
      <top/>
      <bottom/>
      <diagonal/>
    </border>
    <border>
      <left style="medium">
        <color theme="1" tint="0.34998626667073579"/>
      </left>
      <right style="medium">
        <color theme="1" tint="0.34998626667073579"/>
      </right>
      <top/>
      <bottom/>
      <diagonal/>
    </border>
    <border>
      <left style="thin">
        <color theme="0" tint="-0.34998626667073579"/>
      </left>
      <right style="medium">
        <color theme="1" tint="0.34998626667073579"/>
      </right>
      <top style="thin">
        <color theme="1" tint="0.249977111117893"/>
      </top>
      <bottom style="medium">
        <color theme="1" tint="0.249977111117893"/>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right style="medium">
        <color theme="1" tint="0.34998626667073579"/>
      </right>
      <top style="thin">
        <color theme="0" tint="-0.249977111117893"/>
      </top>
      <bottom style="thin">
        <color theme="0" tint="-0.34998626667073579"/>
      </bottom>
      <diagonal/>
    </border>
    <border>
      <left/>
      <right/>
      <top style="thin">
        <color theme="0" tint="-0.249977111117893"/>
      </top>
      <bottom style="thin">
        <color theme="0" tint="-0.34998626667073579"/>
      </bottom>
      <diagonal/>
    </border>
    <border>
      <left style="medium">
        <color theme="1" tint="0.34998626667073579"/>
      </left>
      <right style="thin">
        <color theme="0" tint="-0.34998626667073579"/>
      </right>
      <top style="thin">
        <color theme="1" tint="0.249977111117893"/>
      </top>
      <bottom style="thin">
        <color theme="1" tint="0.14999847407452621"/>
      </bottom>
      <diagonal/>
    </border>
    <border>
      <left style="thin">
        <color theme="0" tint="-0.34998626667073579"/>
      </left>
      <right style="medium">
        <color theme="1" tint="0.34998626667073579"/>
      </right>
      <top style="thin">
        <color theme="1" tint="0.249977111117893"/>
      </top>
      <bottom style="thin">
        <color theme="1" tint="0.14999847407452621"/>
      </bottom>
      <diagonal/>
    </border>
    <border>
      <left/>
      <right style="thin">
        <color theme="0" tint="-0.34998626667073579"/>
      </right>
      <top style="thin">
        <color theme="1" tint="0.249977111117893"/>
      </top>
      <bottom style="thin">
        <color theme="1" tint="0.14999847407452621"/>
      </bottom>
      <diagonal/>
    </border>
    <border>
      <left/>
      <right style="medium">
        <color theme="1" tint="0.34998626667073579"/>
      </right>
      <top style="thin">
        <color theme="1" tint="0.249977111117893"/>
      </top>
      <bottom style="thin">
        <color theme="1" tint="0.14999847407452621"/>
      </bottom>
      <diagonal/>
    </border>
    <border>
      <left style="thin">
        <color theme="0"/>
      </left>
      <right style="thin">
        <color theme="0"/>
      </right>
      <top style="thin">
        <color theme="0"/>
      </top>
      <bottom style="thin">
        <color theme="0"/>
      </bottom>
      <diagonal/>
    </border>
    <border>
      <left style="thin">
        <color indexed="64"/>
      </left>
      <right/>
      <top/>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right/>
      <top style="thin">
        <color theme="1" tint="0.249977111117893"/>
      </top>
      <bottom style="thin">
        <color indexed="64"/>
      </bottom>
      <diagonal/>
    </border>
    <border>
      <left style="medium">
        <color theme="1" tint="0.249977111117893"/>
      </left>
      <right/>
      <top/>
      <bottom/>
      <diagonal/>
    </border>
    <border>
      <left style="medium">
        <color theme="1" tint="0.249977111117893"/>
      </left>
      <right/>
      <top/>
      <bottom style="thin">
        <color theme="1" tint="0.249977111117893"/>
      </bottom>
      <diagonal/>
    </border>
    <border>
      <left style="medium">
        <color theme="1" tint="0.249977111117893"/>
      </left>
      <right style="medium">
        <color theme="1" tint="0.249977111117893"/>
      </right>
      <top/>
      <bottom style="thin">
        <color indexed="64"/>
      </bottom>
      <diagonal/>
    </border>
  </borders>
  <cellStyleXfs count="8">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9" fontId="23" fillId="0" borderId="0" applyFont="0" applyFill="0" applyBorder="0" applyAlignment="0" applyProtection="0"/>
    <xf numFmtId="0" fontId="41" fillId="0" borderId="0" applyNumberFormat="0" applyFill="0" applyBorder="0" applyAlignment="0" applyProtection="0"/>
    <xf numFmtId="0" fontId="59" fillId="0" borderId="0" applyNumberFormat="0" applyFill="0" applyBorder="0" applyAlignment="0" applyProtection="0"/>
  </cellStyleXfs>
  <cellXfs count="464">
    <xf numFmtId="0" fontId="0" fillId="0" borderId="0" xfId="0"/>
    <xf numFmtId="0" fontId="6" fillId="2" borderId="4" xfId="0" applyFont="1" applyFill="1" applyBorder="1"/>
    <xf numFmtId="0" fontId="6" fillId="2" borderId="5" xfId="0" applyFont="1" applyFill="1" applyBorder="1"/>
    <xf numFmtId="0" fontId="6" fillId="2" borderId="6" xfId="0" applyFont="1" applyFill="1" applyBorder="1"/>
    <xf numFmtId="0" fontId="6" fillId="2" borderId="0" xfId="0" applyFont="1" applyFill="1"/>
    <xf numFmtId="0" fontId="6" fillId="2" borderId="7" xfId="0" applyFont="1" applyFill="1" applyBorder="1"/>
    <xf numFmtId="0" fontId="6" fillId="2" borderId="8" xfId="0" applyFont="1" applyFill="1" applyBorder="1"/>
    <xf numFmtId="0" fontId="7" fillId="2" borderId="0" xfId="0" applyFont="1" applyFill="1"/>
    <xf numFmtId="0" fontId="9" fillId="2" borderId="0" xfId="0" applyFont="1" applyFill="1" applyAlignment="1">
      <alignment vertical="center"/>
    </xf>
    <xf numFmtId="0" fontId="9" fillId="2" borderId="7" xfId="0" applyFont="1" applyFill="1" applyBorder="1" applyAlignment="1">
      <alignment vertical="center"/>
    </xf>
    <xf numFmtId="0" fontId="10" fillId="2" borderId="0" xfId="1" applyFont="1" applyFill="1"/>
    <xf numFmtId="0" fontId="6" fillId="2" borderId="9" xfId="0" applyFont="1" applyFill="1" applyBorder="1"/>
    <xf numFmtId="0" fontId="6" fillId="3" borderId="8" xfId="0" applyFont="1" applyFill="1" applyBorder="1"/>
    <xf numFmtId="0" fontId="6" fillId="3" borderId="0" xfId="0" applyFont="1" applyFill="1"/>
    <xf numFmtId="0" fontId="6" fillId="3" borderId="7" xfId="0" applyFont="1" applyFill="1" applyBorder="1"/>
    <xf numFmtId="0" fontId="11" fillId="3" borderId="10" xfId="2" applyFont="1" applyFill="1" applyBorder="1" applyAlignment="1">
      <alignment horizontal="left"/>
    </xf>
    <xf numFmtId="0" fontId="13" fillId="3" borderId="0" xfId="0" applyFont="1" applyFill="1" applyAlignment="1">
      <alignment horizontal="right"/>
    </xf>
    <xf numFmtId="0" fontId="14" fillId="4" borderId="11" xfId="4" applyFont="1" applyFill="1" applyBorder="1" applyAlignment="1" applyProtection="1">
      <alignment horizontal="center" vertical="center"/>
      <protection locked="0"/>
    </xf>
    <xf numFmtId="0" fontId="15" fillId="3" borderId="0" xfId="0" applyFont="1" applyFill="1"/>
    <xf numFmtId="0" fontId="16" fillId="3" borderId="0" xfId="0" applyFont="1" applyFill="1"/>
    <xf numFmtId="0" fontId="6" fillId="3" borderId="0" xfId="0" applyFont="1" applyFill="1" applyAlignment="1">
      <alignment horizontal="center"/>
    </xf>
    <xf numFmtId="164" fontId="14" fillId="4" borderId="13" xfId="4" applyNumberFormat="1" applyFont="1" applyFill="1" applyBorder="1" applyAlignment="1" applyProtection="1">
      <alignment horizontal="center" vertical="center"/>
      <protection locked="0"/>
    </xf>
    <xf numFmtId="0" fontId="16" fillId="3" borderId="0" xfId="0" applyFont="1" applyFill="1" applyAlignment="1">
      <alignment horizontal="left"/>
    </xf>
    <xf numFmtId="0" fontId="19" fillId="3" borderId="0" xfId="0" applyFont="1" applyFill="1"/>
    <xf numFmtId="0" fontId="2" fillId="0" borderId="1" xfId="2"/>
    <xf numFmtId="0" fontId="3" fillId="0" borderId="2" xfId="3"/>
    <xf numFmtId="11" fontId="0" fillId="0" borderId="0" xfId="0" applyNumberFormat="1"/>
    <xf numFmtId="2" fontId="0" fillId="0" borderId="0" xfId="0" applyNumberFormat="1"/>
    <xf numFmtId="0" fontId="5" fillId="0" borderId="0" xfId="0" applyFont="1"/>
    <xf numFmtId="165" fontId="0" fillId="0" borderId="0" xfId="0" applyNumberFormat="1"/>
    <xf numFmtId="167" fontId="0" fillId="0" borderId="0" xfId="0" applyNumberFormat="1"/>
    <xf numFmtId="166" fontId="0" fillId="0" borderId="0" xfId="0" applyNumberFormat="1"/>
    <xf numFmtId="0" fontId="0" fillId="0" borderId="0" xfId="0" applyAlignment="1">
      <alignment horizontal="center" vertical="center"/>
    </xf>
    <xf numFmtId="0" fontId="20" fillId="3" borderId="0" xfId="0" applyFont="1" applyFill="1"/>
    <xf numFmtId="0" fontId="21" fillId="3" borderId="0" xfId="0" applyFont="1" applyFill="1" applyAlignment="1">
      <alignment vertical="center"/>
    </xf>
    <xf numFmtId="0" fontId="6" fillId="3" borderId="15" xfId="0" applyFont="1" applyFill="1" applyBorder="1"/>
    <xf numFmtId="0" fontId="6" fillId="3" borderId="16" xfId="0" applyFont="1" applyFill="1" applyBorder="1"/>
    <xf numFmtId="0" fontId="19" fillId="3" borderId="16" xfId="0" applyFont="1" applyFill="1" applyBorder="1"/>
    <xf numFmtId="0" fontId="0" fillId="0" borderId="0" xfId="0" applyAlignment="1">
      <alignment horizontal="center"/>
    </xf>
    <xf numFmtId="0" fontId="0" fillId="0" borderId="18" xfId="0" applyBorder="1"/>
    <xf numFmtId="9" fontId="0" fillId="0" borderId="0" xfId="5" applyFont="1"/>
    <xf numFmtId="9" fontId="0" fillId="0" borderId="0" xfId="0" applyNumberFormat="1"/>
    <xf numFmtId="10" fontId="0" fillId="0" borderId="0" xfId="5" applyNumberFormat="1" applyFont="1"/>
    <xf numFmtId="10" fontId="0" fillId="0" borderId="0" xfId="0" applyNumberFormat="1"/>
    <xf numFmtId="1" fontId="0" fillId="0" borderId="0" xfId="0" applyNumberFormat="1"/>
    <xf numFmtId="0" fontId="24" fillId="0" borderId="0" xfId="0" applyFont="1"/>
    <xf numFmtId="164" fontId="0" fillId="0" borderId="0" xfId="0" applyNumberFormat="1"/>
    <xf numFmtId="0" fontId="25" fillId="3" borderId="0" xfId="0" applyFont="1" applyFill="1" applyAlignment="1">
      <alignment vertical="center"/>
    </xf>
    <xf numFmtId="0" fontId="19" fillId="3" borderId="25" xfId="0" applyFont="1" applyFill="1" applyBorder="1"/>
    <xf numFmtId="0" fontId="0" fillId="6" borderId="0" xfId="0" applyFill="1"/>
    <xf numFmtId="0" fontId="6" fillId="7" borderId="0" xfId="0" applyFont="1" applyFill="1"/>
    <xf numFmtId="0" fontId="31" fillId="5" borderId="14" xfId="0" applyFont="1" applyFill="1" applyBorder="1" applyAlignment="1">
      <alignment vertical="top"/>
    </xf>
    <xf numFmtId="0" fontId="0" fillId="5" borderId="14" xfId="0" applyFill="1" applyBorder="1" applyAlignment="1">
      <alignment vertical="top"/>
    </xf>
    <xf numFmtId="0" fontId="0" fillId="5" borderId="0" xfId="0" applyFill="1"/>
    <xf numFmtId="0" fontId="6" fillId="8" borderId="0" xfId="0" applyFont="1" applyFill="1"/>
    <xf numFmtId="0" fontId="6" fillId="8" borderId="7" xfId="0" applyFont="1" applyFill="1" applyBorder="1"/>
    <xf numFmtId="0" fontId="6" fillId="8" borderId="10" xfId="0" applyFont="1" applyFill="1" applyBorder="1"/>
    <xf numFmtId="0" fontId="13" fillId="8" borderId="0" xfId="0" applyFont="1" applyFill="1" applyAlignment="1">
      <alignment horizontal="right" vertical="center"/>
    </xf>
    <xf numFmtId="0" fontId="15" fillId="8" borderId="0" xfId="0" applyFont="1" applyFill="1"/>
    <xf numFmtId="0" fontId="16" fillId="8" borderId="0" xfId="0" applyFont="1" applyFill="1"/>
    <xf numFmtId="0" fontId="13" fillId="8" borderId="0" xfId="0" applyFont="1" applyFill="1" applyAlignment="1">
      <alignment horizontal="right"/>
    </xf>
    <xf numFmtId="0" fontId="28" fillId="5" borderId="0" xfId="0" applyFont="1" applyFill="1" applyAlignment="1">
      <alignment horizontal="right"/>
    </xf>
    <xf numFmtId="0" fontId="13" fillId="8" borderId="0" xfId="0" applyFont="1" applyFill="1"/>
    <xf numFmtId="0" fontId="17" fillId="8" borderId="0" xfId="0" applyFont="1" applyFill="1" applyAlignment="1">
      <alignment horizontal="right" vertical="center"/>
    </xf>
    <xf numFmtId="0" fontId="17" fillId="8" borderId="0" xfId="0" applyFont="1" applyFill="1" applyAlignment="1">
      <alignment vertical="center"/>
    </xf>
    <xf numFmtId="0" fontId="19" fillId="8" borderId="16" xfId="0" applyFont="1" applyFill="1" applyBorder="1"/>
    <xf numFmtId="0" fontId="6" fillId="8" borderId="16" xfId="0" applyFont="1" applyFill="1" applyBorder="1"/>
    <xf numFmtId="0" fontId="6" fillId="8" borderId="17" xfId="0" applyFont="1" applyFill="1" applyBorder="1"/>
    <xf numFmtId="0" fontId="11" fillId="8" borderId="10" xfId="2" applyFont="1" applyFill="1" applyBorder="1"/>
    <xf numFmtId="9" fontId="14" fillId="7" borderId="11" xfId="5" applyFont="1" applyFill="1" applyBorder="1" applyAlignment="1" applyProtection="1">
      <alignment horizontal="center" vertical="center"/>
      <protection locked="0"/>
    </xf>
    <xf numFmtId="0" fontId="14" fillId="7" borderId="11" xfId="4" applyFont="1" applyFill="1" applyBorder="1" applyAlignment="1" applyProtection="1">
      <alignment horizontal="center" vertical="center"/>
      <protection locked="0"/>
    </xf>
    <xf numFmtId="0" fontId="14" fillId="7" borderId="13" xfId="4" applyFont="1" applyFill="1" applyBorder="1" applyAlignment="1" applyProtection="1">
      <alignment horizontal="center" vertical="center"/>
      <protection locked="0"/>
    </xf>
    <xf numFmtId="2" fontId="0" fillId="0" borderId="0" xfId="5" applyNumberFormat="1" applyFont="1"/>
    <xf numFmtId="0" fontId="32" fillId="3" borderId="0" xfId="0" applyFont="1" applyFill="1" applyAlignment="1">
      <alignment horizontal="right" vertical="center"/>
    </xf>
    <xf numFmtId="0" fontId="32" fillId="3" borderId="0" xfId="0" applyFont="1" applyFill="1" applyAlignment="1">
      <alignment vertical="center"/>
    </xf>
    <xf numFmtId="0" fontId="33" fillId="8" borderId="0" xfId="0" applyFont="1" applyFill="1"/>
    <xf numFmtId="0" fontId="34" fillId="8" borderId="0" xfId="0" applyFont="1" applyFill="1"/>
    <xf numFmtId="0" fontId="27" fillId="8" borderId="0" xfId="0" applyFont="1" applyFill="1"/>
    <xf numFmtId="0" fontId="35" fillId="5" borderId="0" xfId="0" applyFont="1" applyFill="1"/>
    <xf numFmtId="0" fontId="36" fillId="8" borderId="0" xfId="0" applyFont="1" applyFill="1" applyAlignment="1">
      <alignment horizontal="left" vertical="center" indent="2"/>
    </xf>
    <xf numFmtId="164" fontId="14" fillId="7" borderId="11" xfId="4" applyNumberFormat="1" applyFont="1" applyFill="1" applyBorder="1" applyAlignment="1" applyProtection="1">
      <alignment horizontal="center" vertical="center"/>
      <protection locked="0"/>
    </xf>
    <xf numFmtId="168" fontId="22" fillId="3" borderId="0" xfId="5" applyNumberFormat="1" applyFont="1" applyFill="1" applyAlignment="1">
      <alignment horizontal="center" vertical="center"/>
    </xf>
    <xf numFmtId="0" fontId="0" fillId="0" borderId="0" xfId="0" applyProtection="1">
      <protection locked="0"/>
    </xf>
    <xf numFmtId="0" fontId="27" fillId="5" borderId="0" xfId="0" applyFont="1" applyFill="1"/>
    <xf numFmtId="0" fontId="25" fillId="3" borderId="14" xfId="0" applyFont="1" applyFill="1" applyBorder="1" applyAlignment="1">
      <alignment vertical="center"/>
    </xf>
    <xf numFmtId="0" fontId="37" fillId="6" borderId="0" xfId="0" applyFont="1" applyFill="1" applyAlignment="1">
      <alignment horizontal="right" vertical="center"/>
    </xf>
    <xf numFmtId="0" fontId="37" fillId="10" borderId="29" xfId="0" applyFont="1" applyFill="1" applyBorder="1" applyAlignment="1">
      <alignment horizontal="center" vertical="center"/>
    </xf>
    <xf numFmtId="0" fontId="37" fillId="5" borderId="29" xfId="0" applyFont="1" applyFill="1" applyBorder="1" applyAlignment="1">
      <alignment horizontal="center" vertical="center"/>
    </xf>
    <xf numFmtId="0" fontId="21" fillId="3" borderId="33" xfId="0" applyFont="1" applyFill="1" applyBorder="1" applyAlignment="1">
      <alignment vertical="center"/>
    </xf>
    <xf numFmtId="0" fontId="39" fillId="8" borderId="0" xfId="0" applyFont="1" applyFill="1" applyAlignment="1">
      <alignment horizontal="right" vertical="center"/>
    </xf>
    <xf numFmtId="0" fontId="39" fillId="8" borderId="0" xfId="0" applyFont="1" applyFill="1" applyAlignment="1">
      <alignment vertical="center"/>
    </xf>
    <xf numFmtId="0" fontId="34" fillId="8" borderId="0" xfId="0" applyFont="1" applyFill="1" applyAlignment="1">
      <alignment horizontal="right" vertical="center" indent="2"/>
    </xf>
    <xf numFmtId="0" fontId="15" fillId="3" borderId="34" xfId="0" applyFont="1" applyFill="1" applyBorder="1"/>
    <xf numFmtId="0" fontId="16" fillId="3" borderId="34" xfId="0" applyFont="1" applyFill="1" applyBorder="1"/>
    <xf numFmtId="0" fontId="21" fillId="11" borderId="20" xfId="0" applyFont="1" applyFill="1" applyBorder="1" applyAlignment="1">
      <alignment horizontal="center" vertical="center"/>
    </xf>
    <xf numFmtId="0" fontId="21" fillId="11" borderId="24" xfId="0" applyFont="1" applyFill="1" applyBorder="1" applyAlignment="1">
      <alignment horizontal="center" vertical="center"/>
    </xf>
    <xf numFmtId="164" fontId="21" fillId="11" borderId="21" xfId="0" applyNumberFormat="1" applyFont="1" applyFill="1" applyBorder="1" applyAlignment="1">
      <alignment horizontal="center" vertical="center"/>
    </xf>
    <xf numFmtId="164" fontId="21" fillId="11" borderId="23" xfId="0" applyNumberFormat="1" applyFont="1" applyFill="1" applyBorder="1" applyAlignment="1">
      <alignment horizontal="center" vertical="center"/>
    </xf>
    <xf numFmtId="164" fontId="21" fillId="11" borderId="19" xfId="0" applyNumberFormat="1" applyFont="1" applyFill="1" applyBorder="1" applyAlignment="1">
      <alignment horizontal="center" vertical="center"/>
    </xf>
    <xf numFmtId="164" fontId="25" fillId="11" borderId="21" xfId="0" applyNumberFormat="1" applyFont="1" applyFill="1" applyBorder="1" applyAlignment="1">
      <alignment horizontal="center" vertical="center"/>
    </xf>
    <xf numFmtId="164" fontId="25" fillId="11" borderId="23" xfId="0" applyNumberFormat="1" applyFont="1" applyFill="1" applyBorder="1" applyAlignment="1">
      <alignment horizontal="center" vertical="center"/>
    </xf>
    <xf numFmtId="164" fontId="25" fillId="11" borderId="19" xfId="0" applyNumberFormat="1" applyFont="1" applyFill="1" applyBorder="1" applyAlignment="1">
      <alignment horizontal="center" vertical="center"/>
    </xf>
    <xf numFmtId="164" fontId="25" fillId="11" borderId="26" xfId="0" applyNumberFormat="1" applyFont="1" applyFill="1" applyBorder="1" applyAlignment="1">
      <alignment horizontal="center" vertical="center"/>
    </xf>
    <xf numFmtId="164" fontId="25" fillId="11" borderId="27" xfId="0" applyNumberFormat="1" applyFont="1" applyFill="1" applyBorder="1" applyAlignment="1">
      <alignment horizontal="center" vertical="center"/>
    </xf>
    <xf numFmtId="164" fontId="25" fillId="11" borderId="28" xfId="0" applyNumberFormat="1" applyFont="1" applyFill="1" applyBorder="1" applyAlignment="1">
      <alignment horizontal="center" vertical="center"/>
    </xf>
    <xf numFmtId="164" fontId="21" fillId="11" borderId="30" xfId="0" applyNumberFormat="1" applyFont="1" applyFill="1" applyBorder="1" applyAlignment="1">
      <alignment horizontal="center" vertical="center"/>
    </xf>
    <xf numFmtId="164" fontId="21" fillId="11" borderId="31" xfId="0" applyNumberFormat="1" applyFont="1" applyFill="1" applyBorder="1" applyAlignment="1">
      <alignment horizontal="center" vertical="center"/>
    </xf>
    <xf numFmtId="164" fontId="21" fillId="11" borderId="32" xfId="0" applyNumberFormat="1" applyFont="1" applyFill="1" applyBorder="1" applyAlignment="1">
      <alignment horizontal="center" vertical="center"/>
    </xf>
    <xf numFmtId="2" fontId="21" fillId="11" borderId="21" xfId="0" applyNumberFormat="1" applyFont="1" applyFill="1" applyBorder="1" applyAlignment="1">
      <alignment horizontal="center" vertical="center"/>
    </xf>
    <xf numFmtId="2" fontId="21" fillId="11" borderId="23" xfId="0" applyNumberFormat="1" applyFont="1" applyFill="1" applyBorder="1" applyAlignment="1">
      <alignment horizontal="center" vertical="center"/>
    </xf>
    <xf numFmtId="2" fontId="21" fillId="11" borderId="19" xfId="0" applyNumberFormat="1" applyFont="1" applyFill="1" applyBorder="1" applyAlignment="1">
      <alignment horizontal="center" vertical="center"/>
    </xf>
    <xf numFmtId="168" fontId="21" fillId="11" borderId="21" xfId="5" applyNumberFormat="1" applyFont="1" applyFill="1" applyBorder="1" applyAlignment="1">
      <alignment horizontal="center" vertical="center"/>
    </xf>
    <xf numFmtId="168" fontId="21" fillId="11" borderId="23" xfId="5" applyNumberFormat="1" applyFont="1" applyFill="1" applyBorder="1" applyAlignment="1">
      <alignment horizontal="center" vertical="center"/>
    </xf>
    <xf numFmtId="168" fontId="21" fillId="11" borderId="19" xfId="5" applyNumberFormat="1" applyFont="1" applyFill="1" applyBorder="1" applyAlignment="1">
      <alignment horizontal="center" vertical="center"/>
    </xf>
    <xf numFmtId="0" fontId="40" fillId="3" borderId="0" xfId="0" applyFont="1" applyFill="1" applyAlignment="1">
      <alignment horizontal="right" vertical="center"/>
    </xf>
    <xf numFmtId="0" fontId="40" fillId="3" borderId="0" xfId="0" applyFont="1" applyFill="1" applyAlignment="1">
      <alignment horizontal="left" vertical="center"/>
    </xf>
    <xf numFmtId="0" fontId="43" fillId="5" borderId="0" xfId="6" applyFont="1" applyFill="1" applyAlignment="1">
      <alignment vertical="center"/>
    </xf>
    <xf numFmtId="0" fontId="44" fillId="5" borderId="14" xfId="6" applyFont="1" applyFill="1" applyBorder="1" applyAlignment="1">
      <alignment vertical="center"/>
    </xf>
    <xf numFmtId="0" fontId="6" fillId="8" borderId="8" xfId="0" applyFont="1" applyFill="1" applyBorder="1"/>
    <xf numFmtId="0" fontId="32" fillId="8" borderId="0" xfId="0" applyFont="1" applyFill="1" applyAlignment="1">
      <alignment horizontal="right" vertical="center"/>
    </xf>
    <xf numFmtId="0" fontId="32" fillId="8" borderId="0" xfId="0" applyFont="1" applyFill="1" applyAlignment="1">
      <alignment vertical="center"/>
    </xf>
    <xf numFmtId="0" fontId="6" fillId="8" borderId="33" xfId="0" applyFont="1" applyFill="1" applyBorder="1"/>
    <xf numFmtId="0" fontId="43" fillId="5" borderId="0" xfId="6" applyFont="1" applyFill="1"/>
    <xf numFmtId="0" fontId="6" fillId="8" borderId="0" xfId="0" applyFont="1" applyFill="1" applyAlignment="1">
      <alignment horizontal="left" vertical="center" indent="3"/>
    </xf>
    <xf numFmtId="0" fontId="32" fillId="8" borderId="35" xfId="0" applyFont="1" applyFill="1" applyBorder="1" applyAlignment="1">
      <alignment vertical="center"/>
    </xf>
    <xf numFmtId="0" fontId="46" fillId="5" borderId="0" xfId="0" quotePrefix="1" applyFont="1" applyFill="1" applyAlignment="1">
      <alignment horizontal="left" vertical="center"/>
    </xf>
    <xf numFmtId="0" fontId="47" fillId="10" borderId="29" xfId="0" applyFont="1" applyFill="1" applyBorder="1" applyAlignment="1">
      <alignment horizontal="center" vertical="center"/>
    </xf>
    <xf numFmtId="0" fontId="0" fillId="12" borderId="38" xfId="0" applyFill="1" applyBorder="1"/>
    <xf numFmtId="0" fontId="0" fillId="12" borderId="39" xfId="0" applyFill="1" applyBorder="1"/>
    <xf numFmtId="0" fontId="0" fillId="12" borderId="0" xfId="0" applyFill="1"/>
    <xf numFmtId="0" fontId="0" fillId="12" borderId="40" xfId="0" applyFill="1" applyBorder="1"/>
    <xf numFmtId="0" fontId="0" fillId="12" borderId="41" xfId="0" applyFill="1" applyBorder="1"/>
    <xf numFmtId="0" fontId="48" fillId="12" borderId="0" xfId="0" applyFont="1" applyFill="1"/>
    <xf numFmtId="0" fontId="50" fillId="12" borderId="0" xfId="0" applyFont="1" applyFill="1" applyAlignment="1">
      <alignment vertical="center"/>
    </xf>
    <xf numFmtId="0" fontId="1" fillId="12" borderId="0" xfId="1" applyFill="1"/>
    <xf numFmtId="0" fontId="0" fillId="12" borderId="42" xfId="0" applyFill="1" applyBorder="1"/>
    <xf numFmtId="0" fontId="52" fillId="6" borderId="14" xfId="6" applyFont="1" applyFill="1" applyBorder="1" applyAlignment="1">
      <alignment horizontal="left"/>
    </xf>
    <xf numFmtId="0" fontId="44" fillId="6" borderId="14" xfId="0" applyFont="1" applyFill="1" applyBorder="1"/>
    <xf numFmtId="0" fontId="0" fillId="6" borderId="43" xfId="0" applyFill="1" applyBorder="1"/>
    <xf numFmtId="0" fontId="0" fillId="6" borderId="44" xfId="0" applyFill="1" applyBorder="1"/>
    <xf numFmtId="0" fontId="0" fillId="6" borderId="45" xfId="0" applyFill="1" applyBorder="1"/>
    <xf numFmtId="0" fontId="0" fillId="6" borderId="46" xfId="0" applyFill="1" applyBorder="1"/>
    <xf numFmtId="0" fontId="0" fillId="6" borderId="47" xfId="0" applyFill="1" applyBorder="1"/>
    <xf numFmtId="0" fontId="0" fillId="6" borderId="14" xfId="0" applyFill="1" applyBorder="1"/>
    <xf numFmtId="0" fontId="0" fillId="6" borderId="48" xfId="0" applyFill="1" applyBorder="1"/>
    <xf numFmtId="0" fontId="0" fillId="6" borderId="49" xfId="0" applyFill="1" applyBorder="1"/>
    <xf numFmtId="0" fontId="0" fillId="6" borderId="50" xfId="0" applyFill="1" applyBorder="1"/>
    <xf numFmtId="0" fontId="54" fillId="6" borderId="0" xfId="6" applyFont="1" applyFill="1" applyAlignment="1">
      <alignment horizontal="left"/>
    </xf>
    <xf numFmtId="0" fontId="0" fillId="10" borderId="0" xfId="0" applyFill="1"/>
    <xf numFmtId="0" fontId="52" fillId="6" borderId="0" xfId="6" applyFont="1" applyFill="1" applyAlignment="1">
      <alignment horizontal="center" vertical="center"/>
    </xf>
    <xf numFmtId="0" fontId="44" fillId="6" borderId="52" xfId="0" applyFont="1" applyFill="1" applyBorder="1" applyAlignment="1">
      <alignment horizontal="center" vertical="center"/>
    </xf>
    <xf numFmtId="0" fontId="44" fillId="6" borderId="14" xfId="0" applyFont="1" applyFill="1" applyBorder="1" applyAlignment="1">
      <alignment horizontal="center" vertical="center"/>
    </xf>
    <xf numFmtId="0" fontId="51" fillId="11" borderId="11" xfId="4" applyFont="1" applyFill="1" applyBorder="1" applyAlignment="1" applyProtection="1">
      <alignment horizontal="center" vertical="center"/>
      <protection locked="0"/>
    </xf>
    <xf numFmtId="0" fontId="53" fillId="6" borderId="51" xfId="0" applyFont="1" applyFill="1" applyBorder="1" applyAlignment="1">
      <alignment horizontal="center" vertical="center"/>
    </xf>
    <xf numFmtId="0" fontId="53" fillId="6" borderId="53" xfId="0" applyFont="1" applyFill="1" applyBorder="1" applyAlignment="1">
      <alignment horizontal="center" vertical="center"/>
    </xf>
    <xf numFmtId="0" fontId="53" fillId="6" borderId="0" xfId="0" applyFont="1" applyFill="1" applyAlignment="1">
      <alignment horizontal="center" vertical="center"/>
    </xf>
    <xf numFmtId="0" fontId="46" fillId="6" borderId="0" xfId="0" applyFont="1" applyFill="1" applyAlignment="1">
      <alignment horizontal="left"/>
    </xf>
    <xf numFmtId="0" fontId="53" fillId="6" borderId="53" xfId="0" applyFont="1" applyFill="1" applyBorder="1" applyAlignment="1">
      <alignment horizontal="center" vertical="center" wrapText="1"/>
    </xf>
    <xf numFmtId="0" fontId="42" fillId="0" borderId="0" xfId="0" applyFont="1"/>
    <xf numFmtId="0" fontId="54" fillId="10" borderId="0" xfId="6" applyFont="1" applyFill="1" applyAlignment="1">
      <alignment horizontal="left"/>
    </xf>
    <xf numFmtId="0" fontId="53" fillId="10" borderId="0" xfId="0" applyFont="1" applyFill="1" applyAlignment="1">
      <alignment horizontal="center" vertical="center"/>
    </xf>
    <xf numFmtId="0" fontId="55" fillId="10" borderId="0" xfId="0" applyFont="1" applyFill="1"/>
    <xf numFmtId="0" fontId="57" fillId="10" borderId="0" xfId="0" applyFont="1" applyFill="1"/>
    <xf numFmtId="0" fontId="42" fillId="6" borderId="46" xfId="0" applyFont="1" applyFill="1" applyBorder="1"/>
    <xf numFmtId="0" fontId="42" fillId="10" borderId="0" xfId="0" applyFont="1" applyFill="1" applyAlignment="1">
      <alignment horizontal="left"/>
    </xf>
    <xf numFmtId="0" fontId="58" fillId="10" borderId="0" xfId="0" applyFont="1" applyFill="1" applyAlignment="1">
      <alignment horizontal="left" vertical="center"/>
    </xf>
    <xf numFmtId="0" fontId="6" fillId="9" borderId="54" xfId="0" applyFont="1" applyFill="1" applyBorder="1"/>
    <xf numFmtId="0" fontId="6" fillId="9" borderId="55" xfId="0" applyFont="1" applyFill="1" applyBorder="1"/>
    <xf numFmtId="164" fontId="15" fillId="9" borderId="55" xfId="0" applyNumberFormat="1" applyFont="1" applyFill="1" applyBorder="1"/>
    <xf numFmtId="0" fontId="52" fillId="6" borderId="14" xfId="6" applyFont="1" applyFill="1" applyBorder="1" applyAlignment="1">
      <alignment horizontal="left" vertical="center"/>
    </xf>
    <xf numFmtId="0" fontId="0" fillId="6" borderId="46" xfId="0" applyFill="1" applyBorder="1" applyAlignment="1">
      <alignment vertical="center"/>
    </xf>
    <xf numFmtId="0" fontId="0" fillId="6" borderId="14" xfId="0" applyFill="1" applyBorder="1" applyAlignment="1">
      <alignment vertical="center"/>
    </xf>
    <xf numFmtId="0" fontId="0" fillId="6" borderId="0" xfId="0" applyFill="1" applyAlignment="1">
      <alignment vertical="center"/>
    </xf>
    <xf numFmtId="0" fontId="0" fillId="6" borderId="47" xfId="0" applyFill="1" applyBorder="1" applyAlignment="1">
      <alignment vertical="center"/>
    </xf>
    <xf numFmtId="0" fontId="0" fillId="0" borderId="0" xfId="0" applyAlignment="1">
      <alignment vertical="center"/>
    </xf>
    <xf numFmtId="0" fontId="54" fillId="6" borderId="0" xfId="6" applyFont="1" applyFill="1" applyAlignment="1">
      <alignment horizontal="left" vertical="center"/>
    </xf>
    <xf numFmtId="0" fontId="53" fillId="6" borderId="0" xfId="0" applyFont="1" applyFill="1" applyAlignment="1">
      <alignment vertical="center"/>
    </xf>
    <xf numFmtId="0" fontId="44" fillId="6" borderId="58" xfId="0" applyFont="1" applyFill="1" applyBorder="1" applyAlignment="1">
      <alignment vertical="center"/>
    </xf>
    <xf numFmtId="0" fontId="53" fillId="6" borderId="14" xfId="0" applyFont="1" applyFill="1" applyBorder="1" applyAlignment="1">
      <alignment vertical="center"/>
    </xf>
    <xf numFmtId="0" fontId="53" fillId="6" borderId="57" xfId="0" applyFont="1" applyFill="1" applyBorder="1" applyAlignment="1">
      <alignment vertical="center"/>
    </xf>
    <xf numFmtId="0" fontId="21" fillId="3" borderId="36" xfId="0" applyFont="1" applyFill="1" applyBorder="1" applyAlignment="1">
      <alignment vertical="center"/>
    </xf>
    <xf numFmtId="0" fontId="63" fillId="3" borderId="8" xfId="0" applyFont="1" applyFill="1" applyBorder="1"/>
    <xf numFmtId="0" fontId="63" fillId="3" borderId="14" xfId="0" applyFont="1" applyFill="1" applyBorder="1" applyAlignment="1">
      <alignment horizontal="left"/>
    </xf>
    <xf numFmtId="0" fontId="62" fillId="3" borderId="0" xfId="0" applyFont="1" applyFill="1" applyAlignment="1">
      <alignment horizontal="left"/>
    </xf>
    <xf numFmtId="0" fontId="62" fillId="3" borderId="0" xfId="0" applyFont="1" applyFill="1"/>
    <xf numFmtId="0" fontId="63" fillId="3" borderId="0" xfId="0" applyFont="1" applyFill="1" applyAlignment="1">
      <alignment horizontal="left"/>
    </xf>
    <xf numFmtId="169" fontId="14" fillId="7" borderId="13" xfId="4" applyNumberFormat="1" applyFont="1" applyFill="1" applyBorder="1" applyAlignment="1" applyProtection="1">
      <alignment horizontal="center" vertical="center"/>
      <protection locked="0"/>
    </xf>
    <xf numFmtId="1" fontId="0" fillId="0" borderId="0" xfId="5" applyNumberFormat="1" applyFont="1"/>
    <xf numFmtId="0" fontId="0" fillId="0" borderId="59" xfId="0" applyBorder="1"/>
    <xf numFmtId="0" fontId="0" fillId="0" borderId="60" xfId="0" applyBorder="1"/>
    <xf numFmtId="0" fontId="0" fillId="0" borderId="61" xfId="0" applyBorder="1"/>
    <xf numFmtId="2" fontId="0" fillId="0" borderId="18" xfId="0" applyNumberFormat="1" applyBorder="1"/>
    <xf numFmtId="170" fontId="0" fillId="6" borderId="0" xfId="0" applyNumberFormat="1" applyFill="1"/>
    <xf numFmtId="0" fontId="64" fillId="3" borderId="0" xfId="0" applyFont="1" applyFill="1" applyAlignment="1">
      <alignment horizontal="left" vertical="center"/>
    </xf>
    <xf numFmtId="0" fontId="6" fillId="8" borderId="0" xfId="0" applyFont="1" applyFill="1" applyAlignment="1">
      <alignment horizontal="center" vertical="center"/>
    </xf>
    <xf numFmtId="0" fontId="0" fillId="0" borderId="0" xfId="0" quotePrefix="1"/>
    <xf numFmtId="0" fontId="66" fillId="0" borderId="0" xfId="0" applyFont="1"/>
    <xf numFmtId="0" fontId="66" fillId="0" borderId="0" xfId="0" applyFont="1" applyAlignment="1">
      <alignment vertical="center"/>
    </xf>
    <xf numFmtId="0" fontId="67" fillId="6" borderId="0" xfId="0" applyFont="1" applyFill="1"/>
    <xf numFmtId="0" fontId="28" fillId="0" borderId="0" xfId="0" applyFont="1"/>
    <xf numFmtId="169" fontId="14" fillId="4" borderId="13" xfId="4" applyNumberFormat="1" applyFont="1" applyFill="1" applyBorder="1" applyAlignment="1" applyProtection="1">
      <alignment horizontal="center" vertical="center"/>
      <protection locked="0"/>
    </xf>
    <xf numFmtId="0" fontId="16" fillId="3" borderId="0" xfId="0" quotePrefix="1" applyFont="1" applyFill="1"/>
    <xf numFmtId="0" fontId="29" fillId="8" borderId="0" xfId="0" applyFont="1" applyFill="1" applyAlignment="1">
      <alignment horizontal="left" vertical="center"/>
    </xf>
    <xf numFmtId="0" fontId="44" fillId="5" borderId="37" xfId="6" applyFont="1" applyFill="1" applyBorder="1" applyAlignment="1">
      <alignment vertical="center"/>
    </xf>
    <xf numFmtId="0" fontId="44" fillId="5" borderId="37" xfId="6" applyFont="1" applyFill="1" applyBorder="1" applyAlignment="1">
      <alignment horizontal="right" vertical="center"/>
    </xf>
    <xf numFmtId="0" fontId="68" fillId="8" borderId="0" xfId="0" applyFont="1" applyFill="1" applyAlignment="1">
      <alignment horizontal="left" vertical="top" indent="1"/>
    </xf>
    <xf numFmtId="0" fontId="39" fillId="8" borderId="0" xfId="0" applyFont="1" applyFill="1" applyAlignment="1">
      <alignment horizontal="right" vertical="top"/>
    </xf>
    <xf numFmtId="0" fontId="39" fillId="8" borderId="0" xfId="0" applyFont="1" applyFill="1" applyAlignment="1">
      <alignment horizontal="left" vertical="top"/>
    </xf>
    <xf numFmtId="0" fontId="6" fillId="8" borderId="0" xfId="0" applyFont="1" applyFill="1" applyAlignment="1">
      <alignment vertical="top"/>
    </xf>
    <xf numFmtId="0" fontId="27" fillId="8" borderId="0" xfId="0" applyFont="1" applyFill="1" applyAlignment="1">
      <alignment horizontal="left" vertical="top"/>
    </xf>
    <xf numFmtId="0" fontId="39" fillId="3" borderId="12" xfId="0" applyFont="1" applyFill="1" applyBorder="1" applyAlignment="1">
      <alignment horizontal="right" vertical="center"/>
    </xf>
    <xf numFmtId="0" fontId="39" fillId="3" borderId="0" xfId="0" applyFont="1" applyFill="1" applyAlignment="1">
      <alignment vertical="center"/>
    </xf>
    <xf numFmtId="0" fontId="40" fillId="3" borderId="0" xfId="0" applyFont="1" applyFill="1"/>
    <xf numFmtId="164" fontId="21" fillId="11" borderId="62" xfId="0" applyNumberFormat="1" applyFont="1" applyFill="1" applyBorder="1" applyAlignment="1">
      <alignment horizontal="center" vertical="center"/>
    </xf>
    <xf numFmtId="164" fontId="25" fillId="11" borderId="62" xfId="0" applyNumberFormat="1" applyFont="1" applyFill="1" applyBorder="1" applyAlignment="1">
      <alignment horizontal="center" vertical="center"/>
    </xf>
    <xf numFmtId="170" fontId="29" fillId="11" borderId="62" xfId="0" applyNumberFormat="1" applyFont="1" applyFill="1" applyBorder="1" applyAlignment="1">
      <alignment horizontal="center" vertical="center"/>
    </xf>
    <xf numFmtId="168" fontId="21" fillId="11" borderId="62" xfId="5" applyNumberFormat="1" applyFont="1" applyFill="1" applyBorder="1" applyAlignment="1">
      <alignment horizontal="center" vertical="center"/>
    </xf>
    <xf numFmtId="168" fontId="21" fillId="11" borderId="64" xfId="5" applyNumberFormat="1" applyFont="1" applyFill="1" applyBorder="1" applyAlignment="1">
      <alignment horizontal="center" vertical="center"/>
    </xf>
    <xf numFmtId="1" fontId="21" fillId="11" borderId="63" xfId="0" applyNumberFormat="1" applyFont="1" applyFill="1" applyBorder="1" applyAlignment="1">
      <alignment horizontal="center" vertical="center"/>
    </xf>
    <xf numFmtId="2" fontId="21" fillId="11" borderId="65" xfId="0" applyNumberFormat="1" applyFont="1" applyFill="1" applyBorder="1" applyAlignment="1">
      <alignment horizontal="center" vertical="center"/>
    </xf>
    <xf numFmtId="164" fontId="25" fillId="11" borderId="66" xfId="0" applyNumberFormat="1" applyFont="1" applyFill="1" applyBorder="1" applyAlignment="1">
      <alignment horizontal="center" vertical="center"/>
    </xf>
    <xf numFmtId="164" fontId="21" fillId="11" borderId="66" xfId="0" applyNumberFormat="1" applyFont="1" applyFill="1" applyBorder="1" applyAlignment="1">
      <alignment horizontal="center" vertical="center"/>
    </xf>
    <xf numFmtId="164" fontId="21" fillId="11" borderId="65" xfId="0" applyNumberFormat="1" applyFont="1" applyFill="1" applyBorder="1" applyAlignment="1">
      <alignment horizontal="center" vertical="center"/>
    </xf>
    <xf numFmtId="0" fontId="40" fillId="3" borderId="0" xfId="0" applyFont="1" applyFill="1" applyAlignment="1">
      <alignment vertical="top"/>
    </xf>
    <xf numFmtId="164" fontId="25" fillId="11" borderId="68" xfId="0" applyNumberFormat="1" applyFont="1" applyFill="1" applyBorder="1" applyAlignment="1">
      <alignment horizontal="center" vertical="center"/>
    </xf>
    <xf numFmtId="164" fontId="25" fillId="11" borderId="69" xfId="0" applyNumberFormat="1" applyFont="1" applyFill="1" applyBorder="1" applyAlignment="1">
      <alignment horizontal="center" vertical="center"/>
    </xf>
    <xf numFmtId="164" fontId="25" fillId="11" borderId="70" xfId="0" applyNumberFormat="1" applyFont="1" applyFill="1" applyBorder="1" applyAlignment="1">
      <alignment horizontal="center" vertical="center"/>
    </xf>
    <xf numFmtId="164" fontId="21" fillId="11" borderId="0" xfId="0" applyNumberFormat="1" applyFont="1" applyFill="1" applyAlignment="1">
      <alignment horizontal="center" vertical="center"/>
    </xf>
    <xf numFmtId="164" fontId="21" fillId="11" borderId="71" xfId="0" applyNumberFormat="1" applyFont="1" applyFill="1" applyBorder="1" applyAlignment="1">
      <alignment horizontal="center" vertical="center"/>
    </xf>
    <xf numFmtId="164" fontId="21" fillId="11" borderId="73" xfId="0" applyNumberFormat="1" applyFont="1" applyFill="1" applyBorder="1" applyAlignment="1">
      <alignment horizontal="center" vertical="center"/>
    </xf>
    <xf numFmtId="164" fontId="21" fillId="11" borderId="74" xfId="0" applyNumberFormat="1" applyFont="1" applyFill="1" applyBorder="1" applyAlignment="1">
      <alignment horizontal="center" vertical="center"/>
    </xf>
    <xf numFmtId="0" fontId="70" fillId="0" borderId="0" xfId="0" applyFont="1"/>
    <xf numFmtId="9" fontId="0" fillId="0" borderId="18" xfId="0" applyNumberFormat="1" applyBorder="1"/>
    <xf numFmtId="0" fontId="26" fillId="8" borderId="0" xfId="0" applyFont="1" applyFill="1" applyAlignment="1">
      <alignment horizontal="left" vertical="center"/>
    </xf>
    <xf numFmtId="0" fontId="71" fillId="0" borderId="0" xfId="0" applyFont="1"/>
    <xf numFmtId="0" fontId="6" fillId="3" borderId="33" xfId="0" applyFont="1" applyFill="1" applyBorder="1" applyProtection="1">
      <protection locked="0"/>
    </xf>
    <xf numFmtId="0" fontId="63" fillId="3" borderId="0" xfId="0" applyFont="1" applyFill="1"/>
    <xf numFmtId="0" fontId="0" fillId="0" borderId="51" xfId="0" applyBorder="1"/>
    <xf numFmtId="0" fontId="6" fillId="2" borderId="75" xfId="0" applyFont="1" applyFill="1" applyBorder="1"/>
    <xf numFmtId="0" fontId="6" fillId="2" borderId="51" xfId="0" applyFont="1" applyFill="1" applyBorder="1"/>
    <xf numFmtId="0" fontId="63" fillId="3" borderId="51" xfId="0" applyFont="1" applyFill="1" applyBorder="1"/>
    <xf numFmtId="0" fontId="6" fillId="3" borderId="51" xfId="0" applyFont="1" applyFill="1" applyBorder="1"/>
    <xf numFmtId="164" fontId="6" fillId="3" borderId="0" xfId="0" applyNumberFormat="1" applyFont="1" applyFill="1"/>
    <xf numFmtId="164" fontId="16" fillId="3" borderId="0" xfId="0" applyNumberFormat="1" applyFont="1" applyFill="1"/>
    <xf numFmtId="0" fontId="24" fillId="0" borderId="18" xfId="0" applyFont="1" applyBorder="1"/>
    <xf numFmtId="0" fontId="35" fillId="0" borderId="0" xfId="0" applyFont="1"/>
    <xf numFmtId="11" fontId="35" fillId="0" borderId="0" xfId="0" applyNumberFormat="1" applyFont="1"/>
    <xf numFmtId="0" fontId="35" fillId="0" borderId="18" xfId="0" applyFont="1" applyBorder="1"/>
    <xf numFmtId="11" fontId="35" fillId="0" borderId="18" xfId="0" applyNumberFormat="1" applyFont="1" applyBorder="1"/>
    <xf numFmtId="2" fontId="71" fillId="0" borderId="0" xfId="0" applyNumberFormat="1" applyFont="1"/>
    <xf numFmtId="0" fontId="44" fillId="5" borderId="14" xfId="6" applyFont="1" applyFill="1" applyBorder="1" applyAlignment="1">
      <alignment horizontal="left" vertical="center" wrapText="1"/>
    </xf>
    <xf numFmtId="164" fontId="66" fillId="0" borderId="0" xfId="0" applyNumberFormat="1" applyFont="1"/>
    <xf numFmtId="0" fontId="72" fillId="0" borderId="0" xfId="0" applyFont="1" applyAlignment="1">
      <alignment vertical="top"/>
    </xf>
    <xf numFmtId="1" fontId="66" fillId="0" borderId="0" xfId="0" applyNumberFormat="1" applyFont="1"/>
    <xf numFmtId="2" fontId="66" fillId="0" borderId="0" xfId="0" applyNumberFormat="1" applyFont="1" applyAlignment="1">
      <alignment horizontal="right"/>
    </xf>
    <xf numFmtId="2" fontId="0" fillId="0" borderId="0" xfId="0" applyNumberFormat="1" applyAlignment="1">
      <alignment horizontal="right"/>
    </xf>
    <xf numFmtId="0" fontId="65" fillId="0" borderId="0" xfId="0" applyFont="1" applyAlignment="1">
      <alignment vertical="center"/>
    </xf>
    <xf numFmtId="0" fontId="6" fillId="8" borderId="0" xfId="0" applyFont="1" applyFill="1" applyAlignment="1">
      <alignment horizontal="left" vertical="center"/>
    </xf>
    <xf numFmtId="0" fontId="5" fillId="5" borderId="0" xfId="6" applyFont="1" applyFill="1" applyBorder="1" applyAlignment="1">
      <alignment horizontal="right" vertical="top"/>
    </xf>
    <xf numFmtId="0" fontId="45" fillId="8" borderId="0" xfId="0" quotePrefix="1" applyFont="1" applyFill="1" applyAlignment="1">
      <alignment horizontal="left" vertical="center"/>
    </xf>
    <xf numFmtId="0" fontId="46" fillId="5" borderId="0" xfId="0" applyFont="1" applyFill="1" applyAlignment="1">
      <alignment horizontal="left" vertical="center"/>
    </xf>
    <xf numFmtId="0" fontId="74" fillId="5" borderId="0" xfId="0" quotePrefix="1" applyFont="1" applyFill="1" applyAlignment="1">
      <alignment horizontal="left" vertical="top"/>
    </xf>
    <xf numFmtId="0" fontId="74" fillId="5" borderId="0" xfId="0" quotePrefix="1" applyFont="1" applyFill="1" applyAlignment="1">
      <alignment horizontal="left"/>
    </xf>
    <xf numFmtId="2" fontId="66" fillId="0" borderId="0" xfId="0" applyNumberFormat="1" applyFont="1" applyAlignment="1">
      <alignment horizontal="left" vertical="center"/>
    </xf>
    <xf numFmtId="0" fontId="34" fillId="3" borderId="0" xfId="0" applyFont="1" applyFill="1" applyAlignment="1">
      <alignment vertical="center"/>
    </xf>
    <xf numFmtId="2" fontId="76" fillId="0" borderId="0" xfId="0" applyNumberFormat="1" applyFont="1"/>
    <xf numFmtId="0" fontId="76" fillId="0" borderId="0" xfId="0" applyFont="1"/>
    <xf numFmtId="164" fontId="60" fillId="9" borderId="55" xfId="7" applyNumberFormat="1" applyFont="1" applyFill="1" applyBorder="1" applyAlignment="1">
      <alignment horizontal="center" vertical="center"/>
    </xf>
    <xf numFmtId="0" fontId="21" fillId="11" borderId="76" xfId="0" applyFont="1" applyFill="1" applyBorder="1" applyAlignment="1">
      <alignment horizontal="center" vertical="center"/>
    </xf>
    <xf numFmtId="0" fontId="0" fillId="0" borderId="77" xfId="0" applyBorder="1"/>
    <xf numFmtId="2" fontId="60" fillId="0" borderId="0" xfId="0" applyNumberFormat="1" applyFont="1"/>
    <xf numFmtId="0" fontId="60" fillId="0" borderId="0" xfId="0" applyFont="1"/>
    <xf numFmtId="0" fontId="0" fillId="0" borderId="0" xfId="0" applyAlignment="1">
      <alignment horizontal="left" indent="1"/>
    </xf>
    <xf numFmtId="0" fontId="21" fillId="11" borderId="78" xfId="0" applyFont="1" applyFill="1" applyBorder="1" applyAlignment="1">
      <alignment horizontal="center" vertical="center"/>
    </xf>
    <xf numFmtId="0" fontId="44" fillId="5" borderId="0" xfId="6" applyFont="1" applyFill="1" applyAlignment="1">
      <alignment horizontal="left" vertical="center" wrapText="1"/>
    </xf>
    <xf numFmtId="0" fontId="6" fillId="3" borderId="0" xfId="0" applyFont="1" applyFill="1" applyProtection="1">
      <protection locked="0"/>
    </xf>
    <xf numFmtId="0" fontId="27" fillId="3" borderId="0" xfId="0" applyFont="1" applyFill="1" applyProtection="1">
      <protection locked="0"/>
    </xf>
    <xf numFmtId="0" fontId="69" fillId="3" borderId="0" xfId="0" applyFont="1" applyFill="1" applyProtection="1">
      <protection locked="0"/>
    </xf>
    <xf numFmtId="0" fontId="44" fillId="5" borderId="0" xfId="6" applyFont="1" applyFill="1" applyBorder="1" applyAlignment="1">
      <alignment horizontal="left" vertical="center" wrapText="1"/>
    </xf>
    <xf numFmtId="0" fontId="14" fillId="7" borderId="0" xfId="4" applyFont="1" applyFill="1" applyBorder="1" applyAlignment="1" applyProtection="1">
      <alignment horizontal="center" vertical="center"/>
      <protection locked="0"/>
    </xf>
    <xf numFmtId="0" fontId="21" fillId="11" borderId="79" xfId="0" applyFont="1" applyFill="1" applyBorder="1" applyAlignment="1">
      <alignment horizontal="center" vertical="center"/>
    </xf>
    <xf numFmtId="0" fontId="6" fillId="3" borderId="14" xfId="0" applyFont="1" applyFill="1" applyBorder="1" applyProtection="1">
      <protection locked="0"/>
    </xf>
    <xf numFmtId="0" fontId="27" fillId="3" borderId="14" xfId="0" applyFont="1" applyFill="1" applyBorder="1" applyProtection="1">
      <protection locked="0"/>
    </xf>
    <xf numFmtId="0" fontId="6" fillId="3" borderId="36" xfId="0" applyFont="1" applyFill="1" applyBorder="1" applyProtection="1">
      <protection locked="0"/>
    </xf>
    <xf numFmtId="0" fontId="6" fillId="3" borderId="37" xfId="0" applyFont="1" applyFill="1" applyBorder="1"/>
    <xf numFmtId="0" fontId="77" fillId="3" borderId="14" xfId="0" applyFont="1" applyFill="1" applyBorder="1" applyAlignment="1">
      <alignment horizontal="left" vertical="center"/>
    </xf>
    <xf numFmtId="0" fontId="16" fillId="7" borderId="0" xfId="0" applyFont="1" applyFill="1"/>
    <xf numFmtId="0" fontId="6" fillId="3" borderId="19" xfId="0" applyFont="1" applyFill="1" applyBorder="1"/>
    <xf numFmtId="0" fontId="6" fillId="3" borderId="80" xfId="0" applyFont="1" applyFill="1" applyBorder="1" applyAlignment="1">
      <alignment vertical="center"/>
    </xf>
    <xf numFmtId="0" fontId="27" fillId="3" borderId="19" xfId="0" applyFont="1" applyFill="1" applyBorder="1" applyAlignment="1">
      <alignment vertical="center"/>
    </xf>
    <xf numFmtId="0" fontId="27" fillId="3" borderId="22" xfId="0" applyFont="1" applyFill="1" applyBorder="1" applyAlignment="1">
      <alignment vertical="center"/>
    </xf>
    <xf numFmtId="0" fontId="69" fillId="3" borderId="19" xfId="0" applyFont="1" applyFill="1" applyBorder="1" applyAlignment="1">
      <alignment vertical="center"/>
    </xf>
    <xf numFmtId="0" fontId="6" fillId="3" borderId="19" xfId="0" applyFont="1" applyFill="1" applyBorder="1" applyAlignment="1">
      <alignment vertical="center"/>
    </xf>
    <xf numFmtId="0" fontId="6" fillId="3" borderId="81" xfId="0" applyFont="1" applyFill="1" applyBorder="1" applyAlignment="1">
      <alignment vertical="center"/>
    </xf>
    <xf numFmtId="0" fontId="6" fillId="3" borderId="19" xfId="0" applyFont="1" applyFill="1" applyBorder="1" applyAlignment="1">
      <alignment horizontal="right" vertical="center"/>
    </xf>
    <xf numFmtId="0" fontId="6" fillId="3" borderId="22" xfId="0" applyFont="1" applyFill="1" applyBorder="1" applyAlignment="1">
      <alignment horizontal="right" vertical="center"/>
    </xf>
    <xf numFmtId="0" fontId="6" fillId="0" borderId="0" xfId="0" applyFont="1"/>
    <xf numFmtId="0" fontId="36" fillId="8" borderId="0" xfId="0" applyFont="1" applyFill="1" applyAlignment="1">
      <alignment horizontal="right" vertical="center"/>
    </xf>
    <xf numFmtId="1" fontId="21" fillId="11" borderId="0" xfId="0" applyNumberFormat="1" applyFont="1" applyFill="1" applyAlignment="1">
      <alignment horizontal="center" vertical="center"/>
    </xf>
    <xf numFmtId="0" fontId="21" fillId="3" borderId="82" xfId="0" applyFont="1" applyFill="1" applyBorder="1" applyAlignment="1">
      <alignment vertical="center"/>
    </xf>
    <xf numFmtId="0" fontId="6" fillId="3" borderId="83" xfId="0" applyFont="1" applyFill="1" applyBorder="1" applyAlignment="1">
      <alignment vertical="center"/>
    </xf>
    <xf numFmtId="1" fontId="21" fillId="11" borderId="84" xfId="0" applyNumberFormat="1" applyFont="1" applyFill="1" applyBorder="1" applyAlignment="1">
      <alignment horizontal="center" vertical="center"/>
    </xf>
    <xf numFmtId="1" fontId="21" fillId="11" borderId="85" xfId="0" applyNumberFormat="1" applyFont="1" applyFill="1" applyBorder="1" applyAlignment="1">
      <alignment horizontal="center" vertical="center"/>
    </xf>
    <xf numFmtId="1" fontId="21" fillId="11" borderId="86" xfId="0" applyNumberFormat="1" applyFont="1" applyFill="1" applyBorder="1" applyAlignment="1">
      <alignment horizontal="center" vertical="center"/>
    </xf>
    <xf numFmtId="0" fontId="6" fillId="3" borderId="36" xfId="0" applyFont="1" applyFill="1" applyBorder="1"/>
    <xf numFmtId="0" fontId="6" fillId="3" borderId="82" xfId="0" applyFont="1" applyFill="1" applyBorder="1" applyAlignment="1">
      <alignment horizontal="center" vertical="center"/>
    </xf>
    <xf numFmtId="0" fontId="40" fillId="7" borderId="0" xfId="0" applyFont="1" applyFill="1" applyAlignment="1">
      <alignment horizontal="left" vertical="center"/>
    </xf>
    <xf numFmtId="165" fontId="0" fillId="0" borderId="87" xfId="0" applyNumberFormat="1" applyBorder="1"/>
    <xf numFmtId="0" fontId="0" fillId="0" borderId="87" xfId="0" applyBorder="1"/>
    <xf numFmtId="0" fontId="78" fillId="3" borderId="72" xfId="0" applyFont="1" applyFill="1" applyBorder="1" applyAlignment="1">
      <alignment horizontal="left" vertical="center"/>
    </xf>
    <xf numFmtId="0" fontId="36" fillId="8" borderId="0" xfId="0" applyFont="1" applyFill="1" applyAlignment="1">
      <alignment vertical="center"/>
    </xf>
    <xf numFmtId="0" fontId="27" fillId="8" borderId="0" xfId="0" applyFont="1" applyFill="1" applyAlignment="1">
      <alignment horizontal="left"/>
    </xf>
    <xf numFmtId="164" fontId="21" fillId="11" borderId="27" xfId="5" applyNumberFormat="1" applyFont="1" applyFill="1" applyBorder="1" applyAlignment="1">
      <alignment horizontal="center" vertical="center"/>
    </xf>
    <xf numFmtId="164" fontId="21" fillId="11" borderId="26" xfId="5" applyNumberFormat="1" applyFont="1" applyFill="1" applyBorder="1" applyAlignment="1">
      <alignment horizontal="center" vertical="center"/>
    </xf>
    <xf numFmtId="164" fontId="21" fillId="11" borderId="28" xfId="5" applyNumberFormat="1" applyFont="1" applyFill="1" applyBorder="1" applyAlignment="1">
      <alignment horizontal="center" vertical="center"/>
    </xf>
    <xf numFmtId="0" fontId="5" fillId="13" borderId="0" xfId="0" applyFont="1" applyFill="1"/>
    <xf numFmtId="0" fontId="6" fillId="8" borderId="0" xfId="0" applyFont="1" applyFill="1" applyAlignment="1">
      <alignment vertical="center"/>
    </xf>
    <xf numFmtId="0" fontId="6" fillId="8" borderId="0" xfId="0" applyFont="1" applyFill="1" applyAlignment="1">
      <alignment horizontal="left" vertical="center" indent="2"/>
    </xf>
    <xf numFmtId="0" fontId="6" fillId="8" borderId="0" xfId="0" applyFont="1" applyFill="1" applyAlignment="1">
      <alignment horizontal="left" vertical="center" indent="1"/>
    </xf>
    <xf numFmtId="0" fontId="0" fillId="5" borderId="0" xfId="0" applyFill="1" applyAlignment="1">
      <alignment vertical="center"/>
    </xf>
    <xf numFmtId="0" fontId="44" fillId="5" borderId="0" xfId="6" applyFont="1" applyFill="1" applyBorder="1" applyAlignment="1">
      <alignment vertical="center"/>
    </xf>
    <xf numFmtId="0" fontId="32" fillId="8" borderId="0" xfId="0" applyFont="1" applyFill="1" applyAlignment="1">
      <alignment horizontal="center" vertical="center"/>
    </xf>
    <xf numFmtId="0" fontId="37" fillId="5" borderId="0" xfId="0" applyFont="1" applyFill="1" applyAlignment="1">
      <alignment vertical="center"/>
    </xf>
    <xf numFmtId="0" fontId="37" fillId="5" borderId="37" xfId="0" quotePrefix="1" applyFont="1" applyFill="1" applyBorder="1" applyAlignment="1">
      <alignment horizontal="left" vertical="center"/>
    </xf>
    <xf numFmtId="0" fontId="44" fillId="5" borderId="33" xfId="6" applyFont="1" applyFill="1" applyBorder="1" applyAlignment="1">
      <alignment vertical="center"/>
    </xf>
    <xf numFmtId="0" fontId="74" fillId="5" borderId="37" xfId="0" quotePrefix="1" applyFont="1" applyFill="1" applyBorder="1" applyAlignment="1">
      <alignment horizontal="left" vertical="center"/>
    </xf>
    <xf numFmtId="0" fontId="21" fillId="3" borderId="0" xfId="0" applyFont="1" applyFill="1" applyAlignment="1">
      <alignment horizontal="left" vertical="center"/>
    </xf>
    <xf numFmtId="1" fontId="21" fillId="11" borderId="88" xfId="0" applyNumberFormat="1" applyFont="1" applyFill="1" applyBorder="1" applyAlignment="1">
      <alignment horizontal="center" vertical="center"/>
    </xf>
    <xf numFmtId="9" fontId="21" fillId="11" borderId="21" xfId="5" applyFont="1" applyFill="1" applyBorder="1" applyAlignment="1">
      <alignment horizontal="center" vertical="center"/>
    </xf>
    <xf numFmtId="9" fontId="21" fillId="11" borderId="23" xfId="5" applyFont="1" applyFill="1" applyBorder="1" applyAlignment="1">
      <alignment horizontal="center" vertical="center"/>
    </xf>
    <xf numFmtId="9" fontId="21" fillId="11" borderId="26" xfId="5" applyFont="1" applyFill="1" applyBorder="1" applyAlignment="1">
      <alignment horizontal="center" vertical="center"/>
    </xf>
    <xf numFmtId="9" fontId="21" fillId="11" borderId="89" xfId="5" applyFont="1" applyFill="1" applyBorder="1" applyAlignment="1">
      <alignment horizontal="center" vertical="center"/>
    </xf>
    <xf numFmtId="9" fontId="21" fillId="11" borderId="90" xfId="5" applyFont="1" applyFill="1" applyBorder="1" applyAlignment="1">
      <alignment horizontal="center" vertical="center"/>
    </xf>
    <xf numFmtId="9" fontId="21" fillId="11" borderId="27" xfId="5" applyFont="1" applyFill="1" applyBorder="1" applyAlignment="1">
      <alignment horizontal="center" vertical="center"/>
    </xf>
    <xf numFmtId="9" fontId="21" fillId="11" borderId="28" xfId="5" applyFont="1" applyFill="1" applyBorder="1" applyAlignment="1">
      <alignment horizontal="center" vertical="center"/>
    </xf>
    <xf numFmtId="0" fontId="68" fillId="8" borderId="0" xfId="0" applyFont="1" applyFill="1" applyAlignment="1">
      <alignment vertical="top" wrapText="1"/>
    </xf>
    <xf numFmtId="0" fontId="68" fillId="8" borderId="0" xfId="0" applyFont="1" applyFill="1" applyAlignment="1">
      <alignment horizontal="left" vertical="top"/>
    </xf>
    <xf numFmtId="0" fontId="68" fillId="8" borderId="0" xfId="0" applyFont="1" applyFill="1" applyAlignment="1">
      <alignment wrapText="1"/>
    </xf>
    <xf numFmtId="0" fontId="5" fillId="6" borderId="0" xfId="0" applyFont="1" applyFill="1"/>
    <xf numFmtId="0" fontId="40" fillId="3" borderId="0" xfId="0" applyFont="1" applyFill="1" applyAlignment="1">
      <alignment horizontal="left" vertical="top"/>
    </xf>
    <xf numFmtId="2" fontId="21" fillId="11" borderId="21" xfId="5" applyNumberFormat="1" applyFont="1" applyFill="1" applyBorder="1" applyAlignment="1">
      <alignment horizontal="center" vertical="center"/>
    </xf>
    <xf numFmtId="2" fontId="21" fillId="11" borderId="23" xfId="5" applyNumberFormat="1" applyFont="1" applyFill="1" applyBorder="1" applyAlignment="1">
      <alignment horizontal="center" vertical="center"/>
    </xf>
    <xf numFmtId="2" fontId="21" fillId="11" borderId="19" xfId="5" applyNumberFormat="1" applyFont="1" applyFill="1" applyBorder="1" applyAlignment="1">
      <alignment horizontal="center" vertical="center"/>
    </xf>
    <xf numFmtId="171" fontId="21" fillId="11" borderId="21" xfId="0" applyNumberFormat="1" applyFont="1" applyFill="1" applyBorder="1" applyAlignment="1">
      <alignment horizontal="center" vertical="center"/>
    </xf>
    <xf numFmtId="171" fontId="21" fillId="11" borderId="23" xfId="0" applyNumberFormat="1" applyFont="1" applyFill="1" applyBorder="1" applyAlignment="1">
      <alignment horizontal="center" vertical="center"/>
    </xf>
    <xf numFmtId="171" fontId="21" fillId="11" borderId="19" xfId="0" applyNumberFormat="1" applyFont="1" applyFill="1" applyBorder="1" applyAlignment="1">
      <alignment horizontal="center" vertical="center"/>
    </xf>
    <xf numFmtId="2" fontId="21" fillId="11" borderId="91" xfId="5" applyNumberFormat="1" applyFont="1" applyFill="1" applyBorder="1" applyAlignment="1">
      <alignment horizontal="center" vertical="center"/>
    </xf>
    <xf numFmtId="2" fontId="21" fillId="11" borderId="92" xfId="5" applyNumberFormat="1" applyFont="1" applyFill="1" applyBorder="1" applyAlignment="1">
      <alignment horizontal="center" vertical="center"/>
    </xf>
    <xf numFmtId="1" fontId="21" fillId="11" borderId="93" xfId="0" applyNumberFormat="1" applyFont="1" applyFill="1" applyBorder="1" applyAlignment="1">
      <alignment horizontal="center" vertical="center"/>
    </xf>
    <xf numFmtId="0" fontId="40" fillId="3" borderId="0" xfId="0" quotePrefix="1" applyFont="1" applyFill="1" applyAlignment="1">
      <alignment vertical="top" wrapText="1"/>
    </xf>
    <xf numFmtId="0" fontId="79" fillId="8" borderId="0" xfId="0" applyFont="1" applyFill="1" applyAlignment="1">
      <alignment horizontal="right"/>
    </xf>
    <xf numFmtId="0" fontId="34" fillId="8" borderId="7" xfId="0" applyFont="1" applyFill="1" applyBorder="1" applyAlignment="1">
      <alignment vertical="top" wrapText="1"/>
    </xf>
    <xf numFmtId="0" fontId="0" fillId="6" borderId="0" xfId="0" applyFill="1" applyAlignment="1">
      <alignment vertical="top"/>
    </xf>
    <xf numFmtId="0" fontId="0" fillId="6" borderId="47" xfId="0" applyFill="1" applyBorder="1" applyAlignment="1">
      <alignment vertical="top"/>
    </xf>
    <xf numFmtId="0" fontId="40" fillId="3" borderId="0" xfId="0" quotePrefix="1" applyFont="1" applyFill="1"/>
    <xf numFmtId="0" fontId="40" fillId="3" borderId="7" xfId="0" applyFont="1" applyFill="1" applyBorder="1"/>
    <xf numFmtId="0" fontId="37" fillId="6" borderId="0" xfId="0" applyFont="1" applyFill="1"/>
    <xf numFmtId="0" fontId="0" fillId="6" borderId="95" xfId="0" applyFill="1" applyBorder="1" applyAlignment="1">
      <alignment vertical="top"/>
    </xf>
    <xf numFmtId="0" fontId="0" fillId="6" borderId="0" xfId="0" applyFill="1" applyAlignment="1">
      <alignment horizontal="left" vertical="top" wrapText="1"/>
    </xf>
    <xf numFmtId="0" fontId="0" fillId="6" borderId="47" xfId="0" applyFill="1" applyBorder="1" applyAlignment="1">
      <alignment horizontal="left" vertical="top" wrapText="1"/>
    </xf>
    <xf numFmtId="0" fontId="82" fillId="6" borderId="14" xfId="0" applyFont="1" applyFill="1" applyBorder="1"/>
    <xf numFmtId="0" fontId="0" fillId="6" borderId="0" xfId="0" applyFill="1" applyAlignment="1">
      <alignment vertical="top" wrapText="1"/>
    </xf>
    <xf numFmtId="0" fontId="0" fillId="6" borderId="0" xfId="0" quotePrefix="1" applyFill="1" applyAlignment="1">
      <alignment horizontal="right" vertical="top" wrapText="1"/>
    </xf>
    <xf numFmtId="0" fontId="83" fillId="6" borderId="0" xfId="0" applyFont="1" applyFill="1" applyAlignment="1">
      <alignment vertical="top"/>
    </xf>
    <xf numFmtId="0" fontId="0" fillId="6" borderId="95" xfId="0" applyFill="1" applyBorder="1"/>
    <xf numFmtId="0" fontId="0" fillId="6" borderId="96" xfId="0" applyFill="1" applyBorder="1" applyAlignment="1">
      <alignment horizontal="center" vertical="center"/>
    </xf>
    <xf numFmtId="9" fontId="0" fillId="6" borderId="96" xfId="5" applyFont="1" applyFill="1" applyBorder="1" applyAlignment="1">
      <alignment horizontal="center" vertical="center"/>
    </xf>
    <xf numFmtId="0" fontId="0" fillId="0" borderId="0" xfId="0" applyAlignment="1">
      <alignment horizontal="left"/>
    </xf>
    <xf numFmtId="0" fontId="5" fillId="6" borderId="0" xfId="0" applyFont="1" applyFill="1" applyAlignment="1">
      <alignment horizontal="left"/>
    </xf>
    <xf numFmtId="0" fontId="0" fillId="6" borderId="0" xfId="0" applyFill="1" applyAlignment="1">
      <alignment horizontal="left"/>
    </xf>
    <xf numFmtId="0" fontId="86" fillId="6" borderId="0" xfId="0" applyFont="1" applyFill="1" applyAlignment="1">
      <alignment horizontal="right"/>
    </xf>
    <xf numFmtId="0" fontId="86" fillId="6" borderId="0" xfId="6" applyFont="1" applyFill="1" applyAlignment="1">
      <alignment horizontal="left" indent="2"/>
    </xf>
    <xf numFmtId="0" fontId="85" fillId="6" borderId="0" xfId="0" applyFont="1" applyFill="1"/>
    <xf numFmtId="0" fontId="85" fillId="6" borderId="0" xfId="0" applyFont="1" applyFill="1" applyAlignment="1">
      <alignment horizontal="left"/>
    </xf>
    <xf numFmtId="0" fontId="40" fillId="3" borderId="0" xfId="0" applyFont="1" applyFill="1" applyAlignment="1">
      <alignment vertical="center"/>
    </xf>
    <xf numFmtId="172" fontId="0" fillId="0" borderId="60" xfId="0" applyNumberFormat="1" applyBorder="1"/>
    <xf numFmtId="0" fontId="0" fillId="6" borderId="96" xfId="0" quotePrefix="1" applyFill="1" applyBorder="1" applyAlignment="1">
      <alignment horizontal="center" vertical="center"/>
    </xf>
    <xf numFmtId="0" fontId="34" fillId="8" borderId="0" xfId="0" applyFont="1" applyFill="1" applyAlignment="1">
      <alignment vertical="top"/>
    </xf>
    <xf numFmtId="0" fontId="21" fillId="3" borderId="98" xfId="0" applyFont="1" applyFill="1" applyBorder="1" applyAlignment="1">
      <alignment vertical="center"/>
    </xf>
    <xf numFmtId="0" fontId="6" fillId="3" borderId="98" xfId="0" applyFont="1" applyFill="1" applyBorder="1" applyProtection="1">
      <protection locked="0"/>
    </xf>
    <xf numFmtId="0" fontId="6" fillId="3" borderId="97" xfId="0" applyFont="1" applyFill="1" applyBorder="1" applyAlignment="1">
      <alignment vertical="center"/>
    </xf>
    <xf numFmtId="1" fontId="21" fillId="11" borderId="99" xfId="0" applyNumberFormat="1" applyFont="1" applyFill="1" applyBorder="1" applyAlignment="1">
      <alignment horizontal="center" vertical="center"/>
    </xf>
    <xf numFmtId="1" fontId="21" fillId="11" borderId="100" xfId="0" applyNumberFormat="1" applyFont="1" applyFill="1" applyBorder="1" applyAlignment="1">
      <alignment horizontal="center" vertical="center"/>
    </xf>
    <xf numFmtId="1" fontId="21" fillId="0" borderId="101" xfId="0" applyNumberFormat="1" applyFont="1" applyBorder="1" applyAlignment="1">
      <alignment horizontal="center" vertical="center"/>
    </xf>
    <xf numFmtId="1" fontId="21" fillId="11" borderId="101" xfId="0" applyNumberFormat="1" applyFont="1" applyFill="1" applyBorder="1" applyAlignment="1">
      <alignment horizontal="center" vertical="center"/>
    </xf>
    <xf numFmtId="1" fontId="21" fillId="11" borderId="102" xfId="0" applyNumberFormat="1" applyFont="1" applyFill="1" applyBorder="1" applyAlignment="1">
      <alignment horizontal="center" vertical="center"/>
    </xf>
    <xf numFmtId="0" fontId="52" fillId="6" borderId="16" xfId="6" applyFont="1" applyFill="1" applyBorder="1" applyAlignment="1">
      <alignment horizontal="left"/>
    </xf>
    <xf numFmtId="0" fontId="0" fillId="6" borderId="16" xfId="0" applyFill="1" applyBorder="1"/>
    <xf numFmtId="0" fontId="0" fillId="10" borderId="103" xfId="0" applyFill="1" applyBorder="1"/>
    <xf numFmtId="0" fontId="87" fillId="0" borderId="0" xfId="0" applyFont="1" applyAlignment="1">
      <alignment horizontal="left" vertical="center"/>
    </xf>
    <xf numFmtId="0" fontId="88" fillId="0" borderId="0" xfId="0" applyFont="1" applyAlignment="1">
      <alignment vertical="center"/>
    </xf>
    <xf numFmtId="0" fontId="89" fillId="0" borderId="0" xfId="0" applyFont="1"/>
    <xf numFmtId="0" fontId="90" fillId="0" borderId="0" xfId="0" applyFont="1"/>
    <xf numFmtId="0" fontId="91" fillId="0" borderId="0" xfId="0" applyFont="1"/>
    <xf numFmtId="0" fontId="91" fillId="0" borderId="0" xfId="0" applyFont="1" applyAlignment="1">
      <alignment vertical="top"/>
    </xf>
    <xf numFmtId="0" fontId="92" fillId="0" borderId="0" xfId="0" applyFont="1"/>
    <xf numFmtId="0" fontId="92" fillId="0" borderId="0" xfId="0" applyFont="1" applyAlignment="1">
      <alignment horizontal="left"/>
    </xf>
    <xf numFmtId="164" fontId="92" fillId="0" borderId="0" xfId="0" applyNumberFormat="1" applyFont="1"/>
    <xf numFmtId="164" fontId="92" fillId="0" borderId="0" xfId="0" applyNumberFormat="1" applyFont="1" applyAlignment="1">
      <alignment horizontal="left"/>
    </xf>
    <xf numFmtId="164" fontId="92" fillId="0" borderId="0" xfId="0" applyNumberFormat="1" applyFont="1" applyAlignment="1">
      <alignment horizontal="left" vertical="top" wrapText="1"/>
    </xf>
    <xf numFmtId="0" fontId="92" fillId="0" borderId="0" xfId="0" applyFont="1" applyAlignment="1">
      <alignment horizontal="right" vertical="top"/>
    </xf>
    <xf numFmtId="164" fontId="92" fillId="0" borderId="0" xfId="0" applyNumberFormat="1" applyFont="1" applyAlignment="1">
      <alignment vertical="top"/>
    </xf>
    <xf numFmtId="169" fontId="92" fillId="0" borderId="0" xfId="0" applyNumberFormat="1" applyFont="1"/>
    <xf numFmtId="1" fontId="92" fillId="0" borderId="0" xfId="0" applyNumberFormat="1" applyFont="1" applyAlignment="1">
      <alignment horizontal="left"/>
    </xf>
    <xf numFmtId="1" fontId="92" fillId="0" borderId="0" xfId="0" applyNumberFormat="1" applyFont="1"/>
    <xf numFmtId="2" fontId="92" fillId="0" borderId="0" xfId="0" applyNumberFormat="1" applyFont="1" applyAlignment="1">
      <alignment horizontal="left"/>
    </xf>
    <xf numFmtId="0" fontId="93" fillId="0" borderId="0" xfId="0" applyFont="1" applyAlignment="1">
      <alignment horizontal="right"/>
    </xf>
    <xf numFmtId="0" fontId="92" fillId="0" borderId="0" xfId="0" applyFont="1" applyAlignment="1">
      <alignment vertical="top" wrapText="1"/>
    </xf>
    <xf numFmtId="0" fontId="92" fillId="0" borderId="0" xfId="0" applyFont="1" applyAlignment="1">
      <alignment horizontal="right"/>
    </xf>
    <xf numFmtId="2" fontId="92" fillId="0" borderId="0" xfId="0" applyNumberFormat="1" applyFont="1" applyAlignment="1">
      <alignment horizontal="left" indent="1"/>
    </xf>
    <xf numFmtId="0" fontId="29" fillId="11" borderId="21" xfId="0" applyFont="1" applyFill="1" applyBorder="1" applyAlignment="1">
      <alignment horizontal="center" vertical="center"/>
    </xf>
    <xf numFmtId="0" fontId="29" fillId="11" borderId="23" xfId="0" applyFont="1" applyFill="1" applyBorder="1" applyAlignment="1">
      <alignment horizontal="center" vertical="center"/>
    </xf>
    <xf numFmtId="0" fontId="29" fillId="11" borderId="19" xfId="0" applyFont="1" applyFill="1" applyBorder="1" applyAlignment="1">
      <alignment horizontal="center" vertical="center"/>
    </xf>
    <xf numFmtId="164" fontId="71" fillId="14" borderId="0" xfId="0" applyNumberFormat="1" applyFont="1" applyFill="1"/>
    <xf numFmtId="2" fontId="71" fillId="14" borderId="0" xfId="0" applyNumberFormat="1" applyFont="1" applyFill="1"/>
    <xf numFmtId="2" fontId="71" fillId="14" borderId="0" xfId="5" applyNumberFormat="1" applyFont="1" applyFill="1"/>
    <xf numFmtId="165" fontId="0" fillId="0" borderId="104" xfId="0" applyNumberFormat="1" applyBorder="1"/>
    <xf numFmtId="0" fontId="40" fillId="7" borderId="0" xfId="0" applyFont="1" applyFill="1" applyAlignment="1">
      <alignment horizontal="left" vertical="center" indent="1"/>
    </xf>
    <xf numFmtId="0" fontId="40" fillId="7" borderId="67" xfId="0" quotePrefix="1" applyFont="1" applyFill="1" applyBorder="1" applyAlignment="1">
      <alignment vertical="top" wrapText="1"/>
    </xf>
    <xf numFmtId="0" fontId="40" fillId="7" borderId="0" xfId="0" quotePrefix="1" applyFont="1" applyFill="1"/>
    <xf numFmtId="0" fontId="80" fillId="7" borderId="0" xfId="0" quotePrefix="1" applyFont="1" applyFill="1" applyAlignment="1">
      <alignment vertical="top"/>
    </xf>
    <xf numFmtId="0" fontId="13" fillId="7" borderId="0" xfId="0" applyFont="1" applyFill="1" applyAlignment="1">
      <alignment horizontal="right"/>
    </xf>
    <xf numFmtId="0" fontId="6" fillId="7" borderId="0" xfId="0" applyFont="1" applyFill="1" applyAlignment="1">
      <alignment horizontal="center"/>
    </xf>
    <xf numFmtId="0" fontId="15" fillId="7" borderId="0" xfId="0" applyFont="1" applyFill="1"/>
    <xf numFmtId="0" fontId="0" fillId="0" borderId="0" xfId="0" applyAlignment="1">
      <alignment wrapText="1"/>
    </xf>
    <xf numFmtId="0" fontId="0" fillId="0" borderId="0" xfId="0" quotePrefix="1" applyAlignment="1">
      <alignment vertical="top" wrapText="1"/>
    </xf>
    <xf numFmtId="0" fontId="17" fillId="3" borderId="34" xfId="0" applyFont="1" applyFill="1" applyBorder="1" applyAlignment="1">
      <alignment vertical="center"/>
    </xf>
    <xf numFmtId="2" fontId="0" fillId="15" borderId="0" xfId="0" applyNumberFormat="1" applyFill="1"/>
    <xf numFmtId="164" fontId="60" fillId="9" borderId="55" xfId="7" applyNumberFormat="1" applyFont="1" applyFill="1" applyBorder="1" applyAlignment="1">
      <alignment horizontal="center" vertical="center"/>
    </xf>
    <xf numFmtId="0" fontId="61" fillId="9" borderId="55" xfId="0" applyFont="1" applyFill="1" applyBorder="1" applyAlignment="1">
      <alignment horizontal="center" vertical="center"/>
    </xf>
    <xf numFmtId="0" fontId="61" fillId="9" borderId="56" xfId="0" applyFont="1" applyFill="1" applyBorder="1" applyAlignment="1">
      <alignment horizontal="center" vertical="center"/>
    </xf>
    <xf numFmtId="0" fontId="44" fillId="5" borderId="0" xfId="6" applyFont="1" applyFill="1" applyAlignment="1">
      <alignment horizontal="left" vertical="center" wrapText="1"/>
    </xf>
    <xf numFmtId="0" fontId="44" fillId="5" borderId="14" xfId="6" applyFont="1" applyFill="1" applyBorder="1" applyAlignment="1">
      <alignment horizontal="left" vertical="center" wrapText="1"/>
    </xf>
    <xf numFmtId="0" fontId="40" fillId="3" borderId="0" xfId="0" quotePrefix="1" applyFont="1" applyFill="1" applyAlignment="1">
      <alignment horizontal="left" vertical="top" wrapText="1" indent="1"/>
    </xf>
    <xf numFmtId="0" fontId="40" fillId="3" borderId="7" xfId="0" quotePrefix="1" applyFont="1" applyFill="1" applyBorder="1" applyAlignment="1">
      <alignment horizontal="left" vertical="top" wrapText="1" indent="1"/>
    </xf>
    <xf numFmtId="0" fontId="6" fillId="3" borderId="8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4" xfId="0" applyFont="1" applyFill="1" applyBorder="1" applyAlignment="1">
      <alignment horizontal="center" vertical="center" wrapText="1"/>
    </xf>
    <xf numFmtId="0" fontId="12" fillId="9" borderId="0" xfId="0" applyFont="1" applyFill="1" applyAlignment="1">
      <alignment horizontal="center" vertical="center"/>
    </xf>
    <xf numFmtId="2" fontId="29" fillId="8" borderId="37" xfId="0" applyNumberFormat="1" applyFont="1" applyFill="1" applyBorder="1" applyAlignment="1" applyProtection="1">
      <alignment horizontal="center" vertical="center"/>
      <protection locked="0"/>
    </xf>
    <xf numFmtId="0" fontId="26" fillId="8" borderId="0" xfId="0" applyFont="1" applyFill="1" applyAlignment="1">
      <alignment horizontal="center" vertical="center"/>
    </xf>
    <xf numFmtId="0" fontId="62" fillId="3" borderId="14" xfId="0" applyFont="1" applyFill="1" applyBorder="1" applyAlignment="1" applyProtection="1">
      <alignment horizontal="left" vertical="center"/>
      <protection locked="0"/>
    </xf>
    <xf numFmtId="0" fontId="6" fillId="3" borderId="82" xfId="0" applyFont="1" applyFill="1" applyBorder="1" applyAlignment="1">
      <alignment horizontal="center" vertical="center"/>
    </xf>
    <xf numFmtId="0" fontId="6" fillId="3" borderId="0" xfId="0" applyFont="1" applyFill="1" applyAlignment="1">
      <alignment horizontal="center" vertical="center"/>
    </xf>
    <xf numFmtId="0" fontId="6" fillId="3" borderId="14" xfId="0" applyFont="1" applyFill="1" applyBorder="1" applyAlignment="1">
      <alignment horizontal="center" vertical="center"/>
    </xf>
    <xf numFmtId="0" fontId="85" fillId="6" borderId="0" xfId="0" applyFont="1" applyFill="1" applyAlignment="1">
      <alignment horizontal="left"/>
    </xf>
    <xf numFmtId="0" fontId="30" fillId="8" borderId="18" xfId="0" applyFont="1" applyFill="1" applyBorder="1" applyAlignment="1">
      <alignment horizontal="center" vertical="center"/>
    </xf>
    <xf numFmtId="0" fontId="0" fillId="6" borderId="94" xfId="0" applyFill="1" applyBorder="1" applyAlignment="1">
      <alignment horizontal="left" vertical="top"/>
    </xf>
    <xf numFmtId="0" fontId="0" fillId="6" borderId="0" xfId="0" applyFill="1" applyAlignment="1">
      <alignment horizontal="left" vertical="top" wrapText="1"/>
    </xf>
    <xf numFmtId="0" fontId="0" fillId="6" borderId="47" xfId="0" applyFill="1" applyBorder="1" applyAlignment="1">
      <alignment horizontal="left" vertical="top" wrapText="1"/>
    </xf>
    <xf numFmtId="0" fontId="92" fillId="0" borderId="0" xfId="0" applyFont="1" applyAlignment="1">
      <alignment horizontal="left" wrapText="1"/>
    </xf>
    <xf numFmtId="0" fontId="92" fillId="0" borderId="0" xfId="0" applyFont="1" applyAlignment="1" applyProtection="1">
      <alignment horizontal="left"/>
      <protection locked="0"/>
    </xf>
    <xf numFmtId="0" fontId="92" fillId="0" borderId="0" xfId="0" applyFont="1" applyProtection="1">
      <protection locked="0"/>
    </xf>
    <xf numFmtId="0" fontId="92" fillId="0" borderId="0" xfId="0" applyFont="1" applyAlignment="1">
      <alignment horizontal="left"/>
    </xf>
    <xf numFmtId="0" fontId="30" fillId="7" borderId="0" xfId="0" applyFont="1" applyFill="1" applyBorder="1" applyAlignment="1">
      <alignment horizontal="center" vertical="center"/>
    </xf>
    <xf numFmtId="0" fontId="21" fillId="11" borderId="106" xfId="0" applyFont="1" applyFill="1" applyBorder="1" applyAlignment="1">
      <alignment horizontal="center" vertical="center"/>
    </xf>
    <xf numFmtId="0" fontId="21" fillId="11" borderId="105" xfId="0" applyFont="1" applyFill="1" applyBorder="1" applyAlignment="1">
      <alignment horizontal="center" vertical="center"/>
    </xf>
    <xf numFmtId="0" fontId="21" fillId="11" borderId="18" xfId="0" applyFont="1" applyFill="1" applyBorder="1" applyAlignment="1">
      <alignment horizontal="center" vertical="center" wrapText="1"/>
    </xf>
    <xf numFmtId="0" fontId="37" fillId="6" borderId="107" xfId="0" applyFont="1" applyFill="1" applyBorder="1" applyAlignment="1">
      <alignment horizontal="right" vertical="center"/>
    </xf>
    <xf numFmtId="0" fontId="40" fillId="7" borderId="107" xfId="0" applyFont="1" applyFill="1" applyBorder="1" applyAlignment="1">
      <alignment horizontal="right" vertical="center"/>
    </xf>
    <xf numFmtId="0" fontId="30" fillId="7" borderId="107" xfId="0" applyFont="1" applyFill="1" applyBorder="1" applyAlignment="1">
      <alignment horizontal="center" vertical="center"/>
    </xf>
    <xf numFmtId="0" fontId="17" fillId="3" borderId="108" xfId="0" applyFont="1" applyFill="1" applyBorder="1" applyAlignment="1">
      <alignment horizontal="right" vertical="center"/>
    </xf>
    <xf numFmtId="0" fontId="17" fillId="3" borderId="34" xfId="0" applyFont="1" applyFill="1" applyBorder="1" applyAlignment="1">
      <alignment horizontal="right" vertical="center"/>
    </xf>
    <xf numFmtId="0" fontId="30" fillId="7" borderId="109" xfId="0" applyFont="1" applyFill="1" applyBorder="1" applyAlignment="1">
      <alignment horizontal="center" vertical="center"/>
    </xf>
  </cellXfs>
  <cellStyles count="8">
    <cellStyle name="Heading 1" xfId="2" builtinId="16"/>
    <cellStyle name="Heading 2" xfId="3" builtinId="17"/>
    <cellStyle name="Heading 4" xfId="6" builtinId="19"/>
    <cellStyle name="Hyperlink" xfId="7" builtinId="8"/>
    <cellStyle name="Linked Cell" xfId="4" builtinId="24"/>
    <cellStyle name="Normal" xfId="0" builtinId="0"/>
    <cellStyle name="Percent" xfId="5" builtinId="5"/>
    <cellStyle name="Title" xfId="1" builtinId="15"/>
  </cellStyles>
  <dxfs count="36">
    <dxf>
      <font>
        <color rgb="FFC00000"/>
      </font>
    </dxf>
    <dxf>
      <font>
        <color rgb="FFC00000"/>
      </font>
    </dxf>
    <dxf>
      <font>
        <color rgb="FFC00000"/>
      </font>
    </dxf>
    <dxf>
      <font>
        <color theme="0" tint="-4.9989318521683403E-2"/>
      </font>
    </dxf>
    <dxf>
      <numFmt numFmtId="171" formatCode="\+0.0\ \K;\-0.0\ \K;0.0\ \K"/>
    </dxf>
    <dxf>
      <font>
        <color rgb="FFC00000"/>
      </font>
    </dxf>
    <dxf>
      <fill>
        <patternFill>
          <bgColor theme="0" tint="-0.14996795556505021"/>
        </patternFill>
      </fill>
    </dxf>
    <dxf>
      <font>
        <color theme="0" tint="-0.499984740745262"/>
      </font>
    </dxf>
    <dxf>
      <font>
        <color rgb="FFC00000"/>
      </font>
    </dxf>
    <dxf>
      <font>
        <color theme="0" tint="-0.499984740745262"/>
      </font>
    </dxf>
    <dxf>
      <font>
        <color theme="0" tint="-0.34998626667073579"/>
      </font>
    </dxf>
    <dxf>
      <font>
        <color theme="0" tint="-0.14996795556505021"/>
      </font>
    </dxf>
    <dxf>
      <font>
        <color theme="0" tint="-0.14996795556505021"/>
      </font>
    </dxf>
    <dxf>
      <font>
        <color theme="0" tint="-0.14996795556505021"/>
      </font>
    </dxf>
    <dxf>
      <font>
        <color theme="0" tint="-0.14996795556505021"/>
      </font>
    </dxf>
    <dxf>
      <font>
        <color theme="1" tint="0.499984740745262"/>
      </font>
      <fill>
        <patternFill>
          <bgColor theme="1" tint="0.499984740745262"/>
        </patternFill>
      </fill>
      <border>
        <left style="thin">
          <color auto="1"/>
        </left>
        <right style="thin">
          <color auto="1"/>
        </right>
        <top style="thin">
          <color auto="1"/>
        </top>
        <bottom style="thin">
          <color auto="1"/>
        </bottom>
        <vertical/>
        <horizontal/>
      </border>
    </dxf>
    <dxf>
      <font>
        <color theme="1" tint="0.499984740745262"/>
      </font>
      <fill>
        <patternFill>
          <bgColor theme="1" tint="0.499984740745262"/>
        </patternFill>
      </fill>
      <border>
        <left style="thin">
          <color auto="1"/>
        </left>
        <right style="thin">
          <color auto="1"/>
        </right>
        <top style="thin">
          <color auto="1"/>
        </top>
        <bottom style="thin">
          <color auto="1"/>
        </bottom>
        <vertical/>
        <horizontal/>
      </border>
    </dxf>
    <dxf>
      <font>
        <color theme="1" tint="0.34998626667073579"/>
      </font>
      <fill>
        <patternFill>
          <bgColor theme="1" tint="0.499984740745262"/>
        </patternFill>
      </fill>
      <border>
        <left style="thin">
          <color auto="1"/>
        </left>
        <right style="thin">
          <color auto="1"/>
        </right>
        <top style="thin">
          <color auto="1"/>
        </top>
        <bottom style="thin">
          <color auto="1"/>
        </bottom>
        <vertical/>
        <horizontal/>
      </border>
    </dxf>
    <dxf>
      <font>
        <color theme="1" tint="0.34998626667073579"/>
      </font>
      <fill>
        <patternFill>
          <bgColor theme="1" tint="0.499984740745262"/>
        </patternFill>
      </fill>
      <border>
        <left style="thin">
          <color auto="1"/>
        </left>
        <right style="thin">
          <color auto="1"/>
        </right>
        <top style="thin">
          <color auto="1"/>
        </top>
        <bottom style="thin">
          <color auto="1"/>
        </bottom>
        <vertical/>
        <horizontal/>
      </border>
    </dxf>
    <dxf>
      <font>
        <color theme="0" tint="-0.34998626667073579"/>
      </font>
    </dxf>
    <dxf>
      <font>
        <color theme="0" tint="-0.34998626667073579"/>
      </font>
    </dxf>
    <dxf>
      <font>
        <color theme="0" tint="-0.34998626667073579"/>
      </font>
    </dxf>
    <dxf>
      <font>
        <color theme="0" tint="-0.34998626667073579"/>
      </font>
    </dxf>
    <dxf>
      <font>
        <color rgb="FFC00000"/>
      </font>
    </dxf>
    <dxf>
      <font>
        <color rgb="FFC00000"/>
      </font>
    </dxf>
    <dxf>
      <font>
        <color rgb="FFC00000"/>
      </font>
    </dxf>
    <dxf>
      <font>
        <color rgb="FFC00000"/>
      </font>
    </dxf>
    <dxf>
      <font>
        <color rgb="FFC00000"/>
      </font>
    </dxf>
    <dxf>
      <font>
        <color rgb="FFC00000"/>
      </font>
    </dxf>
    <dxf>
      <font>
        <color rgb="FFC00000"/>
      </font>
    </dxf>
    <dxf>
      <fill>
        <patternFill>
          <bgColor theme="0" tint="-0.14996795556505021"/>
        </patternFill>
      </fill>
    </dxf>
    <dxf>
      <font>
        <color rgb="FFC00000"/>
      </font>
    </dxf>
    <dxf>
      <font>
        <color rgb="FFC00000"/>
      </font>
    </dxf>
    <dxf>
      <font>
        <color rgb="FFC00000"/>
      </font>
    </dxf>
    <dxf>
      <font>
        <color rgb="FFC00000"/>
      </font>
    </dxf>
    <dxf>
      <font>
        <color rgb="FFC00000"/>
      </font>
      <numFmt numFmtId="169" formatCode="\+\ 0.0;\-\ 0.0;\ 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0"/>
          </c:trendline>
          <c:xVal>
            <c:numRef>
              <c:f>'Equations HSC-AD'!$C$229:$N$229</c:f>
              <c:numCache>
                <c:formatCode>General</c:formatCode>
                <c:ptCount val="12"/>
                <c:pt idx="0">
                  <c:v>209.16500663351889</c:v>
                </c:pt>
                <c:pt idx="1">
                  <c:v>250</c:v>
                </c:pt>
                <c:pt idx="2">
                  <c:v>297.01430941959683</c:v>
                </c:pt>
                <c:pt idx="3">
                  <c:v>355</c:v>
                </c:pt>
                <c:pt idx="4">
                  <c:v>400</c:v>
                </c:pt>
                <c:pt idx="5">
                  <c:v>418.33001326703777</c:v>
                </c:pt>
                <c:pt idx="6">
                  <c:v>500</c:v>
                </c:pt>
                <c:pt idx="7">
                  <c:v>630</c:v>
                </c:pt>
                <c:pt idx="8">
                  <c:v>594.02861883919365</c:v>
                </c:pt>
                <c:pt idx="9">
                  <c:v>710</c:v>
                </c:pt>
                <c:pt idx="10">
                  <c:v>836.66002653407554</c:v>
                </c:pt>
                <c:pt idx="11">
                  <c:v>1000</c:v>
                </c:pt>
              </c:numCache>
            </c:numRef>
          </c:xVal>
          <c:yVal>
            <c:numRef>
              <c:f>'Equations HSC-AD'!$C$211:$N$211</c:f>
              <c:numCache>
                <c:formatCode>0.0</c:formatCode>
                <c:ptCount val="12"/>
                <c:pt idx="0">
                  <c:v>144.01157362039007</c:v>
                </c:pt>
                <c:pt idx="1">
                  <c:v>100.97118991781848</c:v>
                </c:pt>
                <c:pt idx="2">
                  <c:v>50.184188561817557</c:v>
                </c:pt>
                <c:pt idx="3">
                  <c:v>35.264070508387043</c:v>
                </c:pt>
                <c:pt idx="4">
                  <c:v>24.6511694135299</c:v>
                </c:pt>
                <c:pt idx="5">
                  <c:v>18.001446702548758</c:v>
                </c:pt>
                <c:pt idx="6">
                  <c:v>12.62139873972731</c:v>
                </c:pt>
                <c:pt idx="7">
                  <c:v>6.3095131813855536</c:v>
                </c:pt>
                <c:pt idx="8">
                  <c:v>5.7027487002065405</c:v>
                </c:pt>
                <c:pt idx="9">
                  <c:v>4.4080088135483804</c:v>
                </c:pt>
                <c:pt idx="10">
                  <c:v>2.2421253054875363</c:v>
                </c:pt>
                <c:pt idx="11">
                  <c:v>1.5776748424659137</c:v>
                </c:pt>
              </c:numCache>
            </c:numRef>
          </c:yVal>
          <c:smooth val="0"/>
          <c:extLst>
            <c:ext xmlns:c16="http://schemas.microsoft.com/office/drawing/2014/chart" uri="{C3380CC4-5D6E-409C-BE32-E72D297353CC}">
              <c16:uniqueId val="{00000001-2AFA-46BD-B1AB-45B1E5B11A6B}"/>
            </c:ext>
          </c:extLst>
        </c:ser>
        <c:ser>
          <c:idx val="1"/>
          <c:order val="1"/>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wer"/>
            <c:backward val="50"/>
            <c:dispRSqr val="0"/>
            <c:dispEq val="1"/>
            <c:trendlineLbl>
              <c:layout>
                <c:manualLayout>
                  <c:x val="-7.5726596675415578E-2"/>
                  <c:y val="-0.3214486730825313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('Equations HSC-AD'!$D$229,'Equations HSC-AD'!$F$229,'Equations HSC-AD'!$I$229,'Equations HSC-AD'!$L$229,'Equations HSC-AD'!$N$229)</c:f>
              <c:numCache>
                <c:formatCode>General</c:formatCode>
                <c:ptCount val="5"/>
                <c:pt idx="0">
                  <c:v>250</c:v>
                </c:pt>
                <c:pt idx="1">
                  <c:v>355</c:v>
                </c:pt>
                <c:pt idx="2">
                  <c:v>500</c:v>
                </c:pt>
                <c:pt idx="3">
                  <c:v>710</c:v>
                </c:pt>
                <c:pt idx="4">
                  <c:v>1000</c:v>
                </c:pt>
              </c:numCache>
            </c:numRef>
          </c:xVal>
          <c:yVal>
            <c:numRef>
              <c:f>('Equations HSC-AD'!$D$211,'Equations HSC-AD'!$F$211,'Equations HSC-AD'!$I$211,'Equations HSC-AD'!$L$211,'Equations HSC-AD'!$N$211)</c:f>
              <c:numCache>
                <c:formatCode>0.0</c:formatCode>
                <c:ptCount val="5"/>
                <c:pt idx="0">
                  <c:v>100.97118991781848</c:v>
                </c:pt>
                <c:pt idx="1">
                  <c:v>35.264070508387043</c:v>
                </c:pt>
                <c:pt idx="2">
                  <c:v>12.62139873972731</c:v>
                </c:pt>
                <c:pt idx="3">
                  <c:v>4.4080088135483804</c:v>
                </c:pt>
                <c:pt idx="4">
                  <c:v>1.5776748424659137</c:v>
                </c:pt>
              </c:numCache>
            </c:numRef>
          </c:yVal>
          <c:smooth val="0"/>
          <c:extLst>
            <c:ext xmlns:c16="http://schemas.microsoft.com/office/drawing/2014/chart" uri="{C3380CC4-5D6E-409C-BE32-E72D297353CC}">
              <c16:uniqueId val="{00000003-2AFA-46BD-B1AB-45B1E5B11A6B}"/>
            </c:ext>
          </c:extLst>
        </c:ser>
        <c:dLbls>
          <c:showLegendKey val="0"/>
          <c:showVal val="0"/>
          <c:showCatName val="0"/>
          <c:showSerName val="0"/>
          <c:showPercent val="0"/>
          <c:showBubbleSize val="0"/>
        </c:dLbls>
        <c:axId val="1322979536"/>
        <c:axId val="1322983888"/>
      </c:scatterChart>
      <c:valAx>
        <c:axId val="132297953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83888"/>
        <c:crosses val="autoZero"/>
        <c:crossBetween val="midCat"/>
      </c:valAx>
      <c:valAx>
        <c:axId val="132298388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7953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0"/>
          </c:trendline>
          <c:xVal>
            <c:numRef>
              <c:f>'Equations HSC-AD'!$R$229:$AA$229</c:f>
              <c:numCache>
                <c:formatCode>General</c:formatCode>
                <c:ptCount val="10"/>
                <c:pt idx="0">
                  <c:v>209.16500663351889</c:v>
                </c:pt>
                <c:pt idx="1">
                  <c:v>250</c:v>
                </c:pt>
                <c:pt idx="2">
                  <c:v>297.01430941959683</c:v>
                </c:pt>
                <c:pt idx="3">
                  <c:v>355</c:v>
                </c:pt>
                <c:pt idx="4">
                  <c:v>418.33001326703777</c:v>
                </c:pt>
                <c:pt idx="5">
                  <c:v>500</c:v>
                </c:pt>
                <c:pt idx="6">
                  <c:v>594.02861883919365</c:v>
                </c:pt>
                <c:pt idx="7">
                  <c:v>710</c:v>
                </c:pt>
                <c:pt idx="8">
                  <c:v>836.66002653407554</c:v>
                </c:pt>
                <c:pt idx="9">
                  <c:v>1000</c:v>
                </c:pt>
              </c:numCache>
            </c:numRef>
          </c:xVal>
          <c:yVal>
            <c:numRef>
              <c:f>'Equations HSC-AD'!$R$242:$AA$242</c:f>
              <c:numCache>
                <c:formatCode>0.0</c:formatCode>
                <c:ptCount val="10"/>
                <c:pt idx="0">
                  <c:v>140.01157362039007</c:v>
                </c:pt>
                <c:pt idx="1">
                  <c:v>96.971189917818478</c:v>
                </c:pt>
                <c:pt idx="2">
                  <c:v>46.184188561817557</c:v>
                </c:pt>
                <c:pt idx="3">
                  <c:v>31.264070508387043</c:v>
                </c:pt>
                <c:pt idx="4">
                  <c:v>14.001446702548758</c:v>
                </c:pt>
                <c:pt idx="5">
                  <c:v>8.6213987397273097</c:v>
                </c:pt>
                <c:pt idx="6">
                  <c:v>1.7027487002065405</c:v>
                </c:pt>
                <c:pt idx="7">
                  <c:v>0.40800881354838037</c:v>
                </c:pt>
                <c:pt idx="8">
                  <c:v>-1.7578746945124637</c:v>
                </c:pt>
                <c:pt idx="9">
                  <c:v>-2.4223251575340861</c:v>
                </c:pt>
              </c:numCache>
            </c:numRef>
          </c:yVal>
          <c:smooth val="0"/>
          <c:extLst>
            <c:ext xmlns:c16="http://schemas.microsoft.com/office/drawing/2014/chart" uri="{C3380CC4-5D6E-409C-BE32-E72D297353CC}">
              <c16:uniqueId val="{00000001-2FCE-4209-8084-302BE1120062}"/>
            </c:ext>
          </c:extLst>
        </c:ser>
        <c:dLbls>
          <c:showLegendKey val="0"/>
          <c:showVal val="0"/>
          <c:showCatName val="0"/>
          <c:showSerName val="0"/>
          <c:showPercent val="0"/>
          <c:showBubbleSize val="0"/>
        </c:dLbls>
        <c:axId val="1322980080"/>
        <c:axId val="1322985520"/>
      </c:scatterChart>
      <c:valAx>
        <c:axId val="13229800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85520"/>
        <c:crosses val="autoZero"/>
        <c:crossBetween val="midCat"/>
      </c:valAx>
      <c:valAx>
        <c:axId val="1322985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8008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1.1096121599548505E-2"/>
                  <c:y val="-8.6586670685303138E-2"/>
                </c:manualLayout>
              </c:layout>
              <c:numFmt formatCode="General" sourceLinked="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rendlineLbl>
          </c:trendline>
          <c:xVal>
            <c:numRef>
              <c:f>'Equations HSC-AD'!$B$52:$B$55</c:f>
              <c:numCache>
                <c:formatCode>General</c:formatCode>
                <c:ptCount val="4"/>
                <c:pt idx="0">
                  <c:v>2.7</c:v>
                </c:pt>
                <c:pt idx="1">
                  <c:v>4</c:v>
                </c:pt>
                <c:pt idx="2">
                  <c:v>10.0000000001</c:v>
                </c:pt>
                <c:pt idx="3">
                  <c:v>30</c:v>
                </c:pt>
              </c:numCache>
            </c:numRef>
          </c:xVal>
          <c:yVal>
            <c:numRef>
              <c:f>'Equations HSC-AD'!$E$52:$E$55</c:f>
              <c:numCache>
                <c:formatCode>General</c:formatCode>
                <c:ptCount val="4"/>
                <c:pt idx="0">
                  <c:v>194.05364448580664</c:v>
                </c:pt>
                <c:pt idx="1">
                  <c:v>173.42012091102143</c:v>
                </c:pt>
                <c:pt idx="2">
                  <c:v>146.55459415179587</c:v>
                </c:pt>
                <c:pt idx="3">
                  <c:v>118.84899126806246</c:v>
                </c:pt>
              </c:numCache>
            </c:numRef>
          </c:yVal>
          <c:smooth val="0"/>
          <c:extLst>
            <c:ext xmlns:c16="http://schemas.microsoft.com/office/drawing/2014/chart" uri="{C3380CC4-5D6E-409C-BE32-E72D297353CC}">
              <c16:uniqueId val="{00000001-A187-4123-A564-F79EF68B5E4C}"/>
            </c:ext>
          </c:extLst>
        </c:ser>
        <c:dLbls>
          <c:showLegendKey val="0"/>
          <c:showVal val="0"/>
          <c:showCatName val="0"/>
          <c:showSerName val="0"/>
          <c:showPercent val="0"/>
          <c:showBubbleSize val="0"/>
        </c:dLbls>
        <c:axId val="1322982800"/>
        <c:axId val="1322982256"/>
      </c:scatterChart>
      <c:valAx>
        <c:axId val="132298280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82256"/>
        <c:crosses val="autoZero"/>
        <c:crossBetween val="midCat"/>
      </c:valAx>
      <c:valAx>
        <c:axId val="13229822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828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'Equations HSC-AD'!$C$204:$O$204</c:f>
              <c:numCache>
                <c:formatCode>General</c:formatCode>
                <c:ptCount val="13"/>
                <c:pt idx="0">
                  <c:v>191.99447483568773</c:v>
                </c:pt>
                <c:pt idx="1">
                  <c:v>218.62733702194814</c:v>
                </c:pt>
                <c:pt idx="2">
                  <c:v>384.8617582152163</c:v>
                </c:pt>
                <c:pt idx="3">
                  <c:v>508.50150003810296</c:v>
                </c:pt>
                <c:pt idx="4">
                  <c:v>608.55171242225686</c:v>
                </c:pt>
                <c:pt idx="5">
                  <c:v>702.37239951130766</c:v>
                </c:pt>
                <c:pt idx="6">
                  <c:v>851.54936876686645</c:v>
                </c:pt>
                <c:pt idx="7">
                  <c:v>1351.3906322818736</c:v>
                </c:pt>
                <c:pt idx="8">
                  <c:v>1416.2637063746008</c:v>
                </c:pt>
                <c:pt idx="9">
                  <c:v>1717.0641471815095</c:v>
                </c:pt>
                <c:pt idx="10">
                  <c:v>2809.4895980452307</c:v>
                </c:pt>
                <c:pt idx="11">
                  <c:v>3406.1974750674653</c:v>
                </c:pt>
                <c:pt idx="12">
                  <c:v>6116.1681862311416</c:v>
                </c:pt>
              </c:numCache>
            </c:numRef>
          </c:xVal>
          <c:yVal>
            <c:numRef>
              <c:f>'Equations HSC-AD'!$C$229:$O$229</c:f>
              <c:numCache>
                <c:formatCode>General</c:formatCode>
                <c:ptCount val="13"/>
                <c:pt idx="0">
                  <c:v>209.16500663351889</c:v>
                </c:pt>
                <c:pt idx="1">
                  <c:v>250</c:v>
                </c:pt>
                <c:pt idx="2">
                  <c:v>297.01430941959683</c:v>
                </c:pt>
                <c:pt idx="3">
                  <c:v>355</c:v>
                </c:pt>
                <c:pt idx="4">
                  <c:v>400</c:v>
                </c:pt>
                <c:pt idx="5">
                  <c:v>418.33001326703777</c:v>
                </c:pt>
                <c:pt idx="6">
                  <c:v>500</c:v>
                </c:pt>
                <c:pt idx="7">
                  <c:v>630</c:v>
                </c:pt>
                <c:pt idx="8">
                  <c:v>594.02861883919365</c:v>
                </c:pt>
                <c:pt idx="9">
                  <c:v>710</c:v>
                </c:pt>
                <c:pt idx="10">
                  <c:v>836.66002653407554</c:v>
                </c:pt>
                <c:pt idx="11">
                  <c:v>1000</c:v>
                </c:pt>
                <c:pt idx="12">
                  <c:v>1340</c:v>
                </c:pt>
              </c:numCache>
            </c:numRef>
          </c:yVal>
          <c:smooth val="0"/>
          <c:extLst>
            <c:ext xmlns:c16="http://schemas.microsoft.com/office/drawing/2014/chart" uri="{C3380CC4-5D6E-409C-BE32-E72D297353CC}">
              <c16:uniqueId val="{00000000-7D77-4B5A-8B17-175376CE6D93}"/>
            </c:ext>
          </c:extLst>
        </c:ser>
        <c:dLbls>
          <c:showLegendKey val="0"/>
          <c:showVal val="0"/>
          <c:showCatName val="0"/>
          <c:showSerName val="0"/>
          <c:showPercent val="0"/>
          <c:showBubbleSize val="0"/>
        </c:dLbls>
        <c:axId val="1322984432"/>
        <c:axId val="1322984976"/>
      </c:scatterChart>
      <c:valAx>
        <c:axId val="132298443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84976"/>
        <c:crosses val="autoZero"/>
        <c:crossBetween val="midCat"/>
      </c:valAx>
      <c:valAx>
        <c:axId val="1322984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98443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'Equations HSC-AD'!$K$15</c:f>
              <c:strCache>
                <c:ptCount val="1"/>
                <c:pt idx="0">
                  <c:v>Height Adjusted</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'Equations HSC-AD'!$J$16:$J$17</c:f>
              <c:numCache>
                <c:formatCode>General</c:formatCode>
                <c:ptCount val="2"/>
                <c:pt idx="0">
                  <c:v>2.7</c:v>
                </c:pt>
                <c:pt idx="1">
                  <c:v>4.5</c:v>
                </c:pt>
              </c:numCache>
            </c:numRef>
          </c:xVal>
          <c:yVal>
            <c:numRef>
              <c:f>'Equations HSC-AD'!$K$16:$K$17</c:f>
              <c:numCache>
                <c:formatCode>General</c:formatCode>
                <c:ptCount val="2"/>
                <c:pt idx="0">
                  <c:v>2</c:v>
                </c:pt>
                <c:pt idx="1">
                  <c:v>4.5</c:v>
                </c:pt>
              </c:numCache>
            </c:numRef>
          </c:yVal>
          <c:smooth val="0"/>
          <c:extLst>
            <c:ext xmlns:c16="http://schemas.microsoft.com/office/drawing/2014/chart" uri="{C3380CC4-5D6E-409C-BE32-E72D297353CC}">
              <c16:uniqueId val="{00000000-56D6-4172-8387-A2C83E72E903}"/>
            </c:ext>
          </c:extLst>
        </c:ser>
        <c:dLbls>
          <c:showLegendKey val="0"/>
          <c:showVal val="0"/>
          <c:showCatName val="0"/>
          <c:showSerName val="0"/>
          <c:showPercent val="0"/>
          <c:showBubbleSize val="0"/>
        </c:dLbls>
        <c:axId val="579762943"/>
        <c:axId val="2133573167"/>
      </c:scatterChart>
      <c:scatterChart>
        <c:scatterStyle val="lineMarker"/>
        <c:varyColors val="0"/>
        <c:ser>
          <c:idx val="1"/>
          <c:order val="1"/>
          <c:tx>
            <c:strRef>
              <c:f>'Equations HSC-AD'!$L$15</c:f>
              <c:strCache>
                <c:ptCount val="1"/>
                <c:pt idx="0">
                  <c:v>DT old</c:v>
                </c:pt>
              </c:strCache>
            </c:strRef>
          </c:tx>
          <c:spPr>
            <a:ln w="25400" cap="rnd">
              <a:noFill/>
              <a:round/>
            </a:ln>
            <a:effectLst/>
          </c:spPr>
          <c:marker>
            <c:symbol val="circle"/>
            <c:size val="5"/>
            <c:spPr>
              <a:solidFill>
                <a:schemeClr val="accent2"/>
              </a:solidFill>
              <a:ln w="9525">
                <a:solidFill>
                  <a:schemeClr val="accent2"/>
                </a:solidFill>
              </a:ln>
              <a:effectLst/>
            </c:spPr>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trendline>
            <c:spPr>
              <a:ln w="19050" cap="rnd">
                <a:solidFill>
                  <a:schemeClr val="accent2"/>
                </a:solidFill>
                <a:prstDash val="sysDot"/>
              </a:ln>
              <a:effectLst/>
            </c:spPr>
            <c:trendlineType val="power"/>
            <c:dispRSqr val="0"/>
            <c:dispEq val="0"/>
          </c:trendline>
          <c:xVal>
            <c:numRef>
              <c:f>'Equations HSC-AD'!$J$16:$J$18</c:f>
              <c:numCache>
                <c:formatCode>General</c:formatCode>
                <c:ptCount val="3"/>
                <c:pt idx="0">
                  <c:v>2.7</c:v>
                </c:pt>
                <c:pt idx="1">
                  <c:v>4.5</c:v>
                </c:pt>
                <c:pt idx="2">
                  <c:v>3.5</c:v>
                </c:pt>
              </c:numCache>
            </c:numRef>
          </c:xVal>
          <c:yVal>
            <c:numRef>
              <c:f>'Equations HSC-AD'!$L$16:$L$18</c:f>
              <c:numCache>
                <c:formatCode>General</c:formatCode>
                <c:ptCount val="3"/>
                <c:pt idx="0">
                  <c:v>174.14355806610877</c:v>
                </c:pt>
                <c:pt idx="1">
                  <c:v>62.691680903799167</c:v>
                </c:pt>
                <c:pt idx="2">
                  <c:v>103.63318680015783</c:v>
                </c:pt>
              </c:numCache>
            </c:numRef>
          </c:yVal>
          <c:smooth val="0"/>
          <c:extLst>
            <c:ext xmlns:c16="http://schemas.microsoft.com/office/drawing/2014/chart" uri="{C3380CC4-5D6E-409C-BE32-E72D297353CC}">
              <c16:uniqueId val="{00000002-56D6-4172-8387-A2C83E72E903}"/>
            </c:ext>
          </c:extLst>
        </c:ser>
        <c:ser>
          <c:idx val="2"/>
          <c:order val="2"/>
          <c:tx>
            <c:strRef>
              <c:f>'Equations HSC-AD'!$M$15</c:f>
              <c:strCache>
                <c:ptCount val="1"/>
                <c:pt idx="0">
                  <c:v>DT new</c:v>
                </c:pt>
              </c:strCache>
            </c:strRef>
          </c:tx>
          <c:spPr>
            <a:ln w="25400" cap="rnd">
              <a:noFill/>
              <a:round/>
            </a:ln>
            <a:effectLst/>
          </c:spPr>
          <c:marker>
            <c:symbol val="circle"/>
            <c:size val="5"/>
            <c:spPr>
              <a:solidFill>
                <a:schemeClr val="accent3"/>
              </a:solidFill>
              <a:ln w="9525">
                <a:solidFill>
                  <a:schemeClr val="accent3"/>
                </a:solidFill>
              </a:ln>
              <a:effectLst/>
            </c:spPr>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trendline>
            <c:spPr>
              <a:ln w="19050" cap="rnd">
                <a:solidFill>
                  <a:schemeClr val="accent3"/>
                </a:solidFill>
                <a:prstDash val="sysDot"/>
              </a:ln>
              <a:effectLst/>
            </c:spPr>
            <c:trendlineType val="power"/>
            <c:dispRSqr val="0"/>
            <c:dispEq val="0"/>
          </c:trendline>
          <c:xVal>
            <c:numRef>
              <c:f>'Equations HSC-AD'!$J$16:$J$18</c:f>
              <c:numCache>
                <c:formatCode>General</c:formatCode>
                <c:ptCount val="3"/>
                <c:pt idx="0">
                  <c:v>2.7</c:v>
                </c:pt>
                <c:pt idx="1">
                  <c:v>4.5</c:v>
                </c:pt>
                <c:pt idx="2">
                  <c:v>3.5</c:v>
                </c:pt>
              </c:numCache>
            </c:numRef>
          </c:xVal>
          <c:yVal>
            <c:numRef>
              <c:f>'Equations HSC-AD'!$M$16:$M$18</c:f>
              <c:numCache>
                <c:formatCode>General</c:formatCode>
                <c:ptCount val="3"/>
                <c:pt idx="0">
                  <c:v>317.37663457548331</c:v>
                </c:pt>
                <c:pt idx="1">
                  <c:v>62.691680903799167</c:v>
                </c:pt>
                <c:pt idx="2">
                  <c:v>130.83346395677046</c:v>
                </c:pt>
              </c:numCache>
            </c:numRef>
          </c:yVal>
          <c:smooth val="0"/>
          <c:extLst>
            <c:ext xmlns:c16="http://schemas.microsoft.com/office/drawing/2014/chart" uri="{C3380CC4-5D6E-409C-BE32-E72D297353CC}">
              <c16:uniqueId val="{00000003-56D6-4172-8387-A2C83E72E903}"/>
            </c:ext>
          </c:extLst>
        </c:ser>
        <c:dLbls>
          <c:showLegendKey val="0"/>
          <c:showVal val="0"/>
          <c:showCatName val="0"/>
          <c:showSerName val="0"/>
          <c:showPercent val="0"/>
          <c:showBubbleSize val="0"/>
        </c:dLbls>
        <c:axId val="389877487"/>
        <c:axId val="2142719391"/>
      </c:scatterChart>
      <c:valAx>
        <c:axId val="579762943"/>
        <c:scaling>
          <c:orientation val="minMax"/>
          <c:max val="4.5"/>
          <c:min val="2.7"/>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Height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3573167"/>
        <c:crosses val="autoZero"/>
        <c:crossBetween val="midCat"/>
      </c:valAx>
      <c:valAx>
        <c:axId val="2133573167"/>
        <c:scaling>
          <c:orientation val="minMax"/>
          <c:min val="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New 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9762943"/>
        <c:crosses val="autoZero"/>
        <c:crossBetween val="midCat"/>
      </c:valAx>
      <c:valAx>
        <c:axId val="2142719391"/>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9877487"/>
        <c:crosses val="max"/>
        <c:crossBetween val="midCat"/>
      </c:valAx>
      <c:valAx>
        <c:axId val="389877487"/>
        <c:scaling>
          <c:orientation val="minMax"/>
        </c:scaling>
        <c:delete val="1"/>
        <c:axPos val="b"/>
        <c:numFmt formatCode="General" sourceLinked="1"/>
        <c:majorTickMark val="out"/>
        <c:minorTickMark val="none"/>
        <c:tickLblPos val="nextTo"/>
        <c:crossAx val="2142719391"/>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428223844282225E-2"/>
          <c:y val="0.18101769536872406"/>
          <c:w val="0.85486621043903055"/>
          <c:h val="0.69913922050066324"/>
        </c:manualLayout>
      </c:layout>
      <c:scatterChart>
        <c:scatterStyle val="lineMarker"/>
        <c:varyColors val="0"/>
        <c:ser>
          <c:idx val="5"/>
          <c:order val="0"/>
          <c:tx>
            <c:v>dT</c:v>
          </c:tx>
          <c:spPr>
            <a:ln w="25400" cap="rnd">
              <a:noFill/>
              <a:round/>
            </a:ln>
            <a:effectLst/>
          </c:spPr>
          <c:marker>
            <c:symbol val="x"/>
            <c:size val="5"/>
            <c:spPr>
              <a:noFill/>
              <a:ln w="9525">
                <a:solidFill>
                  <a:schemeClr val="accent2">
                    <a:lumMod val="75000"/>
                  </a:schemeClr>
                </a:solidFill>
              </a:ln>
              <a:effectLst/>
            </c:spPr>
          </c:marker>
          <c:xVal>
            <c:numRef>
              <c:f>'Equations HSC-AD'!$D$313</c:f>
              <c:numCache>
                <c:formatCode>0.00</c:formatCode>
                <c:ptCount val="1"/>
                <c:pt idx="0">
                  <c:v>12.62139873972731</c:v>
                </c:pt>
              </c:numCache>
            </c:numRef>
          </c:xVal>
          <c:yVal>
            <c:numRef>
              <c:f>'Equations HSC-AD'!$E$313</c:f>
              <c:numCache>
                <c:formatCode>0.00</c:formatCode>
                <c:ptCount val="1"/>
                <c:pt idx="0">
                  <c:v>2.0000000000000009</c:v>
                </c:pt>
              </c:numCache>
            </c:numRef>
          </c:yVal>
          <c:smooth val="0"/>
          <c:extLst>
            <c:ext xmlns:c16="http://schemas.microsoft.com/office/drawing/2014/chart" uri="{C3380CC4-5D6E-409C-BE32-E72D297353CC}">
              <c16:uniqueId val="{00000007-057C-4FB6-B20C-6A60AC7ACF0A}"/>
            </c:ext>
          </c:extLst>
        </c:ser>
        <c:ser>
          <c:idx val="1"/>
          <c:order val="1"/>
          <c:tx>
            <c:v>LEFT</c:v>
          </c:tx>
          <c:spPr>
            <a:ln w="3175" cap="rnd">
              <a:solidFill>
                <a:schemeClr val="tx2"/>
              </a:solidFill>
              <a:prstDash val="solid"/>
              <a:round/>
            </a:ln>
            <a:effectLst/>
          </c:spPr>
          <c:marker>
            <c:symbol val="none"/>
          </c:marker>
          <c:xVal>
            <c:numRef>
              <c:f>'Equations HSC-AD'!$C$303:$C$305</c:f>
              <c:numCache>
                <c:formatCode>General</c:formatCode>
                <c:ptCount val="3"/>
                <c:pt idx="0">
                  <c:v>-12</c:v>
                </c:pt>
                <c:pt idx="1">
                  <c:v>-6</c:v>
                </c:pt>
                <c:pt idx="2">
                  <c:v>0</c:v>
                </c:pt>
              </c:numCache>
            </c:numRef>
          </c:xVal>
          <c:yVal>
            <c:numRef>
              <c:f>'Equations HSC-AD'!$D$303:$D$305</c:f>
              <c:numCache>
                <c:formatCode>General</c:formatCode>
                <c:ptCount val="3"/>
                <c:pt idx="0">
                  <c:v>10</c:v>
                </c:pt>
                <c:pt idx="1">
                  <c:v>10</c:v>
                </c:pt>
                <c:pt idx="2" formatCode="0.00">
                  <c:v>8.4636459000969744</c:v>
                </c:pt>
              </c:numCache>
            </c:numRef>
          </c:yVal>
          <c:smooth val="0"/>
          <c:extLst>
            <c:ext xmlns:c16="http://schemas.microsoft.com/office/drawing/2014/chart" uri="{C3380CC4-5D6E-409C-BE32-E72D297353CC}">
              <c16:uniqueId val="{00000000-057C-4FB6-B20C-6A60AC7ACF0A}"/>
            </c:ext>
          </c:extLst>
        </c:ser>
        <c:ser>
          <c:idx val="2"/>
          <c:order val="2"/>
          <c:tx>
            <c:v>RIGHT</c:v>
          </c:tx>
          <c:spPr>
            <a:ln w="25400" cap="rnd">
              <a:noFill/>
              <a:round/>
            </a:ln>
            <a:effectLst/>
          </c:spPr>
          <c:marker>
            <c:symbol val="none"/>
          </c:marker>
          <c:trendline>
            <c:spPr>
              <a:ln w="3175" cap="rnd" cmpd="sng">
                <a:solidFill>
                  <a:schemeClr val="tx2"/>
                </a:solidFill>
                <a:prstDash val="solid"/>
              </a:ln>
              <a:effectLst/>
            </c:spPr>
            <c:trendlineType val="linear"/>
            <c:dispRSqr val="0"/>
            <c:dispEq val="0"/>
          </c:trendline>
          <c:xVal>
            <c:numRef>
              <c:f>'Equations HSC-AD'!$C$305:$C$306</c:f>
              <c:numCache>
                <c:formatCode>General</c:formatCode>
                <c:ptCount val="2"/>
                <c:pt idx="0">
                  <c:v>0</c:v>
                </c:pt>
                <c:pt idx="1">
                  <c:v>12.62139873972731</c:v>
                </c:pt>
              </c:numCache>
            </c:numRef>
          </c:xVal>
          <c:yVal>
            <c:numRef>
              <c:f>'Equations HSC-AD'!$D$305:$D$306</c:f>
              <c:numCache>
                <c:formatCode>General</c:formatCode>
                <c:ptCount val="2"/>
                <c:pt idx="0" formatCode="0.00">
                  <c:v>8.4636459000969744</c:v>
                </c:pt>
                <c:pt idx="1">
                  <c:v>2</c:v>
                </c:pt>
              </c:numCache>
            </c:numRef>
          </c:yVal>
          <c:smooth val="0"/>
          <c:extLst>
            <c:ext xmlns:c16="http://schemas.microsoft.com/office/drawing/2014/chart" uri="{C3380CC4-5D6E-409C-BE32-E72D297353CC}">
              <c16:uniqueId val="{00000002-057C-4FB6-B20C-6A60AC7ACF0A}"/>
            </c:ext>
          </c:extLst>
        </c:ser>
        <c:ser>
          <c:idx val="0"/>
          <c:order val="3"/>
          <c:tx>
            <c:v>INT</c:v>
          </c:tx>
          <c:spPr>
            <a:ln w="25400" cap="rnd">
              <a:noFill/>
              <a:round/>
            </a:ln>
            <a:effectLst/>
          </c:spPr>
          <c:marker>
            <c:symbol val="none"/>
          </c:marker>
          <c:dLbls>
            <c:dLbl>
              <c:idx val="0"/>
              <c:layout>
                <c:manualLayout>
                  <c:x val="-4.3348330164655359E-17"/>
                  <c:y val="1.4040562060547958E-7"/>
                </c:manualLayout>
              </c:layout>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57C-4FB6-B20C-6A60AC7ACF0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'Equations HSC-AD'!$C$305</c:f>
              <c:numCache>
                <c:formatCode>General</c:formatCode>
                <c:ptCount val="1"/>
                <c:pt idx="0">
                  <c:v>0</c:v>
                </c:pt>
              </c:numCache>
            </c:numRef>
          </c:xVal>
          <c:yVal>
            <c:numRef>
              <c:f>'Equations HSC-AD'!$D$305</c:f>
              <c:numCache>
                <c:formatCode>0.00</c:formatCode>
                <c:ptCount val="1"/>
                <c:pt idx="0">
                  <c:v>8.4636459000969744</c:v>
                </c:pt>
              </c:numCache>
            </c:numRef>
          </c:yVal>
          <c:smooth val="0"/>
          <c:extLst>
            <c:ext xmlns:c16="http://schemas.microsoft.com/office/drawing/2014/chart" uri="{C3380CC4-5D6E-409C-BE32-E72D297353CC}">
              <c16:uniqueId val="{00000004-057C-4FB6-B20C-6A60AC7ACF0A}"/>
            </c:ext>
          </c:extLst>
        </c:ser>
        <c:ser>
          <c:idx val="3"/>
          <c:order val="4"/>
          <c:tx>
            <c:v>MAX_DT</c:v>
          </c:tx>
          <c:spPr>
            <a:ln w="25400" cap="rnd">
              <a:noFill/>
              <a:round/>
            </a:ln>
            <a:effectLst/>
          </c:spPr>
          <c:marker>
            <c:symbol val="none"/>
          </c:marker>
          <c:dLbls>
            <c:dLbl>
              <c:idx val="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57C-4FB6-B20C-6A60AC7ACF0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'Equations HSC-AD'!$C$306</c:f>
              <c:numCache>
                <c:formatCode>General</c:formatCode>
                <c:ptCount val="1"/>
                <c:pt idx="0">
                  <c:v>12.62139873972731</c:v>
                </c:pt>
              </c:numCache>
            </c:numRef>
          </c:xVal>
          <c:yVal>
            <c:numRef>
              <c:f>'Equations HSC-AD'!$D$306</c:f>
              <c:numCache>
                <c:formatCode>General</c:formatCode>
                <c:ptCount val="1"/>
                <c:pt idx="0">
                  <c:v>2</c:v>
                </c:pt>
              </c:numCache>
            </c:numRef>
          </c:yVal>
          <c:smooth val="0"/>
          <c:extLst>
            <c:ext xmlns:c16="http://schemas.microsoft.com/office/drawing/2014/chart" uri="{C3380CC4-5D6E-409C-BE32-E72D297353CC}">
              <c16:uniqueId val="{00000006-057C-4FB6-B20C-6A60AC7ACF0A}"/>
            </c:ext>
          </c:extLst>
        </c:ser>
        <c:dLbls>
          <c:showLegendKey val="0"/>
          <c:showVal val="0"/>
          <c:showCatName val="0"/>
          <c:showSerName val="0"/>
          <c:showPercent val="0"/>
          <c:showBubbleSize val="0"/>
        </c:dLbls>
        <c:axId val="1320389744"/>
        <c:axId val="1320391376"/>
      </c:scatterChart>
      <c:valAx>
        <c:axId val="1320389744"/>
        <c:scaling>
          <c:orientation val="minMax"/>
          <c:max val="20"/>
          <c:min val="-10"/>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a:t>Δ</a:t>
                </a:r>
                <a:r>
                  <a:rPr lang="en-AU"/>
                  <a:t>T</a:t>
                </a:r>
                <a:r>
                  <a:rPr lang="en-AU" baseline="-25000"/>
                  <a:t>supply - room</a:t>
                </a:r>
                <a:r>
                  <a:rPr lang="en-AU"/>
                  <a:t> [K] ('-'</a:t>
                </a:r>
                <a:r>
                  <a:rPr lang="en-AU" baseline="0"/>
                  <a:t> cooling; '+' heating)</a:t>
                </a:r>
                <a:endParaRPr lang="en-AU"/>
              </a:p>
            </c:rich>
          </c:tx>
          <c:layout>
            <c:manualLayout>
              <c:xMode val="edge"/>
              <c:yMode val="edge"/>
              <c:x val="0.30742092457420922"/>
              <c:y val="0.930943416391753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0.0;\-0.0;0.0" sourceLinked="0"/>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320391376"/>
        <c:crosses val="autoZero"/>
        <c:crossBetween val="midCat"/>
        <c:majorUnit val="5"/>
        <c:minorUnit val="1"/>
      </c:valAx>
      <c:valAx>
        <c:axId val="1320391376"/>
        <c:scaling>
          <c:orientation val="minMax"/>
          <c:max val="10"/>
          <c:min val="2"/>
        </c:scaling>
        <c:delete val="0"/>
        <c:axPos val="l"/>
        <c:majorGridlines>
          <c:spPr>
            <a:ln w="9525" cap="flat" cmpd="sng" algn="ctr">
              <a:solidFill>
                <a:schemeClr val="tx1">
                  <a:lumMod val="15000"/>
                  <a:lumOff val="85000"/>
                </a:schemeClr>
              </a:solidFill>
              <a:round/>
            </a:ln>
            <a:effectLst/>
          </c:spPr>
        </c:majorGridlines>
        <c:numFmt formatCode="0\ \V"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0389744"/>
        <c:crosses val="autoZero"/>
        <c:crossBetween val="midCat"/>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'Heating '!$D$16:$D$24</c:f>
              <c:numCache>
                <c:formatCode>General</c:formatCode>
                <c:ptCount val="9"/>
                <c:pt idx="0">
                  <c:v>2.5</c:v>
                </c:pt>
                <c:pt idx="1">
                  <c:v>3</c:v>
                </c:pt>
                <c:pt idx="2">
                  <c:v>4</c:v>
                </c:pt>
                <c:pt idx="3">
                  <c:v>5</c:v>
                </c:pt>
                <c:pt idx="4">
                  <c:v>6</c:v>
                </c:pt>
                <c:pt idx="5">
                  <c:v>7</c:v>
                </c:pt>
                <c:pt idx="6">
                  <c:v>8</c:v>
                </c:pt>
                <c:pt idx="7">
                  <c:v>9</c:v>
                </c:pt>
                <c:pt idx="8">
                  <c:v>10</c:v>
                </c:pt>
              </c:numCache>
            </c:numRef>
          </c:xVal>
          <c:yVal>
            <c:numRef>
              <c:f>'Heating '!$F$16:$F$24</c:f>
              <c:numCache>
                <c:formatCode>General</c:formatCode>
                <c:ptCount val="9"/>
                <c:pt idx="0">
                  <c:v>445.22423953134228</c:v>
                </c:pt>
                <c:pt idx="1">
                  <c:v>534.26908743761066</c:v>
                </c:pt>
                <c:pt idx="2">
                  <c:v>712.35878325014755</c:v>
                </c:pt>
                <c:pt idx="3">
                  <c:v>890.44847906268456</c:v>
                </c:pt>
                <c:pt idx="4">
                  <c:v>1068.5381748752213</c:v>
                </c:pt>
                <c:pt idx="5">
                  <c:v>1246.6278706877586</c:v>
                </c:pt>
                <c:pt idx="6">
                  <c:v>1424.7175665002951</c:v>
                </c:pt>
                <c:pt idx="7">
                  <c:v>1602.8072623128319</c:v>
                </c:pt>
                <c:pt idx="8">
                  <c:v>1780.8969581253691</c:v>
                </c:pt>
              </c:numCache>
            </c:numRef>
          </c:yVal>
          <c:smooth val="0"/>
          <c:extLst>
            <c:ext xmlns:c16="http://schemas.microsoft.com/office/drawing/2014/chart" uri="{C3380CC4-5D6E-409C-BE32-E72D297353CC}">
              <c16:uniqueId val="{00000000-0CB8-4FC9-8345-51600EEC8BA0}"/>
            </c:ext>
          </c:extLst>
        </c:ser>
        <c:dLbls>
          <c:showLegendKey val="0"/>
          <c:showVal val="0"/>
          <c:showCatName val="0"/>
          <c:showSerName val="0"/>
          <c:showPercent val="0"/>
          <c:showBubbleSize val="0"/>
        </c:dLbls>
        <c:axId val="1320388656"/>
        <c:axId val="1320389200"/>
      </c:scatterChart>
      <c:valAx>
        <c:axId val="13203886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0389200"/>
        <c:crosses val="autoZero"/>
        <c:crossBetween val="midCat"/>
      </c:valAx>
      <c:valAx>
        <c:axId val="13203892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038865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428223844282225E-2"/>
          <c:y val="9.5034700221164392E-2"/>
          <c:w val="0.85486621043903055"/>
          <c:h val="0.78512200699841606"/>
        </c:manualLayout>
      </c:layout>
      <c:scatterChart>
        <c:scatterStyle val="lineMarker"/>
        <c:varyColors val="0"/>
        <c:ser>
          <c:idx val="5"/>
          <c:order val="0"/>
          <c:tx>
            <c:v>dT</c:v>
          </c:tx>
          <c:spPr>
            <a:ln w="25400" cap="rnd">
              <a:noFill/>
              <a:round/>
            </a:ln>
            <a:effectLst/>
          </c:spPr>
          <c:marker>
            <c:symbol val="x"/>
            <c:size val="5"/>
            <c:spPr>
              <a:noFill/>
              <a:ln w="9525">
                <a:solidFill>
                  <a:schemeClr val="accent2">
                    <a:lumMod val="75000"/>
                  </a:schemeClr>
                </a:solidFill>
              </a:ln>
              <a:effectLst/>
            </c:spPr>
          </c:marker>
          <c:dLbls>
            <c:numFmt formatCode="\+0.0\ \K;\-0.0\ \K;0.0\ \K"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panose="020B0004020202020204" pitchFamily="34" charset="0"/>
                    <a:ea typeface="+mn-ea"/>
                    <a:cs typeface="+mn-cs"/>
                  </a:defRPr>
                </a:pPr>
                <a:endParaRPr lang="en-US"/>
              </a:p>
            </c:txPr>
            <c:dLblPos val="r"/>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'Equations HSC-AD'!$D$313</c:f>
              <c:numCache>
                <c:formatCode>0.00</c:formatCode>
                <c:ptCount val="1"/>
                <c:pt idx="0">
                  <c:v>12.62139873972731</c:v>
                </c:pt>
              </c:numCache>
            </c:numRef>
          </c:xVal>
          <c:yVal>
            <c:numRef>
              <c:f>'Equations HSC-AD'!$E$313</c:f>
              <c:numCache>
                <c:formatCode>0.00</c:formatCode>
                <c:ptCount val="1"/>
                <c:pt idx="0">
                  <c:v>2.0000000000000009</c:v>
                </c:pt>
              </c:numCache>
            </c:numRef>
          </c:yVal>
          <c:smooth val="0"/>
          <c:extLst>
            <c:ext xmlns:c16="http://schemas.microsoft.com/office/drawing/2014/chart" uri="{C3380CC4-5D6E-409C-BE32-E72D297353CC}">
              <c16:uniqueId val="{00000001-8A0E-4E59-BAEA-4555794C704A}"/>
            </c:ext>
          </c:extLst>
        </c:ser>
        <c:ser>
          <c:idx val="1"/>
          <c:order val="1"/>
          <c:tx>
            <c:v>LEFT</c:v>
          </c:tx>
          <c:spPr>
            <a:ln w="3175" cap="rnd">
              <a:solidFill>
                <a:schemeClr val="tx2"/>
              </a:solidFill>
              <a:prstDash val="solid"/>
              <a:round/>
            </a:ln>
            <a:effectLst/>
          </c:spPr>
          <c:marker>
            <c:symbol val="none"/>
          </c:marker>
          <c:xVal>
            <c:numRef>
              <c:f>'Equations HSC-AD'!$C$303:$C$305</c:f>
              <c:numCache>
                <c:formatCode>General</c:formatCode>
                <c:ptCount val="3"/>
                <c:pt idx="0">
                  <c:v>-12</c:v>
                </c:pt>
                <c:pt idx="1">
                  <c:v>-6</c:v>
                </c:pt>
                <c:pt idx="2">
                  <c:v>0</c:v>
                </c:pt>
              </c:numCache>
            </c:numRef>
          </c:xVal>
          <c:yVal>
            <c:numRef>
              <c:f>'Equations HSC-AD'!$D$303:$D$305</c:f>
              <c:numCache>
                <c:formatCode>General</c:formatCode>
                <c:ptCount val="3"/>
                <c:pt idx="0">
                  <c:v>10</c:v>
                </c:pt>
                <c:pt idx="1">
                  <c:v>10</c:v>
                </c:pt>
                <c:pt idx="2" formatCode="0.00">
                  <c:v>8.4636459000969744</c:v>
                </c:pt>
              </c:numCache>
            </c:numRef>
          </c:yVal>
          <c:smooth val="0"/>
          <c:extLst>
            <c:ext xmlns:c16="http://schemas.microsoft.com/office/drawing/2014/chart" uri="{C3380CC4-5D6E-409C-BE32-E72D297353CC}">
              <c16:uniqueId val="{00000001-945F-40BE-B4D3-D43E45CE5B53}"/>
            </c:ext>
          </c:extLst>
        </c:ser>
        <c:ser>
          <c:idx val="2"/>
          <c:order val="2"/>
          <c:tx>
            <c:v>RIGHT</c:v>
          </c:tx>
          <c:spPr>
            <a:ln w="25400" cap="rnd">
              <a:noFill/>
              <a:round/>
            </a:ln>
            <a:effectLst/>
          </c:spPr>
          <c:marker>
            <c:symbol val="none"/>
          </c:marker>
          <c:trendline>
            <c:spPr>
              <a:ln w="3175" cap="rnd">
                <a:solidFill>
                  <a:schemeClr val="tx2"/>
                </a:solidFill>
                <a:prstDash val="solid"/>
              </a:ln>
              <a:effectLst/>
            </c:spPr>
            <c:trendlineType val="linear"/>
            <c:dispRSqr val="0"/>
            <c:dispEq val="0"/>
          </c:trendline>
          <c:xVal>
            <c:numRef>
              <c:f>'Equations HSC-AD'!$C$305:$C$306</c:f>
              <c:numCache>
                <c:formatCode>General</c:formatCode>
                <c:ptCount val="2"/>
                <c:pt idx="0">
                  <c:v>0</c:v>
                </c:pt>
                <c:pt idx="1">
                  <c:v>12.62139873972731</c:v>
                </c:pt>
              </c:numCache>
            </c:numRef>
          </c:xVal>
          <c:yVal>
            <c:numRef>
              <c:f>'Equations HSC-AD'!$D$305:$D$306</c:f>
              <c:numCache>
                <c:formatCode>General</c:formatCode>
                <c:ptCount val="2"/>
                <c:pt idx="0" formatCode="0.00">
                  <c:v>8.4636459000969744</c:v>
                </c:pt>
                <c:pt idx="1">
                  <c:v>2</c:v>
                </c:pt>
              </c:numCache>
            </c:numRef>
          </c:yVal>
          <c:smooth val="0"/>
          <c:extLst>
            <c:ext xmlns:c16="http://schemas.microsoft.com/office/drawing/2014/chart" uri="{C3380CC4-5D6E-409C-BE32-E72D297353CC}">
              <c16:uniqueId val="{00000003-945F-40BE-B4D3-D43E45CE5B53}"/>
            </c:ext>
          </c:extLst>
        </c:ser>
        <c:ser>
          <c:idx val="0"/>
          <c:order val="3"/>
          <c:tx>
            <c:v>INT</c:v>
          </c:tx>
          <c:spPr>
            <a:ln w="25400" cap="rnd">
              <a:noFill/>
              <a:round/>
            </a:ln>
            <a:effectLst/>
          </c:spPr>
          <c:marker>
            <c:symbol val="none"/>
          </c:marker>
          <c:dLbls>
            <c:dLbl>
              <c:idx val="0"/>
              <c:layout>
                <c:manualLayout>
                  <c:x val="-4.3348330164655359E-17"/>
                  <c:y val="1.4040562060547958E-7"/>
                </c:manualLayout>
              </c:layout>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945F-40BE-B4D3-D43E45CE5B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'Equations HSC-AD'!$C$305</c:f>
              <c:numCache>
                <c:formatCode>General</c:formatCode>
                <c:ptCount val="1"/>
                <c:pt idx="0">
                  <c:v>0</c:v>
                </c:pt>
              </c:numCache>
            </c:numRef>
          </c:xVal>
          <c:yVal>
            <c:numRef>
              <c:f>'Equations HSC-AD'!$D$305</c:f>
              <c:numCache>
                <c:formatCode>0.00</c:formatCode>
                <c:ptCount val="1"/>
                <c:pt idx="0">
                  <c:v>8.4636459000969744</c:v>
                </c:pt>
              </c:numCache>
            </c:numRef>
          </c:yVal>
          <c:smooth val="0"/>
          <c:extLst>
            <c:ext xmlns:c16="http://schemas.microsoft.com/office/drawing/2014/chart" uri="{C3380CC4-5D6E-409C-BE32-E72D297353CC}">
              <c16:uniqueId val="{00000005-945F-40BE-B4D3-D43E45CE5B53}"/>
            </c:ext>
          </c:extLst>
        </c:ser>
        <c:ser>
          <c:idx val="3"/>
          <c:order val="4"/>
          <c:tx>
            <c:v>MAX_DT</c:v>
          </c:tx>
          <c:spPr>
            <a:ln w="25400" cap="rnd">
              <a:noFill/>
              <a:round/>
            </a:ln>
            <a:effectLst/>
          </c:spPr>
          <c:marker>
            <c:symbol val="none"/>
          </c:marker>
          <c:dLbls>
            <c:dLbl>
              <c:idx val="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45F-40BE-B4D3-D43E45CE5B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'Equations HSC-AD'!$C$306</c:f>
              <c:numCache>
                <c:formatCode>General</c:formatCode>
                <c:ptCount val="1"/>
                <c:pt idx="0">
                  <c:v>12.62139873972731</c:v>
                </c:pt>
              </c:numCache>
            </c:numRef>
          </c:xVal>
          <c:yVal>
            <c:numRef>
              <c:f>'Equations HSC-AD'!$D$306</c:f>
              <c:numCache>
                <c:formatCode>General</c:formatCode>
                <c:ptCount val="1"/>
                <c:pt idx="0">
                  <c:v>2</c:v>
                </c:pt>
              </c:numCache>
            </c:numRef>
          </c:yVal>
          <c:smooth val="0"/>
          <c:extLst>
            <c:ext xmlns:c16="http://schemas.microsoft.com/office/drawing/2014/chart" uri="{C3380CC4-5D6E-409C-BE32-E72D297353CC}">
              <c16:uniqueId val="{00000007-945F-40BE-B4D3-D43E45CE5B53}"/>
            </c:ext>
          </c:extLst>
        </c:ser>
        <c:dLbls>
          <c:showLegendKey val="0"/>
          <c:showVal val="0"/>
          <c:showCatName val="0"/>
          <c:showSerName val="0"/>
          <c:showPercent val="0"/>
          <c:showBubbleSize val="0"/>
        </c:dLbls>
        <c:axId val="1431180832"/>
        <c:axId val="1431179200"/>
      </c:scatterChart>
      <c:valAx>
        <c:axId val="1431180832"/>
        <c:scaling>
          <c:orientation val="minMax"/>
          <c:max val="20"/>
          <c:min val="-10"/>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l-GR">
                    <a:solidFill>
                      <a:schemeClr val="tx1"/>
                    </a:solidFill>
                  </a:rPr>
                  <a:t>Δ</a:t>
                </a:r>
                <a:r>
                  <a:rPr lang="en-AU">
                    <a:solidFill>
                      <a:schemeClr val="tx1"/>
                    </a:solidFill>
                  </a:rPr>
                  <a:t>T</a:t>
                </a:r>
                <a:r>
                  <a:rPr lang="en-AU" baseline="-25000">
                    <a:solidFill>
                      <a:schemeClr val="tx1"/>
                    </a:solidFill>
                  </a:rPr>
                  <a:t>supply - room</a:t>
                </a:r>
                <a:r>
                  <a:rPr lang="en-AU">
                    <a:solidFill>
                      <a:schemeClr val="tx1"/>
                    </a:solidFill>
                  </a:rPr>
                  <a:t> [K]</a:t>
                </a:r>
              </a:p>
            </c:rich>
          </c:tx>
          <c:layout>
            <c:manualLayout>
              <c:xMode val="edge"/>
              <c:yMode val="edge"/>
              <c:x val="0.30742092457420922"/>
              <c:y val="0.930943416391753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0.0" sourceLinked="0"/>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431179200"/>
        <c:crosses val="autoZero"/>
        <c:crossBetween val="midCat"/>
        <c:majorUnit val="5"/>
        <c:minorUnit val="1"/>
      </c:valAx>
      <c:valAx>
        <c:axId val="1431179200"/>
        <c:scaling>
          <c:orientation val="minMax"/>
          <c:max val="10"/>
          <c:min val="2"/>
        </c:scaling>
        <c:delete val="0"/>
        <c:axPos val="l"/>
        <c:majorGridlines>
          <c:spPr>
            <a:ln w="9525" cap="flat" cmpd="sng" algn="ctr">
              <a:solidFill>
                <a:schemeClr val="tx1">
                  <a:lumMod val="15000"/>
                  <a:lumOff val="85000"/>
                </a:schemeClr>
              </a:solidFill>
              <a:round/>
            </a:ln>
            <a:effectLst/>
          </c:spPr>
        </c:majorGridlines>
        <c:numFmt formatCode="0\ \V"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431180832"/>
        <c:crosses val="autoZero"/>
        <c:crossBetween val="midCat"/>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fmlaLink="'Equations HSC-AD'!$C$22"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fmlaLink="'Equations HSC-AD'!$C$82"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checked="Checked" firstButton="1" fmlaLink="'HSC-AD data'!$C$36"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checked="Checked" firstButton="1" fmlaLink="'HSC-AD data'!$C$6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checked="Checked" firstButton="1" fmlaLink="'Equations HSC-AD'!$C$3"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CheckBox" fmlaLink="'Equations HSC-AD'!$C$24"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Equations HSC-AD'!$C$295"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fmlaLink="'Equations HSC-AD'!$C$45" lockText="1" noThreeD="1"/>
</file>

<file path=xl/ctrlProps/ctrlProp29.xml><?xml version="1.0" encoding="utf-8"?>
<formControlPr xmlns="http://schemas.microsoft.com/office/spreadsheetml/2009/9/main" objectType="Radio" checked="Checked"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checked="Checked" firstButton="1" fmlaLink="'HSC-AD data'!$C$51"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checked="Checked" firstButton="1" fmlaLink="'HSC-AD data'!$C$69"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2.png"/><Relationship Id="rId4"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1.emf"/><Relationship Id="rId5" Type="http://schemas.openxmlformats.org/officeDocument/2006/relationships/image" Target="../media/image11.emf"/><Relationship Id="rId4"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1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23</xdr:col>
      <xdr:colOff>131145</xdr:colOff>
      <xdr:row>1</xdr:row>
      <xdr:rowOff>29477</xdr:rowOff>
    </xdr:from>
    <xdr:to>
      <xdr:col>26</xdr:col>
      <xdr:colOff>511063</xdr:colOff>
      <xdr:row>3</xdr:row>
      <xdr:rowOff>40669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982708" y="208071"/>
          <a:ext cx="2865044" cy="5450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693420</xdr:colOff>
          <xdr:row>23</xdr:row>
          <xdr:rowOff>182880</xdr:rowOff>
        </xdr:from>
        <xdr:to>
          <xdr:col>11</xdr:col>
          <xdr:colOff>283845</xdr:colOff>
          <xdr:row>25</xdr:row>
          <xdr:rowOff>1905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628650</xdr:colOff>
          <xdr:row>11</xdr:row>
          <xdr:rowOff>78442</xdr:rowOff>
        </xdr:from>
        <xdr:to>
          <xdr:col>13</xdr:col>
          <xdr:colOff>19050</xdr:colOff>
          <xdr:row>17</xdr:row>
          <xdr:rowOff>57151</xdr:rowOff>
        </xdr:to>
        <xdr:grpSp>
          <xdr:nvGrpSpPr>
            <xdr:cNvPr id="5" name="diffuser distance">
              <a:extLst>
                <a:ext uri="{FF2B5EF4-FFF2-40B4-BE49-F238E27FC236}">
                  <a16:creationId xmlns:a16="http://schemas.microsoft.com/office/drawing/2014/main" id="{00000000-0008-0000-0000-000005000000}"/>
                </a:ext>
              </a:extLst>
            </xdr:cNvPr>
            <xdr:cNvGrpSpPr/>
          </xdr:nvGrpSpPr>
          <xdr:grpSpPr>
            <a:xfrm>
              <a:off x="8406765" y="2440642"/>
              <a:ext cx="3124200" cy="1117899"/>
              <a:chOff x="6629381" y="2335867"/>
              <a:chExt cx="2895604" cy="1207433"/>
            </a:xfrm>
          </xdr:grpSpPr>
          <xdr:sp macro="" textlink="">
            <xdr:nvSpPr>
              <xdr:cNvPr id="1032" name="Group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6629381" y="2335867"/>
                <a:ext cx="2895604" cy="1207433"/>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en-AU" sz="800" b="0" i="0" u="none" strike="noStrike" baseline="0">
                    <a:solidFill>
                      <a:srgbClr val="000000"/>
                    </a:solidFill>
                    <a:latin typeface="Segoe UI"/>
                    <a:cs typeface="Segoe UI"/>
                  </a:rPr>
                  <a:t>Group Box 8</a:t>
                </a:r>
              </a:p>
            </xdr:txBody>
          </xdr:sp>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6753225" y="2440595"/>
                <a:ext cx="463772" cy="22127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6756889" y="2836245"/>
                <a:ext cx="1556238" cy="2190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6764947" y="3259012"/>
                <a:ext cx="1354494" cy="21907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editAs="oneCell">
    <xdr:from>
      <xdr:col>21</xdr:col>
      <xdr:colOff>146369</xdr:colOff>
      <xdr:row>12</xdr:row>
      <xdr:rowOff>101468</xdr:rowOff>
    </xdr:from>
    <xdr:to>
      <xdr:col>25</xdr:col>
      <xdr:colOff>1083343</xdr:colOff>
      <xdr:row>25</xdr:row>
      <xdr:rowOff>22612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447865">
          <a:off x="15491144" y="2730368"/>
          <a:ext cx="3428714" cy="2525279"/>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238439</xdr:colOff>
          <xdr:row>71</xdr:row>
          <xdr:rowOff>9525</xdr:rowOff>
        </xdr:from>
        <xdr:to>
          <xdr:col>19</xdr:col>
          <xdr:colOff>85725</xdr:colOff>
          <xdr:row>72</xdr:row>
          <xdr:rowOff>0</xdr:rowOff>
        </xdr:to>
        <xdr:grpSp>
          <xdr:nvGrpSpPr>
            <xdr:cNvPr id="9" name="colour">
              <a:extLst>
                <a:ext uri="{FF2B5EF4-FFF2-40B4-BE49-F238E27FC236}">
                  <a16:creationId xmlns:a16="http://schemas.microsoft.com/office/drawing/2014/main" id="{00000000-0008-0000-0000-000009000000}"/>
                </a:ext>
              </a:extLst>
            </xdr:cNvPr>
            <xdr:cNvGrpSpPr/>
          </xdr:nvGrpSpPr>
          <xdr:grpSpPr>
            <a:xfrm>
              <a:off x="4717094" y="16089630"/>
              <a:ext cx="9686611" cy="312420"/>
              <a:chOff x="3192065" y="16257660"/>
              <a:chExt cx="5381626" cy="294082"/>
            </a:xfrm>
          </xdr:grpSpPr>
          <xdr:sp macro="" textlink="">
            <xdr:nvSpPr>
              <xdr:cNvPr id="1069" name="Group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3192065" y="16257660"/>
                <a:ext cx="5381626" cy="294082"/>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en-AU" sz="800" b="0" i="0" u="none" strike="noStrike" baseline="0">
                    <a:solidFill>
                      <a:srgbClr val="000000"/>
                    </a:solidFill>
                    <a:latin typeface="Segoe UI"/>
                    <a:cs typeface="Segoe UI"/>
                  </a:rPr>
                  <a:t>Group Box 45</a:t>
                </a:r>
              </a:p>
            </xdr:txBody>
          </xdr:sp>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3351152" y="16280057"/>
                <a:ext cx="845839" cy="22200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4410829" y="16292024"/>
                <a:ext cx="618192" cy="22200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5312937" y="16287109"/>
                <a:ext cx="471854" cy="22200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5398" name="Option Button 3654" hidden="1">
                <a:extLst>
                  <a:ext uri="{63B3BB69-23CF-44E3-9099-C40C66FF867C}">
                    <a14:compatExt spid="_x0000_s35398"/>
                  </a:ext>
                  <a:ext uri="{FF2B5EF4-FFF2-40B4-BE49-F238E27FC236}">
                    <a16:creationId xmlns:a16="http://schemas.microsoft.com/office/drawing/2014/main" id="{00000000-0008-0000-0000-0000468A0000}"/>
                  </a:ext>
                </a:extLst>
              </xdr:cNvPr>
              <xdr:cNvSpPr/>
            </xdr:nvSpPr>
            <xdr:spPr bwMode="auto">
              <a:xfrm>
                <a:off x="6479559" y="16287109"/>
                <a:ext cx="471854" cy="22200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214214</xdr:colOff>
          <xdr:row>7</xdr:row>
          <xdr:rowOff>152400</xdr:rowOff>
        </xdr:from>
        <xdr:to>
          <xdr:col>7</xdr:col>
          <xdr:colOff>314906</xdr:colOff>
          <xdr:row>9</xdr:row>
          <xdr:rowOff>57150</xdr:rowOff>
        </xdr:to>
        <xdr:grpSp>
          <xdr:nvGrpSpPr>
            <xdr:cNvPr id="10" name="Group 9">
              <a:extLst>
                <a:ext uri="{FF2B5EF4-FFF2-40B4-BE49-F238E27FC236}">
                  <a16:creationId xmlns:a16="http://schemas.microsoft.com/office/drawing/2014/main" id="{00000000-0008-0000-0000-00000A000000}"/>
                </a:ext>
              </a:extLst>
            </xdr:cNvPr>
            <xdr:cNvGrpSpPr/>
          </xdr:nvGrpSpPr>
          <xdr:grpSpPr>
            <a:xfrm>
              <a:off x="4687154" y="1733550"/>
              <a:ext cx="1544682" cy="300990"/>
              <a:chOff x="3886220" y="1609982"/>
              <a:chExt cx="1695456" cy="304799"/>
            </a:xfrm>
          </xdr:grpSpPr>
          <xdr:sp macro="" textlink="">
            <xdr:nvSpPr>
              <xdr:cNvPr id="1076" name="Group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3886220" y="1609982"/>
                <a:ext cx="1695456" cy="304799"/>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en-AU" sz="800" b="0" i="0" u="none" strike="noStrike" baseline="0">
                    <a:solidFill>
                      <a:srgbClr val="000000"/>
                    </a:solidFill>
                    <a:latin typeface="Segoe UI"/>
                    <a:cs typeface="Segoe UI"/>
                  </a:rPr>
                  <a:t>Group Box 52</a:t>
                </a:r>
              </a:p>
            </xdr:txBody>
          </xdr:sp>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3962399" y="1663148"/>
                <a:ext cx="304801" cy="2190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4946794" y="1657237"/>
                <a:ext cx="302649" cy="21508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19</xdr:row>
          <xdr:rowOff>182880</xdr:rowOff>
        </xdr:from>
        <xdr:to>
          <xdr:col>10</xdr:col>
          <xdr:colOff>762000</xdr:colOff>
          <xdr:row>21</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982980</xdr:colOff>
          <xdr:row>66</xdr:row>
          <xdr:rowOff>152400</xdr:rowOff>
        </xdr:from>
        <xdr:to>
          <xdr:col>23</xdr:col>
          <xdr:colOff>207645</xdr:colOff>
          <xdr:row>68</xdr:row>
          <xdr:rowOff>0</xdr:rowOff>
        </xdr:to>
        <xdr:sp macro="" textlink="">
          <xdr:nvSpPr>
            <xdr:cNvPr id="1133" name="Group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en-AU" sz="800" b="0" i="0" u="none" strike="noStrike" baseline="0">
                  <a:solidFill>
                    <a:srgbClr val="000000"/>
                  </a:solidFill>
                  <a:latin typeface="Segoe UI"/>
                  <a:cs typeface="Segoe UI"/>
                </a:rPr>
                <a:t>Group Box 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67</xdr:row>
          <xdr:rowOff>30480</xdr:rowOff>
        </xdr:from>
        <xdr:to>
          <xdr:col>6</xdr:col>
          <xdr:colOff>609600</xdr:colOff>
          <xdr:row>68</xdr:row>
          <xdr:rowOff>0</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297180</xdr:colOff>
          <xdr:row>67</xdr:row>
          <xdr:rowOff>30480</xdr:rowOff>
        </xdr:from>
        <xdr:to>
          <xdr:col>7</xdr:col>
          <xdr:colOff>588645</xdr:colOff>
          <xdr:row>68</xdr:row>
          <xdr:rowOff>0</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67</xdr:row>
          <xdr:rowOff>30480</xdr:rowOff>
        </xdr:from>
        <xdr:to>
          <xdr:col>8</xdr:col>
          <xdr:colOff>626745</xdr:colOff>
          <xdr:row>68</xdr:row>
          <xdr:rowOff>0</xdr:rowOff>
        </xdr:to>
        <xdr:sp macro="" textlink="">
          <xdr:nvSpPr>
            <xdr:cNvPr id="1137" name="Option Button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67</xdr:row>
          <xdr:rowOff>30480</xdr:rowOff>
        </xdr:from>
        <xdr:to>
          <xdr:col>9</xdr:col>
          <xdr:colOff>609600</xdr:colOff>
          <xdr:row>68</xdr:row>
          <xdr:rowOff>0</xdr:rowOff>
        </xdr:to>
        <xdr:sp macro="" textlink="">
          <xdr:nvSpPr>
            <xdr:cNvPr id="1138" name="Option Button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365760</xdr:colOff>
          <xdr:row>67</xdr:row>
          <xdr:rowOff>0</xdr:rowOff>
        </xdr:from>
        <xdr:to>
          <xdr:col>10</xdr:col>
          <xdr:colOff>666750</xdr:colOff>
          <xdr:row>67</xdr:row>
          <xdr:rowOff>228600</xdr:rowOff>
        </xdr:to>
        <xdr:sp macro="" textlink="">
          <xdr:nvSpPr>
            <xdr:cNvPr id="1139" name="Option Button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381000</xdr:colOff>
          <xdr:row>67</xdr:row>
          <xdr:rowOff>0</xdr:rowOff>
        </xdr:from>
        <xdr:to>
          <xdr:col>11</xdr:col>
          <xdr:colOff>685800</xdr:colOff>
          <xdr:row>67</xdr:row>
          <xdr:rowOff>228600</xdr:rowOff>
        </xdr:to>
        <xdr:sp macro="" textlink="">
          <xdr:nvSpPr>
            <xdr:cNvPr id="1140" name="Option Button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365760</xdr:colOff>
          <xdr:row>67</xdr:row>
          <xdr:rowOff>0</xdr:rowOff>
        </xdr:from>
        <xdr:to>
          <xdr:col>12</xdr:col>
          <xdr:colOff>666750</xdr:colOff>
          <xdr:row>67</xdr:row>
          <xdr:rowOff>228600</xdr:rowOff>
        </xdr:to>
        <xdr:sp macro="" textlink="">
          <xdr:nvSpPr>
            <xdr:cNvPr id="1141" name="Option Button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373380</xdr:colOff>
          <xdr:row>66</xdr:row>
          <xdr:rowOff>190500</xdr:rowOff>
        </xdr:from>
        <xdr:to>
          <xdr:col>13</xdr:col>
          <xdr:colOff>664845</xdr:colOff>
          <xdr:row>67</xdr:row>
          <xdr:rowOff>228600</xdr:rowOff>
        </xdr:to>
        <xdr:sp macro="" textlink="">
          <xdr:nvSpPr>
            <xdr:cNvPr id="1143" name="Option Button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365760</xdr:colOff>
          <xdr:row>66</xdr:row>
          <xdr:rowOff>190500</xdr:rowOff>
        </xdr:from>
        <xdr:to>
          <xdr:col>14</xdr:col>
          <xdr:colOff>666750</xdr:colOff>
          <xdr:row>67</xdr:row>
          <xdr:rowOff>228600</xdr:rowOff>
        </xdr:to>
        <xdr:sp macro="" textlink="">
          <xdr:nvSpPr>
            <xdr:cNvPr id="1145" name="Option Button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335280</xdr:colOff>
          <xdr:row>66</xdr:row>
          <xdr:rowOff>190500</xdr:rowOff>
        </xdr:from>
        <xdr:to>
          <xdr:col>15</xdr:col>
          <xdr:colOff>626745</xdr:colOff>
          <xdr:row>67</xdr:row>
          <xdr:rowOff>228600</xdr:rowOff>
        </xdr:to>
        <xdr:sp macro="" textlink="">
          <xdr:nvSpPr>
            <xdr:cNvPr id="1146" name="Option Button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466725</xdr:colOff>
          <xdr:row>65</xdr:row>
          <xdr:rowOff>141061</xdr:rowOff>
        </xdr:from>
        <xdr:to>
          <xdr:col>27</xdr:col>
          <xdr:colOff>533400</xdr:colOff>
          <xdr:row>78</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a:extLst>
                <a:ext uri="{84589F7E-364E-4C9E-8A38-B11213B215E9}">
                  <a14:cameraTool cellRange="getFrontChart" spid="_x0000_s140831"/>
                </a:ext>
              </a:extLst>
            </xdr:cNvPicPr>
          </xdr:nvPicPr>
          <xdr:blipFill rotWithShape="1">
            <a:blip xmlns:r="http://schemas.openxmlformats.org/officeDocument/2006/relationships" r:embed="rId3"/>
            <a:srcRect l="1804" r="641"/>
            <a:stretch>
              <a:fillRect/>
            </a:stretch>
          </xdr:blipFill>
          <xdr:spPr>
            <a:xfrm>
              <a:off x="14077950" y="15000061"/>
              <a:ext cx="6115050" cy="3545114"/>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xdr:from>
          <xdr:col>10</xdr:col>
          <xdr:colOff>270654</xdr:colOff>
          <xdr:row>17</xdr:row>
          <xdr:rowOff>117474</xdr:rowOff>
        </xdr:from>
        <xdr:to>
          <xdr:col>19</xdr:col>
          <xdr:colOff>352425</xdr:colOff>
          <xdr:row>19</xdr:row>
          <xdr:rowOff>138112</xdr:rowOff>
        </xdr:to>
        <xdr:grpSp>
          <xdr:nvGrpSpPr>
            <xdr:cNvPr id="8" name="diffuser location">
              <a:extLst>
                <a:ext uri="{FF2B5EF4-FFF2-40B4-BE49-F238E27FC236}">
                  <a16:creationId xmlns:a16="http://schemas.microsoft.com/office/drawing/2014/main" id="{00000000-0008-0000-0000-000008000000}"/>
                </a:ext>
              </a:extLst>
            </xdr:cNvPr>
            <xdr:cNvGrpSpPr/>
          </xdr:nvGrpSpPr>
          <xdr:grpSpPr>
            <a:xfrm>
              <a:off x="8987934" y="3622674"/>
              <a:ext cx="5682471" cy="407353"/>
              <a:chOff x="7058017" y="3662632"/>
              <a:chExt cx="6772275" cy="381001"/>
            </a:xfrm>
          </xdr:grpSpPr>
          <xdr:sp macro="" textlink="">
            <xdr:nvSpPr>
              <xdr:cNvPr id="1371" name="Group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7058017" y="3662632"/>
                <a:ext cx="6772275" cy="381001"/>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en-AU" sz="800" b="0" i="0" u="none" strike="noStrike" baseline="0">
                    <a:solidFill>
                      <a:srgbClr val="000000"/>
                    </a:solidFill>
                    <a:latin typeface="Segoe UI"/>
                    <a:cs typeface="Segoe UI"/>
                  </a:rPr>
                  <a:t>Group Box 347</a:t>
                </a:r>
              </a:p>
            </xdr:txBody>
          </xdr:sp>
          <xdr:sp macro="" textlink="">
            <xdr:nvSpPr>
              <xdr:cNvPr id="1372" name="Option Button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9235430" y="3718066"/>
                <a:ext cx="704366" cy="2305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373" name="Option Button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10875178" y="3714751"/>
                <a:ext cx="1162051" cy="2333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243524</xdr:colOff>
          <xdr:row>69</xdr:row>
          <xdr:rowOff>0</xdr:rowOff>
        </xdr:from>
        <xdr:to>
          <xdr:col>19</xdr:col>
          <xdr:colOff>384197</xdr:colOff>
          <xdr:row>69</xdr:row>
          <xdr:rowOff>313278</xdr:rowOff>
        </xdr:to>
        <xdr:grpSp>
          <xdr:nvGrpSpPr>
            <xdr:cNvPr id="11" name="Face Size">
              <a:extLst>
                <a:ext uri="{FF2B5EF4-FFF2-40B4-BE49-F238E27FC236}">
                  <a16:creationId xmlns:a16="http://schemas.microsoft.com/office/drawing/2014/main" id="{00000000-0008-0000-0000-00000B000000}"/>
                </a:ext>
              </a:extLst>
            </xdr:cNvPr>
            <xdr:cNvGrpSpPr/>
          </xdr:nvGrpSpPr>
          <xdr:grpSpPr>
            <a:xfrm>
              <a:off x="4724084" y="15430500"/>
              <a:ext cx="9976188" cy="315183"/>
              <a:chOff x="3351350" y="13503072"/>
              <a:chExt cx="8383459" cy="333170"/>
            </a:xfrm>
          </xdr:grpSpPr>
          <xdr:sp macro="" textlink="">
            <xdr:nvSpPr>
              <xdr:cNvPr id="1631" name="Group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3351350" y="13503072"/>
                <a:ext cx="8383459" cy="333170"/>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en-AU" sz="800" b="0" i="0" u="none" strike="noStrike" baseline="0">
                    <a:solidFill>
                      <a:srgbClr val="000000"/>
                    </a:solidFill>
                    <a:latin typeface="Segoe UI"/>
                    <a:cs typeface="Segoe UI"/>
                  </a:rPr>
                  <a:t>Group Box 607</a:t>
                </a:r>
              </a:p>
            </xdr:txBody>
          </xdr:sp>
          <xdr:sp macro="" textlink="">
            <xdr:nvSpPr>
              <xdr:cNvPr id="1633" name="Option Button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3375983" y="13561945"/>
                <a:ext cx="642938"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5" name="Option Button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5687642" y="13541753"/>
                <a:ext cx="485475"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53" name="Option Button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7994310" y="13552802"/>
                <a:ext cx="472291"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962025</xdr:colOff>
          <xdr:row>70</xdr:row>
          <xdr:rowOff>28575</xdr:rowOff>
        </xdr:from>
        <xdr:to>
          <xdr:col>19</xdr:col>
          <xdr:colOff>552450</xdr:colOff>
          <xdr:row>71</xdr:row>
          <xdr:rowOff>19050</xdr:rowOff>
        </xdr:to>
        <xdr:grpSp>
          <xdr:nvGrpSpPr>
            <xdr:cNvPr id="12" name="adjustment options">
              <a:extLst>
                <a:ext uri="{FF2B5EF4-FFF2-40B4-BE49-F238E27FC236}">
                  <a16:creationId xmlns:a16="http://schemas.microsoft.com/office/drawing/2014/main" id="{00000000-0008-0000-0000-00000C000000}"/>
                </a:ext>
              </a:extLst>
            </xdr:cNvPr>
            <xdr:cNvGrpSpPr/>
          </xdr:nvGrpSpPr>
          <xdr:grpSpPr>
            <a:xfrm>
              <a:off x="4145280" y="15781020"/>
              <a:ext cx="10719435" cy="312420"/>
              <a:chOff x="3281854" y="13897377"/>
              <a:chExt cx="8087193" cy="305073"/>
            </a:xfrm>
          </xdr:grpSpPr>
          <xdr:sp macro="" textlink="">
            <xdr:nvSpPr>
              <xdr:cNvPr id="1062" name="Group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3281854" y="13897377"/>
                <a:ext cx="8087193" cy="305073"/>
              </a:xfrm>
              <a:prstGeom prst="rect">
                <a:avLst/>
              </a:prstGeom>
              <a:noFill/>
              <a:ln w="9525">
                <a:miter lim="800000"/>
                <a:headEnd/>
                <a:tailEnd/>
              </a:ln>
              <a:extLst>
                <a:ext uri="{909E8E84-426E-40DD-AFC4-6F175D3DCCD1}">
                  <a14:hiddenFill>
                    <a:noFill/>
                  </a14:hiddenFill>
                </a:ext>
              </a:extLst>
            </xdr:spPr>
          </xdr:sp>
          <xdr:sp macro="" textlink="">
            <xdr:nvSpPr>
              <xdr:cNvPr id="1065" name="Option Button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3727580" y="13899442"/>
                <a:ext cx="640882" cy="26193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73" name="Option Button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4456558" y="13912626"/>
                <a:ext cx="650479" cy="2333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5153" name="Option Button 3409" hidden="1">
                <a:extLst>
                  <a:ext uri="{63B3BB69-23CF-44E3-9099-C40C66FF867C}">
                    <a14:compatExt spid="_x0000_s35153"/>
                  </a:ext>
                  <a:ext uri="{FF2B5EF4-FFF2-40B4-BE49-F238E27FC236}">
                    <a16:creationId xmlns:a16="http://schemas.microsoft.com/office/drawing/2014/main" id="{00000000-0008-0000-0000-000051890000}"/>
                  </a:ext>
                </a:extLst>
              </xdr:cNvPr>
              <xdr:cNvSpPr/>
            </xdr:nvSpPr>
            <xdr:spPr bwMode="auto">
              <a:xfrm>
                <a:off x="5857826" y="13912625"/>
                <a:ext cx="685170" cy="2333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5154" name="Option Button 3410" hidden="1">
                <a:extLst>
                  <a:ext uri="{63B3BB69-23CF-44E3-9099-C40C66FF867C}">
                    <a14:compatExt spid="_x0000_s35154"/>
                  </a:ext>
                  <a:ext uri="{FF2B5EF4-FFF2-40B4-BE49-F238E27FC236}">
                    <a16:creationId xmlns:a16="http://schemas.microsoft.com/office/drawing/2014/main" id="{00000000-0008-0000-0000-000052890000}"/>
                  </a:ext>
                </a:extLst>
              </xdr:cNvPr>
              <xdr:cNvSpPr/>
            </xdr:nvSpPr>
            <xdr:spPr bwMode="auto">
              <a:xfrm>
                <a:off x="7341879" y="13912626"/>
                <a:ext cx="685172" cy="2333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5164" name="Option Button 3420" hidden="1">
                <a:extLst>
                  <a:ext uri="{63B3BB69-23CF-44E3-9099-C40C66FF867C}">
                    <a14:compatExt spid="_x0000_s35164"/>
                  </a:ext>
                  <a:ext uri="{FF2B5EF4-FFF2-40B4-BE49-F238E27FC236}">
                    <a16:creationId xmlns:a16="http://schemas.microsoft.com/office/drawing/2014/main" id="{00000000-0008-0000-0000-00005C890000}"/>
                  </a:ext>
                </a:extLst>
              </xdr:cNvPr>
              <xdr:cNvSpPr/>
            </xdr:nvSpPr>
            <xdr:spPr bwMode="auto">
              <a:xfrm>
                <a:off x="8804135" y="13903094"/>
                <a:ext cx="574150" cy="23336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3922</xdr:colOff>
          <xdr:row>65</xdr:row>
          <xdr:rowOff>133350</xdr:rowOff>
        </xdr:from>
        <xdr:to>
          <xdr:col>26</xdr:col>
          <xdr:colOff>511345</xdr:colOff>
          <xdr:row>78</xdr:row>
          <xdr:rowOff>34675</xdr:rowOff>
        </xdr:to>
        <xdr:pic>
          <xdr:nvPicPr>
            <xdr:cNvPr id="1889" name="Picture 3" hidden="1">
              <a:extLst>
                <a:ext uri="{FF2B5EF4-FFF2-40B4-BE49-F238E27FC236}">
                  <a16:creationId xmlns:a16="http://schemas.microsoft.com/office/drawing/2014/main" id="{00000000-0008-0000-0000-000061070000}"/>
                </a:ext>
              </a:extLst>
            </xdr:cNvPr>
            <xdr:cNvPicPr>
              <a:picLocks noChangeAspect="1" noChangeArrowheads="1"/>
              <a:extLst>
                <a:ext uri="{84589F7E-364E-4C9E-8A38-B11213B215E9}">
                  <a14:cameraTool cellRange="getFrontChart" spid="_x0000_s140832"/>
                </a:ext>
              </a:extLst>
            </xdr:cNvPicPr>
          </xdr:nvPicPr>
          <xdr:blipFill>
            <a:blip xmlns:r="http://schemas.openxmlformats.org/officeDocument/2006/relationships" r:embed="rId4"/>
            <a:srcRect l="1804" r="3571"/>
            <a:stretch>
              <a:fillRect/>
            </a:stretch>
          </xdr:blipFill>
          <xdr:spPr bwMode="auto">
            <a:xfrm>
              <a:off x="13944040" y="13457144"/>
              <a:ext cx="5815853" cy="3541059"/>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19</xdr:col>
      <xdr:colOff>784860</xdr:colOff>
      <xdr:row>38</xdr:row>
      <xdr:rowOff>83820</xdr:rowOff>
    </xdr:from>
    <xdr:to>
      <xdr:col>26</xdr:col>
      <xdr:colOff>248287</xdr:colOff>
      <xdr:row>51</xdr:row>
      <xdr:rowOff>79373</xdr:rowOff>
    </xdr:to>
    <xdr:sp macro="" textlink="">
      <xdr:nvSpPr>
        <xdr:cNvPr id="11986" name="Object 1746" hidden="1">
          <a:extLst>
            <a:ext uri="{63B3BB69-23CF-44E3-9099-C40C66FF867C}">
              <a14:compatExt xmlns:a14="http://schemas.microsoft.com/office/drawing/2010/main" spid="_x0000_s11986"/>
            </a:ext>
            <a:ext uri="{FF2B5EF4-FFF2-40B4-BE49-F238E27FC236}">
              <a16:creationId xmlns:a16="http://schemas.microsoft.com/office/drawing/2014/main" id="{00000000-0008-0000-0000-0000D22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19</xdr:col>
          <xdr:colOff>26670</xdr:colOff>
          <xdr:row>65</xdr:row>
          <xdr:rowOff>26670</xdr:rowOff>
        </xdr:from>
        <xdr:to>
          <xdr:col>26</xdr:col>
          <xdr:colOff>552450</xdr:colOff>
          <xdr:row>77</xdr:row>
          <xdr:rowOff>231775</xdr:rowOff>
        </xdr:to>
        <xdr:pic>
          <xdr:nvPicPr>
            <xdr:cNvPr id="24606" name="Picture 3" hidden="1">
              <a:extLst>
                <a:ext uri="{FF2B5EF4-FFF2-40B4-BE49-F238E27FC236}">
                  <a16:creationId xmlns:a16="http://schemas.microsoft.com/office/drawing/2014/main" id="{00000000-0008-0000-0000-00001E600000}"/>
                </a:ext>
              </a:extLst>
            </xdr:cNvPr>
            <xdr:cNvPicPr>
              <a:picLocks noChangeAspect="1" noChangeArrowheads="1"/>
              <a:extLst>
                <a:ext uri="{84589F7E-364E-4C9E-8A38-B11213B215E9}">
                  <a14:cameraTool cellRange="getFrontChart" spid="_x0000_s140833"/>
                </a:ext>
              </a:extLst>
            </xdr:cNvPicPr>
          </xdr:nvPicPr>
          <xdr:blipFill>
            <a:blip xmlns:r="http://schemas.openxmlformats.org/officeDocument/2006/relationships" r:embed="rId5"/>
            <a:srcRect l="1804" r="3571"/>
            <a:stretch>
              <a:fillRect/>
            </a:stretch>
          </xdr:blipFill>
          <xdr:spPr bwMode="auto">
            <a:xfrm>
              <a:off x="16291560" y="13418820"/>
              <a:ext cx="6225540" cy="35661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xdr:colOff>
          <xdr:row>65</xdr:row>
          <xdr:rowOff>133350</xdr:rowOff>
        </xdr:from>
        <xdr:to>
          <xdr:col>26</xdr:col>
          <xdr:colOff>511175</xdr:colOff>
          <xdr:row>78</xdr:row>
          <xdr:rowOff>34925</xdr:rowOff>
        </xdr:to>
        <xdr:pic>
          <xdr:nvPicPr>
            <xdr:cNvPr id="24607" name="Picture 2079" hidden="1">
              <a:extLst>
                <a:ext uri="{FF2B5EF4-FFF2-40B4-BE49-F238E27FC236}">
                  <a16:creationId xmlns:a16="http://schemas.microsoft.com/office/drawing/2014/main" id="{00000000-0008-0000-0000-00001F600000}"/>
                </a:ext>
              </a:extLst>
            </xdr:cNvPr>
            <xdr:cNvPicPr>
              <a:picLocks noChangeAspect="1" noChangeArrowheads="1"/>
              <a:extLst>
                <a:ext uri="{84589F7E-364E-4C9E-8A38-B11213B215E9}">
                  <a14:cameraTool cellRange="getFrontChart" spid="_x0000_s140834"/>
                </a:ext>
              </a:extLst>
            </xdr:cNvPicPr>
          </xdr:nvPicPr>
          <xdr:blipFill>
            <a:blip xmlns:r="http://schemas.openxmlformats.org/officeDocument/2006/relationships" r:embed="rId4"/>
            <a:srcRect l="1804" r="3571"/>
            <a:stretch>
              <a:fillRect/>
            </a:stretch>
          </xdr:blipFill>
          <xdr:spPr bwMode="auto">
            <a:xfrm>
              <a:off x="16264890" y="13525500"/>
              <a:ext cx="6221730" cy="35661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65</xdr:row>
          <xdr:rowOff>38100</xdr:rowOff>
        </xdr:from>
        <xdr:to>
          <xdr:col>26</xdr:col>
          <xdr:colOff>514985</xdr:colOff>
          <xdr:row>77</xdr:row>
          <xdr:rowOff>231775</xdr:rowOff>
        </xdr:to>
        <xdr:pic>
          <xdr:nvPicPr>
            <xdr:cNvPr id="25569" name="Picture 3" hidden="1">
              <a:extLst>
                <a:ext uri="{FF2B5EF4-FFF2-40B4-BE49-F238E27FC236}">
                  <a16:creationId xmlns:a16="http://schemas.microsoft.com/office/drawing/2014/main" id="{00000000-0008-0000-0000-0000E1630000}"/>
                </a:ext>
              </a:extLst>
            </xdr:cNvPr>
            <xdr:cNvPicPr>
              <a:picLocks noChangeAspect="1" noChangeArrowheads="1"/>
              <a:extLst>
                <a:ext uri="{84589F7E-364E-4C9E-8A38-B11213B215E9}">
                  <a14:cameraTool cellRange="getFrontChart" spid="_x0000_s140835"/>
                </a:ext>
              </a:extLst>
            </xdr:cNvPicPr>
          </xdr:nvPicPr>
          <xdr:blipFill>
            <a:blip xmlns:r="http://schemas.openxmlformats.org/officeDocument/2006/relationships" r:embed="rId4"/>
            <a:srcRect l="1804" r="3571"/>
            <a:stretch>
              <a:fillRect/>
            </a:stretch>
          </xdr:blipFill>
          <xdr:spPr bwMode="auto">
            <a:xfrm>
              <a:off x="14897100" y="13811250"/>
              <a:ext cx="5819775" cy="3552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65</xdr:row>
          <xdr:rowOff>133350</xdr:rowOff>
        </xdr:from>
        <xdr:to>
          <xdr:col>26</xdr:col>
          <xdr:colOff>511810</xdr:colOff>
          <xdr:row>78</xdr:row>
          <xdr:rowOff>34925</xdr:rowOff>
        </xdr:to>
        <xdr:pic>
          <xdr:nvPicPr>
            <xdr:cNvPr id="25570" name="Picture 3042" hidden="1">
              <a:extLst>
                <a:ext uri="{FF2B5EF4-FFF2-40B4-BE49-F238E27FC236}">
                  <a16:creationId xmlns:a16="http://schemas.microsoft.com/office/drawing/2014/main" id="{00000000-0008-0000-0000-0000E2630000}"/>
                </a:ext>
              </a:extLst>
            </xdr:cNvPr>
            <xdr:cNvPicPr>
              <a:picLocks noChangeAspect="1" noChangeArrowheads="1"/>
              <a:extLst>
                <a:ext uri="{84589F7E-364E-4C9E-8A38-B11213B215E9}">
                  <a14:cameraTool cellRange="getFrontChart" spid="_x0000_s140836"/>
                </a:ext>
              </a:extLst>
            </xdr:cNvPicPr>
          </xdr:nvPicPr>
          <xdr:blipFill>
            <a:blip xmlns:r="http://schemas.openxmlformats.org/officeDocument/2006/relationships" r:embed="rId4"/>
            <a:srcRect l="1804" r="3571"/>
            <a:stretch>
              <a:fillRect/>
            </a:stretch>
          </xdr:blipFill>
          <xdr:spPr bwMode="auto">
            <a:xfrm>
              <a:off x="14897100" y="13906500"/>
              <a:ext cx="5838825" cy="3552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65</xdr:row>
          <xdr:rowOff>28575</xdr:rowOff>
        </xdr:from>
        <xdr:to>
          <xdr:col>26</xdr:col>
          <xdr:colOff>552450</xdr:colOff>
          <xdr:row>77</xdr:row>
          <xdr:rowOff>228600</xdr:rowOff>
        </xdr:to>
        <xdr:pic>
          <xdr:nvPicPr>
            <xdr:cNvPr id="25571" name="Picture 3043" hidden="1">
              <a:extLst>
                <a:ext uri="{FF2B5EF4-FFF2-40B4-BE49-F238E27FC236}">
                  <a16:creationId xmlns:a16="http://schemas.microsoft.com/office/drawing/2014/main" id="{00000000-0008-0000-0000-0000E3630000}"/>
                </a:ext>
              </a:extLst>
            </xdr:cNvPr>
            <xdr:cNvPicPr>
              <a:picLocks noChangeAspect="1" noChangeArrowheads="1"/>
              <a:extLst>
                <a:ext uri="{84589F7E-364E-4C9E-8A38-B11213B215E9}">
                  <a14:cameraTool cellRange="getFrontChart" spid="_x0000_s140837"/>
                </a:ext>
              </a:extLst>
            </xdr:cNvPicPr>
          </xdr:nvPicPr>
          <xdr:blipFill>
            <a:blip xmlns:r="http://schemas.openxmlformats.org/officeDocument/2006/relationships" r:embed="rId5"/>
            <a:srcRect l="1804" r="3571"/>
            <a:stretch>
              <a:fillRect/>
            </a:stretch>
          </xdr:blipFill>
          <xdr:spPr bwMode="auto">
            <a:xfrm>
              <a:off x="14925675" y="13801725"/>
              <a:ext cx="5838825" cy="3552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65</xdr:row>
          <xdr:rowOff>133350</xdr:rowOff>
        </xdr:from>
        <xdr:to>
          <xdr:col>26</xdr:col>
          <xdr:colOff>511810</xdr:colOff>
          <xdr:row>78</xdr:row>
          <xdr:rowOff>34925</xdr:rowOff>
        </xdr:to>
        <xdr:pic>
          <xdr:nvPicPr>
            <xdr:cNvPr id="25572" name="Picture 2079" hidden="1">
              <a:extLst>
                <a:ext uri="{FF2B5EF4-FFF2-40B4-BE49-F238E27FC236}">
                  <a16:creationId xmlns:a16="http://schemas.microsoft.com/office/drawing/2014/main" id="{00000000-0008-0000-0000-0000E4630000}"/>
                </a:ext>
              </a:extLst>
            </xdr:cNvPr>
            <xdr:cNvPicPr>
              <a:picLocks noChangeAspect="1" noChangeArrowheads="1"/>
              <a:extLst>
                <a:ext uri="{84589F7E-364E-4C9E-8A38-B11213B215E9}">
                  <a14:cameraTool cellRange="getFrontChart" spid="_x0000_s140838"/>
                </a:ext>
              </a:extLst>
            </xdr:cNvPicPr>
          </xdr:nvPicPr>
          <xdr:blipFill>
            <a:blip xmlns:r="http://schemas.openxmlformats.org/officeDocument/2006/relationships" r:embed="rId6"/>
            <a:srcRect l="1804" r="3571"/>
            <a:stretch>
              <a:fillRect/>
            </a:stretch>
          </xdr:blipFill>
          <xdr:spPr bwMode="auto">
            <a:xfrm>
              <a:off x="14897100" y="13906500"/>
              <a:ext cx="5838825" cy="3552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71</xdr:row>
          <xdr:rowOff>309928</xdr:rowOff>
        </xdr:from>
        <xdr:to>
          <xdr:col>19</xdr:col>
          <xdr:colOff>28575</xdr:colOff>
          <xdr:row>72</xdr:row>
          <xdr:rowOff>295275</xdr:rowOff>
        </xdr:to>
        <xdr:grpSp>
          <xdr:nvGrpSpPr>
            <xdr:cNvPr id="14" name="Accesories">
              <a:extLst>
                <a:ext uri="{FF2B5EF4-FFF2-40B4-BE49-F238E27FC236}">
                  <a16:creationId xmlns:a16="http://schemas.microsoft.com/office/drawing/2014/main" id="{00000000-0008-0000-0000-00000E000000}"/>
                </a:ext>
              </a:extLst>
            </xdr:cNvPr>
            <xdr:cNvGrpSpPr/>
          </xdr:nvGrpSpPr>
          <xdr:grpSpPr>
            <a:xfrm>
              <a:off x="4667250" y="16390033"/>
              <a:ext cx="9675495" cy="305387"/>
              <a:chOff x="4096488" y="15459785"/>
              <a:chExt cx="9622443" cy="300405"/>
            </a:xfrm>
          </xdr:grpSpPr>
          <xdr:sp macro="" textlink="">
            <xdr:nvSpPr>
              <xdr:cNvPr id="35703" name="Group Box 3959" hidden="1">
                <a:extLst>
                  <a:ext uri="{63B3BB69-23CF-44E3-9099-C40C66FF867C}">
                    <a14:compatExt spid="_x0000_s35703"/>
                  </a:ext>
                  <a:ext uri="{FF2B5EF4-FFF2-40B4-BE49-F238E27FC236}">
                    <a16:creationId xmlns:a16="http://schemas.microsoft.com/office/drawing/2014/main" id="{00000000-0008-0000-0000-0000778B0000}"/>
                  </a:ext>
                </a:extLst>
              </xdr:cNvPr>
              <xdr:cNvSpPr/>
            </xdr:nvSpPr>
            <xdr:spPr bwMode="auto">
              <a:xfrm>
                <a:off x="4096488" y="15459785"/>
                <a:ext cx="9622443" cy="300405"/>
              </a:xfrm>
              <a:prstGeom prst="rect">
                <a:avLst/>
              </a:prstGeom>
              <a:noFill/>
              <a:ln w="9525">
                <a:miter lim="800000"/>
                <a:headEnd/>
                <a:tailEnd/>
              </a:ln>
              <a:extLst>
                <a:ext uri="{909E8E84-426E-40DD-AFC4-6F175D3DCCD1}">
                  <a14:hiddenFill>
                    <a:noFill/>
                  </a14:hiddenFill>
                </a:ext>
              </a:extLst>
            </xdr:spPr>
            <xdr:txBody>
              <a:bodyPr vertOverflow="clip" wrap="none" lIns="27432" tIns="27432" rIns="0" bIns="0" anchor="t" upright="1"/>
              <a:lstStyle/>
              <a:p>
                <a:pPr algn="l" rtl="0">
                  <a:defRPr sz="1000"/>
                </a:pPr>
                <a:r>
                  <a:rPr lang="en-AU" sz="800" b="0" i="0" u="none" strike="noStrike" baseline="0">
                    <a:solidFill>
                      <a:srgbClr val="000000"/>
                    </a:solidFill>
                    <a:latin typeface="Segoe UI"/>
                    <a:cs typeface="Segoe UI"/>
                  </a:rPr>
                  <a:t>Group Box 3959</a:t>
                </a:r>
              </a:p>
            </xdr:txBody>
          </xdr:sp>
          <xdr:sp macro="" textlink="">
            <xdr:nvSpPr>
              <xdr:cNvPr id="35712" name="Option Button 3968" hidden="1">
                <a:extLst>
                  <a:ext uri="{63B3BB69-23CF-44E3-9099-C40C66FF867C}">
                    <a14:compatExt spid="_x0000_s35712"/>
                  </a:ext>
                  <a:ext uri="{FF2B5EF4-FFF2-40B4-BE49-F238E27FC236}">
                    <a16:creationId xmlns:a16="http://schemas.microsoft.com/office/drawing/2014/main" id="{00000000-0008-0000-0000-0000808B0000}"/>
                  </a:ext>
                </a:extLst>
              </xdr:cNvPr>
              <xdr:cNvSpPr/>
            </xdr:nvSpPr>
            <xdr:spPr bwMode="auto">
              <a:xfrm>
                <a:off x="4439383" y="15505967"/>
                <a:ext cx="514350" cy="21980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5713" name="Option Button 3969" hidden="1">
                <a:extLst>
                  <a:ext uri="{63B3BB69-23CF-44E3-9099-C40C66FF867C}">
                    <a14:compatExt spid="_x0000_s35713"/>
                  </a:ext>
                  <a:ext uri="{FF2B5EF4-FFF2-40B4-BE49-F238E27FC236}">
                    <a16:creationId xmlns:a16="http://schemas.microsoft.com/office/drawing/2014/main" id="{00000000-0008-0000-0000-0000818B0000}"/>
                  </a:ext>
                </a:extLst>
              </xdr:cNvPr>
              <xdr:cNvSpPr/>
            </xdr:nvSpPr>
            <xdr:spPr bwMode="auto">
              <a:xfrm>
                <a:off x="6211766" y="15497908"/>
                <a:ext cx="7334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5714" name="Option Button 3970" hidden="1">
                <a:extLst>
                  <a:ext uri="{63B3BB69-23CF-44E3-9099-C40C66FF867C}">
                    <a14:compatExt spid="_x0000_s35714"/>
                  </a:ext>
                  <a:ext uri="{FF2B5EF4-FFF2-40B4-BE49-F238E27FC236}">
                    <a16:creationId xmlns:a16="http://schemas.microsoft.com/office/drawing/2014/main" id="{00000000-0008-0000-0000-0000828B0000}"/>
                  </a:ext>
                </a:extLst>
              </xdr:cNvPr>
              <xdr:cNvSpPr/>
            </xdr:nvSpPr>
            <xdr:spPr bwMode="auto">
              <a:xfrm>
                <a:off x="8846469" y="15500106"/>
                <a:ext cx="507756"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38</xdr:row>
          <xdr:rowOff>228600</xdr:rowOff>
        </xdr:from>
        <xdr:to>
          <xdr:col>26</xdr:col>
          <xdr:colOff>434340</xdr:colOff>
          <xdr:row>50</xdr:row>
          <xdr:rowOff>247650</xdr:rowOff>
        </xdr:to>
        <xdr:sp macro="" textlink="">
          <xdr:nvSpPr>
            <xdr:cNvPr id="102372" name="Object 10212" hidden="1">
              <a:extLst>
                <a:ext uri="{63B3BB69-23CF-44E3-9099-C40C66FF867C}">
                  <a14:compatExt spid="_x0000_s102372"/>
                </a:ext>
                <a:ext uri="{FF2B5EF4-FFF2-40B4-BE49-F238E27FC236}">
                  <a16:creationId xmlns:a16="http://schemas.microsoft.com/office/drawing/2014/main" id="{00000000-0008-0000-0000-0000E48F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16</xdr:col>
      <xdr:colOff>600075</xdr:colOff>
      <xdr:row>200</xdr:row>
      <xdr:rowOff>228599</xdr:rowOff>
    </xdr:from>
    <xdr:to>
      <xdr:col>24</xdr:col>
      <xdr:colOff>114300</xdr:colOff>
      <xdr:row>220</xdr:row>
      <xdr:rowOff>47624</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304800</xdr:colOff>
      <xdr:row>199</xdr:row>
      <xdr:rowOff>0</xdr:rowOff>
    </xdr:from>
    <xdr:to>
      <xdr:col>27</xdr:col>
      <xdr:colOff>0</xdr:colOff>
      <xdr:row>217</xdr:row>
      <xdr:rowOff>90487</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12245</xdr:colOff>
      <xdr:row>45</xdr:row>
      <xdr:rowOff>127363</xdr:rowOff>
    </xdr:from>
    <xdr:to>
      <xdr:col>14</xdr:col>
      <xdr:colOff>34017</xdr:colOff>
      <xdr:row>61</xdr:row>
      <xdr:rowOff>91440</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265905</xdr:colOff>
      <xdr:row>244</xdr:row>
      <xdr:rowOff>85725</xdr:rowOff>
    </xdr:from>
    <xdr:to>
      <xdr:col>24</xdr:col>
      <xdr:colOff>275430</xdr:colOff>
      <xdr:row>259</xdr:row>
      <xdr:rowOff>111125</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547687</xdr:colOff>
      <xdr:row>21</xdr:row>
      <xdr:rowOff>90487</xdr:rowOff>
    </xdr:from>
    <xdr:to>
      <xdr:col>16</xdr:col>
      <xdr:colOff>323850</xdr:colOff>
      <xdr:row>38</xdr:row>
      <xdr:rowOff>180975</xdr:rowOff>
    </xdr:to>
    <xdr:graphicFrame macro="">
      <xdr:nvGraphicFramePr>
        <xdr:cNvPr id="5" name="Chart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17</xdr:col>
      <xdr:colOff>504825</xdr:colOff>
      <xdr:row>293</xdr:row>
      <xdr:rowOff>95250</xdr:rowOff>
    </xdr:from>
    <xdr:to>
      <xdr:col>25</xdr:col>
      <xdr:colOff>578616</xdr:colOff>
      <xdr:row>312</xdr:row>
      <xdr:rowOff>19050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114300</xdr:colOff>
      <xdr:row>35</xdr:row>
      <xdr:rowOff>122464</xdr:rowOff>
    </xdr:from>
    <xdr:to>
      <xdr:col>14</xdr:col>
      <xdr:colOff>347382</xdr:colOff>
      <xdr:row>73</xdr:row>
      <xdr:rowOff>174101</xdr:rowOff>
    </xdr:to>
    <xdr:grpSp>
      <xdr:nvGrpSpPr>
        <xdr:cNvPr id="14" name="Group 13">
          <a:extLst>
            <a:ext uri="{FF2B5EF4-FFF2-40B4-BE49-F238E27FC236}">
              <a16:creationId xmlns:a16="http://schemas.microsoft.com/office/drawing/2014/main" id="{00000000-0008-0000-0200-00000E000000}"/>
            </a:ext>
          </a:extLst>
        </xdr:cNvPr>
        <xdr:cNvGrpSpPr/>
      </xdr:nvGrpSpPr>
      <xdr:grpSpPr>
        <a:xfrm>
          <a:off x="1333500" y="7144294"/>
          <a:ext cx="8759862" cy="7503997"/>
          <a:chOff x="1247775" y="3686175"/>
          <a:chExt cx="8724202" cy="7581830"/>
        </a:xfrm>
      </xdr:grpSpPr>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247775" y="3686175"/>
            <a:ext cx="8247619" cy="7038095"/>
          </a:xfrm>
          <a:prstGeom prst="rect">
            <a:avLst/>
          </a:prstGeom>
        </xdr:spPr>
      </xdr:pic>
      <xdr:sp macro="" textlink="$C$38">
        <xdr:nvSpPr>
          <xdr:cNvPr id="3" name="TextBox 2">
            <a:extLst>
              <a:ext uri="{FF2B5EF4-FFF2-40B4-BE49-F238E27FC236}">
                <a16:creationId xmlns:a16="http://schemas.microsoft.com/office/drawing/2014/main" id="{00000000-0008-0000-0200-000003000000}"/>
              </a:ext>
            </a:extLst>
          </xdr:cNvPr>
          <xdr:cNvSpPr txBox="1"/>
        </xdr:nvSpPr>
        <xdr:spPr>
          <a:xfrm>
            <a:off x="4533901" y="5172076"/>
            <a:ext cx="971549"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8D66B059-8930-43CC-A137-C468ECF74252}" type="TxLink">
              <a:rPr lang="en-US" sz="1100" b="1" i="0" u="none" strike="noStrike">
                <a:solidFill>
                  <a:srgbClr val="000000"/>
                </a:solidFill>
                <a:latin typeface="Calibri"/>
              </a:rPr>
              <a:pPr algn="ctr"/>
              <a:t>&gt; 355(1×DN)</a:t>
            </a:fld>
            <a:endParaRPr lang="en-AU" sz="1050" b="1"/>
          </a:p>
        </xdr:txBody>
      </xdr:sp>
      <xdr:sp macro="" textlink="$J$37">
        <xdr:nvSpPr>
          <xdr:cNvPr id="4" name="TextBox 3">
            <a:extLst>
              <a:ext uri="{FF2B5EF4-FFF2-40B4-BE49-F238E27FC236}">
                <a16:creationId xmlns:a16="http://schemas.microsoft.com/office/drawing/2014/main" id="{00000000-0008-0000-0200-000004000000}"/>
              </a:ext>
            </a:extLst>
          </xdr:cNvPr>
          <xdr:cNvSpPr txBox="1"/>
        </xdr:nvSpPr>
        <xdr:spPr>
          <a:xfrm>
            <a:off x="4886326" y="6076951"/>
            <a:ext cx="647699"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89FB2755-2A03-404A-8D8E-413D622235F9}" type="TxLink">
              <a:rPr lang="en-US" sz="1100" b="1" i="0" u="none" strike="noStrike">
                <a:solidFill>
                  <a:srgbClr val="000000"/>
                </a:solidFill>
                <a:latin typeface="Calibri"/>
              </a:rPr>
              <a:pPr algn="ctr"/>
              <a:t>H2 = 20</a:t>
            </a:fld>
            <a:endParaRPr lang="en-AU" sz="1100" b="1"/>
          </a:p>
        </xdr:txBody>
      </xdr:sp>
      <xdr:sp macro="" textlink="$C$37">
        <xdr:nvSpPr>
          <xdr:cNvPr id="5" name="TextBox 4">
            <a:extLst>
              <a:ext uri="{FF2B5EF4-FFF2-40B4-BE49-F238E27FC236}">
                <a16:creationId xmlns:a16="http://schemas.microsoft.com/office/drawing/2014/main" id="{00000000-0008-0000-0200-000005000000}"/>
              </a:ext>
            </a:extLst>
          </xdr:cNvPr>
          <xdr:cNvSpPr txBox="1"/>
        </xdr:nvSpPr>
        <xdr:spPr>
          <a:xfrm>
            <a:off x="2800351" y="6257926"/>
            <a:ext cx="723899"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28B2126-C7F5-4BBD-8305-19B238DFFA64}" type="TxLink">
              <a:rPr lang="en-US" sz="1100" b="1" i="0" u="none" strike="noStrike">
                <a:solidFill>
                  <a:srgbClr val="000000"/>
                </a:solidFill>
                <a:latin typeface="Calibri"/>
              </a:rPr>
              <a:pPr algn="ctr"/>
              <a:t>DN = 355</a:t>
            </a:fld>
            <a:endParaRPr lang="en-AU" sz="1100" b="1"/>
          </a:p>
        </xdr:txBody>
      </xdr:sp>
      <xdr:sp macro="" textlink="$D$37">
        <xdr:nvSpPr>
          <xdr:cNvPr id="6" name="TextBox 5">
            <a:extLst>
              <a:ext uri="{FF2B5EF4-FFF2-40B4-BE49-F238E27FC236}">
                <a16:creationId xmlns:a16="http://schemas.microsoft.com/office/drawing/2014/main" id="{00000000-0008-0000-0200-000006000000}"/>
              </a:ext>
            </a:extLst>
          </xdr:cNvPr>
          <xdr:cNvSpPr txBox="1"/>
        </xdr:nvSpPr>
        <xdr:spPr>
          <a:xfrm>
            <a:off x="2800352" y="6515101"/>
            <a:ext cx="723898"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7748A63A-FFB5-489B-AF5D-D045DEEB20D5}" type="TxLink">
              <a:rPr lang="en-US" sz="1100" b="1" i="0" u="none" strike="noStrike">
                <a:solidFill>
                  <a:srgbClr val="000000"/>
                </a:solidFill>
                <a:latin typeface="Calibri"/>
              </a:rPr>
              <a:pPr algn="ctr"/>
              <a:t>D2 = 395</a:t>
            </a:fld>
            <a:endParaRPr lang="en-AU" sz="1100" b="1"/>
          </a:p>
        </xdr:txBody>
      </xdr:sp>
      <xdr:sp macro="" textlink="$C$39">
        <xdr:nvSpPr>
          <xdr:cNvPr id="7" name="TextBox 6">
            <a:extLst>
              <a:ext uri="{FF2B5EF4-FFF2-40B4-BE49-F238E27FC236}">
                <a16:creationId xmlns:a16="http://schemas.microsoft.com/office/drawing/2014/main" id="{00000000-0008-0000-0200-000007000000}"/>
              </a:ext>
            </a:extLst>
          </xdr:cNvPr>
          <xdr:cNvSpPr txBox="1"/>
        </xdr:nvSpPr>
        <xdr:spPr>
          <a:xfrm>
            <a:off x="2514601" y="6772275"/>
            <a:ext cx="1247774" cy="485774"/>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89A0EA2-313D-429B-A096-AA27BF679BC3}" type="TxLink">
              <a:rPr lang="en-US" sz="1100" b="1" i="0" u="none" strike="noStrike">
                <a:solidFill>
                  <a:srgbClr val="000000"/>
                </a:solidFill>
                <a:latin typeface="Calibri"/>
              </a:rPr>
              <a:pPr algn="ctr"/>
              <a:t>D4 = Ø530 OR       E = □445, 595, 603</a:t>
            </a:fld>
            <a:endParaRPr lang="en-AU" sz="1100" b="1"/>
          </a:p>
        </xdr:txBody>
      </xdr:sp>
      <xdr:sp macro="" textlink="$G$37">
        <xdr:nvSpPr>
          <xdr:cNvPr id="8" name="TextBox 7">
            <a:extLst>
              <a:ext uri="{FF2B5EF4-FFF2-40B4-BE49-F238E27FC236}">
                <a16:creationId xmlns:a16="http://schemas.microsoft.com/office/drawing/2014/main" id="{00000000-0008-0000-0200-000008000000}"/>
              </a:ext>
            </a:extLst>
          </xdr:cNvPr>
          <xdr:cNvSpPr txBox="1"/>
        </xdr:nvSpPr>
        <xdr:spPr>
          <a:xfrm>
            <a:off x="8496300" y="4981576"/>
            <a:ext cx="695325"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510494-3943-453B-A9F9-BC2F4A28A382}" type="TxLink">
              <a:rPr lang="en-US" sz="1100" b="1" i="0" u="none" strike="noStrike">
                <a:solidFill>
                  <a:srgbClr val="000000"/>
                </a:solidFill>
                <a:latin typeface="Calibri"/>
              </a:rPr>
              <a:pPr algn="ctr"/>
              <a:t>D5 = 354</a:t>
            </a:fld>
            <a:endParaRPr lang="en-AU" sz="1100" b="1"/>
          </a:p>
        </xdr:txBody>
      </xdr:sp>
      <xdr:sp macro="" textlink="$I$37">
        <xdr:nvSpPr>
          <xdr:cNvPr id="9" name="TextBox 8">
            <a:extLst>
              <a:ext uri="{FF2B5EF4-FFF2-40B4-BE49-F238E27FC236}">
                <a16:creationId xmlns:a16="http://schemas.microsoft.com/office/drawing/2014/main" id="{00000000-0008-0000-0200-000009000000}"/>
              </a:ext>
            </a:extLst>
          </xdr:cNvPr>
          <xdr:cNvSpPr txBox="1"/>
        </xdr:nvSpPr>
        <xdr:spPr>
          <a:xfrm>
            <a:off x="9220201" y="4981576"/>
            <a:ext cx="704849"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B059A3BA-0FDC-47A0-B11A-1E0525C0ED5D}" type="TxLink">
              <a:rPr lang="en-US" sz="1100" b="1" i="0" u="none" strike="noStrike">
                <a:solidFill>
                  <a:srgbClr val="000000"/>
                </a:solidFill>
                <a:latin typeface="Calibri"/>
              </a:rPr>
              <a:pPr algn="ctr"/>
              <a:t>H1 = 550</a:t>
            </a:fld>
            <a:endParaRPr lang="en-AU" sz="1100" b="1"/>
          </a:p>
        </xdr:txBody>
      </xdr:sp>
      <xdr:sp macro="" textlink="$L$37">
        <xdr:nvSpPr>
          <xdr:cNvPr id="10" name="TextBox 9">
            <a:extLst>
              <a:ext uri="{FF2B5EF4-FFF2-40B4-BE49-F238E27FC236}">
                <a16:creationId xmlns:a16="http://schemas.microsoft.com/office/drawing/2014/main" id="{00000000-0008-0000-0200-00000A000000}"/>
              </a:ext>
            </a:extLst>
          </xdr:cNvPr>
          <xdr:cNvSpPr txBox="1"/>
        </xdr:nvSpPr>
        <xdr:spPr>
          <a:xfrm>
            <a:off x="6934201" y="7153276"/>
            <a:ext cx="704849"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7A2805F6-D53B-43B0-A936-92F898DD8406}" type="TxLink">
              <a:rPr lang="en-US" sz="1100" b="1" i="0" u="none" strike="noStrike">
                <a:solidFill>
                  <a:srgbClr val="000000"/>
                </a:solidFill>
                <a:latin typeface="Calibri"/>
              </a:rPr>
              <a:pPr algn="ctr"/>
              <a:t>F = 320</a:t>
            </a:fld>
            <a:endParaRPr lang="en-AU" sz="1100" b="1"/>
          </a:p>
        </xdr:txBody>
      </xdr:sp>
      <xdr:sp macro="" textlink="$K$37">
        <xdr:nvSpPr>
          <xdr:cNvPr id="11" name="TextBox 10">
            <a:extLst>
              <a:ext uri="{FF2B5EF4-FFF2-40B4-BE49-F238E27FC236}">
                <a16:creationId xmlns:a16="http://schemas.microsoft.com/office/drawing/2014/main" id="{00000000-0008-0000-0200-00000B000000}"/>
              </a:ext>
            </a:extLst>
          </xdr:cNvPr>
          <xdr:cNvSpPr txBox="1"/>
        </xdr:nvSpPr>
        <xdr:spPr>
          <a:xfrm>
            <a:off x="1257302" y="5943601"/>
            <a:ext cx="704848"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96B454F-DD0A-4173-89D4-1F2F28DEB0EB}" type="TxLink">
              <a:rPr lang="en-US" sz="1100" b="1" i="0" u="none" strike="noStrike">
                <a:solidFill>
                  <a:srgbClr val="000000"/>
                </a:solidFill>
                <a:latin typeface="Calibri"/>
              </a:rPr>
              <a:pPr algn="ctr"/>
              <a:t>H3 = 80</a:t>
            </a:fld>
            <a:endParaRPr lang="en-AU" sz="1100" b="1"/>
          </a:p>
        </xdr:txBody>
      </xdr:sp>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a:stretch>
            <a:fillRect/>
          </a:stretch>
        </xdr:blipFill>
        <xdr:spPr>
          <a:xfrm>
            <a:off x="4391025" y="10706100"/>
            <a:ext cx="5580952" cy="561905"/>
          </a:xfrm>
          <a:prstGeom prst="rect">
            <a:avLst/>
          </a:prstGeom>
        </xdr:spPr>
      </xdr:pic>
      <xdr:sp macro="" textlink="$H$37">
        <xdr:nvSpPr>
          <xdr:cNvPr id="13" name="TextBox 12">
            <a:extLst>
              <a:ext uri="{FF2B5EF4-FFF2-40B4-BE49-F238E27FC236}">
                <a16:creationId xmlns:a16="http://schemas.microsoft.com/office/drawing/2014/main" id="{00000000-0008-0000-0200-00000D000000}"/>
              </a:ext>
            </a:extLst>
          </xdr:cNvPr>
          <xdr:cNvSpPr txBox="1"/>
        </xdr:nvSpPr>
        <xdr:spPr>
          <a:xfrm>
            <a:off x="6905625" y="3810001"/>
            <a:ext cx="695325" cy="247649"/>
          </a:xfrm>
          <a:prstGeom prst="rect">
            <a:avLst/>
          </a:prstGeom>
          <a:solidFill>
            <a:schemeClr val="bg1">
              <a:lumMod val="95000"/>
            </a:schemeClr>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DE12AED-43F3-420C-90E9-C3C0ED81BD1D}" type="TxLink">
              <a:rPr lang="en-US" sz="1100" b="1" i="0" u="none" strike="noStrike">
                <a:solidFill>
                  <a:srgbClr val="000000"/>
                </a:solidFill>
                <a:latin typeface="Calibri"/>
              </a:rPr>
              <a:pPr algn="ctr"/>
              <a:t>L = 495</a:t>
            </a:fld>
            <a:endParaRPr lang="en-AU" sz="1100" b="1"/>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0</xdr:colOff>
      <xdr:row>26</xdr:row>
      <xdr:rowOff>52387</xdr:rowOff>
    </xdr:from>
    <xdr:to>
      <xdr:col>30</xdr:col>
      <xdr:colOff>628650</xdr:colOff>
      <xdr:row>41</xdr:row>
      <xdr:rowOff>80962</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609401</xdr:colOff>
      <xdr:row>0</xdr:row>
      <xdr:rowOff>0</xdr:rowOff>
    </xdr:from>
    <xdr:ext cx="5643212" cy="3546231"/>
    <xdr:graphicFrame macro="">
      <xdr:nvGraphicFramePr>
        <xdr:cNvPr id="4" name="Chart 3">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twoCellAnchor>
    <xdr:from>
      <xdr:col>0</xdr:col>
      <xdr:colOff>463826</xdr:colOff>
      <xdr:row>0</xdr:row>
      <xdr:rowOff>41713</xdr:rowOff>
    </xdr:from>
    <xdr:to>
      <xdr:col>1</xdr:col>
      <xdr:colOff>5806108</xdr:colOff>
      <xdr:row>0</xdr:row>
      <xdr:rowOff>582732</xdr:rowOff>
    </xdr:to>
    <xdr:sp macro="" textlink="$B$3">
      <xdr:nvSpPr>
        <xdr:cNvPr id="3" name="TextBox 2">
          <a:extLst>
            <a:ext uri="{FF2B5EF4-FFF2-40B4-BE49-F238E27FC236}">
              <a16:creationId xmlns:a16="http://schemas.microsoft.com/office/drawing/2014/main" id="{00000000-0008-0000-0600-000003000000}"/>
            </a:ext>
          </a:extLst>
        </xdr:cNvPr>
        <xdr:cNvSpPr txBox="1"/>
      </xdr:nvSpPr>
      <xdr:spPr>
        <a:xfrm>
          <a:off x="463826" y="41713"/>
          <a:ext cx="5955195" cy="5410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28314CF9-CC32-433C-B9EF-27CE9B4DFAA7}" type="TxLink">
            <a:rPr lang="en-US" sz="1050" b="0" i="0" u="none" strike="noStrike">
              <a:solidFill>
                <a:srgbClr val="000000"/>
              </a:solidFill>
              <a:latin typeface="Aptos" panose="020B0004020202020204" pitchFamily="34" charset="0"/>
              <a:cs typeface="Calibri"/>
            </a:rPr>
            <a:pPr algn="ctr"/>
            <a:t>DN500-R0 Recommended Actuator Control (V) &amp; Guide Ring Position (mm) for 6 m discharge</a:t>
          </a:fld>
          <a:endParaRPr lang="en-AU" sz="1100">
            <a:latin typeface="Aptos" panose="020B0004020202020204" pitchFamily="34" charset="0"/>
          </a:endParaRPr>
        </a:p>
      </xdr:txBody>
    </xdr:sp>
    <xdr:clientData/>
  </xdr:twoCellAnchor>
  <xdr:twoCellAnchor>
    <xdr:from>
      <xdr:col>1</xdr:col>
      <xdr:colOff>5114925</xdr:colOff>
      <xdr:row>0</xdr:row>
      <xdr:rowOff>2324100</xdr:rowOff>
    </xdr:from>
    <xdr:to>
      <xdr:col>1</xdr:col>
      <xdr:colOff>5695950</xdr:colOff>
      <xdr:row>0</xdr:row>
      <xdr:rowOff>2524125</xdr:rowOff>
    </xdr:to>
    <xdr:sp macro="" textlink="'Equations HSC-AD'!J299">
      <xdr:nvSpPr>
        <xdr:cNvPr id="2" name="TextBox 1">
          <a:extLst>
            <a:ext uri="{FF2B5EF4-FFF2-40B4-BE49-F238E27FC236}">
              <a16:creationId xmlns:a16="http://schemas.microsoft.com/office/drawing/2014/main" id="{00000000-0008-0000-0600-000002000000}"/>
            </a:ext>
          </a:extLst>
        </xdr:cNvPr>
        <xdr:cNvSpPr txBox="1"/>
      </xdr:nvSpPr>
      <xdr:spPr>
        <a:xfrm>
          <a:off x="5724525" y="2324100"/>
          <a:ext cx="5810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5795695C-50B3-4757-828D-B91EC61261EC}" type="TxLink">
            <a:rPr lang="en-US" sz="900" b="0" i="0" u="none" strike="noStrike">
              <a:solidFill>
                <a:schemeClr val="tx1">
                  <a:lumMod val="65000"/>
                  <a:lumOff val="35000"/>
                </a:schemeClr>
              </a:solidFill>
              <a:latin typeface="Aptos" panose="020B0004020202020204" pitchFamily="34" charset="0"/>
              <a:cs typeface="Calibri"/>
            </a:rPr>
            <a:pPr algn="l"/>
            <a:t>7 mm</a:t>
          </a:fld>
          <a:endParaRPr lang="en-AU" sz="900">
            <a:solidFill>
              <a:schemeClr val="tx1">
                <a:lumMod val="65000"/>
                <a:lumOff val="35000"/>
              </a:schemeClr>
            </a:solidFill>
            <a:latin typeface="Aptos" panose="020B0004020202020204" pitchFamily="34" charset="0"/>
          </a:endParaRPr>
        </a:p>
      </xdr:txBody>
    </xdr:sp>
    <xdr:clientData/>
  </xdr:twoCellAnchor>
  <xdr:twoCellAnchor>
    <xdr:from>
      <xdr:col>1</xdr:col>
      <xdr:colOff>5114925</xdr:colOff>
      <xdr:row>0</xdr:row>
      <xdr:rowOff>238125</xdr:rowOff>
    </xdr:from>
    <xdr:to>
      <xdr:col>1</xdr:col>
      <xdr:colOff>5695950</xdr:colOff>
      <xdr:row>0</xdr:row>
      <xdr:rowOff>438150</xdr:rowOff>
    </xdr:to>
    <xdr:sp macro="" textlink="'Equations HSC-AD'!J302">
      <xdr:nvSpPr>
        <xdr:cNvPr id="5" name="TextBox 4">
          <a:extLst>
            <a:ext uri="{FF2B5EF4-FFF2-40B4-BE49-F238E27FC236}">
              <a16:creationId xmlns:a16="http://schemas.microsoft.com/office/drawing/2014/main" id="{00000000-0008-0000-0600-000005000000}"/>
            </a:ext>
          </a:extLst>
        </xdr:cNvPr>
        <xdr:cNvSpPr txBox="1"/>
      </xdr:nvSpPr>
      <xdr:spPr>
        <a:xfrm>
          <a:off x="5724525" y="238125"/>
          <a:ext cx="5810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C39CD14D-56A7-4F24-9B17-1E4C07A1E500}" type="TxLink">
            <a:rPr lang="en-US" sz="900" b="0" i="0" u="none" strike="noStrike">
              <a:solidFill>
                <a:schemeClr val="tx1">
                  <a:lumMod val="65000"/>
                  <a:lumOff val="35000"/>
                </a:schemeClr>
              </a:solidFill>
              <a:latin typeface="Aptos" panose="020B0004020202020204" pitchFamily="34" charset="0"/>
              <a:cs typeface="Calibri"/>
            </a:rPr>
            <a:pPr algn="l"/>
            <a:t>26 mm</a:t>
          </a:fld>
          <a:endParaRPr lang="en-AU" sz="900">
            <a:solidFill>
              <a:schemeClr val="tx1">
                <a:lumMod val="65000"/>
                <a:lumOff val="35000"/>
              </a:schemeClr>
            </a:solidFill>
            <a:latin typeface="Aptos" panose="020B0004020202020204" pitchFamily="34" charset="0"/>
          </a:endParaRPr>
        </a:p>
      </xdr:txBody>
    </xdr:sp>
    <xdr:clientData/>
  </xdr:twoCellAnchor>
  <xdr:twoCellAnchor>
    <xdr:from>
      <xdr:col>1</xdr:col>
      <xdr:colOff>5114925</xdr:colOff>
      <xdr:row>0</xdr:row>
      <xdr:rowOff>933450</xdr:rowOff>
    </xdr:from>
    <xdr:to>
      <xdr:col>1</xdr:col>
      <xdr:colOff>5695950</xdr:colOff>
      <xdr:row>0</xdr:row>
      <xdr:rowOff>1133475</xdr:rowOff>
    </xdr:to>
    <xdr:sp macro="" textlink="'Equations HSC-AD'!J301">
      <xdr:nvSpPr>
        <xdr:cNvPr id="6" name="TextBox 5">
          <a:extLst>
            <a:ext uri="{FF2B5EF4-FFF2-40B4-BE49-F238E27FC236}">
              <a16:creationId xmlns:a16="http://schemas.microsoft.com/office/drawing/2014/main" id="{00000000-0008-0000-0600-000006000000}"/>
            </a:ext>
          </a:extLst>
        </xdr:cNvPr>
        <xdr:cNvSpPr txBox="1"/>
      </xdr:nvSpPr>
      <xdr:spPr>
        <a:xfrm>
          <a:off x="5724525" y="933450"/>
          <a:ext cx="5810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1EA1C495-24FE-41DC-8B64-F4AE70305EC9}" type="TxLink">
            <a:rPr lang="en-US" sz="900" b="0" i="0" u="none" strike="noStrike">
              <a:solidFill>
                <a:schemeClr val="tx1">
                  <a:lumMod val="65000"/>
                  <a:lumOff val="35000"/>
                </a:schemeClr>
              </a:solidFill>
              <a:latin typeface="Aptos" panose="020B0004020202020204" pitchFamily="34" charset="0"/>
              <a:cs typeface="Calibri"/>
            </a:rPr>
            <a:pPr algn="l"/>
            <a:t>20 mm</a:t>
          </a:fld>
          <a:endParaRPr lang="en-AU" sz="900">
            <a:solidFill>
              <a:schemeClr val="tx1">
                <a:lumMod val="65000"/>
                <a:lumOff val="35000"/>
              </a:schemeClr>
            </a:solidFill>
            <a:latin typeface="Aptos" panose="020B0004020202020204" pitchFamily="34" charset="0"/>
          </a:endParaRPr>
        </a:p>
      </xdr:txBody>
    </xdr:sp>
    <xdr:clientData/>
  </xdr:twoCellAnchor>
  <xdr:twoCellAnchor>
    <xdr:from>
      <xdr:col>1</xdr:col>
      <xdr:colOff>5114925</xdr:colOff>
      <xdr:row>0</xdr:row>
      <xdr:rowOff>1628775</xdr:rowOff>
    </xdr:from>
    <xdr:to>
      <xdr:col>1</xdr:col>
      <xdr:colOff>5695950</xdr:colOff>
      <xdr:row>0</xdr:row>
      <xdr:rowOff>1828800</xdr:rowOff>
    </xdr:to>
    <xdr:sp macro="" textlink="'Equations HSC-AD'!J300">
      <xdr:nvSpPr>
        <xdr:cNvPr id="7" name="TextBox 6">
          <a:extLst>
            <a:ext uri="{FF2B5EF4-FFF2-40B4-BE49-F238E27FC236}">
              <a16:creationId xmlns:a16="http://schemas.microsoft.com/office/drawing/2014/main" id="{00000000-0008-0000-0600-000007000000}"/>
            </a:ext>
          </a:extLst>
        </xdr:cNvPr>
        <xdr:cNvSpPr txBox="1"/>
      </xdr:nvSpPr>
      <xdr:spPr>
        <a:xfrm>
          <a:off x="5724525" y="1628775"/>
          <a:ext cx="5810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1E325721-C638-4EE8-84B9-0DFF1D90E9DE}" type="TxLink">
            <a:rPr lang="en-US" sz="900" b="0" i="0" u="none" strike="noStrike">
              <a:solidFill>
                <a:schemeClr val="tx1">
                  <a:lumMod val="65000"/>
                  <a:lumOff val="35000"/>
                </a:schemeClr>
              </a:solidFill>
              <a:latin typeface="Aptos" panose="020B0004020202020204" pitchFamily="34" charset="0"/>
              <a:cs typeface="Calibri"/>
            </a:rPr>
            <a:pPr algn="l"/>
            <a:t>13 mm</a:t>
          </a:fld>
          <a:endParaRPr lang="en-AU" sz="900">
            <a:solidFill>
              <a:schemeClr val="tx1">
                <a:lumMod val="65000"/>
                <a:lumOff val="35000"/>
              </a:schemeClr>
            </a:solidFill>
            <a:latin typeface="Aptos" panose="020B0004020202020204" pitchFamily="34" charset="0"/>
          </a:endParaRPr>
        </a:p>
      </xdr:txBody>
    </xdr:sp>
    <xdr:clientData/>
  </xdr:twoCellAnchor>
  <xdr:twoCellAnchor>
    <xdr:from>
      <xdr:col>1</xdr:col>
      <xdr:colOff>5114925</xdr:colOff>
      <xdr:row>0</xdr:row>
      <xdr:rowOff>3019425</xdr:rowOff>
    </xdr:from>
    <xdr:to>
      <xdr:col>1</xdr:col>
      <xdr:colOff>5695950</xdr:colOff>
      <xdr:row>0</xdr:row>
      <xdr:rowOff>3219450</xdr:rowOff>
    </xdr:to>
    <xdr:sp macro="" textlink="'Equations HSC-AD'!J298">
      <xdr:nvSpPr>
        <xdr:cNvPr id="8" name="TextBox 7">
          <a:extLst>
            <a:ext uri="{FF2B5EF4-FFF2-40B4-BE49-F238E27FC236}">
              <a16:creationId xmlns:a16="http://schemas.microsoft.com/office/drawing/2014/main" id="{00000000-0008-0000-0600-000008000000}"/>
            </a:ext>
          </a:extLst>
        </xdr:cNvPr>
        <xdr:cNvSpPr txBox="1"/>
      </xdr:nvSpPr>
      <xdr:spPr>
        <a:xfrm>
          <a:off x="5724525" y="3019425"/>
          <a:ext cx="5810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BD11CBDA-74BE-4BCE-BA2D-6E016613CF31}" type="TxLink">
            <a:rPr lang="en-US" sz="900" b="0" i="0" u="none" strike="noStrike">
              <a:solidFill>
                <a:schemeClr val="tx1">
                  <a:lumMod val="65000"/>
                  <a:lumOff val="35000"/>
                </a:schemeClr>
              </a:solidFill>
              <a:latin typeface="Aptos" panose="020B0004020202020204" pitchFamily="34" charset="0"/>
              <a:cs typeface="Calibri"/>
            </a:rPr>
            <a:pPr algn="l"/>
            <a:t>0 mm</a:t>
          </a:fld>
          <a:endParaRPr lang="en-AU" sz="900">
            <a:solidFill>
              <a:schemeClr val="tx1">
                <a:lumMod val="65000"/>
                <a:lumOff val="35000"/>
              </a:schemeClr>
            </a:solidFill>
            <a:latin typeface="Aptos" panose="020B00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5394960</xdr:colOff>
          <xdr:row>0</xdr:row>
          <xdr:rowOff>60960</xdr:rowOff>
        </xdr:from>
        <xdr:to>
          <xdr:col>1</xdr:col>
          <xdr:colOff>6675120</xdr:colOff>
          <xdr:row>0</xdr:row>
          <xdr:rowOff>601980</xdr:rowOff>
        </xdr:to>
        <xdr:sp macro="" textlink="">
          <xdr:nvSpPr>
            <xdr:cNvPr id="135176" name="Object 8" hidden="1">
              <a:extLst>
                <a:ext uri="{63B3BB69-23CF-44E3-9099-C40C66FF867C}">
                  <a14:compatExt spid="_x0000_s135176"/>
                </a:ext>
                <a:ext uri="{FF2B5EF4-FFF2-40B4-BE49-F238E27FC236}">
                  <a16:creationId xmlns:a16="http://schemas.microsoft.com/office/drawing/2014/main" id="{00000000-0008-0000-0600-0000081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5448300</xdr:colOff>
          <xdr:row>0</xdr:row>
          <xdr:rowOff>2849880</xdr:rowOff>
        </xdr:from>
        <xdr:to>
          <xdr:col>1</xdr:col>
          <xdr:colOff>6652260</xdr:colOff>
          <xdr:row>0</xdr:row>
          <xdr:rowOff>3451860</xdr:rowOff>
        </xdr:to>
        <xdr:sp macro="" textlink="">
          <xdr:nvSpPr>
            <xdr:cNvPr id="135177" name="Object 9" hidden="1">
              <a:extLst>
                <a:ext uri="{63B3BB69-23CF-44E3-9099-C40C66FF867C}">
                  <a14:compatExt spid="_x0000_s135177"/>
                </a:ext>
                <a:ext uri="{FF2B5EF4-FFF2-40B4-BE49-F238E27FC236}">
                  <a16:creationId xmlns:a16="http://schemas.microsoft.com/office/drawing/2014/main" id="{00000000-0008-0000-0600-0000091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138565</xdr:colOff>
      <xdr:row>0</xdr:row>
      <xdr:rowOff>3322320</xdr:rowOff>
    </xdr:from>
    <xdr:to>
      <xdr:col>1</xdr:col>
      <xdr:colOff>951885</xdr:colOff>
      <xdr:row>0</xdr:row>
      <xdr:rowOff>3520440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749479" y="3322320"/>
          <a:ext cx="813320" cy="198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AU" sz="900">
              <a:latin typeface="Aptos" panose="020B0004020202020204" pitchFamily="34" charset="0"/>
            </a:rPr>
            <a:t>cooling</a:t>
          </a:r>
        </a:p>
      </xdr:txBody>
    </xdr:sp>
    <xdr:clientData/>
  </xdr:twoCellAnchor>
  <xdr:twoCellAnchor>
    <xdr:from>
      <xdr:col>1</xdr:col>
      <xdr:colOff>4813101</xdr:colOff>
      <xdr:row>0</xdr:row>
      <xdr:rowOff>3330774</xdr:rowOff>
    </xdr:from>
    <xdr:to>
      <xdr:col>1</xdr:col>
      <xdr:colOff>5488781</xdr:colOff>
      <xdr:row>0</xdr:row>
      <xdr:rowOff>3527584</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a:off x="5423296" y="3330774"/>
          <a:ext cx="675680" cy="1968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900">
              <a:latin typeface="Aptos" panose="020B0004020202020204" pitchFamily="34" charset="0"/>
            </a:rPr>
            <a:t>heating</a:t>
          </a:r>
          <a:endParaRPr lang="en-AU" sz="1100">
            <a:latin typeface="Aptos" panose="020B00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57981</xdr:rowOff>
    </xdr:from>
    <xdr:to>
      <xdr:col>0</xdr:col>
      <xdr:colOff>1687763</xdr:colOff>
      <xdr:row>0</xdr:row>
      <xdr:rowOff>376991</xdr:rowOff>
    </xdr:to>
    <xdr:pic>
      <xdr:nvPicPr>
        <xdr:cNvPr id="16" name="Picture 15">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981"/>
          <a:ext cx="1652840" cy="317425"/>
        </a:xfrm>
        <a:prstGeom prst="rect">
          <a:avLst/>
        </a:prstGeom>
      </xdr:spPr>
    </xdr:pic>
    <xdr:clientData/>
  </xdr:twoCellAnchor>
  <xdr:twoCellAnchor editAs="oneCell">
    <xdr:from>
      <xdr:col>3</xdr:col>
      <xdr:colOff>1230504</xdr:colOff>
      <xdr:row>3</xdr:row>
      <xdr:rowOff>128953</xdr:rowOff>
    </xdr:from>
    <xdr:to>
      <xdr:col>5</xdr:col>
      <xdr:colOff>563778</xdr:colOff>
      <xdr:row>9</xdr:row>
      <xdr:rowOff>104096</xdr:rowOff>
    </xdr:to>
    <xdr:pic>
      <xdr:nvPicPr>
        <xdr:cNvPr id="17" name="Picture 16">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344165">
          <a:off x="4440429" y="910003"/>
          <a:ext cx="1428774" cy="1060993"/>
        </a:xfrm>
        <a:prstGeom prst="rect">
          <a:avLst/>
        </a:prstGeom>
      </xdr:spPr>
    </xdr:pic>
    <xdr:clientData/>
  </xdr:twoCellAnchor>
  <xdr:twoCellAnchor>
    <xdr:from>
      <xdr:col>0</xdr:col>
      <xdr:colOff>190500</xdr:colOff>
      <xdr:row>29</xdr:row>
      <xdr:rowOff>47624</xdr:rowOff>
    </xdr:from>
    <xdr:to>
      <xdr:col>5</xdr:col>
      <xdr:colOff>657225</xdr:colOff>
      <xdr:row>40</xdr:row>
      <xdr:rowOff>29256</xdr:rowOff>
    </xdr:to>
    <xdr:grpSp>
      <xdr:nvGrpSpPr>
        <xdr:cNvPr id="8" name="Group 7">
          <a:extLst>
            <a:ext uri="{FF2B5EF4-FFF2-40B4-BE49-F238E27FC236}">
              <a16:creationId xmlns:a16="http://schemas.microsoft.com/office/drawing/2014/main" id="{00000000-0008-0000-0700-000008000000}"/>
            </a:ext>
          </a:extLst>
        </xdr:cNvPr>
        <xdr:cNvGrpSpPr/>
      </xdr:nvGrpSpPr>
      <xdr:grpSpPr>
        <a:xfrm>
          <a:off x="190500" y="5269229"/>
          <a:ext cx="5716905" cy="1863772"/>
          <a:chOff x="5336090" y="5765773"/>
          <a:chExt cx="5491617" cy="1803045"/>
        </a:xfrm>
      </xdr:grpSpPr>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3774" t="68729" r="36689" b="1003"/>
          <a:stretch/>
        </xdr:blipFill>
        <xdr:spPr>
          <a:xfrm>
            <a:off x="8300337" y="6114816"/>
            <a:ext cx="2527370" cy="1287924"/>
          </a:xfrm>
          <a:prstGeom prst="rect">
            <a:avLst/>
          </a:prstGeom>
        </xdr:spPr>
      </xdr:pic>
      <xdr:sp macro="" textlink="'HSC-AD data'!B165">
        <xdr:nvSpPr>
          <xdr:cNvPr id="3" name="TextBox 2">
            <a:extLst>
              <a:ext uri="{FF2B5EF4-FFF2-40B4-BE49-F238E27FC236}">
                <a16:creationId xmlns:a16="http://schemas.microsoft.com/office/drawing/2014/main" id="{00000000-0008-0000-0700-000003000000}"/>
              </a:ext>
            </a:extLst>
          </xdr:cNvPr>
          <xdr:cNvSpPr txBox="1"/>
        </xdr:nvSpPr>
        <xdr:spPr>
          <a:xfrm>
            <a:off x="8523665" y="5765773"/>
            <a:ext cx="2294364" cy="1498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C68F387-26B3-45AC-8C17-A3F91D5A2ECF}" type="TxLink">
              <a:rPr lang="en-US" sz="1000" b="0" i="0" u="none" strike="noStrike">
                <a:solidFill>
                  <a:srgbClr val="000000"/>
                </a:solidFill>
                <a:latin typeface="Aptos" panose="020B0004020202020204" pitchFamily="34" charset="0"/>
                <a:cs typeface="Times New Roman" panose="02020603050405020304" pitchFamily="18" charset="0"/>
              </a:rPr>
              <a:pPr algn="ctr"/>
              <a:t>#VALUE!</a:t>
            </a:fld>
            <a:endParaRPr lang="en-AU" sz="1000">
              <a:latin typeface="Aptos" panose="020B0004020202020204" pitchFamily="34" charset="0"/>
              <a:cs typeface="Times New Roman" panose="02020603050405020304" pitchFamily="18" charset="0"/>
            </a:endParaRPr>
          </a:p>
        </xdr:txBody>
      </xdr:sp>
      <xdr:sp macro="" textlink="'HSC-AD data'!B166">
        <xdr:nvSpPr>
          <xdr:cNvPr id="4" name="TextBox 3">
            <a:extLst>
              <a:ext uri="{FF2B5EF4-FFF2-40B4-BE49-F238E27FC236}">
                <a16:creationId xmlns:a16="http://schemas.microsoft.com/office/drawing/2014/main" id="{00000000-0008-0000-0700-000004000000}"/>
              </a:ext>
            </a:extLst>
          </xdr:cNvPr>
          <xdr:cNvSpPr txBox="1"/>
        </xdr:nvSpPr>
        <xdr:spPr>
          <a:xfrm>
            <a:off x="8530221" y="5897051"/>
            <a:ext cx="2287810" cy="149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FCD74249-E139-4D7D-BDB3-84B191A4B9D2}" type="TxLink">
              <a:rPr lang="en-US" sz="1000" b="0" i="0" u="none" strike="noStrike">
                <a:solidFill>
                  <a:srgbClr val="000000"/>
                </a:solidFill>
                <a:latin typeface="Aptos" panose="020B0004020202020204" pitchFamily="34" charset="0"/>
                <a:cs typeface="Times New Roman" panose="02020603050405020304" pitchFamily="18" charset="0"/>
              </a:rPr>
              <a:pPr algn="ctr"/>
              <a:t>#VALUE!</a:t>
            </a:fld>
            <a:endParaRPr lang="en-AU" sz="1000">
              <a:latin typeface="Aptos" panose="020B0004020202020204" pitchFamily="34" charset="0"/>
              <a:cs typeface="Times New Roman" panose="02020603050405020304" pitchFamily="18" charset="0"/>
            </a:endParaRPr>
          </a:p>
        </xdr:txBody>
      </xdr:sp>
      <xdr:sp macro="" textlink="'HSC-AD data'!B167">
        <xdr:nvSpPr>
          <xdr:cNvPr id="5" name="TextBox 4">
            <a:extLst>
              <a:ext uri="{FF2B5EF4-FFF2-40B4-BE49-F238E27FC236}">
                <a16:creationId xmlns:a16="http://schemas.microsoft.com/office/drawing/2014/main" id="{00000000-0008-0000-0700-000005000000}"/>
              </a:ext>
            </a:extLst>
          </xdr:cNvPr>
          <xdr:cNvSpPr txBox="1"/>
        </xdr:nvSpPr>
        <xdr:spPr>
          <a:xfrm>
            <a:off x="8530221" y="6028934"/>
            <a:ext cx="2294365" cy="139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E05312D-DCB0-4465-989A-32B9C6366F8E}" type="TxLink">
              <a:rPr lang="en-US" sz="1000" b="0" i="0" u="none" strike="noStrike">
                <a:solidFill>
                  <a:srgbClr val="000000"/>
                </a:solidFill>
                <a:latin typeface="Aptos" panose="020B0004020202020204" pitchFamily="34" charset="0"/>
                <a:cs typeface="Times New Roman" panose="02020603050405020304" pitchFamily="18" charset="0"/>
              </a:rPr>
              <a:pPr algn="ctr"/>
              <a:t>Average C = 11.5 m</a:t>
            </a:fld>
            <a:endParaRPr lang="en-AU" sz="1000">
              <a:latin typeface="Aptos" panose="020B0004020202020204" pitchFamily="34" charset="0"/>
              <a:cs typeface="Times New Roman" panose="02020603050405020304" pitchFamily="18" charset="0"/>
            </a:endParaRPr>
          </a:p>
        </xdr:txBody>
      </xdr:sp>
      <xdr:sp macro="" textlink="'HSC-AD data'!B154">
        <xdr:nvSpPr>
          <xdr:cNvPr id="6" name="TextBox 5">
            <a:extLst>
              <a:ext uri="{FF2B5EF4-FFF2-40B4-BE49-F238E27FC236}">
                <a16:creationId xmlns:a16="http://schemas.microsoft.com/office/drawing/2014/main" id="{00000000-0008-0000-0700-000006000000}"/>
              </a:ext>
            </a:extLst>
          </xdr:cNvPr>
          <xdr:cNvSpPr txBox="1"/>
        </xdr:nvSpPr>
        <xdr:spPr>
          <a:xfrm>
            <a:off x="5336090" y="6891029"/>
            <a:ext cx="3105474" cy="1801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03B7CA91-9F27-428B-A6CA-C107CF5F93CF}" type="TxLink">
              <a:rPr lang="en-US" sz="1000" b="0" i="0" u="none" strike="noStrike">
                <a:solidFill>
                  <a:srgbClr val="000000"/>
                </a:solidFill>
                <a:latin typeface="Aptos" panose="020B0004020202020204" pitchFamily="34" charset="0"/>
                <a:cs typeface="Times New Roman" panose="02020603050405020304" pitchFamily="18" charset="0"/>
              </a:rPr>
              <a:pPr algn="r"/>
              <a:t>#VALUE!</a:t>
            </a:fld>
            <a:endParaRPr lang="en-AU" sz="1000">
              <a:latin typeface="Aptos" panose="020B0004020202020204" pitchFamily="34" charset="0"/>
              <a:cs typeface="Times New Roman" panose="02020603050405020304" pitchFamily="18" charset="0"/>
            </a:endParaRPr>
          </a:p>
        </xdr:txBody>
      </xdr:sp>
      <xdr:sp macro="" textlink="'HSC-AD data'!B168">
        <xdr:nvSpPr>
          <xdr:cNvPr id="7" name="TextBox 6">
            <a:extLst>
              <a:ext uri="{FF2B5EF4-FFF2-40B4-BE49-F238E27FC236}">
                <a16:creationId xmlns:a16="http://schemas.microsoft.com/office/drawing/2014/main" id="{00000000-0008-0000-0700-000007000000}"/>
              </a:ext>
            </a:extLst>
          </xdr:cNvPr>
          <xdr:cNvSpPr txBox="1"/>
        </xdr:nvSpPr>
        <xdr:spPr>
          <a:xfrm>
            <a:off x="8603799" y="6954456"/>
            <a:ext cx="2033605" cy="614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D1C0429-8E41-468B-86DA-08F8A59952BE}" type="TxLink">
              <a:rPr lang="en-US" sz="1000" b="0" i="0" u="none" strike="noStrike">
                <a:solidFill>
                  <a:srgbClr val="000000"/>
                </a:solidFill>
                <a:latin typeface="Aptos" panose="020B0004020202020204" pitchFamily="34" charset="0"/>
                <a:cs typeface="Times New Roman" panose="02020603050405020304" pitchFamily="18" charset="0"/>
              </a:rPr>
              <a:pPr algn="ctr"/>
              <a:t>Specific Airflow Rate = 6.1 L/s/m² @ Average C = 11.5 m</a:t>
            </a:fld>
            <a:endParaRPr lang="en-AU" sz="1000">
              <a:latin typeface="Aptos" panose="020B0004020202020204" pitchFamily="34" charset="0"/>
              <a:cs typeface="Times New Roman" panose="02020603050405020304" pitchFamily="18" charset="0"/>
            </a:endParaRPr>
          </a:p>
        </xdr:txBody>
      </xdr:sp>
      <xdr:sp macro="" textlink="">
        <xdr:nvSpPr>
          <xdr:cNvPr id="14" name="TextBox 13">
            <a:extLst>
              <a:ext uri="{FF2B5EF4-FFF2-40B4-BE49-F238E27FC236}">
                <a16:creationId xmlns:a16="http://schemas.microsoft.com/office/drawing/2014/main" id="{00000000-0008-0000-0700-00000E000000}"/>
              </a:ext>
            </a:extLst>
          </xdr:cNvPr>
          <xdr:cNvSpPr txBox="1"/>
        </xdr:nvSpPr>
        <xdr:spPr>
          <a:xfrm>
            <a:off x="8678638" y="5791208"/>
            <a:ext cx="283526" cy="464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000" u="sng">
                <a:latin typeface="Aptos" panose="020B0004020202020204" pitchFamily="34" charset="0"/>
                <a:cs typeface="Times New Roman" panose="02020603050405020304" pitchFamily="18" charset="0"/>
              </a:rPr>
              <a:t>C</a:t>
            </a:r>
            <a:r>
              <a:rPr lang="en-AU" sz="1000">
                <a:latin typeface="Aptos" panose="020B0004020202020204" pitchFamily="34" charset="0"/>
                <a:cs typeface="Times New Roman" panose="02020603050405020304" pitchFamily="18" charset="0"/>
              </a:rPr>
              <a:t>2</a:t>
            </a:r>
          </a:p>
        </xdr:txBody>
      </xdr:sp>
      <xdr:sp macro="" textlink="'HSC-AD data'!B155">
        <xdr:nvSpPr>
          <xdr:cNvPr id="18" name="TextBox 17">
            <a:extLst>
              <a:ext uri="{FF2B5EF4-FFF2-40B4-BE49-F238E27FC236}">
                <a16:creationId xmlns:a16="http://schemas.microsoft.com/office/drawing/2014/main" id="{00000000-0008-0000-0700-000012000000}"/>
              </a:ext>
            </a:extLst>
          </xdr:cNvPr>
          <xdr:cNvSpPr txBox="1"/>
        </xdr:nvSpPr>
        <xdr:spPr>
          <a:xfrm>
            <a:off x="5809369" y="6700232"/>
            <a:ext cx="2632197" cy="188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885D867-A499-4AE7-8B82-F6F67699DB6C}" type="TxLink">
              <a:rPr lang="en-US" sz="1000" b="0" i="0" u="none" strike="noStrike">
                <a:solidFill>
                  <a:srgbClr val="000000"/>
                </a:solidFill>
                <a:latin typeface="Aptos" panose="020B0004020202020204" pitchFamily="34" charset="0"/>
                <a:cs typeface="Times New Roman" panose="02020603050405020304" pitchFamily="18" charset="0"/>
              </a:rPr>
              <a:pPr algn="r"/>
              <a:t>Selected Diffuser Height = 6 m</a:t>
            </a:fld>
            <a:endParaRPr lang="en-AU" sz="1000">
              <a:latin typeface="Aptos" panose="020B0004020202020204" pitchFamily="34" charset="0"/>
              <a:cs typeface="Times New Roman" panose="02020603050405020304" pitchFamily="18" charset="0"/>
            </a:endParaRPr>
          </a:p>
        </xdr:txBody>
      </xdr:sp>
    </xdr:grpSp>
    <xdr:clientData/>
  </xdr:twoCellAnchor>
  <xdr:oneCellAnchor>
    <xdr:from>
      <xdr:col>6</xdr:col>
      <xdr:colOff>0</xdr:colOff>
      <xdr:row>0</xdr:row>
      <xdr:rowOff>57981</xdr:rowOff>
    </xdr:from>
    <xdr:ext cx="1683276" cy="319010"/>
    <xdr:pic>
      <xdr:nvPicPr>
        <xdr:cNvPr id="9" name="Picture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981"/>
          <a:ext cx="1683276" cy="319010"/>
        </a:xfrm>
        <a:prstGeom prst="rect">
          <a:avLst/>
        </a:prstGeom>
      </xdr:spPr>
    </xdr:pic>
    <xdr:clientData/>
  </xdr:oneCellAnchor>
  <mc:AlternateContent xmlns:mc="http://schemas.openxmlformats.org/markup-compatibility/2006">
    <mc:Choice xmlns:a14="http://schemas.microsoft.com/office/drawing/2010/main" Requires="a14">
      <xdr:twoCellAnchor>
        <xdr:from>
          <xdr:col>6</xdr:col>
          <xdr:colOff>142875</xdr:colOff>
          <xdr:row>17</xdr:row>
          <xdr:rowOff>38100</xdr:rowOff>
        </xdr:from>
        <xdr:to>
          <xdr:col>11</xdr:col>
          <xdr:colOff>819093</xdr:colOff>
          <xdr:row>34</xdr:row>
          <xdr:rowOff>142875</xdr:rowOff>
        </xdr:to>
        <xdr:pic>
          <xdr:nvPicPr>
            <xdr:cNvPr id="10" name="Picture 9">
              <a:extLst>
                <a:ext uri="{FF2B5EF4-FFF2-40B4-BE49-F238E27FC236}">
                  <a16:creationId xmlns:a16="http://schemas.microsoft.com/office/drawing/2014/main" id="{00000000-0008-0000-0700-00000A000000}"/>
                </a:ext>
              </a:extLst>
            </xdr:cNvPr>
            <xdr:cNvPicPr>
              <a:picLocks noChangeAspect="1"/>
              <a:extLst>
                <a:ext uri="{84589F7E-364E-4C9E-8A38-B11213B215E9}">
                  <a14:cameraTool cellRange="getFrontChart" spid="_x0000_s127186"/>
                </a:ext>
              </a:extLst>
            </xdr:cNvPicPr>
          </xdr:nvPicPr>
          <xdr:blipFill rotWithShape="1">
            <a:blip xmlns:r="http://schemas.openxmlformats.org/officeDocument/2006/relationships" r:embed="rId4"/>
            <a:srcRect l="1804" r="641"/>
            <a:stretch>
              <a:fillRect/>
            </a:stretch>
          </xdr:blipFill>
          <xdr:spPr>
            <a:xfrm>
              <a:off x="6400800" y="3352800"/>
              <a:ext cx="5914968" cy="3181350"/>
            </a:xfrm>
            <a:prstGeom prst="rect">
              <a:avLst/>
            </a:prstGeom>
          </xdr:spPr>
        </xdr:pic>
        <xdr:clientData/>
      </xdr:twoCellAnchor>
    </mc:Choice>
    <mc:Fallback/>
  </mc:AlternateContent>
  <xdr:twoCellAnchor>
    <xdr:from>
      <xdr:col>1</xdr:col>
      <xdr:colOff>438150</xdr:colOff>
      <xdr:row>39</xdr:row>
      <xdr:rowOff>57150</xdr:rowOff>
    </xdr:from>
    <xdr:to>
      <xdr:col>5</xdr:col>
      <xdr:colOff>619125</xdr:colOff>
      <xdr:row>40</xdr:row>
      <xdr:rowOff>95250</xdr:rowOff>
    </xdr:to>
    <xdr:sp macro="" textlink="'HSC-AD data'!B169">
      <xdr:nvSpPr>
        <xdr:cNvPr id="11" name="TextBox 10">
          <a:extLst>
            <a:ext uri="{FF2B5EF4-FFF2-40B4-BE49-F238E27FC236}">
              <a16:creationId xmlns:a16="http://schemas.microsoft.com/office/drawing/2014/main" id="{00000000-0008-0000-0700-00000B000000}"/>
            </a:ext>
          </a:extLst>
        </xdr:cNvPr>
        <xdr:cNvSpPr txBox="1"/>
      </xdr:nvSpPr>
      <xdr:spPr>
        <a:xfrm>
          <a:off x="2219325" y="7353300"/>
          <a:ext cx="37052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5B6FF929-06DF-4945-A7FD-F6056CF5234C}" type="TxLink">
            <a:rPr lang="en-US" sz="1000" b="0" i="0" u="none" strike="noStrike">
              <a:solidFill>
                <a:srgbClr val="000000"/>
              </a:solidFill>
              <a:latin typeface="Aptos" panose="020B0004020202020204" pitchFamily="34" charset="0"/>
              <a:cs typeface="Calibri"/>
            </a:rPr>
            <a:pPr algn="r"/>
            <a:t>Recommended distances for ≥ 90% ADPI (selected)</a:t>
          </a:fld>
          <a:endParaRPr lang="en-AU" sz="1000">
            <a:latin typeface="Aptos" panose="020B00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114301</xdr:colOff>
      <xdr:row>0</xdr:row>
      <xdr:rowOff>57150</xdr:rowOff>
    </xdr:from>
    <xdr:to>
      <xdr:col>11</xdr:col>
      <xdr:colOff>419101</xdr:colOff>
      <xdr:row>24</xdr:row>
      <xdr:rowOff>152400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114301" y="57150"/>
          <a:ext cx="7429500" cy="4438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AU" sz="1100"/>
            <a:t>Furnish and install SMARTEMP® Adjustable Helical Swirl Diffusers, type HSC-AD, to provide diffuse airflow with adjustable horizontal-to-vertical discharge direction for high thermal comfort from elevated discharge heights. Each diffuser is to be made of powder coated steel and shall include 20 off-set radial vanes flush with the horizontal diffuser face. The diffuser face is to be square (up to neck size DN500 only) or circular, as specified. The diffuser is to be installed substantially flush</a:t>
          </a:r>
        </a:p>
        <a:p>
          <a:pPr algn="just"/>
          <a:r>
            <a:rPr lang="en-AU" sz="1100"/>
            <a:t>with the suspended false ceiling or freely suspended, as specified.</a:t>
          </a:r>
        </a:p>
        <a:p>
          <a:pPr algn="just"/>
          <a:endParaRPr lang="en-AU" sz="1100"/>
        </a:p>
        <a:p>
          <a:pPr algn="just"/>
          <a:r>
            <a:rPr lang="en-AU" sz="1100"/>
            <a:t>Swirl vanes are to include cambered leading edges for reduced noise and pressure drop, and the helical swirl vane tips are each to incorporate a geometric twist for increased downward discharge penetration and reduced minimum airflow rates. An internal adjustable guide ring with 20 geometrically twisted guide vanes is to provide constant pressure discharge direction adjustment.</a:t>
          </a:r>
        </a:p>
        <a:p>
          <a:pPr algn="just"/>
          <a:endParaRPr lang="en-AU" sz="1100"/>
        </a:p>
        <a:p>
          <a:pPr algn="just"/>
          <a:r>
            <a:rPr lang="en-AU" sz="1100"/>
            <a:t>The guide ring is to be adjusted manually, electrically or thermally, as specified and in accordance with SMARTEMP guidelines. The latter two each attach as a kit to an included control module, which is optionally available for manual adjustment. Diffuser neck size is to be DN250, DN355, DN500 or DN710, as required. The diffuser is to incorporate the optional reducer and reduced guide ring, where appropriate. Diffuser discharge height of 2.5 to 15 m to be inaccordance with SMARTEMP's recommendations for the duty required.</a:t>
          </a:r>
        </a:p>
        <a:p>
          <a:pPr algn="just"/>
          <a:endParaRPr lang="en-AU" sz="1100"/>
        </a:p>
        <a:p>
          <a:pPr algn="just"/>
          <a:r>
            <a:rPr lang="en-AU" sz="1100"/>
            <a:t>Cooling with horizontal discharge direction to be at no less than </a:t>
          </a:r>
          <a:r>
            <a:rPr lang="el-GR" sz="1100"/>
            <a:t>Δ</a:t>
          </a:r>
          <a:r>
            <a:rPr lang="en-AU" sz="1100"/>
            <a:t>Tsupply-room = -13 K. For heating applications, provide downward discharge and control maximum </a:t>
          </a:r>
          <a:r>
            <a:rPr lang="el-GR" sz="1100"/>
            <a:t>Δ</a:t>
          </a:r>
          <a:r>
            <a:rPr lang="en-AU" sz="1100"/>
            <a:t>Tsupply-room no t to exceed the maximum per missible heating temperature differential prescribed by SMARTEMP for the selected diffuser, airflow rate and discharge height.</a:t>
          </a:r>
        </a:p>
        <a:p>
          <a:pPr algn="just"/>
          <a:endParaRPr lang="en-AU" sz="1100"/>
        </a:p>
        <a:p>
          <a:pPr algn="just"/>
          <a:r>
            <a:rPr lang="en-AU" sz="1100"/>
            <a:t>Where specified, each diffuser is to be connected to a side-entry sheet-metal connections box, internally insulated where indicated, fabricated in accordance with SMARTEMP's recommendations. Alternatively, each diffuser is to be connected to a vertical duct of internal diameter equal to the diffuser DN size and at least one duct diameter in length.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lection-Tool-SMARTEMP-HSC-AD%20-%20v6.14%20-%20heating%20dist%20e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SC-AD"/>
      <sheetName val="Acoustic_Tool"/>
      <sheetName val="Equations HSC-AD"/>
      <sheetName val="Heating "/>
      <sheetName val="Notes &amp; Drawings"/>
      <sheetName val="Charts"/>
      <sheetName val="HSC-AD data diagrams"/>
      <sheetName val="HSC-AD data"/>
      <sheetName val="Print Summary"/>
      <sheetName val="Tender Text"/>
    </sheetNames>
    <sheetDataSet>
      <sheetData sheetId="0" refreshError="1"/>
      <sheetData sheetId="1" refreshError="1"/>
      <sheetData sheetId="2" refreshError="1"/>
      <sheetData sheetId="3">
        <row r="16">
          <cell r="D16">
            <v>2.5</v>
          </cell>
        </row>
      </sheetData>
      <sheetData sheetId="4" refreshError="1"/>
      <sheetData sheetId="5" refreshError="1"/>
      <sheetData sheetId="6">
        <row r="11">
          <cell r="C11" t="str">
            <v>'HSC-AD data diagrams'!C8</v>
          </cell>
        </row>
      </sheetData>
      <sheetData sheetId="7">
        <row r="2">
          <cell r="B2">
            <v>0.95</v>
          </cell>
        </row>
        <row r="3">
          <cell r="B3">
            <v>0.9</v>
          </cell>
        </row>
        <row r="4">
          <cell r="B4">
            <v>0.8</v>
          </cell>
        </row>
        <row r="5">
          <cell r="B5">
            <v>0.7</v>
          </cell>
        </row>
        <row r="23">
          <cell r="D23" t="e">
            <v>#N/A</v>
          </cell>
        </row>
        <row r="65">
          <cell r="C65" t="str">
            <v>DN250</v>
          </cell>
        </row>
        <row r="66">
          <cell r="C66" t="str">
            <v>DN355</v>
          </cell>
        </row>
        <row r="67">
          <cell r="C67" t="str">
            <v>DN400</v>
          </cell>
        </row>
        <row r="68">
          <cell r="C68" t="str">
            <v>DN500</v>
          </cell>
        </row>
        <row r="69">
          <cell r="C69" t="str">
            <v>DN630</v>
          </cell>
        </row>
        <row r="70">
          <cell r="C70" t="str">
            <v>DN710</v>
          </cell>
        </row>
        <row r="71">
          <cell r="C71" t="str">
            <v>DN1000</v>
          </cell>
        </row>
      </sheetData>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Peter Tran" id="{950502E8-A667-4B48-ADC7-D793497E8A40}" userId="e88369f42e4cf940"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Y103" dT="2025-09-13T12:41:18.62" personId="{950502E8-A667-4B48-ADC7-D793497E8A40}" id="{BA27AD6C-CE4E-418E-8ACE-264CE4248E91}">
    <text>Note DN710-R1 K value 10% lower</text>
  </threadedComment>
</ThreadedComments>
</file>

<file path=xl/worksheets/_rels/sheet1.xml.rels><?xml version="1.0" encoding="UTF-8" standalone="yes"?>
<Relationships xmlns="http://schemas.openxmlformats.org/package/2006/relationships"><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9" Type="http://schemas.openxmlformats.org/officeDocument/2006/relationships/ctrlProp" Target="../ctrlProps/ctrlProp33.xml"/><Relationship Id="rId21" Type="http://schemas.openxmlformats.org/officeDocument/2006/relationships/ctrlProp" Target="../ctrlProps/ctrlProp15.xml"/><Relationship Id="rId34" Type="http://schemas.openxmlformats.org/officeDocument/2006/relationships/ctrlProp" Target="../ctrlProps/ctrlProp28.xml"/><Relationship Id="rId42" Type="http://schemas.openxmlformats.org/officeDocument/2006/relationships/ctrlProp" Target="../ctrlProps/ctrlProp36.xml"/><Relationship Id="rId47" Type="http://schemas.openxmlformats.org/officeDocument/2006/relationships/ctrlProp" Target="../ctrlProps/ctrlProp41.xml"/><Relationship Id="rId7" Type="http://schemas.openxmlformats.org/officeDocument/2006/relationships/ctrlProp" Target="../ctrlProps/ctrlProp1.xml"/><Relationship Id="rId2" Type="http://schemas.openxmlformats.org/officeDocument/2006/relationships/printerSettings" Target="../printerSettings/printerSettings1.bin"/><Relationship Id="rId16" Type="http://schemas.openxmlformats.org/officeDocument/2006/relationships/ctrlProp" Target="../ctrlProps/ctrlProp10.xml"/><Relationship Id="rId29" Type="http://schemas.openxmlformats.org/officeDocument/2006/relationships/ctrlProp" Target="../ctrlProps/ctrlProp23.xml"/><Relationship Id="rId1" Type="http://schemas.openxmlformats.org/officeDocument/2006/relationships/hyperlink" Target="http://www.smartair.asia/product/87" TargetMode="External"/><Relationship Id="rId6" Type="http://schemas.openxmlformats.org/officeDocument/2006/relationships/image" Target="../media/image1.emf"/><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40" Type="http://schemas.openxmlformats.org/officeDocument/2006/relationships/ctrlProp" Target="../ctrlProps/ctrlProp34.xml"/><Relationship Id="rId45" Type="http://schemas.openxmlformats.org/officeDocument/2006/relationships/ctrlProp" Target="../ctrlProps/ctrlProp39.xml"/><Relationship Id="rId5" Type="http://schemas.openxmlformats.org/officeDocument/2006/relationships/package" Target="../embeddings/Microsoft_Visio_Drawing.vsdx"/><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4" Type="http://schemas.openxmlformats.org/officeDocument/2006/relationships/ctrlProp" Target="../ctrlProps/ctrlProp38.xml"/><Relationship Id="rId4" Type="http://schemas.openxmlformats.org/officeDocument/2006/relationships/vmlDrawing" Target="../drawings/vmlDrawing1.vml"/><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 Id="rId43" Type="http://schemas.openxmlformats.org/officeDocument/2006/relationships/ctrlProp" Target="../ctrlProps/ctrlProp37.xml"/><Relationship Id="rId48" Type="http://schemas.openxmlformats.org/officeDocument/2006/relationships/ctrlProp" Target="../ctrlProps/ctrlProp42.xml"/><Relationship Id="rId8" Type="http://schemas.openxmlformats.org/officeDocument/2006/relationships/ctrlProp" Target="../ctrlProps/ctrlProp2.xml"/><Relationship Id="rId3" Type="http://schemas.openxmlformats.org/officeDocument/2006/relationships/drawing" Target="../drawings/drawing1.xml"/><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38" Type="http://schemas.openxmlformats.org/officeDocument/2006/relationships/ctrlProp" Target="../ctrlProps/ctrlProp32.xml"/><Relationship Id="rId46" Type="http://schemas.openxmlformats.org/officeDocument/2006/relationships/ctrlProp" Target="../ctrlProps/ctrlProp40.xml"/><Relationship Id="rId20" Type="http://schemas.openxmlformats.org/officeDocument/2006/relationships/ctrlProp" Target="../ctrlProps/ctrlProp14.xml"/><Relationship Id="rId41"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package" Target="../embeddings/Microsoft_Visio_Drawing1.vsdx"/><Relationship Id="rId2" Type="http://schemas.openxmlformats.org/officeDocument/2006/relationships/vmlDrawing" Target="../drawings/vmlDrawing3.vml"/><Relationship Id="rId1" Type="http://schemas.openxmlformats.org/officeDocument/2006/relationships/drawing" Target="../drawings/drawing5.xml"/><Relationship Id="rId6" Type="http://schemas.openxmlformats.org/officeDocument/2006/relationships/image" Target="../media/image15.emf"/><Relationship Id="rId5" Type="http://schemas.openxmlformats.org/officeDocument/2006/relationships/package" Target="../embeddings/Microsoft_Visio_Drawing2.vsdx"/><Relationship Id="rId4" Type="http://schemas.openxmlformats.org/officeDocument/2006/relationships/image" Target="../media/image14.emf"/></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AB81"/>
  <sheetViews>
    <sheetView tabSelected="1" zoomScaleNormal="100" workbookViewId="0">
      <selection activeCell="E9" sqref="E9"/>
    </sheetView>
  </sheetViews>
  <sheetFormatPr defaultRowHeight="14.4" x14ac:dyDescent="0.3"/>
  <cols>
    <col min="1" max="2" width="2.5546875" customWidth="1"/>
    <col min="3" max="3" width="18.88671875" customWidth="1"/>
    <col min="4" max="4" width="22.5546875" customWidth="1"/>
    <col min="5" max="5" width="18.88671875" customWidth="1"/>
    <col min="6" max="6" width="7.33203125" customWidth="1"/>
    <col min="7" max="16" width="13.5546875" customWidth="1"/>
    <col min="17" max="18" width="13.109375" hidden="1" customWidth="1"/>
    <col min="19" max="19" width="13" hidden="1" customWidth="1"/>
    <col min="20" max="21" width="13" customWidth="1"/>
    <col min="22" max="22" width="10" customWidth="1"/>
    <col min="26" max="26" width="16.44140625" customWidth="1"/>
    <col min="27" max="27" width="12.6640625" customWidth="1"/>
  </cols>
  <sheetData>
    <row r="1" spans="2:28" x14ac:dyDescent="0.3">
      <c r="B1" s="1"/>
      <c r="C1" s="3"/>
      <c r="D1" s="2"/>
      <c r="E1" s="3"/>
      <c r="F1" s="3"/>
      <c r="G1" s="3"/>
      <c r="H1" s="3"/>
      <c r="I1" s="3"/>
      <c r="J1" s="3"/>
      <c r="K1" s="3"/>
      <c r="L1" s="3"/>
      <c r="M1" s="3"/>
      <c r="N1" s="3"/>
      <c r="O1" s="3"/>
      <c r="P1" s="3"/>
      <c r="Q1" s="4"/>
      <c r="R1" s="4"/>
      <c r="S1" s="4"/>
      <c r="T1" s="4"/>
      <c r="U1" s="4"/>
      <c r="V1" s="4"/>
      <c r="W1" s="4"/>
      <c r="X1" s="4"/>
      <c r="Y1" s="4"/>
      <c r="Z1" s="4"/>
      <c r="AA1" s="4"/>
      <c r="AB1" s="5"/>
    </row>
    <row r="2" spans="2:28" ht="21" x14ac:dyDescent="0.4">
      <c r="B2" s="6"/>
      <c r="C2" s="4"/>
      <c r="D2" s="7" t="s">
        <v>10</v>
      </c>
      <c r="E2" s="4"/>
      <c r="F2" s="4"/>
      <c r="G2" s="4"/>
      <c r="H2" s="4"/>
      <c r="I2" s="4"/>
      <c r="J2" s="8"/>
      <c r="K2" s="8"/>
      <c r="L2" s="8"/>
      <c r="M2" s="8"/>
      <c r="N2" s="4"/>
      <c r="O2" s="8"/>
      <c r="P2" s="8"/>
      <c r="Q2" s="8"/>
      <c r="R2" s="8"/>
      <c r="S2" s="8"/>
      <c r="T2" s="8"/>
      <c r="U2" s="8"/>
      <c r="V2" s="8"/>
      <c r="W2" s="8"/>
      <c r="X2" s="8"/>
      <c r="Y2" s="8"/>
      <c r="Z2" s="8"/>
      <c r="AA2" s="8"/>
      <c r="AB2" s="9"/>
    </row>
    <row r="3" spans="2:28" ht="21" x14ac:dyDescent="0.4">
      <c r="B3" s="6"/>
      <c r="C3" s="4"/>
      <c r="D3" s="10" t="s">
        <v>16</v>
      </c>
      <c r="E3" s="4"/>
      <c r="F3" s="4"/>
      <c r="G3" s="4"/>
      <c r="H3" s="4"/>
      <c r="I3" s="4"/>
      <c r="J3" s="8"/>
      <c r="K3" s="8"/>
      <c r="L3" s="8"/>
      <c r="M3" s="8"/>
      <c r="N3" s="4"/>
      <c r="O3" s="8"/>
      <c r="P3" s="8"/>
      <c r="Q3" s="8"/>
      <c r="R3" s="8"/>
      <c r="S3" s="8"/>
      <c r="T3" s="8"/>
      <c r="U3" s="8"/>
      <c r="V3" s="8"/>
      <c r="W3" s="8"/>
      <c r="X3" s="8"/>
      <c r="Y3" s="8"/>
      <c r="Z3" s="8"/>
      <c r="AA3" s="8"/>
      <c r="AB3" s="9"/>
    </row>
    <row r="4" spans="2:28" x14ac:dyDescent="0.3">
      <c r="B4" s="6"/>
      <c r="C4" s="4"/>
      <c r="D4" s="11"/>
      <c r="E4" s="4"/>
      <c r="F4" s="4"/>
      <c r="G4" s="4"/>
      <c r="H4" s="4"/>
      <c r="I4" s="4"/>
      <c r="J4" s="4"/>
      <c r="K4" s="4"/>
      <c r="L4" s="4"/>
      <c r="M4" s="4"/>
      <c r="N4" s="4"/>
      <c r="O4" s="4"/>
      <c r="P4" s="4"/>
      <c r="Q4" s="4"/>
      <c r="R4" s="4"/>
      <c r="S4" s="4"/>
      <c r="T4" s="4"/>
      <c r="U4" s="4"/>
      <c r="V4" s="4"/>
      <c r="W4" s="4"/>
      <c r="X4" s="4"/>
      <c r="Y4" s="4"/>
      <c r="Z4" s="4"/>
      <c r="AA4" s="4"/>
      <c r="AB4" s="5"/>
    </row>
    <row r="5" spans="2:28" ht="24" customHeight="1" x14ac:dyDescent="0.35">
      <c r="B5" s="181"/>
      <c r="C5" s="182" t="s">
        <v>186</v>
      </c>
      <c r="D5" s="441" t="s">
        <v>168</v>
      </c>
      <c r="E5" s="441"/>
      <c r="F5" s="441"/>
      <c r="G5" s="441"/>
      <c r="H5" s="441"/>
      <c r="I5" s="441"/>
      <c r="J5" s="54"/>
      <c r="K5" s="54"/>
      <c r="L5" s="54"/>
      <c r="M5" s="54"/>
      <c r="N5" s="54"/>
      <c r="O5" s="54"/>
      <c r="P5" s="54"/>
      <c r="Q5" s="54"/>
      <c r="R5" s="54"/>
      <c r="S5" s="54"/>
      <c r="T5" s="54"/>
      <c r="U5" s="54"/>
      <c r="V5" s="54"/>
      <c r="W5" s="54"/>
      <c r="X5" s="54"/>
      <c r="Y5" s="54"/>
      <c r="Z5" s="54"/>
      <c r="AA5" s="54"/>
      <c r="AB5" s="55"/>
    </row>
    <row r="6" spans="2:28" ht="9.75" customHeight="1" x14ac:dyDescent="0.35">
      <c r="B6" s="181"/>
      <c r="C6" s="236"/>
      <c r="D6" s="185"/>
      <c r="E6" s="183"/>
      <c r="F6" s="183"/>
      <c r="G6" s="183"/>
      <c r="H6" s="183"/>
      <c r="I6" s="184"/>
      <c r="J6" s="54"/>
      <c r="K6" s="54"/>
      <c r="L6" s="54"/>
      <c r="M6" s="54"/>
      <c r="N6" s="54"/>
      <c r="O6" s="54"/>
      <c r="P6" s="54"/>
      <c r="Q6" s="54"/>
      <c r="R6" s="54"/>
      <c r="S6" s="54"/>
      <c r="T6" s="54"/>
      <c r="U6" s="54"/>
      <c r="V6" s="54"/>
      <c r="W6" s="54"/>
      <c r="X6" s="54"/>
      <c r="Y6" s="54"/>
      <c r="Z6" s="54"/>
      <c r="AA6" s="54"/>
      <c r="AB6" s="54"/>
    </row>
    <row r="7" spans="2:28" ht="20.399999999999999" thickBot="1" x14ac:dyDescent="0.45">
      <c r="B7" s="12"/>
      <c r="C7" s="13"/>
      <c r="D7" s="15" t="s">
        <v>0</v>
      </c>
      <c r="E7" s="15"/>
      <c r="F7" s="15"/>
      <c r="G7" s="15"/>
      <c r="H7" s="13"/>
      <c r="I7" s="13"/>
      <c r="J7" s="53"/>
      <c r="K7" s="68" t="s">
        <v>412</v>
      </c>
      <c r="L7" s="68"/>
      <c r="M7" s="56"/>
      <c r="N7" s="56"/>
      <c r="O7" s="54"/>
      <c r="P7" s="54"/>
      <c r="Q7" s="54"/>
      <c r="R7" s="54"/>
      <c r="S7" s="54"/>
      <c r="T7" s="54"/>
      <c r="U7" s="54"/>
      <c r="V7" s="54"/>
      <c r="W7" s="54"/>
      <c r="X7" s="54"/>
      <c r="Y7" s="54"/>
      <c r="Z7" s="54"/>
      <c r="AA7" s="438" t="s">
        <v>589</v>
      </c>
      <c r="AB7" s="438"/>
    </row>
    <row r="8" spans="2:28" ht="15" thickTop="1" x14ac:dyDescent="0.3">
      <c r="B8" s="12"/>
      <c r="C8" s="13"/>
      <c r="D8" s="13"/>
      <c r="E8" s="13"/>
      <c r="F8" s="13"/>
      <c r="G8" s="13"/>
      <c r="H8" s="13"/>
      <c r="I8" s="50"/>
      <c r="J8" s="53"/>
      <c r="K8" s="54"/>
      <c r="L8" s="54"/>
      <c r="M8" s="54"/>
      <c r="N8" s="54"/>
      <c r="O8" s="54"/>
      <c r="P8" s="54"/>
      <c r="Q8" s="54"/>
      <c r="R8" s="54"/>
      <c r="S8" s="54"/>
      <c r="T8" s="54"/>
      <c r="U8" s="54"/>
      <c r="V8" s="54"/>
      <c r="W8" s="54"/>
      <c r="X8" s="54"/>
      <c r="Y8" s="54"/>
      <c r="Z8" s="54"/>
      <c r="AA8" s="54"/>
      <c r="AB8" s="55"/>
    </row>
    <row r="9" spans="2:28" ht="16.8" thickBot="1" x14ac:dyDescent="0.35">
      <c r="B9" s="12"/>
      <c r="C9" s="13"/>
      <c r="D9" s="16" t="s">
        <v>90</v>
      </c>
      <c r="E9" s="17">
        <v>800</v>
      </c>
      <c r="F9" s="279"/>
      <c r="G9" s="18" t="s">
        <v>163</v>
      </c>
      <c r="H9" s="264" t="s">
        <v>336</v>
      </c>
      <c r="I9" s="49"/>
      <c r="J9" s="53"/>
      <c r="K9" s="54"/>
      <c r="L9" s="57" t="s">
        <v>11</v>
      </c>
      <c r="M9" s="69">
        <v>0.9</v>
      </c>
      <c r="N9" s="58"/>
      <c r="O9" s="59" t="s">
        <v>373</v>
      </c>
      <c r="P9" s="54"/>
      <c r="Q9" s="54"/>
      <c r="R9" s="54"/>
      <c r="S9" s="54"/>
      <c r="T9" s="54"/>
      <c r="U9" s="54"/>
      <c r="V9" s="54"/>
      <c r="W9" s="54"/>
      <c r="X9" s="54"/>
      <c r="Y9" s="54"/>
      <c r="Z9" s="54"/>
      <c r="AA9" s="54"/>
      <c r="AB9" s="55"/>
    </row>
    <row r="10" spans="2:28" ht="15" thickTop="1" x14ac:dyDescent="0.3">
      <c r="B10" s="12"/>
      <c r="C10" s="13"/>
      <c r="D10" s="16"/>
      <c r="E10" s="210" t="str">
        <f>"= "&amp;ROUND(E9*'Equations HSC-AD'!C6,1)</f>
        <v>= 2880</v>
      </c>
      <c r="F10" s="211" t="str">
        <f>'Equations HSC-AD'!D6</f>
        <v>m³/h</v>
      </c>
      <c r="G10" s="18"/>
      <c r="H10" s="13"/>
      <c r="I10" s="49"/>
      <c r="J10" s="53"/>
      <c r="K10" s="75"/>
      <c r="L10" s="75"/>
      <c r="M10" s="75"/>
      <c r="N10" s="75"/>
      <c r="O10" s="75"/>
      <c r="P10" s="75"/>
      <c r="Q10" s="75"/>
      <c r="R10" s="54"/>
      <c r="S10" s="54"/>
      <c r="T10" s="54"/>
      <c r="U10" s="54"/>
      <c r="V10" s="54"/>
      <c r="W10" s="54"/>
      <c r="X10" s="54"/>
      <c r="Y10" s="54"/>
      <c r="Z10" s="54"/>
      <c r="AA10" s="54"/>
      <c r="AB10" s="55"/>
    </row>
    <row r="11" spans="2:28" ht="15" thickBot="1" x14ac:dyDescent="0.35">
      <c r="B11" s="12"/>
      <c r="C11" s="13"/>
      <c r="D11" s="16" t="s">
        <v>253</v>
      </c>
      <c r="E11" s="17">
        <v>100</v>
      </c>
      <c r="F11" s="18" t="s">
        <v>175</v>
      </c>
      <c r="G11" s="19" t="s">
        <v>379</v>
      </c>
      <c r="H11" s="13"/>
      <c r="I11" s="49"/>
      <c r="J11" s="53"/>
      <c r="K11" s="51" t="s">
        <v>89</v>
      </c>
      <c r="L11" s="52"/>
      <c r="M11" s="53"/>
      <c r="N11" s="53"/>
      <c r="O11" s="53"/>
      <c r="P11" s="53"/>
      <c r="Q11" s="53"/>
      <c r="R11" s="54"/>
      <c r="S11" s="54"/>
      <c r="T11" s="54"/>
      <c r="U11" s="54"/>
      <c r="V11" s="54"/>
      <c r="W11" s="54"/>
      <c r="X11" s="54"/>
      <c r="Y11" s="54"/>
      <c r="Z11" s="54"/>
      <c r="AA11" s="54"/>
      <c r="AB11" s="55"/>
    </row>
    <row r="12" spans="2:28" ht="15" thickTop="1" x14ac:dyDescent="0.3">
      <c r="B12" s="12"/>
      <c r="C12" s="13"/>
      <c r="D12" s="49"/>
      <c r="E12" s="49"/>
      <c r="F12" s="49"/>
      <c r="G12" s="49"/>
      <c r="H12" s="13"/>
      <c r="I12" s="49"/>
      <c r="J12" s="53"/>
      <c r="K12" s="78"/>
      <c r="L12" s="53"/>
      <c r="M12" s="53"/>
      <c r="N12" s="53"/>
      <c r="O12" s="53"/>
      <c r="P12" s="53"/>
      <c r="Q12" s="53"/>
      <c r="R12" s="54"/>
      <c r="S12" s="54"/>
      <c r="T12" s="54"/>
      <c r="U12" s="54"/>
      <c r="V12" s="54"/>
      <c r="W12" s="54"/>
      <c r="X12" s="54"/>
      <c r="Y12" s="54"/>
      <c r="Z12" s="54"/>
      <c r="AA12" s="54"/>
      <c r="AB12" s="55"/>
    </row>
    <row r="13" spans="2:28" ht="15" thickBot="1" x14ac:dyDescent="0.35">
      <c r="B13" s="12"/>
      <c r="C13" s="13"/>
      <c r="D13" s="16" t="s">
        <v>282</v>
      </c>
      <c r="E13" s="17">
        <v>60</v>
      </c>
      <c r="F13" s="18" t="s">
        <v>1</v>
      </c>
      <c r="G13" s="19" t="s">
        <v>159</v>
      </c>
      <c r="H13" s="22"/>
      <c r="I13" s="49"/>
      <c r="J13" s="53"/>
      <c r="K13" s="79"/>
      <c r="L13" s="310"/>
      <c r="M13" s="297" t="s">
        <v>415</v>
      </c>
      <c r="N13" s="297"/>
      <c r="O13" s="311" t="s">
        <v>416</v>
      </c>
      <c r="P13" s="75"/>
      <c r="Q13" s="75"/>
      <c r="R13" s="54"/>
      <c r="S13" s="54"/>
      <c r="T13" s="54"/>
      <c r="U13" s="54"/>
      <c r="V13" s="54"/>
      <c r="W13" s="54"/>
      <c r="X13" s="54"/>
      <c r="Y13" s="54"/>
      <c r="Z13" s="54"/>
      <c r="AA13" s="54"/>
      <c r="AB13" s="55"/>
    </row>
    <row r="14" spans="2:28" ht="15" thickTop="1" x14ac:dyDescent="0.3">
      <c r="B14" s="12"/>
      <c r="C14" s="13"/>
      <c r="D14" s="16"/>
      <c r="E14" s="20"/>
      <c r="F14" s="18"/>
      <c r="G14" s="18"/>
      <c r="H14" s="13"/>
      <c r="I14" s="49"/>
      <c r="J14" s="53"/>
      <c r="K14" s="91" t="s">
        <v>114</v>
      </c>
      <c r="L14" s="54"/>
      <c r="M14" s="206" t="str">
        <f>"nominal distance = "&amp;ROUND('Equations HSC-AD'!C198,1)</f>
        <v>nominal distance = 11.5</v>
      </c>
      <c r="N14" s="207" t="s">
        <v>3</v>
      </c>
      <c r="O14" s="209"/>
      <c r="P14" s="75"/>
      <c r="Q14" s="75"/>
      <c r="R14" s="54"/>
      <c r="S14" s="54"/>
      <c r="T14" s="54"/>
      <c r="U14" s="54"/>
      <c r="V14" s="54"/>
      <c r="W14" s="54"/>
      <c r="X14" s="54"/>
      <c r="Y14" s="54"/>
      <c r="Z14" s="54"/>
      <c r="AA14" s="54"/>
      <c r="AB14" s="55"/>
    </row>
    <row r="15" spans="2:28" ht="15" thickBot="1" x14ac:dyDescent="0.35">
      <c r="B15" s="12"/>
      <c r="C15" s="13"/>
      <c r="D15" s="16" t="s">
        <v>2</v>
      </c>
      <c r="E15" s="21">
        <v>6</v>
      </c>
      <c r="F15" s="18" t="s">
        <v>3</v>
      </c>
      <c r="G15" s="19" t="s">
        <v>579</v>
      </c>
      <c r="H15" s="19"/>
      <c r="I15" s="49"/>
      <c r="J15" s="53"/>
      <c r="K15" s="79"/>
      <c r="L15" s="297" t="s">
        <v>413</v>
      </c>
      <c r="M15" s="80">
        <v>20</v>
      </c>
      <c r="N15" s="76" t="s">
        <v>3</v>
      </c>
      <c r="O15" s="77" t="s">
        <v>414</v>
      </c>
      <c r="P15" s="75"/>
      <c r="Q15" s="75"/>
      <c r="R15" s="54"/>
      <c r="S15" s="54"/>
      <c r="T15" s="54"/>
      <c r="U15" s="54"/>
      <c r="V15" s="54"/>
      <c r="W15" s="54"/>
      <c r="X15" s="54"/>
      <c r="Y15" s="54"/>
      <c r="Z15" s="54"/>
      <c r="AA15" s="54"/>
      <c r="AB15" s="55"/>
    </row>
    <row r="16" spans="2:28" ht="15" thickTop="1" x14ac:dyDescent="0.3">
      <c r="B16" s="12"/>
      <c r="C16" s="13"/>
      <c r="D16" s="421"/>
      <c r="E16" s="422"/>
      <c r="F16" s="49"/>
      <c r="G16" s="19" t="s">
        <v>584</v>
      </c>
      <c r="H16" s="423"/>
      <c r="I16" s="49"/>
      <c r="J16" s="53"/>
      <c r="K16" s="91" t="s">
        <v>114</v>
      </c>
      <c r="L16" s="54"/>
      <c r="M16" s="89" t="str">
        <f>"= specific airflow rate: "&amp;ROUND('Equations HSC-AD'!C185,1)</f>
        <v>= specific airflow rate: 6.1</v>
      </c>
      <c r="N16" s="90" t="str">
        <f>'Equations HSC-AD'!G3</f>
        <v>L/s/m²</v>
      </c>
      <c r="O16" s="77"/>
      <c r="P16" s="75"/>
      <c r="Q16" s="75"/>
      <c r="R16" s="54"/>
      <c r="S16" s="54"/>
      <c r="T16" s="54"/>
      <c r="U16" s="54"/>
      <c r="V16" s="54"/>
      <c r="W16" s="54"/>
      <c r="X16" s="54"/>
      <c r="Y16" s="54"/>
      <c r="Z16" s="54"/>
      <c r="AA16" s="54"/>
      <c r="AB16" s="55"/>
    </row>
    <row r="17" spans="2:28" ht="15" thickBot="1" x14ac:dyDescent="0.35">
      <c r="B17" s="12"/>
      <c r="C17" s="13"/>
      <c r="D17" s="49"/>
      <c r="E17" s="49"/>
      <c r="F17" s="49"/>
      <c r="G17" s="49"/>
      <c r="H17" s="49"/>
      <c r="I17" s="49"/>
      <c r="J17" s="53"/>
      <c r="K17" s="79"/>
      <c r="L17" s="297" t="s">
        <v>588</v>
      </c>
      <c r="M17" s="80">
        <v>10</v>
      </c>
      <c r="N17" s="76" t="str">
        <f>'Equations HSC-AD'!G3</f>
        <v>L/s/m²</v>
      </c>
      <c r="O17" s="83" t="str">
        <f>IF('Equations HSC-AD'!C3=1,"≤ 30 L/s/m²","≤ 108 m³/h/m²")</f>
        <v>≤ 30 L/s/m²</v>
      </c>
      <c r="P17" s="75"/>
      <c r="Q17" s="75"/>
      <c r="R17" s="54"/>
      <c r="S17" s="54"/>
      <c r="T17" s="54"/>
      <c r="U17" s="54"/>
      <c r="V17" s="54"/>
      <c r="W17" s="54"/>
      <c r="X17" s="54"/>
      <c r="Y17" s="54"/>
      <c r="Z17" s="54"/>
      <c r="AA17" s="54"/>
      <c r="AB17" s="55"/>
    </row>
    <row r="18" spans="2:28" ht="15.6" thickTop="1" thickBot="1" x14ac:dyDescent="0.35">
      <c r="B18" s="12"/>
      <c r="C18" s="13"/>
      <c r="D18" s="16" t="s">
        <v>411</v>
      </c>
      <c r="E18" s="200">
        <v>-12</v>
      </c>
      <c r="F18" s="18" t="s">
        <v>4</v>
      </c>
      <c r="G18" s="201" t="s">
        <v>228</v>
      </c>
      <c r="H18" s="49"/>
      <c r="I18" s="286"/>
      <c r="J18" s="53"/>
      <c r="K18" s="75"/>
      <c r="L18" s="54"/>
      <c r="M18" s="89" t="str">
        <f>"average diffuser coverage distance: " &amp; ROUND('Equations HSC-AD'!C186,1)</f>
        <v>average diffuser coverage distance: 11.5</v>
      </c>
      <c r="N18" s="90" t="s">
        <v>3</v>
      </c>
      <c r="O18" s="77"/>
      <c r="P18" s="54"/>
      <c r="Q18" s="54"/>
      <c r="R18" s="54"/>
      <c r="S18" s="54"/>
      <c r="T18" s="53"/>
      <c r="U18" s="53"/>
      <c r="V18" s="54"/>
      <c r="W18" s="54"/>
      <c r="X18" s="54"/>
      <c r="Y18" s="54"/>
      <c r="Z18" s="54"/>
      <c r="AA18" s="54"/>
      <c r="AB18" s="55"/>
    </row>
    <row r="19" spans="2:28" ht="15" thickTop="1" x14ac:dyDescent="0.3">
      <c r="B19" s="12"/>
      <c r="C19" s="13"/>
      <c r="D19" s="13"/>
      <c r="E19" s="18"/>
      <c r="F19" s="49"/>
      <c r="G19" s="18"/>
      <c r="H19" s="18"/>
      <c r="I19" s="286"/>
      <c r="J19" s="53"/>
      <c r="K19" s="75"/>
      <c r="L19" s="60" t="s">
        <v>258</v>
      </c>
      <c r="M19" s="440" t="s">
        <v>259</v>
      </c>
      <c r="N19" s="440"/>
      <c r="O19" s="233" t="s">
        <v>260</v>
      </c>
      <c r="P19" s="233"/>
      <c r="Q19" s="54"/>
      <c r="R19" s="54"/>
      <c r="S19" s="54"/>
      <c r="T19" s="53"/>
      <c r="U19" s="53"/>
      <c r="V19" s="54"/>
      <c r="W19" s="54"/>
      <c r="X19" s="54"/>
      <c r="Y19" s="54"/>
      <c r="Z19" s="54"/>
      <c r="AA19" s="54"/>
      <c r="AB19" s="55"/>
    </row>
    <row r="20" spans="2:28" x14ac:dyDescent="0.3">
      <c r="B20" s="12"/>
      <c r="C20" s="13"/>
      <c r="D20" s="13"/>
      <c r="E20" s="18"/>
      <c r="F20" s="49"/>
      <c r="G20" s="18"/>
      <c r="H20" s="18"/>
      <c r="I20" s="286"/>
      <c r="J20" s="53"/>
      <c r="K20" s="75"/>
      <c r="L20" s="54"/>
      <c r="M20" s="89"/>
      <c r="N20" s="90"/>
      <c r="O20" s="77"/>
      <c r="P20" s="54"/>
      <c r="Q20" s="54"/>
      <c r="R20" s="54"/>
      <c r="S20" s="54"/>
      <c r="T20" s="53"/>
      <c r="U20" s="53"/>
      <c r="V20" s="54"/>
      <c r="W20" s="54"/>
      <c r="X20" s="54"/>
      <c r="Y20" s="54"/>
      <c r="Z20" s="54"/>
      <c r="AA20" s="54"/>
      <c r="AB20" s="55"/>
    </row>
    <row r="21" spans="2:28" ht="15.75" customHeight="1" thickBot="1" x14ac:dyDescent="0.35">
      <c r="B21" s="12"/>
      <c r="C21" s="13"/>
      <c r="D21" s="13"/>
      <c r="E21" s="18"/>
      <c r="F21" s="49"/>
      <c r="G21" s="18"/>
      <c r="H21" s="18"/>
      <c r="I21" s="286"/>
      <c r="J21" s="53"/>
      <c r="K21" s="75"/>
      <c r="L21" s="60" t="s">
        <v>410</v>
      </c>
      <c r="M21" s="186">
        <v>4</v>
      </c>
      <c r="N21" s="58" t="s">
        <v>4</v>
      </c>
      <c r="O21" s="77" t="s">
        <v>407</v>
      </c>
      <c r="P21" s="54"/>
      <c r="Q21" s="54"/>
      <c r="R21" s="54"/>
      <c r="S21" s="54"/>
      <c r="T21" s="335"/>
      <c r="U21" s="335"/>
      <c r="V21" s="335"/>
      <c r="W21" s="335"/>
      <c r="X21" s="335"/>
      <c r="Y21" s="335"/>
      <c r="Z21" s="335"/>
      <c r="AA21" s="335"/>
      <c r="AB21" s="55"/>
    </row>
    <row r="22" spans="2:28" ht="15" thickTop="1" x14ac:dyDescent="0.3">
      <c r="B22" s="12"/>
      <c r="C22" s="13"/>
      <c r="D22" s="13"/>
      <c r="E22" s="18"/>
      <c r="F22" s="49"/>
      <c r="G22" s="18"/>
      <c r="H22" s="18"/>
      <c r="I22" s="286"/>
      <c r="J22" s="53"/>
      <c r="K22" s="75"/>
      <c r="L22" s="54"/>
      <c r="M22" s="89"/>
      <c r="N22" s="90"/>
      <c r="O22" s="77"/>
      <c r="P22" s="54"/>
      <c r="Q22" s="54"/>
      <c r="R22" s="208"/>
      <c r="S22" s="54"/>
      <c r="T22" s="335"/>
      <c r="U22" s="335"/>
      <c r="V22" s="335"/>
      <c r="W22" s="335"/>
      <c r="X22" s="335"/>
      <c r="Y22" s="335"/>
      <c r="Z22" s="335"/>
      <c r="AA22" s="335"/>
      <c r="AB22" s="55"/>
    </row>
    <row r="23" spans="2:28" ht="15" thickBot="1" x14ac:dyDescent="0.35">
      <c r="B23" s="12"/>
      <c r="C23" s="13"/>
      <c r="D23" s="13"/>
      <c r="E23" s="18"/>
      <c r="F23" s="49"/>
      <c r="G23" s="18"/>
      <c r="H23" s="18"/>
      <c r="I23" s="19"/>
      <c r="J23" s="54"/>
      <c r="K23" s="54"/>
      <c r="L23" s="60" t="s">
        <v>72</v>
      </c>
      <c r="M23" s="70">
        <v>23</v>
      </c>
      <c r="N23" s="58" t="s">
        <v>84</v>
      </c>
      <c r="O23" s="77" t="s">
        <v>99</v>
      </c>
      <c r="P23" s="54"/>
      <c r="Q23" s="54"/>
      <c r="R23" s="54"/>
      <c r="S23" s="54"/>
      <c r="T23" s="335"/>
      <c r="U23" s="335"/>
      <c r="V23" s="335"/>
      <c r="W23" s="335"/>
      <c r="X23" s="335"/>
      <c r="Y23" s="335"/>
      <c r="Z23" s="335"/>
      <c r="AA23" s="335"/>
      <c r="AB23" s="55"/>
    </row>
    <row r="24" spans="2:28" ht="15" thickTop="1" x14ac:dyDescent="0.3">
      <c r="B24" s="12"/>
      <c r="C24" s="13"/>
      <c r="D24" s="19"/>
      <c r="E24" s="19"/>
      <c r="F24" s="49"/>
      <c r="G24" s="19"/>
      <c r="H24" s="19"/>
      <c r="I24" s="19"/>
      <c r="J24" s="54"/>
      <c r="K24" s="54"/>
      <c r="L24" s="54"/>
      <c r="M24" s="54"/>
      <c r="N24" s="54"/>
      <c r="O24" s="77"/>
      <c r="P24" s="54"/>
      <c r="Q24" s="54"/>
      <c r="R24" s="54"/>
      <c r="S24" s="54"/>
      <c r="T24" s="336"/>
      <c r="U24" s="335"/>
      <c r="V24" s="335"/>
      <c r="W24" s="335"/>
      <c r="X24" s="335"/>
      <c r="Y24" s="335"/>
      <c r="Z24" s="335"/>
      <c r="AA24" s="335"/>
      <c r="AB24" s="55"/>
    </row>
    <row r="25" spans="2:28" ht="15.75" customHeight="1" thickBot="1" x14ac:dyDescent="0.35">
      <c r="B25" s="12"/>
      <c r="C25" s="13"/>
      <c r="D25" s="49"/>
      <c r="E25" s="49"/>
      <c r="F25" s="49"/>
      <c r="G25" s="49"/>
      <c r="H25" s="49"/>
      <c r="I25" s="19"/>
      <c r="J25" s="61"/>
      <c r="K25" s="54"/>
      <c r="L25" s="60" t="s">
        <v>85</v>
      </c>
      <c r="M25" s="70">
        <v>22</v>
      </c>
      <c r="N25" s="58" t="s">
        <v>84</v>
      </c>
      <c r="O25" s="77" t="s">
        <v>87</v>
      </c>
      <c r="P25" s="54"/>
      <c r="Q25" s="54"/>
      <c r="R25" s="76"/>
      <c r="S25" s="76"/>
      <c r="T25" s="76"/>
      <c r="U25" s="76"/>
      <c r="V25" s="76"/>
      <c r="W25" s="76"/>
      <c r="X25" s="76"/>
      <c r="Y25" s="76"/>
      <c r="Z25" s="76"/>
      <c r="AA25" s="337"/>
      <c r="AB25" s="55"/>
    </row>
    <row r="26" spans="2:28" ht="15" thickTop="1" x14ac:dyDescent="0.3">
      <c r="B26" s="12"/>
      <c r="C26" s="13"/>
      <c r="D26" s="49"/>
      <c r="E26" s="49"/>
      <c r="F26" s="49"/>
      <c r="G26" s="49"/>
      <c r="H26" s="49"/>
      <c r="I26" s="19"/>
      <c r="J26" s="54"/>
      <c r="K26" s="54"/>
      <c r="L26" s="54"/>
      <c r="M26" s="89" t="str">
        <f>"auto room temp. (heating) = "&amp; 'Equations HSC-AD'!C23</f>
        <v>auto room temp. (heating) = 21</v>
      </c>
      <c r="N26" s="90" t="s">
        <v>84</v>
      </c>
      <c r="O26" s="77"/>
      <c r="P26" s="54"/>
      <c r="Q26" s="54"/>
      <c r="R26" s="76"/>
      <c r="S26" s="76"/>
      <c r="T26" s="76"/>
      <c r="U26" s="76"/>
      <c r="V26" s="76"/>
      <c r="W26" s="76"/>
      <c r="X26" s="76"/>
      <c r="Y26" s="76"/>
      <c r="Z26" s="76"/>
      <c r="AA26" s="337"/>
      <c r="AB26" s="55"/>
    </row>
    <row r="27" spans="2:28" ht="15" thickBot="1" x14ac:dyDescent="0.35">
      <c r="B27" s="12"/>
      <c r="C27" s="13"/>
      <c r="D27" s="49"/>
      <c r="E27" s="49"/>
      <c r="F27" s="49"/>
      <c r="G27" s="49"/>
      <c r="H27" s="19"/>
      <c r="I27" s="19"/>
      <c r="J27" s="54"/>
      <c r="K27" s="54"/>
      <c r="L27" s="60" t="s">
        <v>115</v>
      </c>
      <c r="M27" s="71">
        <v>16</v>
      </c>
      <c r="N27" s="58" t="s">
        <v>84</v>
      </c>
      <c r="O27" s="77" t="s">
        <v>476</v>
      </c>
      <c r="P27" s="54"/>
      <c r="Q27" s="54"/>
      <c r="R27" s="76"/>
      <c r="S27" s="76"/>
      <c r="T27" s="76"/>
      <c r="U27" s="76"/>
      <c r="V27" s="76"/>
      <c r="W27" s="76"/>
      <c r="X27" s="76"/>
      <c r="Y27" s="76"/>
      <c r="Z27" s="76"/>
      <c r="AA27" s="337"/>
      <c r="AB27" s="55"/>
    </row>
    <row r="28" spans="2:28" ht="15" thickTop="1" x14ac:dyDescent="0.3">
      <c r="B28" s="12"/>
      <c r="C28" s="13"/>
      <c r="D28" s="49"/>
      <c r="E28" s="49"/>
      <c r="F28" s="49"/>
      <c r="G28" s="49"/>
      <c r="H28" s="19"/>
      <c r="I28" s="19"/>
      <c r="J28" s="54"/>
      <c r="K28" s="54"/>
      <c r="L28" s="54"/>
      <c r="M28" s="54"/>
      <c r="N28" s="54"/>
      <c r="O28" s="54"/>
      <c r="P28" s="54"/>
      <c r="Q28" s="54"/>
      <c r="R28" s="76"/>
      <c r="S28" s="76"/>
      <c r="T28" s="76"/>
      <c r="U28" s="76"/>
      <c r="V28" s="76"/>
      <c r="W28" s="76"/>
      <c r="X28" s="76"/>
      <c r="Y28" s="76"/>
      <c r="Z28" s="76"/>
      <c r="AA28" s="337"/>
      <c r="AB28" s="55"/>
    </row>
    <row r="29" spans="2:28" ht="15" thickBot="1" x14ac:dyDescent="0.35">
      <c r="B29" s="12"/>
      <c r="C29" s="13"/>
      <c r="D29" s="49"/>
      <c r="E29" s="49"/>
      <c r="F29" s="49"/>
      <c r="G29" s="192"/>
      <c r="H29" s="19"/>
      <c r="I29" s="19"/>
      <c r="J29" s="53"/>
      <c r="K29" s="53"/>
      <c r="L29" s="60" t="s">
        <v>102</v>
      </c>
      <c r="M29" s="69">
        <v>0</v>
      </c>
      <c r="N29" s="53"/>
      <c r="O29" s="77" t="s">
        <v>101</v>
      </c>
      <c r="P29" s="53"/>
      <c r="Q29" s="53"/>
      <c r="R29" s="76"/>
      <c r="S29" s="76"/>
      <c r="T29" s="76"/>
      <c r="U29" s="76"/>
      <c r="V29" s="76"/>
      <c r="W29" s="76"/>
      <c r="X29" s="76"/>
      <c r="Y29" s="76"/>
      <c r="Z29" s="76"/>
      <c r="AA29" s="337"/>
      <c r="AB29" s="55"/>
    </row>
    <row r="30" spans="2:28" ht="15" thickTop="1" x14ac:dyDescent="0.3">
      <c r="B30" s="12"/>
      <c r="C30" s="368" t="s">
        <v>512</v>
      </c>
      <c r="D30" s="369"/>
      <c r="E30" s="370"/>
      <c r="F30" s="371"/>
      <c r="G30" s="372"/>
      <c r="H30" s="13"/>
      <c r="I30" s="13"/>
      <c r="J30" s="54"/>
      <c r="K30" s="54"/>
      <c r="L30" s="60"/>
      <c r="M30" s="54"/>
      <c r="N30" s="58"/>
      <c r="O30" s="54"/>
      <c r="P30" s="54"/>
      <c r="Q30" s="54"/>
      <c r="R30" s="76"/>
      <c r="S30" s="76"/>
      <c r="T30" s="76"/>
      <c r="U30" s="76"/>
      <c r="V30" s="76"/>
      <c r="W30" s="76"/>
      <c r="X30" s="76"/>
      <c r="Y30" s="76"/>
      <c r="Z30" s="76"/>
      <c r="AA30" s="337"/>
      <c r="AB30" s="55"/>
    </row>
    <row r="31" spans="2:28" ht="15" customHeight="1" x14ac:dyDescent="0.3">
      <c r="B31" s="12"/>
      <c r="C31" s="373" t="s">
        <v>513</v>
      </c>
      <c r="D31" s="445" t="s">
        <v>516</v>
      </c>
      <c r="E31" s="445"/>
      <c r="F31" s="445"/>
      <c r="G31" s="445"/>
      <c r="H31" s="445"/>
      <c r="I31" s="445"/>
      <c r="J31" s="54"/>
      <c r="K31" s="350" t="s">
        <v>5</v>
      </c>
      <c r="L31" s="62"/>
      <c r="M31" s="54"/>
      <c r="N31" s="54"/>
      <c r="O31" s="54"/>
      <c r="P31" s="54"/>
      <c r="Q31" s="54"/>
      <c r="R31" s="377"/>
      <c r="S31" s="377"/>
      <c r="T31" s="377"/>
      <c r="U31" s="377"/>
      <c r="V31" s="377"/>
      <c r="W31" s="377"/>
      <c r="X31" s="377"/>
      <c r="Y31" s="377"/>
      <c r="Z31" s="377"/>
      <c r="AA31" s="377"/>
      <c r="AB31" s="351"/>
    </row>
    <row r="32" spans="2:28" x14ac:dyDescent="0.3">
      <c r="B32" s="12"/>
      <c r="C32" s="373" t="s">
        <v>514</v>
      </c>
      <c r="D32" s="445" t="s">
        <v>515</v>
      </c>
      <c r="E32" s="445"/>
      <c r="F32" s="445"/>
      <c r="G32" s="445"/>
      <c r="H32" s="445"/>
      <c r="I32" s="445"/>
      <c r="J32" s="62"/>
      <c r="K32" s="63" t="s">
        <v>12</v>
      </c>
      <c r="L32" s="64" t="s">
        <v>6</v>
      </c>
      <c r="M32" s="54"/>
      <c r="N32" s="64"/>
      <c r="O32" s="54"/>
      <c r="P32" s="54"/>
      <c r="Q32" s="54"/>
      <c r="R32" s="377"/>
      <c r="S32" s="377"/>
      <c r="T32" s="377"/>
      <c r="U32" s="377"/>
      <c r="V32" s="377"/>
      <c r="W32" s="377"/>
      <c r="X32" s="377"/>
      <c r="Y32" s="377"/>
      <c r="Z32" s="377"/>
      <c r="AA32" s="377"/>
      <c r="AB32" s="351"/>
    </row>
    <row r="33" spans="2:28" x14ac:dyDescent="0.3">
      <c r="B33" s="12"/>
      <c r="C33" s="373"/>
      <c r="D33" s="445"/>
      <c r="E33" s="445"/>
      <c r="F33" s="445"/>
      <c r="G33" s="445"/>
      <c r="H33" s="445"/>
      <c r="I33" s="445"/>
      <c r="J33" s="63"/>
      <c r="K33" s="63" t="s">
        <v>13</v>
      </c>
      <c r="L33" s="64" t="s">
        <v>7</v>
      </c>
      <c r="M33" s="54"/>
      <c r="N33" s="64"/>
      <c r="O33" s="54"/>
      <c r="P33" s="54"/>
      <c r="Q33" s="54"/>
      <c r="R33" s="377"/>
      <c r="S33" s="377"/>
      <c r="T33" s="377"/>
      <c r="U33" s="377"/>
      <c r="V33" s="377"/>
      <c r="W33" s="377"/>
      <c r="X33" s="377"/>
      <c r="Y33" s="377"/>
      <c r="Z33" s="377"/>
      <c r="AA33" s="377"/>
      <c r="AB33" s="351"/>
    </row>
    <row r="34" spans="2:28" x14ac:dyDescent="0.3">
      <c r="B34" s="12"/>
      <c r="C34" s="13"/>
      <c r="D34" s="13"/>
      <c r="E34" s="13"/>
      <c r="F34" s="13"/>
      <c r="G34" s="13"/>
      <c r="H34" s="242"/>
      <c r="I34" s="242"/>
      <c r="J34" s="63"/>
      <c r="K34" s="63" t="s">
        <v>14</v>
      </c>
      <c r="L34" s="64" t="s">
        <v>8</v>
      </c>
      <c r="M34" s="54"/>
      <c r="N34" s="64"/>
      <c r="O34" s="54"/>
      <c r="P34" s="54"/>
      <c r="Q34" s="54"/>
      <c r="R34" s="377"/>
      <c r="S34" s="377"/>
      <c r="T34" s="377"/>
      <c r="U34" s="377"/>
      <c r="V34" s="377"/>
      <c r="W34" s="377"/>
      <c r="X34" s="377"/>
      <c r="Y34" s="377"/>
      <c r="Z34" s="377"/>
      <c r="AA34" s="377"/>
      <c r="AB34" s="351"/>
    </row>
    <row r="35" spans="2:28" x14ac:dyDescent="0.3">
      <c r="B35" s="12"/>
      <c r="C35" s="13"/>
      <c r="D35" s="13"/>
      <c r="E35" s="13"/>
      <c r="F35" s="13"/>
      <c r="G35" s="18"/>
      <c r="H35" s="243"/>
      <c r="I35" s="19"/>
      <c r="J35" s="63"/>
      <c r="K35" s="63" t="s">
        <v>15</v>
      </c>
      <c r="L35" s="64" t="s">
        <v>9</v>
      </c>
      <c r="M35" s="54"/>
      <c r="N35" s="64"/>
      <c r="O35" s="54"/>
      <c r="P35" s="54"/>
      <c r="Q35" s="54"/>
      <c r="R35" s="377"/>
      <c r="S35" s="377"/>
      <c r="T35" s="377"/>
      <c r="U35" s="377"/>
      <c r="V35" s="377"/>
      <c r="W35" s="377"/>
      <c r="X35" s="377"/>
      <c r="Y35" s="377"/>
      <c r="Z35" s="377"/>
      <c r="AA35" s="377"/>
      <c r="AB35" s="351"/>
    </row>
    <row r="36" spans="2:28" ht="15.6" x14ac:dyDescent="0.3">
      <c r="B36" s="35"/>
      <c r="C36" s="36"/>
      <c r="D36" s="36"/>
      <c r="E36" s="36"/>
      <c r="F36" s="36"/>
      <c r="G36" s="37"/>
      <c r="H36" s="37"/>
      <c r="I36" s="37"/>
      <c r="J36" s="65"/>
      <c r="K36" s="65"/>
      <c r="L36" s="65"/>
      <c r="M36" s="65"/>
      <c r="N36" s="65"/>
      <c r="O36" s="65"/>
      <c r="P36" s="65"/>
      <c r="Q36" s="65"/>
      <c r="R36" s="66"/>
      <c r="S36" s="66"/>
      <c r="T36" s="66"/>
      <c r="U36" s="66"/>
      <c r="V36" s="66"/>
      <c r="W36" s="66"/>
      <c r="X36" s="66"/>
      <c r="Y36" s="66"/>
      <c r="Z36" s="66"/>
      <c r="AA36" s="66"/>
      <c r="AB36" s="67"/>
    </row>
    <row r="37" spans="2:28" ht="7.5" customHeight="1" x14ac:dyDescent="0.3">
      <c r="B37" s="12"/>
      <c r="C37" s="13"/>
      <c r="D37" s="13"/>
      <c r="E37" s="13"/>
      <c r="F37" s="13"/>
      <c r="G37" s="23"/>
      <c r="H37" s="23"/>
      <c r="I37" s="23"/>
      <c r="J37" s="23"/>
      <c r="K37" s="23"/>
      <c r="L37" s="23"/>
      <c r="M37" s="23"/>
      <c r="N37" s="23"/>
      <c r="O37" s="23"/>
      <c r="P37" s="23"/>
      <c r="Q37" s="23"/>
      <c r="R37" s="23"/>
      <c r="S37" s="48"/>
      <c r="T37" s="48"/>
      <c r="U37" s="23"/>
      <c r="V37" s="13"/>
      <c r="W37" s="13"/>
      <c r="X37" s="13"/>
      <c r="Y37" s="13"/>
      <c r="Z37" s="13"/>
      <c r="AA37" s="13"/>
      <c r="AB37" s="14"/>
    </row>
    <row r="38" spans="2:28" ht="19.5" customHeight="1" x14ac:dyDescent="0.4">
      <c r="B38" s="12"/>
      <c r="C38" s="13"/>
      <c r="D38" s="33"/>
      <c r="E38" s="13"/>
      <c r="F38" s="13"/>
      <c r="G38" s="92"/>
      <c r="H38" s="93"/>
      <c r="I38" s="93"/>
      <c r="J38" s="462"/>
      <c r="K38" s="463" t="s">
        <v>376</v>
      </c>
      <c r="L38" s="461"/>
      <c r="M38" s="426"/>
      <c r="N38" s="460" t="s">
        <v>376</v>
      </c>
      <c r="O38" s="454"/>
      <c r="P38" s="454"/>
      <c r="Q38" s="446" t="s">
        <v>586</v>
      </c>
      <c r="R38" s="446"/>
      <c r="S38" s="446"/>
      <c r="T38" s="458" t="s">
        <v>104</v>
      </c>
      <c r="U38" s="86" t="s">
        <v>105</v>
      </c>
      <c r="V38" s="87" t="s">
        <v>106</v>
      </c>
      <c r="W38" s="126" t="s">
        <v>107</v>
      </c>
      <c r="X38" s="114" t="s">
        <v>117</v>
      </c>
      <c r="Y38" s="115" t="s">
        <v>116</v>
      </c>
      <c r="Z38" s="13"/>
      <c r="AA38" s="13"/>
      <c r="AB38" s="14"/>
    </row>
    <row r="39" spans="2:28" ht="21" customHeight="1" x14ac:dyDescent="0.3">
      <c r="B39" s="12"/>
      <c r="C39" s="285" t="s">
        <v>374</v>
      </c>
      <c r="D39" s="285"/>
      <c r="E39" s="281"/>
      <c r="F39" s="287"/>
      <c r="G39" s="280" t="s">
        <v>60</v>
      </c>
      <c r="H39" s="95" t="s">
        <v>59</v>
      </c>
      <c r="I39" s="94" t="s">
        <v>61</v>
      </c>
      <c r="J39" s="268" t="s">
        <v>62</v>
      </c>
      <c r="K39" s="273" t="s">
        <v>344</v>
      </c>
      <c r="L39" s="94" t="s">
        <v>63</v>
      </c>
      <c r="M39" s="95" t="s">
        <v>64</v>
      </c>
      <c r="N39" s="455" t="s">
        <v>345</v>
      </c>
      <c r="O39" s="456" t="s">
        <v>65</v>
      </c>
      <c r="P39" s="456" t="s">
        <v>66</v>
      </c>
      <c r="Q39" s="94" t="s">
        <v>67</v>
      </c>
      <c r="R39" s="95" t="s">
        <v>68</v>
      </c>
      <c r="S39" s="457" t="s">
        <v>231</v>
      </c>
      <c r="T39" s="459"/>
      <c r="U39" s="306"/>
      <c r="V39" s="50"/>
      <c r="W39" s="50"/>
      <c r="X39" s="49"/>
      <c r="Y39" s="13"/>
      <c r="Z39" s="13"/>
      <c r="AA39" s="13"/>
      <c r="AB39" s="14"/>
    </row>
    <row r="40" spans="2:28" ht="21" customHeight="1" x14ac:dyDescent="0.3">
      <c r="B40" s="12"/>
      <c r="C40" s="442" t="s">
        <v>390</v>
      </c>
      <c r="D40" s="34" t="s">
        <v>289</v>
      </c>
      <c r="E40" s="275"/>
      <c r="F40" s="288" t="str">
        <f>'Equations HSC-AD'!$D$3</f>
        <v>[L/s]</v>
      </c>
      <c r="G40" s="96">
        <f>'Equations HSC-AD'!C245</f>
        <v>800</v>
      </c>
      <c r="H40" s="97">
        <f>'Equations HSC-AD'!D245</f>
        <v>800</v>
      </c>
      <c r="I40" s="96">
        <f>'Equations HSC-AD'!E245</f>
        <v>800</v>
      </c>
      <c r="J40" s="97">
        <f>'Equations HSC-AD'!F245</f>
        <v>800</v>
      </c>
      <c r="K40" s="97">
        <f>'Equations HSC-AD'!G245</f>
        <v>800</v>
      </c>
      <c r="L40" s="96">
        <f>'Equations HSC-AD'!H245</f>
        <v>800</v>
      </c>
      <c r="M40" s="97">
        <f>'Equations HSC-AD'!I245</f>
        <v>800</v>
      </c>
      <c r="N40" s="97">
        <f>'Equations HSC-AD'!J245</f>
        <v>800</v>
      </c>
      <c r="O40" s="96">
        <f>'Equations HSC-AD'!K245</f>
        <v>800</v>
      </c>
      <c r="P40" s="98">
        <f>'Equations HSC-AD'!L245</f>
        <v>800</v>
      </c>
      <c r="Q40" s="96">
        <f>'Equations HSC-AD'!M245</f>
        <v>800</v>
      </c>
      <c r="R40" s="98">
        <f>'Equations HSC-AD'!N245</f>
        <v>800</v>
      </c>
      <c r="S40" s="222">
        <f>'Equations HSC-AD'!O245</f>
        <v>800</v>
      </c>
      <c r="T40" s="85"/>
      <c r="U40" s="49"/>
      <c r="V40" s="50"/>
      <c r="W40" s="50"/>
      <c r="X40" s="49"/>
      <c r="Y40" s="13"/>
      <c r="Z40" s="13"/>
      <c r="AA40" s="13"/>
      <c r="AB40" s="14"/>
    </row>
    <row r="41" spans="2:28" ht="21" customHeight="1" x14ac:dyDescent="0.3">
      <c r="B41" s="12"/>
      <c r="C41" s="443"/>
      <c r="D41" s="47" t="s">
        <v>355</v>
      </c>
      <c r="E41" s="276"/>
      <c r="F41" s="289" t="str">
        <f>'Equations HSC-AD'!$D$3</f>
        <v>[L/s]</v>
      </c>
      <c r="G41" s="99">
        <f>'Equations HSC-AD'!C246</f>
        <v>191.99447483568773</v>
      </c>
      <c r="H41" s="100">
        <f>'Equations HSC-AD'!D246</f>
        <v>218.62733702194814</v>
      </c>
      <c r="I41" s="99">
        <f>'Equations HSC-AD'!E246</f>
        <v>384.8617582152163</v>
      </c>
      <c r="J41" s="100">
        <f>'Equations HSC-AD'!F246</f>
        <v>508.50150003810296</v>
      </c>
      <c r="K41" s="100">
        <f>'Equations HSC-AD'!G246</f>
        <v>608.55171242225686</v>
      </c>
      <c r="L41" s="99">
        <f>'Equations HSC-AD'!H246</f>
        <v>702.37239951130766</v>
      </c>
      <c r="M41" s="100">
        <f>'Equations HSC-AD'!I246</f>
        <v>851.54936876686645</v>
      </c>
      <c r="N41" s="100">
        <f>'Equations HSC-AD'!J246</f>
        <v>1351.3906322818736</v>
      </c>
      <c r="O41" s="99">
        <f>'Equations HSC-AD'!K246</f>
        <v>1416.2637063746008</v>
      </c>
      <c r="P41" s="101">
        <f>'Equations HSC-AD'!L246</f>
        <v>1717.0641471815095</v>
      </c>
      <c r="Q41" s="99">
        <f>'Equations HSC-AD'!M246</f>
        <v>2809.4895980452307</v>
      </c>
      <c r="R41" s="101">
        <f>'Equations HSC-AD'!N246</f>
        <v>3406.1974750674653</v>
      </c>
      <c r="S41" s="214">
        <f>'Equations HSC-AD'!O246</f>
        <v>6116.1681862311416</v>
      </c>
      <c r="T41" s="85"/>
      <c r="U41" s="49"/>
      <c r="V41" s="49"/>
      <c r="W41" s="49"/>
      <c r="X41" s="49"/>
      <c r="Y41" s="13"/>
      <c r="Z41" s="13"/>
      <c r="AA41" s="13"/>
      <c r="AB41" s="14"/>
    </row>
    <row r="42" spans="2:28" ht="21" customHeight="1" x14ac:dyDescent="0.3">
      <c r="B42" s="12"/>
      <c r="C42" s="443"/>
      <c r="D42" s="34" t="s">
        <v>356</v>
      </c>
      <c r="E42" s="276"/>
      <c r="F42" s="289" t="str">
        <f>'Equations HSC-AD'!$D$3</f>
        <v>[L/s]</v>
      </c>
      <c r="G42" s="96">
        <f>'Equations HSC-AD'!C247</f>
        <v>800</v>
      </c>
      <c r="H42" s="97">
        <f>'Equations HSC-AD'!D247</f>
        <v>800</v>
      </c>
      <c r="I42" s="96">
        <f>'Equations HSC-AD'!E247</f>
        <v>800</v>
      </c>
      <c r="J42" s="97">
        <f>'Equations HSC-AD'!F247</f>
        <v>800</v>
      </c>
      <c r="K42" s="97">
        <f>'Equations HSC-AD'!G247</f>
        <v>800</v>
      </c>
      <c r="L42" s="96">
        <f>'Equations HSC-AD'!H247</f>
        <v>800</v>
      </c>
      <c r="M42" s="97">
        <f>'Equations HSC-AD'!I247</f>
        <v>800</v>
      </c>
      <c r="N42" s="97">
        <f>'Equations HSC-AD'!J247</f>
        <v>800</v>
      </c>
      <c r="O42" s="96">
        <f>'Equations HSC-AD'!K247</f>
        <v>800</v>
      </c>
      <c r="P42" s="98">
        <f>'Equations HSC-AD'!L247</f>
        <v>800</v>
      </c>
      <c r="Q42" s="96">
        <f>'Equations HSC-AD'!M247</f>
        <v>800</v>
      </c>
      <c r="R42" s="98">
        <f>'Equations HSC-AD'!N247</f>
        <v>800</v>
      </c>
      <c r="S42" s="214">
        <f>'Equations HSC-AD'!O247</f>
        <v>800</v>
      </c>
      <c r="T42" s="85"/>
      <c r="U42" s="49"/>
      <c r="V42" s="49"/>
      <c r="W42" s="49"/>
      <c r="X42" s="49"/>
      <c r="Y42" s="13"/>
      <c r="Z42" s="13"/>
      <c r="AA42" s="13"/>
      <c r="AB42" s="14"/>
    </row>
    <row r="43" spans="2:28" ht="21" customHeight="1" x14ac:dyDescent="0.3">
      <c r="B43" s="12"/>
      <c r="C43" s="444"/>
      <c r="D43" s="84" t="s">
        <v>291</v>
      </c>
      <c r="E43" s="282"/>
      <c r="F43" s="290" t="str">
        <f>'Equations HSC-AD'!$D$3</f>
        <v>[L/s]</v>
      </c>
      <c r="G43" s="103">
        <f>'Equations HSC-AD'!C248</f>
        <v>69.763999999999996</v>
      </c>
      <c r="H43" s="102">
        <f>'Equations HSC-AD'!D248</f>
        <v>77.896000000000001</v>
      </c>
      <c r="I43" s="103">
        <f>'Equations HSC-AD'!E248</f>
        <v>134.07</v>
      </c>
      <c r="J43" s="102">
        <f>'Equations HSC-AD'!F248</f>
        <v>168.92</v>
      </c>
      <c r="K43" s="102">
        <f>'Equations HSC-AD'!G248</f>
        <v>204.58999999999997</v>
      </c>
      <c r="L43" s="103">
        <f>'Equations HSC-AD'!H248</f>
        <v>247.23</v>
      </c>
      <c r="M43" s="102">
        <f>'Equations HSC-AD'!I248</f>
        <v>291.91999999999996</v>
      </c>
      <c r="N43" s="102">
        <f>'Equations HSC-AD'!J248</f>
        <v>463.29999999999995</v>
      </c>
      <c r="O43" s="103">
        <f>'Equations HSC-AD'!K248</f>
        <v>498.51457199999999</v>
      </c>
      <c r="P43" s="104">
        <f>'Equations HSC-AD'!L248</f>
        <v>588.62748799999997</v>
      </c>
      <c r="Q43" s="103">
        <f>'Equations HSC-AD'!M248</f>
        <v>988.92</v>
      </c>
      <c r="R43" s="104">
        <f>'Equations HSC-AD'!N248</f>
        <v>1167.6799999999998</v>
      </c>
      <c r="S43" s="214">
        <f>'Equations HSC-AD'!O248</f>
        <v>1803.641385357515</v>
      </c>
      <c r="T43" s="114"/>
      <c r="U43" s="49"/>
      <c r="V43" s="49"/>
      <c r="W43" s="49"/>
      <c r="X43" s="49"/>
      <c r="Y43" s="13"/>
      <c r="Z43" s="13"/>
      <c r="AA43" s="13"/>
      <c r="AB43" s="14"/>
    </row>
    <row r="44" spans="2:28" ht="21" customHeight="1" x14ac:dyDescent="0.3">
      <c r="B44" s="12"/>
      <c r="C44" s="442" t="s">
        <v>392</v>
      </c>
      <c r="D44" s="299" t="s">
        <v>358</v>
      </c>
      <c r="E44" s="277"/>
      <c r="F44" s="291" t="s">
        <v>357</v>
      </c>
      <c r="G44" s="96">
        <f>'Equations HSC-AD'!C249</f>
        <v>1041.726621124317</v>
      </c>
      <c r="H44" s="97">
        <f>'Equations HSC-AD'!D249</f>
        <v>803.3823653988203</v>
      </c>
      <c r="I44" s="96">
        <f>'Equations HSC-AD'!E249</f>
        <v>259.25175512229993</v>
      </c>
      <c r="J44" s="97">
        <f>'Equations HSC-AD'!F249</f>
        <v>148.50693934316277</v>
      </c>
      <c r="K44" s="97">
        <f>'Equations HSC-AD'!G249</f>
        <v>103.68985011389189</v>
      </c>
      <c r="L44" s="96">
        <f>'Equations HSC-AD'!H249</f>
        <v>77.8388390774671</v>
      </c>
      <c r="M44" s="97">
        <f>'Equations HSC-AD'!I249</f>
        <v>52.955559591370047</v>
      </c>
      <c r="N44" s="97">
        <f>'Equations HSC-AD'!J249</f>
        <v>21.02661758347919</v>
      </c>
      <c r="O44" s="96">
        <f>'Equations HSC-AD'!K249</f>
        <v>19.144453459579054</v>
      </c>
      <c r="P44" s="98">
        <f>'Equations HSC-AD'!L249</f>
        <v>13.024413750749616</v>
      </c>
      <c r="Q44" s="96">
        <f>'Equations HSC-AD'!M249</f>
        <v>4.8649274423416937</v>
      </c>
      <c r="R44" s="98" t="str">
        <f>'Equations HSC-AD'!N249</f>
        <v>&lt; 5</v>
      </c>
      <c r="S44" s="222" t="str">
        <f>'Equations HSC-AD'!O249</f>
        <v>&lt; 5</v>
      </c>
      <c r="T44" s="114"/>
      <c r="U44" s="49"/>
      <c r="V44" s="49"/>
      <c r="W44" s="49"/>
      <c r="X44" s="49"/>
      <c r="Y44" s="13"/>
      <c r="Z44" s="13"/>
      <c r="AA44" s="13"/>
      <c r="AB44" s="14"/>
    </row>
    <row r="45" spans="2:28" ht="21" customHeight="1" x14ac:dyDescent="0.3">
      <c r="B45" s="12"/>
      <c r="C45" s="443"/>
      <c r="D45" s="34" t="s">
        <v>359</v>
      </c>
      <c r="E45" s="275"/>
      <c r="F45" s="292" t="s">
        <v>357</v>
      </c>
      <c r="G45" s="96">
        <f>'Equations HSC-AD'!C250</f>
        <v>1204.4111558583313</v>
      </c>
      <c r="H45" s="97">
        <f>'Equations HSC-AD'!D250</f>
        <v>966.06690013283446</v>
      </c>
      <c r="I45" s="96">
        <f>'Equations HSC-AD'!E250</f>
        <v>299.26399760588799</v>
      </c>
      <c r="J45" s="97">
        <f>'Equations HSC-AD'!F250</f>
        <v>188.51918182675087</v>
      </c>
      <c r="K45" s="97">
        <f>'Equations HSC-AD'!G250</f>
        <v>128.51354010626463</v>
      </c>
      <c r="L45" s="96">
        <f>'Equations HSC-AD'!H250</f>
        <v>88.006622498342992</v>
      </c>
      <c r="M45" s="97">
        <f>'Equations HSC-AD'!I250</f>
        <v>63.12334301224594</v>
      </c>
      <c r="N45" s="97">
        <f>'Equations HSC-AD'!J250</f>
        <v>25.060693867961469</v>
      </c>
      <c r="O45" s="96">
        <f>'Equations HSC-AD'!K250</f>
        <v>21.645218614803312</v>
      </c>
      <c r="P45" s="98">
        <f>'Equations HSC-AD'!L250</f>
        <v>15.525178905973872</v>
      </c>
      <c r="Q45" s="96" t="str">
        <f>'Equations HSC-AD'!M250</f>
        <v>&lt; 10</v>
      </c>
      <c r="R45" s="98" t="str">
        <f>'Equations HSC-AD'!N250</f>
        <v>&lt; 10</v>
      </c>
      <c r="S45" s="213" t="str">
        <f>'Equations HSC-AD'!O250</f>
        <v>&lt; 10</v>
      </c>
      <c r="T45" s="13"/>
      <c r="U45" s="13"/>
      <c r="V45" s="13"/>
      <c r="W45" s="13"/>
      <c r="X45" s="13"/>
      <c r="Y45" s="13"/>
      <c r="Z45" s="13"/>
      <c r="AA45" s="13"/>
      <c r="AB45" s="14"/>
    </row>
    <row r="46" spans="2:28" ht="21" customHeight="1" x14ac:dyDescent="0.3">
      <c r="B46" s="12"/>
      <c r="C46" s="444"/>
      <c r="D46" s="84" t="s">
        <v>360</v>
      </c>
      <c r="E46" s="282"/>
      <c r="F46" s="290" t="s">
        <v>357</v>
      </c>
      <c r="G46" s="103">
        <f>'Equations HSC-AD'!C251</f>
        <v>60</v>
      </c>
      <c r="H46" s="102">
        <f>'Equations HSC-AD'!D251</f>
        <v>60</v>
      </c>
      <c r="I46" s="103">
        <f>'Equations HSC-AD'!E251</f>
        <v>60</v>
      </c>
      <c r="J46" s="102">
        <f>'Equations HSC-AD'!F251</f>
        <v>60</v>
      </c>
      <c r="K46" s="102">
        <f>'Equations HSC-AD'!G251</f>
        <v>60</v>
      </c>
      <c r="L46" s="103">
        <f>'Equations HSC-AD'!H251</f>
        <v>60</v>
      </c>
      <c r="M46" s="102">
        <f>'Equations HSC-AD'!I251</f>
        <v>60</v>
      </c>
      <c r="N46" s="102">
        <f>'Equations HSC-AD'!J251</f>
        <v>60</v>
      </c>
      <c r="O46" s="103">
        <f>'Equations HSC-AD'!K251</f>
        <v>60</v>
      </c>
      <c r="P46" s="104">
        <f>'Equations HSC-AD'!L251</f>
        <v>60</v>
      </c>
      <c r="Q46" s="103">
        <f>'Equations HSC-AD'!M251</f>
        <v>60</v>
      </c>
      <c r="R46" s="104">
        <f>'Equations HSC-AD'!N251</f>
        <v>60</v>
      </c>
      <c r="S46" s="220">
        <f>'Equations HSC-AD'!O251</f>
        <v>60</v>
      </c>
      <c r="T46" s="13"/>
      <c r="U46" s="13"/>
      <c r="V46" s="13"/>
      <c r="W46" s="13"/>
      <c r="X46" s="13"/>
      <c r="Y46" s="13"/>
      <c r="Z46" s="13"/>
      <c r="AA46" s="13"/>
      <c r="AB46" s="14"/>
    </row>
    <row r="47" spans="2:28" ht="21" customHeight="1" x14ac:dyDescent="0.3">
      <c r="B47" s="12"/>
      <c r="C47" s="305" t="s">
        <v>391</v>
      </c>
      <c r="D47" s="88" t="s">
        <v>40</v>
      </c>
      <c r="E47" s="235"/>
      <c r="F47" s="293" t="s">
        <v>361</v>
      </c>
      <c r="G47" s="106">
        <f>'Equations HSC-AD'!C252</f>
        <v>94.469005791175348</v>
      </c>
      <c r="H47" s="105">
        <f>'Equations HSC-AD'!D252</f>
        <v>89.658924866876276</v>
      </c>
      <c r="I47" s="106">
        <f>'Equations HSC-AD'!E252</f>
        <v>79.33172723949319</v>
      </c>
      <c r="J47" s="105">
        <f>'Equations HSC-AD'!F252</f>
        <v>69.386204611804871</v>
      </c>
      <c r="K47" s="105">
        <f>'Equations HSC-AD'!G252</f>
        <v>64.067624542584298</v>
      </c>
      <c r="L47" s="106">
        <f>'Equations HSC-AD'!H252</f>
        <v>59.773635027432277</v>
      </c>
      <c r="M47" s="105">
        <f>'Equations HSC-AD'!I252</f>
        <v>54.203345216163292</v>
      </c>
      <c r="N47" s="105">
        <f>'Equations HSC-AD'!J252</f>
        <v>42.967803826232235</v>
      </c>
      <c r="O47" s="106">
        <f>'Equations HSC-AD'!K252</f>
        <v>41.191280362179533</v>
      </c>
      <c r="P47" s="107">
        <f>'Equations HSC-AD'!L252</f>
        <v>37.315263848475162</v>
      </c>
      <c r="Q47" s="106">
        <f>'Equations HSC-AD'!M252</f>
        <v>24.611652310173188</v>
      </c>
      <c r="R47" s="107">
        <f>'Equations HSC-AD'!N252</f>
        <v>20.729486227307099</v>
      </c>
      <c r="S47" s="221" t="str">
        <f>'Equations HSC-AD'!O252</f>
        <v>&lt; 20</v>
      </c>
      <c r="T47" s="13"/>
      <c r="U47" s="13"/>
      <c r="V47" s="13"/>
      <c r="W47" s="13"/>
      <c r="X47" s="13"/>
      <c r="Y47" s="13"/>
      <c r="Z47" s="13"/>
      <c r="AA47" s="13"/>
      <c r="AB47" s="14"/>
    </row>
    <row r="48" spans="2:28" ht="21" customHeight="1" x14ac:dyDescent="0.3">
      <c r="B48" s="12"/>
      <c r="C48" s="442" t="s">
        <v>273</v>
      </c>
      <c r="D48" s="299" t="str">
        <f>IF('Equations HSC-AD'!C24,"Guide Ring Position for Selected Heating","Max Recommended ΔT (heating)")</f>
        <v>Max Recommended ΔT (heating)</v>
      </c>
      <c r="E48" s="275"/>
      <c r="F48" s="292" t="str">
        <f>IF('Equations HSC-AD'!C24,"[mm]","[K]")</f>
        <v>[K]</v>
      </c>
      <c r="G48" s="410" t="str">
        <f>'Equations HSC-AD'!C253</f>
        <v>+20 K</v>
      </c>
      <c r="H48" s="411" t="str">
        <f>'Equations HSC-AD'!D253</f>
        <v>+20 K</v>
      </c>
      <c r="I48" s="410" t="str">
        <f>'Equations HSC-AD'!E253</f>
        <v>+20 K</v>
      </c>
      <c r="J48" s="411" t="str">
        <f>'Equations HSC-AD'!F253</f>
        <v>+20 K</v>
      </c>
      <c r="K48" s="411" t="str">
        <f>'Equations HSC-AD'!G253</f>
        <v>+20 K</v>
      </c>
      <c r="L48" s="410" t="str">
        <f>'Equations HSC-AD'!H253</f>
        <v>+18 K</v>
      </c>
      <c r="M48" s="411" t="str">
        <f>'Equations HSC-AD'!I253</f>
        <v>+12.6 K</v>
      </c>
      <c r="N48" s="411" t="str">
        <f>'Equations HSC-AD'!J253</f>
        <v>+6.3 K</v>
      </c>
      <c r="O48" s="410" t="str">
        <f>'Equations HSC-AD'!K253</f>
        <v>+5.7 K</v>
      </c>
      <c r="P48" s="412" t="str">
        <f>'Equations HSC-AD'!L253</f>
        <v>+4.4 K</v>
      </c>
      <c r="Q48" s="410" t="str">
        <f>'Equations HSC-AD'!M253</f>
        <v>+2.2 K</v>
      </c>
      <c r="R48" s="412" t="str">
        <f>'Equations HSC-AD'!N253</f>
        <v>+1.6 K</v>
      </c>
      <c r="S48" s="215" t="str">
        <f>'Equations HSC-AD'!O253</f>
        <v>&lt; +1 K</v>
      </c>
      <c r="T48" s="374" t="s">
        <v>408</v>
      </c>
      <c r="U48" s="13"/>
      <c r="V48" s="13"/>
      <c r="W48" s="13"/>
      <c r="X48" s="13"/>
      <c r="Y48" s="13"/>
      <c r="Z48" s="13"/>
      <c r="AA48" s="13"/>
      <c r="AB48" s="14"/>
    </row>
    <row r="49" spans="2:28" ht="21" customHeight="1" x14ac:dyDescent="0.3">
      <c r="B49" s="12"/>
      <c r="C49" s="444"/>
      <c r="D49" s="84" t="s">
        <v>363</v>
      </c>
      <c r="E49" s="282"/>
      <c r="F49" s="290" t="s">
        <v>362</v>
      </c>
      <c r="G49" s="103">
        <f>'Equations HSC-AD'!C254</f>
        <v>16</v>
      </c>
      <c r="H49" s="102">
        <f>'Equations HSC-AD'!D254</f>
        <v>16</v>
      </c>
      <c r="I49" s="103">
        <f>'Equations HSC-AD'!E254</f>
        <v>16</v>
      </c>
      <c r="J49" s="102">
        <f>'Equations HSC-AD'!F254</f>
        <v>16</v>
      </c>
      <c r="K49" s="102">
        <f>'Equations HSC-AD'!G254</f>
        <v>16</v>
      </c>
      <c r="L49" s="103">
        <f>'Equations HSC-AD'!H254</f>
        <v>16</v>
      </c>
      <c r="M49" s="102">
        <f>'Equations HSC-AD'!I254</f>
        <v>16</v>
      </c>
      <c r="N49" s="102">
        <f>'Equations HSC-AD'!J254</f>
        <v>16</v>
      </c>
      <c r="O49" s="103">
        <f>'Equations HSC-AD'!K254</f>
        <v>16</v>
      </c>
      <c r="P49" s="104">
        <f>'Equations HSC-AD'!L254</f>
        <v>16</v>
      </c>
      <c r="Q49" s="103">
        <f>'Equations HSC-AD'!M254</f>
        <v>16</v>
      </c>
      <c r="R49" s="104">
        <f>'Equations HSC-AD'!N254</f>
        <v>16</v>
      </c>
      <c r="S49" s="220" t="str">
        <f>'Equations HSC-AD'!O254</f>
        <v>-</v>
      </c>
      <c r="T49" s="49"/>
      <c r="U49" s="49"/>
      <c r="V49" s="13"/>
      <c r="W49" s="13"/>
      <c r="X49" s="212"/>
      <c r="Y49" s="13"/>
      <c r="Z49" s="13"/>
      <c r="AA49" s="13"/>
      <c r="AB49" s="14"/>
    </row>
    <row r="50" spans="2:28" ht="21" customHeight="1" x14ac:dyDescent="0.3">
      <c r="B50" s="12"/>
      <c r="C50" s="435" t="s">
        <v>406</v>
      </c>
      <c r="D50" s="34" t="s">
        <v>401</v>
      </c>
      <c r="E50" s="275"/>
      <c r="F50" s="292" t="s">
        <v>364</v>
      </c>
      <c r="G50" s="96" t="str">
        <f>'Equations HSC-AD'!C255</f>
        <v>-</v>
      </c>
      <c r="H50" s="97" t="str">
        <f>'Equations HSC-AD'!D255</f>
        <v>-</v>
      </c>
      <c r="I50" s="96">
        <f>'Equations HSC-AD'!E255</f>
        <v>34.6</v>
      </c>
      <c r="J50" s="97">
        <f>'Equations HSC-AD'!F255</f>
        <v>26.1</v>
      </c>
      <c r="K50" s="97">
        <f>'Equations HSC-AD'!G255</f>
        <v>23</v>
      </c>
      <c r="L50" s="96">
        <f>'Equations HSC-AD'!H255</f>
        <v>21.2</v>
      </c>
      <c r="M50" s="97">
        <f>'Equations HSC-AD'!I255</f>
        <v>20.100000000000001</v>
      </c>
      <c r="N50" s="97">
        <f>'Equations HSC-AD'!J255</f>
        <v>18.3</v>
      </c>
      <c r="O50" s="96">
        <f>'Equations HSC-AD'!K255</f>
        <v>18.100000000000001</v>
      </c>
      <c r="P50" s="98">
        <f>'Equations HSC-AD'!L255</f>
        <v>17.7</v>
      </c>
      <c r="Q50" s="96">
        <f>'Equations HSC-AD'!M255</f>
        <v>17</v>
      </c>
      <c r="R50" s="98">
        <f>'Equations HSC-AD'!N255</f>
        <v>16.8</v>
      </c>
      <c r="S50" s="213"/>
      <c r="T50" s="13"/>
      <c r="U50" s="13"/>
      <c r="V50" s="13"/>
      <c r="W50" s="13"/>
      <c r="X50" s="13"/>
      <c r="Y50" s="13"/>
      <c r="Z50" s="13"/>
      <c r="AA50" s="13"/>
      <c r="AB50" s="14"/>
    </row>
    <row r="51" spans="2:28" ht="21" customHeight="1" x14ac:dyDescent="0.3">
      <c r="B51" s="12"/>
      <c r="C51" s="436"/>
      <c r="D51" s="34" t="s">
        <v>402</v>
      </c>
      <c r="E51" s="275"/>
      <c r="F51" s="292" t="s">
        <v>364</v>
      </c>
      <c r="G51" s="96" t="str">
        <f>'Equations HSC-AD'!C256</f>
        <v>-</v>
      </c>
      <c r="H51" s="97" t="str">
        <f>'Equations HSC-AD'!D256</f>
        <v>-</v>
      </c>
      <c r="I51" s="96">
        <f>'Equations HSC-AD'!E256</f>
        <v>31.4</v>
      </c>
      <c r="J51" s="97">
        <f>'Equations HSC-AD'!F256</f>
        <v>23.6</v>
      </c>
      <c r="K51" s="97">
        <f>'Equations HSC-AD'!G256</f>
        <v>20.8</v>
      </c>
      <c r="L51" s="96">
        <f>'Equations HSC-AD'!H256</f>
        <v>19.100000000000001</v>
      </c>
      <c r="M51" s="97">
        <f>'Equations HSC-AD'!I256</f>
        <v>18.100000000000001</v>
      </c>
      <c r="N51" s="97">
        <f>'Equations HSC-AD'!J256</f>
        <v>16.399999999999999</v>
      </c>
      <c r="O51" s="96">
        <f>'Equations HSC-AD'!K256</f>
        <v>16.3</v>
      </c>
      <c r="P51" s="98">
        <f>'Equations HSC-AD'!L256</f>
        <v>15.9</v>
      </c>
      <c r="Q51" s="96">
        <f>'Equations HSC-AD'!M256</f>
        <v>15.3</v>
      </c>
      <c r="R51" s="98">
        <f>'Equations HSC-AD'!N256</f>
        <v>15.1</v>
      </c>
      <c r="S51" s="213">
        <f>'Equations HSC-AD'!O256</f>
        <v>14.8</v>
      </c>
      <c r="T51" s="13"/>
      <c r="U51" s="13"/>
      <c r="V51" s="13"/>
      <c r="W51" s="13"/>
      <c r="X51" s="13"/>
      <c r="Y51" s="13"/>
      <c r="Z51" s="13"/>
      <c r="AA51" s="13"/>
      <c r="AB51" s="14"/>
    </row>
    <row r="52" spans="2:28" ht="21" customHeight="1" x14ac:dyDescent="0.3">
      <c r="B52" s="12"/>
      <c r="C52" s="436"/>
      <c r="D52" s="34" t="s">
        <v>403</v>
      </c>
      <c r="E52" s="275"/>
      <c r="F52" s="292" t="s">
        <v>364</v>
      </c>
      <c r="G52" s="227" t="str">
        <f>'Equations HSC-AD'!C257</f>
        <v>-</v>
      </c>
      <c r="H52" s="229" t="str">
        <f>'Equations HSC-AD'!D257</f>
        <v>-</v>
      </c>
      <c r="I52" s="227">
        <f>'Equations HSC-AD'!E257</f>
        <v>10.4</v>
      </c>
      <c r="J52" s="230">
        <f>'Equations HSC-AD'!F257</f>
        <v>8.4</v>
      </c>
      <c r="K52" s="230">
        <f>'Equations HSC-AD'!G257</f>
        <v>7.6</v>
      </c>
      <c r="L52" s="227">
        <f>'Equations HSC-AD'!H257</f>
        <v>7</v>
      </c>
      <c r="M52" s="230">
        <f>'Equations HSC-AD'!I257</f>
        <v>6.7</v>
      </c>
      <c r="N52" s="230">
        <f>'Equations HSC-AD'!J257</f>
        <v>6.2</v>
      </c>
      <c r="O52" s="227">
        <f>'Equations HSC-AD'!K257</f>
        <v>6.1</v>
      </c>
      <c r="P52" s="230">
        <f>'Equations HSC-AD'!L257</f>
        <v>6</v>
      </c>
      <c r="Q52" s="227">
        <f>'Equations HSC-AD'!M257</f>
        <v>5.8</v>
      </c>
      <c r="R52" s="97">
        <f>'Equations HSC-AD'!N257</f>
        <v>5.7</v>
      </c>
      <c r="S52" s="228">
        <f>'Equations HSC-AD'!O257</f>
        <v>5.6</v>
      </c>
      <c r="T52" s="309" t="str">
        <f>IF('Equations HSC-AD'!R345,"Warning: Threat of draught when Cmin &gt; Cmax. Consider increasing turndown % (Cell E11)","")</f>
        <v/>
      </c>
      <c r="U52" s="13"/>
      <c r="V52" s="13"/>
      <c r="W52" s="13"/>
      <c r="X52" s="13"/>
      <c r="Y52" s="13"/>
      <c r="Z52" s="13"/>
      <c r="AA52" s="13"/>
      <c r="AB52" s="14"/>
    </row>
    <row r="53" spans="2:28" ht="21" customHeight="1" x14ac:dyDescent="0.3">
      <c r="B53" s="12"/>
      <c r="C53" s="437"/>
      <c r="D53" s="84" t="s">
        <v>365</v>
      </c>
      <c r="E53" s="282"/>
      <c r="F53" s="290" t="s">
        <v>364</v>
      </c>
      <c r="G53" s="225">
        <f>'Equations HSC-AD'!C258</f>
        <v>6.4</v>
      </c>
      <c r="H53" s="224">
        <f>'Equations HSC-AD'!D258</f>
        <v>5.2</v>
      </c>
      <c r="I53" s="225">
        <f>'Equations HSC-AD'!E258</f>
        <v>4.5</v>
      </c>
      <c r="J53" s="224">
        <f>'Equations HSC-AD'!F258</f>
        <v>3.9</v>
      </c>
      <c r="K53" s="224">
        <f>'Equations HSC-AD'!G258</f>
        <v>3.7</v>
      </c>
      <c r="L53" s="225">
        <f>'Equations HSC-AD'!H258</f>
        <v>3.6</v>
      </c>
      <c r="M53" s="224">
        <f>'Equations HSC-AD'!I258</f>
        <v>3.5</v>
      </c>
      <c r="N53" s="224">
        <f>'Equations HSC-AD'!J258</f>
        <v>3.5</v>
      </c>
      <c r="O53" s="225">
        <f>'Equations HSC-AD'!K258</f>
        <v>3.5</v>
      </c>
      <c r="P53" s="226">
        <f>'Equations HSC-AD'!L258</f>
        <v>3.5</v>
      </c>
      <c r="Q53" s="225">
        <f>'Equations HSC-AD'!M258</f>
        <v>3.6</v>
      </c>
      <c r="R53" s="224">
        <f>'Equations HSC-AD'!N258</f>
        <v>3.7</v>
      </c>
      <c r="S53" s="214">
        <f>'Equations HSC-AD'!O258</f>
        <v>4.0999999999999996</v>
      </c>
      <c r="T53" s="193"/>
      <c r="U53" s="223"/>
      <c r="V53" s="13"/>
      <c r="W53" s="13"/>
      <c r="X53" s="13"/>
      <c r="Y53" s="13"/>
      <c r="Z53" s="13"/>
      <c r="AA53" s="13"/>
      <c r="AB53" s="14"/>
    </row>
    <row r="54" spans="2:28" ht="21" customHeight="1" x14ac:dyDescent="0.3">
      <c r="B54" s="12"/>
      <c r="C54" s="442" t="s">
        <v>393</v>
      </c>
      <c r="D54" s="299" t="s">
        <v>173</v>
      </c>
      <c r="E54" s="275"/>
      <c r="F54" s="292" t="s">
        <v>366</v>
      </c>
      <c r="G54" s="108" t="str">
        <f>'Equations HSC-AD'!C259</f>
        <v/>
      </c>
      <c r="H54" s="109" t="str">
        <f>'Equations HSC-AD'!D259</f>
        <v/>
      </c>
      <c r="I54" s="108">
        <f>'Equations HSC-AD'!E259</f>
        <v>0.18276119588916323</v>
      </c>
      <c r="J54" s="109">
        <f>'Equations HSC-AD'!F259</f>
        <v>0.17281705348942827</v>
      </c>
      <c r="K54" s="109">
        <f>'Equations HSC-AD'!G259</f>
        <v>0.16572072048044159</v>
      </c>
      <c r="L54" s="108">
        <f>'Equations HSC-AD'!H259</f>
        <v>0.15962664393105205</v>
      </c>
      <c r="M54" s="109">
        <f>'Equations HSC-AD'!I259</f>
        <v>0.15495615876221955</v>
      </c>
      <c r="N54" s="109">
        <f>'Equations HSC-AD'!J259</f>
        <v>0.14479867643196961</v>
      </c>
      <c r="O54" s="108">
        <f>'Equations HSC-AD'!K259</f>
        <v>0.14351490864228708</v>
      </c>
      <c r="P54" s="110">
        <f>'Equations HSC-AD'!L259</f>
        <v>0.14088426456482497</v>
      </c>
      <c r="Q54" s="108">
        <f>'Equations HSC-AD'!M259</f>
        <v>0.13475652524545606</v>
      </c>
      <c r="R54" s="110">
        <f>'Equations HSC-AD'!N259</f>
        <v>0.13332778560313427</v>
      </c>
      <c r="S54" s="219">
        <f>'Equations HSC-AD'!O259</f>
        <v>0.12974126070963143</v>
      </c>
      <c r="T54" s="417" t="str">
        <f>'HSC-AD data'!B187</f>
        <v>Comfort criteria valid for average diffuser spacing of 11.5 m &amp; room temperature of 23 °C (see cells K14 &amp; L23)</v>
      </c>
      <c r="U54" s="49"/>
      <c r="V54" s="354"/>
      <c r="W54" s="354"/>
      <c r="X54" s="354"/>
      <c r="Y54" s="354"/>
      <c r="Z54" s="354"/>
      <c r="AA54" s="354"/>
      <c r="AB54" s="355"/>
    </row>
    <row r="55" spans="2:28" ht="21" customHeight="1" x14ac:dyDescent="0.3">
      <c r="B55" s="12"/>
      <c r="C55" s="443"/>
      <c r="D55" s="34" t="s">
        <v>367</v>
      </c>
      <c r="E55" s="275"/>
      <c r="F55" s="292" t="s">
        <v>71</v>
      </c>
      <c r="G55" s="111" t="str">
        <f>'Equations HSC-AD'!C260</f>
        <v/>
      </c>
      <c r="H55" s="112" t="str">
        <f>'Equations HSC-AD'!D260</f>
        <v/>
      </c>
      <c r="I55" s="111">
        <f>'Equations HSC-AD'!E260</f>
        <v>0.1838532614197825</v>
      </c>
      <c r="J55" s="112">
        <f>'Equations HSC-AD'!F260</f>
        <v>0.17077805449994329</v>
      </c>
      <c r="K55" s="112">
        <f>'Equations HSC-AD'!G260</f>
        <v>0.16155727532402697</v>
      </c>
      <c r="L55" s="111">
        <f>'Equations HSC-AD'!H260</f>
        <v>0.15370879011083721</v>
      </c>
      <c r="M55" s="112">
        <f>'Equations HSC-AD'!I260</f>
        <v>0.14773567274580973</v>
      </c>
      <c r="N55" s="112">
        <f>'Equations HSC-AD'!J260</f>
        <v>0.13486286562845617</v>
      </c>
      <c r="O55" s="111">
        <f>'Equations HSC-AD'!K260</f>
        <v>0.13324668056204764</v>
      </c>
      <c r="P55" s="113">
        <f>'Equations HSC-AD'!L260</f>
        <v>0.12994190012131107</v>
      </c>
      <c r="Q55" s="111">
        <f>'Equations HSC-AD'!M260</f>
        <v>0.12227831462533473</v>
      </c>
      <c r="R55" s="113">
        <f>'Equations HSC-AD'!N260</f>
        <v>0.12049791094973704</v>
      </c>
      <c r="S55" s="216">
        <f>'Equations HSC-AD'!O260</f>
        <v>0.1160383032254559</v>
      </c>
      <c r="T55" s="418"/>
      <c r="U55" s="419" t="str">
        <f>'HSC-AD data'!B188</f>
        <v/>
      </c>
      <c r="V55" s="349"/>
      <c r="W55" s="349"/>
      <c r="X55" s="349"/>
      <c r="Y55" s="349"/>
      <c r="Z55" s="349"/>
      <c r="AA55" s="349"/>
      <c r="AB55" s="355"/>
    </row>
    <row r="56" spans="2:28" ht="21" customHeight="1" x14ac:dyDescent="0.3">
      <c r="B56" s="12"/>
      <c r="C56" s="443"/>
      <c r="D56" s="34" t="s">
        <v>76</v>
      </c>
      <c r="E56" s="275"/>
      <c r="F56" s="292"/>
      <c r="G56" s="111" t="str">
        <f>'Equations HSC-AD'!C261</f>
        <v/>
      </c>
      <c r="H56" s="112" t="str">
        <f>'Equations HSC-AD'!D261</f>
        <v/>
      </c>
      <c r="I56" s="111">
        <f>'Equations HSC-AD'!E261</f>
        <v>9.2864326222291071E-2</v>
      </c>
      <c r="J56" s="112">
        <f>'Equations HSC-AD'!F261</f>
        <v>8.7277085574378632E-2</v>
      </c>
      <c r="K56" s="112">
        <f>'Equations HSC-AD'!G261</f>
        <v>8.3439695436068467E-2</v>
      </c>
      <c r="L56" s="111">
        <f>'Equations HSC-AD'!H261</f>
        <v>8.0240393606377997E-2</v>
      </c>
      <c r="M56" s="112">
        <f>'Equations HSC-AD'!I261</f>
        <v>7.7846832687280931E-2</v>
      </c>
      <c r="N56" s="112">
        <f>'Equations HSC-AD'!J261</f>
        <v>7.2809712669873558E-2</v>
      </c>
      <c r="O56" s="111">
        <f>'Equations HSC-AD'!K261</f>
        <v>7.2189009080914093E-2</v>
      </c>
      <c r="P56" s="113">
        <f>'Equations HSC-AD'!L261</f>
        <v>7.0927923733896156E-2</v>
      </c>
      <c r="Q56" s="111">
        <f>'Equations HSC-AD'!M261</f>
        <v>6.8045571770139854E-2</v>
      </c>
      <c r="R56" s="113">
        <f>'Equations HSC-AD'!N261</f>
        <v>6.7384351009059637E-2</v>
      </c>
      <c r="S56" s="216">
        <f>'Equations HSC-AD'!O261</f>
        <v>6.5742019714085401E-2</v>
      </c>
      <c r="T56" s="356"/>
      <c r="U56" s="420" t="str">
        <f>'HSC-AD data'!B189</f>
        <v/>
      </c>
      <c r="V56" s="212"/>
      <c r="W56" s="212"/>
      <c r="X56" s="212"/>
      <c r="Y56" s="212"/>
      <c r="Z56" s="212"/>
      <c r="AA56" s="212"/>
      <c r="AB56" s="355"/>
    </row>
    <row r="57" spans="2:28" ht="21" customHeight="1" x14ac:dyDescent="0.3">
      <c r="B57" s="12"/>
      <c r="C57" s="443"/>
      <c r="D57" s="34" t="s">
        <v>368</v>
      </c>
      <c r="E57" s="275"/>
      <c r="F57" s="294" t="s">
        <v>369</v>
      </c>
      <c r="G57" s="111" t="str">
        <f>'Equations HSC-AD'!C262</f>
        <v/>
      </c>
      <c r="H57" s="112" t="str">
        <f>'Equations HSC-AD'!D262</f>
        <v/>
      </c>
      <c r="I57" s="111" t="str">
        <f>'Equations HSC-AD'!E262</f>
        <v>B</v>
      </c>
      <c r="J57" s="112" t="str">
        <f>'Equations HSC-AD'!F262</f>
        <v>B</v>
      </c>
      <c r="K57" s="112" t="str">
        <f>'Equations HSC-AD'!G262</f>
        <v>B</v>
      </c>
      <c r="L57" s="111" t="str">
        <f>'Equations HSC-AD'!H262</f>
        <v>B</v>
      </c>
      <c r="M57" s="112" t="str">
        <f>'Equations HSC-AD'!I262</f>
        <v>B</v>
      </c>
      <c r="N57" s="112" t="str">
        <f>'Equations HSC-AD'!J262</f>
        <v>B</v>
      </c>
      <c r="O57" s="111" t="str">
        <f>'Equations HSC-AD'!K262</f>
        <v>B</v>
      </c>
      <c r="P57" s="113" t="str">
        <f>'Equations HSC-AD'!L262</f>
        <v>B</v>
      </c>
      <c r="Q57" s="111" t="str">
        <f>'Equations HSC-AD'!M262</f>
        <v>B</v>
      </c>
      <c r="R57" s="113" t="str">
        <f>'Equations HSC-AD'!N262</f>
        <v>B</v>
      </c>
      <c r="S57" s="216" t="str">
        <f>'Equations HSC-AD'!O262</f>
        <v>B</v>
      </c>
      <c r="T57" s="49"/>
      <c r="U57" s="356"/>
      <c r="V57" s="212"/>
      <c r="W57" s="212"/>
      <c r="X57" s="212"/>
      <c r="Y57" s="212"/>
      <c r="Z57" s="212"/>
      <c r="AA57" s="212"/>
      <c r="AB57" s="355"/>
    </row>
    <row r="58" spans="2:28" ht="21" customHeight="1" x14ac:dyDescent="0.3">
      <c r="B58" s="12"/>
      <c r="C58" s="444"/>
      <c r="D58" s="34" t="s">
        <v>370</v>
      </c>
      <c r="E58" s="281"/>
      <c r="F58" s="295" t="s">
        <v>371</v>
      </c>
      <c r="G58" s="312" t="str">
        <f>'Equations HSC-AD'!C263</f>
        <v/>
      </c>
      <c r="H58" s="313" t="str">
        <f>'Equations HSC-AD'!D263</f>
        <v/>
      </c>
      <c r="I58" s="312" t="str">
        <f>'Equations HSC-AD'!E263</f>
        <v>≤ 0.5</v>
      </c>
      <c r="J58" s="313" t="str">
        <f>'Equations HSC-AD'!F263</f>
        <v>≤ 0.4</v>
      </c>
      <c r="K58" s="313" t="str">
        <f>'Equations HSC-AD'!G263</f>
        <v>≤ 0.4</v>
      </c>
      <c r="L58" s="312" t="str">
        <f>'Equations HSC-AD'!H263</f>
        <v>≤ 0.4</v>
      </c>
      <c r="M58" s="313" t="str">
        <f>'Equations HSC-AD'!I263</f>
        <v>≤ 0.4</v>
      </c>
      <c r="N58" s="313" t="str">
        <f>'Equations HSC-AD'!J263</f>
        <v>≤ 0.3</v>
      </c>
      <c r="O58" s="312" t="str">
        <f>'Equations HSC-AD'!K263</f>
        <v>≤ 0.3</v>
      </c>
      <c r="P58" s="314" t="str">
        <f>'Equations HSC-AD'!L263</f>
        <v>≤ 0.3</v>
      </c>
      <c r="Q58" s="312" t="str">
        <f>'Equations HSC-AD'!M263</f>
        <v>≤ 0.3</v>
      </c>
      <c r="R58" s="314" t="str">
        <f>'Equations HSC-AD'!N263</f>
        <v>≤ 0.3</v>
      </c>
      <c r="S58" s="217" t="str">
        <f>'Equations HSC-AD'!O263</f>
        <v>≤ 0.3</v>
      </c>
      <c r="T58" s="114"/>
      <c r="U58" s="339"/>
      <c r="V58" s="212"/>
      <c r="W58" s="212"/>
      <c r="X58" s="212"/>
      <c r="Y58" s="212"/>
      <c r="Z58" s="212"/>
      <c r="AA58" s="212"/>
      <c r="AB58" s="355"/>
    </row>
    <row r="59" spans="2:28" ht="21" customHeight="1" thickBot="1" x14ac:dyDescent="0.35">
      <c r="B59" s="12"/>
      <c r="C59" s="305" t="s">
        <v>496</v>
      </c>
      <c r="D59" s="378" t="s">
        <v>372</v>
      </c>
      <c r="E59" s="379"/>
      <c r="F59" s="380" t="s">
        <v>362</v>
      </c>
      <c r="G59" s="381" t="str">
        <f>'Equations HSC-AD'!C264</f>
        <v>n.r.</v>
      </c>
      <c r="H59" s="382" t="str">
        <f>'Equations HSC-AD'!D264</f>
        <v>n.r.</v>
      </c>
      <c r="I59" s="383" t="str">
        <f>'Equations HSC-AD'!E264</f>
        <v>n.r.</v>
      </c>
      <c r="J59" s="382" t="str">
        <f>'Equations HSC-AD'!F264</f>
        <v>n.r.</v>
      </c>
      <c r="K59" s="382" t="str">
        <f>'Equations HSC-AD'!G264</f>
        <v>n.r.</v>
      </c>
      <c r="L59" s="384" t="str">
        <f>'Equations HSC-AD'!H264</f>
        <v>30‡</v>
      </c>
      <c r="M59" s="382" t="str">
        <f>'Equations HSC-AD'!I264</f>
        <v>30†</v>
      </c>
      <c r="N59" s="382" t="str">
        <f>'Equations HSC-AD'!J264</f>
        <v>26</v>
      </c>
      <c r="O59" s="384" t="str">
        <f>'Equations HSC-AD'!K264</f>
        <v>26</v>
      </c>
      <c r="P59" s="385" t="str">
        <f>'Equations HSC-AD'!L264</f>
        <v>24</v>
      </c>
      <c r="Q59" s="384" t="str">
        <f>'Equations HSC-AD'!M264</f>
        <v>22</v>
      </c>
      <c r="R59" s="385" t="str">
        <f>'Equations HSC-AD'!N264</f>
        <v>22</v>
      </c>
      <c r="S59" s="218" t="str">
        <f>'Equations HSC-AD'!O264</f>
        <v>-</v>
      </c>
      <c r="T59" s="433" t="str">
        <f>'HSC-AD data'!B191</f>
        <v>'n.r.' - thermal element not recommended; consider electric actuator
‡ moderately elevated air velocities in heating 
† slightly elevated air velocities in heating</v>
      </c>
      <c r="U59" s="433"/>
      <c r="V59" s="433"/>
      <c r="W59" s="433"/>
      <c r="X59" s="433"/>
      <c r="Y59" s="433"/>
      <c r="Z59" s="433"/>
      <c r="AA59" s="433"/>
      <c r="AB59" s="434"/>
    </row>
    <row r="60" spans="2:28" ht="21" customHeight="1" x14ac:dyDescent="0.3">
      <c r="B60" s="12"/>
      <c r="C60" s="435" t="s">
        <v>495</v>
      </c>
      <c r="D60" s="34" t="s">
        <v>497</v>
      </c>
      <c r="E60" s="275"/>
      <c r="F60" s="292" t="s">
        <v>477</v>
      </c>
      <c r="G60" s="343" t="str">
        <f>'Equations HSC-AD'!C265</f>
        <v/>
      </c>
      <c r="H60" s="344" t="str">
        <f>'Equations HSC-AD'!D265</f>
        <v/>
      </c>
      <c r="I60" s="343" t="str">
        <f>'Equations HSC-AD'!E265</f>
        <v/>
      </c>
      <c r="J60" s="344" t="str">
        <f>'Equations HSC-AD'!F265</f>
        <v/>
      </c>
      <c r="K60" s="344" t="str">
        <f>'Equations HSC-AD'!G265</f>
        <v/>
      </c>
      <c r="L60" s="343">
        <f>'Equations HSC-AD'!H265</f>
        <v>18</v>
      </c>
      <c r="M60" s="344">
        <f>'Equations HSC-AD'!I265</f>
        <v>14</v>
      </c>
      <c r="N60" s="344">
        <f>'Equations HSC-AD'!J265</f>
        <v>10.3</v>
      </c>
      <c r="O60" s="343">
        <f>'Equations HSC-AD'!K265</f>
        <v>9.6999999999999993</v>
      </c>
      <c r="P60" s="345">
        <f>'Equations HSC-AD'!L265</f>
        <v>8.4</v>
      </c>
      <c r="Q60" s="343">
        <f>'Equations HSC-AD'!M265</f>
        <v>6.2</v>
      </c>
      <c r="R60" s="345">
        <f>'Equations HSC-AD'!N265</f>
        <v>6</v>
      </c>
      <c r="S60" s="298"/>
      <c r="T60" s="433"/>
      <c r="U60" s="433"/>
      <c r="V60" s="433"/>
      <c r="W60" s="433"/>
      <c r="X60" s="433"/>
      <c r="Y60" s="433"/>
      <c r="Z60" s="433"/>
      <c r="AA60" s="433"/>
      <c r="AB60" s="434"/>
    </row>
    <row r="61" spans="2:28" ht="21" customHeight="1" x14ac:dyDescent="0.3">
      <c r="B61" s="12"/>
      <c r="C61" s="436"/>
      <c r="D61" s="326" t="s">
        <v>480</v>
      </c>
      <c r="E61" s="275"/>
      <c r="F61" s="292"/>
      <c r="G61" s="340" t="str">
        <f>'Equations HSC-AD'!C266</f>
        <v/>
      </c>
      <c r="H61" s="341" t="str">
        <f>'Equations HSC-AD'!D266</f>
        <v/>
      </c>
      <c r="I61" s="340" t="str">
        <f>'Equations HSC-AD'!E266</f>
        <v/>
      </c>
      <c r="J61" s="341" t="str">
        <f>'Equations HSC-AD'!F266</f>
        <v/>
      </c>
      <c r="K61" s="341" t="str">
        <f>'Equations HSC-AD'!G266</f>
        <v/>
      </c>
      <c r="L61" s="340">
        <f>'Equations HSC-AD'!H266</f>
        <v>1</v>
      </c>
      <c r="M61" s="341">
        <f>'Equations HSC-AD'!I266</f>
        <v>1.05</v>
      </c>
      <c r="N61" s="341">
        <f>'Equations HSC-AD'!J266</f>
        <v>1.28</v>
      </c>
      <c r="O61" s="340">
        <f>'Equations HSC-AD'!K266</f>
        <v>1.3</v>
      </c>
      <c r="P61" s="342">
        <f>'Equations HSC-AD'!L266</f>
        <v>1.38</v>
      </c>
      <c r="Q61" s="340">
        <f>'Equations HSC-AD'!M266</f>
        <v>1.67</v>
      </c>
      <c r="R61" s="342">
        <f>'Equations HSC-AD'!N266</f>
        <v>1.95</v>
      </c>
      <c r="S61" s="298"/>
      <c r="T61" s="433" t="s">
        <v>499</v>
      </c>
      <c r="U61" s="433"/>
      <c r="V61" s="433"/>
      <c r="W61" s="433"/>
      <c r="X61" s="433"/>
      <c r="Y61" s="433"/>
      <c r="Z61" s="433"/>
      <c r="AA61" s="433"/>
      <c r="AB61" s="434"/>
    </row>
    <row r="62" spans="2:28" ht="21" customHeight="1" x14ac:dyDescent="0.3">
      <c r="B62" s="12"/>
      <c r="C62" s="436"/>
      <c r="D62" s="326" t="s">
        <v>481</v>
      </c>
      <c r="E62" s="275"/>
      <c r="F62" s="292"/>
      <c r="G62" s="340" t="str">
        <f>'Equations HSC-AD'!C267</f>
        <v/>
      </c>
      <c r="H62" s="341" t="str">
        <f>'Equations HSC-AD'!D267</f>
        <v/>
      </c>
      <c r="I62" s="346" t="str">
        <f>'Equations HSC-AD'!E267</f>
        <v/>
      </c>
      <c r="J62" s="341" t="str">
        <f>'Equations HSC-AD'!F267</f>
        <v/>
      </c>
      <c r="K62" s="347" t="str">
        <f>'Equations HSC-AD'!G267</f>
        <v/>
      </c>
      <c r="L62" s="340">
        <f>'Equations HSC-AD'!H267</f>
        <v>1</v>
      </c>
      <c r="M62" s="341">
        <f>'Equations HSC-AD'!I267</f>
        <v>1.1100000000000001</v>
      </c>
      <c r="N62" s="341">
        <f>'Equations HSC-AD'!J267</f>
        <v>1.63</v>
      </c>
      <c r="O62" s="340">
        <f>'Equations HSC-AD'!K267</f>
        <v>1.7</v>
      </c>
      <c r="P62" s="342">
        <f>'Equations HSC-AD'!L267</f>
        <v>1.91</v>
      </c>
      <c r="Q62" s="340">
        <f>'Equations HSC-AD'!M267</f>
        <v>2.78</v>
      </c>
      <c r="R62" s="342">
        <f>'Equations HSC-AD'!N267</f>
        <v>3.8</v>
      </c>
      <c r="S62" s="298"/>
      <c r="T62" s="433"/>
      <c r="U62" s="433"/>
      <c r="V62" s="433"/>
      <c r="W62" s="433"/>
      <c r="X62" s="433"/>
      <c r="Y62" s="433"/>
      <c r="Z62" s="433"/>
      <c r="AA62" s="433"/>
      <c r="AB62" s="434"/>
    </row>
    <row r="63" spans="2:28" ht="21" customHeight="1" x14ac:dyDescent="0.3">
      <c r="B63" s="12"/>
      <c r="C63" s="437"/>
      <c r="D63" s="326" t="s">
        <v>498</v>
      </c>
      <c r="E63" s="281"/>
      <c r="F63" s="292" t="s">
        <v>175</v>
      </c>
      <c r="G63" s="328" t="str">
        <f>'Equations HSC-AD'!C268</f>
        <v/>
      </c>
      <c r="H63" s="329" t="str">
        <f>'Equations HSC-AD'!D268</f>
        <v/>
      </c>
      <c r="I63" s="331" t="str">
        <f>'Equations HSC-AD'!E268</f>
        <v/>
      </c>
      <c r="J63" s="330" t="str">
        <f>'Equations HSC-AD'!F268</f>
        <v/>
      </c>
      <c r="K63" s="332" t="str">
        <f>'Equations HSC-AD'!G268</f>
        <v/>
      </c>
      <c r="L63" s="333">
        <f>'Equations HSC-AD'!H268</f>
        <v>1</v>
      </c>
      <c r="M63" s="330">
        <f>'Equations HSC-AD'!I268</f>
        <v>0.95</v>
      </c>
      <c r="N63" s="330">
        <f>'Equations HSC-AD'!J268</f>
        <v>0.78</v>
      </c>
      <c r="O63" s="333">
        <f>'Equations HSC-AD'!K268</f>
        <v>0.77</v>
      </c>
      <c r="P63" s="334">
        <f>'Equations HSC-AD'!L268</f>
        <v>0.72</v>
      </c>
      <c r="Q63" s="333">
        <f>'Equations HSC-AD'!M268</f>
        <v>0.6</v>
      </c>
      <c r="R63" s="334">
        <f>'Equations HSC-AD'!N268</f>
        <v>0.51</v>
      </c>
      <c r="S63" s="298"/>
      <c r="T63" s="433"/>
      <c r="U63" s="433"/>
      <c r="V63" s="433"/>
      <c r="W63" s="433"/>
      <c r="X63" s="433"/>
      <c r="Y63" s="433"/>
      <c r="Z63" s="433"/>
      <c r="AA63" s="433"/>
      <c r="AB63" s="434"/>
    </row>
    <row r="64" spans="2:28" ht="21" customHeight="1" thickBot="1" x14ac:dyDescent="0.35">
      <c r="B64" s="12"/>
      <c r="C64" s="304"/>
      <c r="D64" s="180" t="s">
        <v>388</v>
      </c>
      <c r="E64" s="283"/>
      <c r="F64" s="300" t="s">
        <v>389</v>
      </c>
      <c r="G64" s="327" t="str">
        <f>'Equations HSC-AD'!C270</f>
        <v>DN250</v>
      </c>
      <c r="H64" s="348" t="str">
        <f>'Equations HSC-AD'!D270</f>
        <v>DN250</v>
      </c>
      <c r="I64" s="301" t="str">
        <f>'Equations HSC-AD'!E270</f>
        <v>DN355</v>
      </c>
      <c r="J64" s="302" t="str">
        <f>'Equations HSC-AD'!F270</f>
        <v>DN355</v>
      </c>
      <c r="K64" s="302" t="str">
        <f>'Equations HSC-AD'!G270</f>
        <v>DN400</v>
      </c>
      <c r="L64" s="301" t="str">
        <f>'Equations HSC-AD'!H270</f>
        <v>DN500</v>
      </c>
      <c r="M64" s="302" t="str">
        <f>'Equations HSC-AD'!I270</f>
        <v>DN500</v>
      </c>
      <c r="N64" s="302" t="str">
        <f>'Equations HSC-AD'!J270</f>
        <v>DN630</v>
      </c>
      <c r="O64" s="301" t="str">
        <f>'Equations HSC-AD'!K270</f>
        <v>DN710</v>
      </c>
      <c r="P64" s="303" t="str">
        <f>'Equations HSC-AD'!L270</f>
        <v>DN710</v>
      </c>
      <c r="Q64" s="301" t="str">
        <f>'Equations HSC-AD'!M270</f>
        <v>DN1000</v>
      </c>
      <c r="R64" s="303" t="str">
        <f>'Equations HSC-AD'!N270</f>
        <v>DN1000</v>
      </c>
      <c r="S64" s="298"/>
      <c r="T64" s="433"/>
      <c r="U64" s="433"/>
      <c r="V64" s="433"/>
      <c r="W64" s="433"/>
      <c r="X64" s="433"/>
      <c r="Y64" s="433"/>
      <c r="Z64" s="433"/>
      <c r="AA64" s="433"/>
      <c r="AB64" s="434"/>
    </row>
    <row r="65" spans="2:28" ht="15.6" x14ac:dyDescent="0.3">
      <c r="B65" s="12"/>
      <c r="C65" s="13"/>
      <c r="D65" s="34"/>
      <c r="E65" s="13"/>
      <c r="F65" s="284"/>
      <c r="G65" s="81"/>
      <c r="H65" s="81"/>
      <c r="I65" s="81"/>
      <c r="J65" s="81"/>
      <c r="K65" s="81"/>
      <c r="L65" s="81"/>
      <c r="M65" s="81"/>
      <c r="N65" s="81"/>
      <c r="O65" s="81"/>
      <c r="P65" s="81"/>
      <c r="Q65" s="81"/>
      <c r="R65" s="81"/>
      <c r="S65" s="81"/>
      <c r="T65" s="81" t="s">
        <v>428</v>
      </c>
      <c r="U65" s="81"/>
      <c r="V65" s="13"/>
      <c r="W65" s="13"/>
      <c r="X65" s="13"/>
      <c r="Y65" s="13"/>
      <c r="Z65" s="13"/>
      <c r="AA65" s="13"/>
      <c r="AB65" s="14"/>
    </row>
    <row r="66" spans="2:28" ht="19.8" x14ac:dyDescent="0.4">
      <c r="B66" s="118"/>
      <c r="C66" s="54"/>
      <c r="D66" s="122" t="s">
        <v>158</v>
      </c>
      <c r="E66" s="54"/>
      <c r="F66" s="54"/>
      <c r="G66" s="54"/>
      <c r="H66" s="54"/>
      <c r="I66" s="54"/>
      <c r="J66" s="119"/>
      <c r="K66" s="119"/>
      <c r="L66" s="119"/>
      <c r="M66" s="54"/>
      <c r="N66" s="120"/>
      <c r="O66" s="120"/>
      <c r="P66" s="120"/>
      <c r="Q66" s="54"/>
      <c r="R66" s="120"/>
      <c r="S66" s="54"/>
      <c r="T66" s="54"/>
      <c r="U66" s="54"/>
      <c r="V66" s="54"/>
      <c r="W66" s="54"/>
      <c r="X66" s="54"/>
      <c r="Y66" s="54"/>
      <c r="Z66" s="54"/>
      <c r="AA66" s="54"/>
      <c r="AB66" s="55"/>
    </row>
    <row r="67" spans="2:28" ht="15" customHeight="1" x14ac:dyDescent="0.3">
      <c r="B67" s="118"/>
      <c r="C67" s="54"/>
      <c r="D67" s="116"/>
      <c r="E67" s="54"/>
      <c r="F67" s="54"/>
      <c r="G67" s="54"/>
      <c r="H67" s="54"/>
      <c r="I67" s="54"/>
      <c r="J67" s="119"/>
      <c r="K67" s="119"/>
      <c r="L67" s="119"/>
      <c r="M67" s="54"/>
      <c r="N67" s="120"/>
      <c r="O67" s="120"/>
      <c r="P67" s="120"/>
      <c r="Q67" s="54"/>
      <c r="R67" s="120"/>
      <c r="S67" s="54"/>
      <c r="T67" s="54"/>
      <c r="U67" s="54"/>
      <c r="V67" s="54"/>
      <c r="W67" s="54"/>
      <c r="X67" s="54"/>
      <c r="Y67" s="54"/>
      <c r="Z67" s="54"/>
      <c r="AA67" s="54"/>
      <c r="AB67" s="55"/>
    </row>
    <row r="68" spans="2:28" ht="19.5" customHeight="1" x14ac:dyDescent="0.3">
      <c r="B68" s="118"/>
      <c r="C68" s="54"/>
      <c r="D68" s="431" t="s">
        <v>157</v>
      </c>
      <c r="E68" s="431"/>
      <c r="F68" s="274"/>
      <c r="G68" s="54"/>
      <c r="H68" s="54"/>
      <c r="I68" s="54"/>
      <c r="J68" s="119"/>
      <c r="K68" s="119"/>
      <c r="L68" s="119"/>
      <c r="M68" s="54" t="s">
        <v>428</v>
      </c>
      <c r="N68" s="120"/>
      <c r="O68" s="120"/>
      <c r="P68" s="120"/>
      <c r="Q68" s="54"/>
      <c r="R68" s="120"/>
      <c r="S68" s="54"/>
      <c r="T68" s="54"/>
      <c r="U68" s="54"/>
      <c r="V68" s="54"/>
      <c r="W68" s="54"/>
      <c r="X68" s="54"/>
      <c r="Y68" s="54"/>
      <c r="Z68" s="54"/>
      <c r="AA68" s="54"/>
      <c r="AB68" s="55"/>
    </row>
    <row r="69" spans="2:28" ht="12" customHeight="1" x14ac:dyDescent="0.3">
      <c r="B69" s="118"/>
      <c r="C69" s="54"/>
      <c r="D69" s="432"/>
      <c r="E69" s="432"/>
      <c r="F69" s="278"/>
      <c r="G69" s="194" t="s">
        <v>60</v>
      </c>
      <c r="H69" s="194" t="s">
        <v>59</v>
      </c>
      <c r="I69" s="194" t="s">
        <v>61</v>
      </c>
      <c r="J69" s="194" t="s">
        <v>62</v>
      </c>
      <c r="K69" s="194" t="s">
        <v>344</v>
      </c>
      <c r="L69" s="194" t="s">
        <v>63</v>
      </c>
      <c r="M69" s="194" t="s">
        <v>64</v>
      </c>
      <c r="N69" s="194" t="s">
        <v>345</v>
      </c>
      <c r="O69" s="194" t="s">
        <v>65</v>
      </c>
      <c r="P69" s="194" t="s">
        <v>66</v>
      </c>
      <c r="Q69" s="194" t="s">
        <v>67</v>
      </c>
      <c r="R69" s="194" t="s">
        <v>68</v>
      </c>
      <c r="S69" s="194" t="s">
        <v>231</v>
      </c>
      <c r="T69" s="54"/>
      <c r="U69" s="54"/>
      <c r="V69" s="54"/>
      <c r="W69" s="54"/>
      <c r="X69" s="54"/>
      <c r="Y69" s="54"/>
      <c r="Z69" s="54"/>
      <c r="AA69" s="54"/>
      <c r="AB69" s="55"/>
    </row>
    <row r="70" spans="2:28" ht="25.35" customHeight="1" x14ac:dyDescent="0.3">
      <c r="B70" s="118"/>
      <c r="C70" s="54"/>
      <c r="D70" s="250" t="s">
        <v>308</v>
      </c>
      <c r="E70" s="250"/>
      <c r="F70" s="278"/>
      <c r="G70" s="257" t="e">
        <f>'HSC-AD data'!D49&amp;"*"</f>
        <v>#N/A</v>
      </c>
      <c r="H70" s="53"/>
      <c r="I70" s="53"/>
      <c r="J70" s="257" t="e">
        <f>'HSC-AD data'!E49</f>
        <v>#N/A</v>
      </c>
      <c r="K70" s="194"/>
      <c r="L70" s="53"/>
      <c r="M70" s="257" t="str">
        <f>'HSC-AD data'!F49</f>
        <v/>
      </c>
      <c r="N70" s="194"/>
      <c r="O70" s="194"/>
      <c r="P70" s="194"/>
      <c r="Q70" s="194"/>
      <c r="R70" s="194"/>
      <c r="S70" s="194"/>
      <c r="T70" s="54"/>
      <c r="U70" s="54"/>
      <c r="V70" s="54"/>
      <c r="W70" s="54"/>
      <c r="X70" s="54"/>
      <c r="Y70" s="54"/>
      <c r="Z70" s="54"/>
      <c r="AA70" s="54"/>
      <c r="AB70" s="55"/>
    </row>
    <row r="71" spans="2:28" ht="25.35" customHeight="1" x14ac:dyDescent="0.3">
      <c r="B71" s="118"/>
      <c r="C71" s="54"/>
      <c r="D71" s="117" t="s">
        <v>187</v>
      </c>
      <c r="E71" s="121"/>
      <c r="F71" s="54"/>
      <c r="G71" s="316" t="s">
        <v>310</v>
      </c>
      <c r="H71" s="257" t="str">
        <f>'HSC-AD data'!D31</f>
        <v>24V Elec. motor 2-10V</v>
      </c>
      <c r="I71" s="54"/>
      <c r="J71" s="257" t="str">
        <f>'HSC-AD data'!D32</f>
        <v>24V Elec. motor 2-position</v>
      </c>
      <c r="K71" s="54"/>
      <c r="L71" s="318" t="str">
        <f>'HSC-AD data'!$D$33</f>
        <v>230V Elec. motor 2-position</v>
      </c>
      <c r="M71" s="123"/>
      <c r="N71" s="317" t="e">
        <f>'HSC-AD data'!$D$34</f>
        <v>#N/A</v>
      </c>
      <c r="O71" s="123"/>
      <c r="P71" s="317"/>
      <c r="Q71" s="53"/>
      <c r="R71" s="120"/>
      <c r="S71" s="54"/>
      <c r="T71" s="54"/>
      <c r="U71" s="54"/>
      <c r="V71" s="54"/>
      <c r="W71" s="54"/>
      <c r="X71" s="54"/>
      <c r="Y71" s="54"/>
      <c r="Z71" s="54"/>
      <c r="AA71" s="54"/>
      <c r="AB71" s="55"/>
    </row>
    <row r="72" spans="2:28" ht="25.35" customHeight="1" x14ac:dyDescent="0.3">
      <c r="B72" s="118"/>
      <c r="C72" s="54"/>
      <c r="D72" s="324" t="s">
        <v>118</v>
      </c>
      <c r="E72" s="121"/>
      <c r="F72" s="54"/>
      <c r="G72" s="123" t="s">
        <v>129</v>
      </c>
      <c r="H72" s="194"/>
      <c r="I72" s="123" t="s">
        <v>130</v>
      </c>
      <c r="J72" s="321"/>
      <c r="K72" s="319" t="s">
        <v>459</v>
      </c>
      <c r="L72" s="321"/>
      <c r="M72" s="123" t="s">
        <v>441</v>
      </c>
      <c r="N72" s="120"/>
      <c r="O72" s="120"/>
      <c r="P72" s="120"/>
      <c r="Q72" s="322"/>
      <c r="R72" s="322"/>
      <c r="S72" s="54"/>
      <c r="T72" s="54"/>
      <c r="U72" s="54"/>
      <c r="V72" s="54"/>
      <c r="W72" s="54"/>
      <c r="X72" s="54"/>
      <c r="Y72" s="54"/>
      <c r="Z72" s="54"/>
      <c r="AA72" s="54"/>
      <c r="AB72" s="55"/>
    </row>
    <row r="73" spans="2:28" ht="25.35" customHeight="1" thickBot="1" x14ac:dyDescent="0.35">
      <c r="B73" s="118"/>
      <c r="C73" s="54"/>
      <c r="D73" s="320" t="s">
        <v>444</v>
      </c>
      <c r="E73" s="54"/>
      <c r="F73" s="54"/>
      <c r="G73" s="123" t="s">
        <v>448</v>
      </c>
      <c r="H73" s="194"/>
      <c r="I73" s="123" t="s">
        <v>446</v>
      </c>
      <c r="J73" s="321"/>
      <c r="K73" s="319"/>
      <c r="L73" s="257" t="s">
        <v>447</v>
      </c>
      <c r="M73" s="123"/>
      <c r="N73" s="120"/>
      <c r="O73" s="124"/>
      <c r="P73" s="124"/>
      <c r="Q73" s="322"/>
      <c r="R73" s="322"/>
      <c r="S73" s="54"/>
      <c r="T73" s="54"/>
      <c r="U73" s="54"/>
      <c r="V73" s="54"/>
      <c r="W73" s="54"/>
      <c r="X73" s="54"/>
      <c r="Y73" s="54"/>
      <c r="Z73" s="54"/>
      <c r="AA73" s="54"/>
      <c r="AB73" s="55"/>
    </row>
    <row r="74" spans="2:28" ht="27" customHeight="1" x14ac:dyDescent="0.3">
      <c r="B74" s="118"/>
      <c r="C74" s="54"/>
      <c r="D74" s="203"/>
      <c r="E74" s="204"/>
      <c r="F74" s="204" t="s">
        <v>119</v>
      </c>
      <c r="G74" s="439" t="str">
        <f>_productcode</f>
        <v>select size to generate order code</v>
      </c>
      <c r="H74" s="439"/>
      <c r="I74" s="439"/>
      <c r="J74" s="439"/>
      <c r="K74" s="439"/>
      <c r="L74" s="439"/>
      <c r="M74" s="439"/>
      <c r="N74" s="325" t="s">
        <v>559</v>
      </c>
      <c r="O74" s="260"/>
      <c r="P74" s="260"/>
      <c r="Q74" s="323"/>
      <c r="R74" s="323"/>
      <c r="S74" s="54"/>
      <c r="T74" s="54"/>
      <c r="U74" s="54"/>
      <c r="V74" s="54"/>
      <c r="W74" s="54"/>
      <c r="X74" s="54"/>
      <c r="Y74" s="54"/>
      <c r="Z74" s="54"/>
      <c r="AA74" s="54"/>
      <c r="AB74" s="55"/>
    </row>
    <row r="75" spans="2:28" ht="24" customHeight="1" x14ac:dyDescent="0.3">
      <c r="B75" s="118"/>
      <c r="C75" s="54"/>
      <c r="D75" s="202"/>
      <c r="E75" s="258"/>
      <c r="F75" s="258" t="s">
        <v>227</v>
      </c>
      <c r="G75" s="54"/>
      <c r="H75" s="205" t="str">
        <f>IF('HSC-AD data'!$C$23=0,"","• "&amp;'HSC-AD data'!C85)</f>
        <v/>
      </c>
      <c r="I75" s="54"/>
      <c r="J75" s="119"/>
      <c r="K75" s="119"/>
      <c r="L75" s="119"/>
      <c r="M75" s="54"/>
      <c r="N75" s="260" t="s">
        <v>131</v>
      </c>
      <c r="O75" s="125"/>
      <c r="P75" s="125"/>
      <c r="Q75" s="120"/>
      <c r="R75" s="120"/>
      <c r="S75" s="54"/>
      <c r="T75" s="54"/>
      <c r="U75" s="54"/>
      <c r="V75" s="54"/>
      <c r="W75" s="54"/>
      <c r="X75" s="54"/>
      <c r="Y75" s="54"/>
      <c r="Z75" s="54"/>
      <c r="AA75" s="54"/>
      <c r="AB75" s="55"/>
    </row>
    <row r="76" spans="2:28" ht="24" customHeight="1" x14ac:dyDescent="0.3">
      <c r="B76" s="118"/>
      <c r="C76" s="54"/>
      <c r="D76" s="54"/>
      <c r="E76" s="54"/>
      <c r="F76" s="54"/>
      <c r="G76" s="54"/>
      <c r="H76" s="205" t="str">
        <f>IF('HSC-AD data'!$C$23=0,"","• "&amp;'HSC-AD data'!C86)</f>
        <v/>
      </c>
      <c r="I76" s="54"/>
      <c r="J76" s="54"/>
      <c r="K76" s="54"/>
      <c r="L76" s="54"/>
      <c r="M76" s="54"/>
      <c r="N76" s="125" t="s">
        <v>188</v>
      </c>
      <c r="O76" s="54"/>
      <c r="P76" s="54"/>
      <c r="Q76" s="54"/>
      <c r="R76" s="54"/>
      <c r="S76" s="54"/>
      <c r="T76" s="54"/>
      <c r="U76" s="54"/>
      <c r="V76" s="54"/>
      <c r="W76" s="54"/>
      <c r="X76" s="54"/>
      <c r="Y76" s="54"/>
      <c r="Z76" s="54"/>
      <c r="AA76" s="54"/>
      <c r="AB76" s="54"/>
    </row>
    <row r="77" spans="2:28" ht="24" customHeight="1" x14ac:dyDescent="0.3">
      <c r="B77" s="118"/>
      <c r="C77" s="54"/>
      <c r="D77" s="54"/>
      <c r="E77" s="54"/>
      <c r="F77" s="54"/>
      <c r="G77" s="54"/>
      <c r="H77" s="205" t="str">
        <f>IF('HSC-AD data'!C23=0,"","• "&amp;'HSC-AD data'!C87)</f>
        <v/>
      </c>
      <c r="I77" s="54"/>
      <c r="J77" s="54"/>
      <c r="K77" s="54"/>
      <c r="L77" s="54"/>
      <c r="M77" s="54"/>
      <c r="N77" s="260"/>
      <c r="O77" s="259"/>
      <c r="P77" s="259"/>
      <c r="Q77" s="54"/>
      <c r="R77" s="54"/>
      <c r="S77" s="54"/>
      <c r="T77" s="54"/>
      <c r="U77" s="54"/>
      <c r="V77" s="54"/>
      <c r="W77" s="54"/>
      <c r="X77" s="54"/>
      <c r="Y77" s="54"/>
      <c r="Z77" s="54"/>
      <c r="AA77" s="54"/>
      <c r="AB77" s="54"/>
    </row>
    <row r="78" spans="2:28" ht="24" customHeight="1" x14ac:dyDescent="0.3">
      <c r="B78" s="118"/>
      <c r="C78" s="54"/>
      <c r="D78" s="54"/>
      <c r="E78" s="54"/>
      <c r="F78" s="54"/>
      <c r="G78" s="54"/>
      <c r="H78" s="205" t="str">
        <f>IF('HSC-AD data'!$C$23=0,"","• "&amp;'HSC-AD data'!C88)</f>
        <v/>
      </c>
      <c r="I78" s="54"/>
      <c r="J78" s="54"/>
      <c r="K78" s="54"/>
      <c r="L78" s="54"/>
      <c r="M78" s="54"/>
      <c r="N78" s="125"/>
      <c r="O78" s="262"/>
      <c r="P78" s="262"/>
      <c r="Q78" s="54"/>
      <c r="R78" s="54"/>
      <c r="S78" s="54"/>
      <c r="T78" s="54"/>
      <c r="U78" s="54"/>
      <c r="V78" s="54"/>
      <c r="W78" s="54"/>
      <c r="X78" s="54"/>
      <c r="Y78" s="54"/>
      <c r="Z78" s="54"/>
      <c r="AA78" s="54"/>
      <c r="AB78" s="54"/>
    </row>
    <row r="79" spans="2:28" ht="24" customHeight="1" x14ac:dyDescent="0.3">
      <c r="B79" s="118"/>
      <c r="C79" s="54"/>
      <c r="D79" s="54"/>
      <c r="E79" s="54"/>
      <c r="F79" s="54"/>
      <c r="G79" s="54"/>
      <c r="H79" s="205" t="str">
        <f>IF('HSC-AD data'!$C$23=0,"","• "&amp;'HSC-AD data'!C89)</f>
        <v/>
      </c>
      <c r="I79" s="54"/>
      <c r="J79" s="54"/>
      <c r="K79" s="54"/>
      <c r="L79" s="54"/>
      <c r="M79" s="54"/>
      <c r="N79" s="261"/>
      <c r="O79" s="261"/>
      <c r="P79" s="261"/>
      <c r="Q79" s="54"/>
      <c r="R79" s="54"/>
      <c r="S79" s="54"/>
      <c r="T79" s="54"/>
      <c r="U79" s="54"/>
      <c r="V79" s="54"/>
      <c r="W79" s="54"/>
      <c r="X79" s="54"/>
      <c r="Y79" s="54"/>
      <c r="Z79" s="54"/>
      <c r="AA79" s="54"/>
      <c r="AB79" s="54"/>
    </row>
    <row r="80" spans="2:28" x14ac:dyDescent="0.3">
      <c r="B80" s="118"/>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row>
    <row r="81" spans="2:28" ht="17.25" customHeight="1" x14ac:dyDescent="0.3">
      <c r="B81" s="166"/>
      <c r="C81" s="167"/>
      <c r="D81" s="167"/>
      <c r="E81" s="167"/>
      <c r="F81" s="167"/>
      <c r="G81" s="168"/>
      <c r="H81" s="168"/>
      <c r="I81" s="168"/>
      <c r="J81" s="168"/>
      <c r="K81" s="428" t="s">
        <v>153</v>
      </c>
      <c r="L81" s="428"/>
      <c r="M81" s="428"/>
      <c r="N81" s="428"/>
      <c r="O81" s="428"/>
      <c r="P81" s="267"/>
      <c r="Q81" s="267"/>
      <c r="R81" s="168"/>
      <c r="S81" s="168"/>
      <c r="T81" s="167"/>
      <c r="U81" s="167"/>
      <c r="V81" s="429" t="s">
        <v>587</v>
      </c>
      <c r="W81" s="429"/>
      <c r="X81" s="429"/>
      <c r="Y81" s="429"/>
      <c r="Z81" s="429"/>
      <c r="AA81" s="429"/>
      <c r="AB81" s="430"/>
    </row>
  </sheetData>
  <sheetProtection algorithmName="SHA-512" hashValue="4lUBAkAsQ5hYKEjFOTptj6gcXINLgt5CaU6waWb7DaPeJlK1azxT7wb98aZdeFXCjkJWWAxiPToknCuzyGniTA==" saltValue="kqyCMyBAlYmHFkDB+l3OVQ==" spinCount="100000" sheet="1" selectLockedCells="1"/>
  <mergeCells count="20">
    <mergeCell ref="C60:C63"/>
    <mergeCell ref="AA7:AB7"/>
    <mergeCell ref="G74:M74"/>
    <mergeCell ref="M19:N19"/>
    <mergeCell ref="D5:I5"/>
    <mergeCell ref="C40:C43"/>
    <mergeCell ref="C44:C46"/>
    <mergeCell ref="C48:C49"/>
    <mergeCell ref="C54:C58"/>
    <mergeCell ref="C50:C53"/>
    <mergeCell ref="D31:I31"/>
    <mergeCell ref="D32:I32"/>
    <mergeCell ref="D33:I33"/>
    <mergeCell ref="Q38:S38"/>
    <mergeCell ref="N38:P38"/>
    <mergeCell ref="K81:O81"/>
    <mergeCell ref="V81:AB81"/>
    <mergeCell ref="D68:E69"/>
    <mergeCell ref="T59:AB60"/>
    <mergeCell ref="T61:AB64"/>
  </mergeCells>
  <phoneticPr fontId="73" type="noConversion"/>
  <conditionalFormatting sqref="E18">
    <cfRule type="cellIs" dxfId="35" priority="11" operator="lessThan">
      <formula>-15</formula>
    </cfRule>
  </conditionalFormatting>
  <conditionalFormatting sqref="G42:S42">
    <cfRule type="expression" dxfId="28" priority="15">
      <formula>G42&lt;G43</formula>
    </cfRule>
  </conditionalFormatting>
  <conditionalFormatting sqref="S39:S64">
    <cfRule type="expression" dxfId="6" priority="14">
      <formula>OR($S$41&lt;$S$40,$E$9&lt;$S$43)</formula>
    </cfRule>
  </conditionalFormatting>
  <conditionalFormatting sqref="T53">
    <cfRule type="expression" dxfId="2" priority="162">
      <formula>COUNTIF($G$53:$S$53,"&gt;"&amp;$E$15)</formula>
    </cfRule>
  </conditionalFormatting>
  <dataValidations disablePrompts="1" xWindow="624" yWindow="849" count="6">
    <dataValidation type="decimal" operator="lessThan" allowBlank="1" showErrorMessage="1" errorTitle="Cooling must be negative" error="Cooling must be negative" promptTitle="Cooling must be negative" sqref="E18" xr:uid="{00000000-0002-0000-0000-000000000000}">
      <formula1>0</formula1>
    </dataValidation>
    <dataValidation type="list" allowBlank="1" showInputMessage="1" showErrorMessage="1" sqref="M9" xr:uid="{00000000-0002-0000-0000-000001000000}">
      <formula1>adpi.</formula1>
    </dataValidation>
    <dataValidation type="decimal" allowBlank="1" showInputMessage="1" showErrorMessage="1" sqref="M29" xr:uid="{00000000-0002-0000-0000-000002000000}">
      <formula1>0</formula1>
      <formula2>100</formula2>
    </dataValidation>
    <dataValidation type="decimal" operator="greaterThanOrEqual" allowBlank="1" showInputMessage="1" showErrorMessage="1" error="dT (heating) must be larger than '+1 K'" sqref="M21" xr:uid="{00000000-0002-0000-0000-000003000000}">
      <formula1>1</formula1>
    </dataValidation>
    <dataValidation type="decimal" errorStyle="warning" allowBlank="1" showErrorMessage="1" errorTitle="Recommended Height" error="Recommended diffuser height is between 2 and 20 m. Consider the SMARTEMP JSC-AD" sqref="E15" xr:uid="{00000000-0002-0000-0000-000004000000}">
      <formula1>2</formula1>
      <formula2>20</formula2>
    </dataValidation>
    <dataValidation type="decimal" allowBlank="1" showInputMessage="1" showErrorMessage="1" errorTitle="Invalid Number" error="Please enter a number between 0 and 100" sqref="E11" xr:uid="{A351DC26-7B64-42C9-845F-70CB65AA62F5}">
      <formula1>0</formula1>
      <formula2>100</formula2>
    </dataValidation>
  </dataValidations>
  <hyperlinks>
    <hyperlink ref="K81:O81" r:id="rId1" display="click to see product on smartair.asia" xr:uid="{00000000-0004-0000-0000-000000000000}"/>
  </hyperlinks>
  <pageMargins left="0.7" right="0.7" top="0.75" bottom="0.75" header="0.3" footer="0.3"/>
  <pageSetup paperSize="8" scale="61" orientation="landscape" r:id="rId2"/>
  <drawing r:id="rId3"/>
  <legacyDrawing r:id="rId4"/>
  <oleObjects>
    <mc:AlternateContent xmlns:mc="http://schemas.openxmlformats.org/markup-compatibility/2006">
      <mc:Choice Requires="x14">
        <oleObject progId="Visio.Drawing.15" shapeId="102372" r:id="rId5">
          <objectPr defaultSize="0" autoPict="0" r:id="rId6">
            <anchor moveWithCells="1">
              <from>
                <xdr:col>20</xdr:col>
                <xdr:colOff>83820</xdr:colOff>
                <xdr:row>38</xdr:row>
                <xdr:rowOff>228600</xdr:rowOff>
              </from>
              <to>
                <xdr:col>26</xdr:col>
                <xdr:colOff>426720</xdr:colOff>
                <xdr:row>50</xdr:row>
                <xdr:rowOff>251460</xdr:rowOff>
              </to>
            </anchor>
          </objectPr>
        </oleObject>
      </mc:Choice>
      <mc:Fallback>
        <oleObject progId="Visio.Drawing.15" shapeId="102372" r:id="rId5"/>
      </mc:Fallback>
    </mc:AlternateContent>
  </oleObjects>
  <mc:AlternateContent xmlns:mc="http://schemas.openxmlformats.org/markup-compatibility/2006">
    <mc:Choice Requires="x14">
      <controls>
        <mc:AlternateContent xmlns:mc="http://schemas.openxmlformats.org/markup-compatibility/2006">
          <mc:Choice Requires="x14">
            <control shapeId="1031" r:id="rId7" name="Check Box 7">
              <controlPr defaultSize="0" autoFill="0" autoLine="0" autoPict="0">
                <anchor moveWithCells="1">
                  <from>
                    <xdr:col>9</xdr:col>
                    <xdr:colOff>693420</xdr:colOff>
                    <xdr:row>23</xdr:row>
                    <xdr:rowOff>182880</xdr:rowOff>
                  </from>
                  <to>
                    <xdr:col>11</xdr:col>
                    <xdr:colOff>297180</xdr:colOff>
                    <xdr:row>25</xdr:row>
                    <xdr:rowOff>0</xdr:rowOff>
                  </to>
                </anchor>
              </controlPr>
            </control>
          </mc:Choice>
        </mc:AlternateContent>
        <mc:AlternateContent xmlns:mc="http://schemas.openxmlformats.org/markup-compatibility/2006">
          <mc:Choice Requires="x14">
            <control shapeId="1032" r:id="rId8" name="Group Box 8">
              <controlPr defaultSize="0" autoFill="0" autoPict="0">
                <anchor moveWithCells="1">
                  <from>
                    <xdr:col>9</xdr:col>
                    <xdr:colOff>624840</xdr:colOff>
                    <xdr:row>11</xdr:row>
                    <xdr:rowOff>76200</xdr:rowOff>
                  </from>
                  <to>
                    <xdr:col>13</xdr:col>
                    <xdr:colOff>15240</xdr:colOff>
                    <xdr:row>17</xdr:row>
                    <xdr:rowOff>53340</xdr:rowOff>
                  </to>
                </anchor>
              </controlPr>
            </control>
          </mc:Choice>
        </mc:AlternateContent>
        <mc:AlternateContent xmlns:mc="http://schemas.openxmlformats.org/markup-compatibility/2006">
          <mc:Choice Requires="x14">
            <control shapeId="1033" r:id="rId9" name="Option Button 9">
              <controlPr defaultSize="0" autoFill="0" autoLine="0" autoPict="0">
                <anchor moveWithCells="1">
                  <from>
                    <xdr:col>9</xdr:col>
                    <xdr:colOff>762000</xdr:colOff>
                    <xdr:row>11</xdr:row>
                    <xdr:rowOff>175260</xdr:rowOff>
                  </from>
                  <to>
                    <xdr:col>10</xdr:col>
                    <xdr:colOff>327660</xdr:colOff>
                    <xdr:row>12</xdr:row>
                    <xdr:rowOff>190500</xdr:rowOff>
                  </to>
                </anchor>
              </controlPr>
            </control>
          </mc:Choice>
        </mc:AlternateContent>
        <mc:AlternateContent xmlns:mc="http://schemas.openxmlformats.org/markup-compatibility/2006">
          <mc:Choice Requires="x14">
            <control shapeId="1034" r:id="rId10" name="Option Button 10">
              <controlPr defaultSize="0" autoFill="0" autoLine="0" autoPict="0">
                <anchor moveWithCells="1">
                  <from>
                    <xdr:col>9</xdr:col>
                    <xdr:colOff>762000</xdr:colOff>
                    <xdr:row>13</xdr:row>
                    <xdr:rowOff>160020</xdr:rowOff>
                  </from>
                  <to>
                    <xdr:col>11</xdr:col>
                    <xdr:colOff>571500</xdr:colOff>
                    <xdr:row>14</xdr:row>
                    <xdr:rowOff>175260</xdr:rowOff>
                  </to>
                </anchor>
              </controlPr>
            </control>
          </mc:Choice>
        </mc:AlternateContent>
        <mc:AlternateContent xmlns:mc="http://schemas.openxmlformats.org/markup-compatibility/2006">
          <mc:Choice Requires="x14">
            <control shapeId="1035" r:id="rId11" name="Option Button 11">
              <controlPr defaultSize="0" autoFill="0" autoLine="0" autoPict="0">
                <anchor moveWithCells="1">
                  <from>
                    <xdr:col>9</xdr:col>
                    <xdr:colOff>769620</xdr:colOff>
                    <xdr:row>15</xdr:row>
                    <xdr:rowOff>167640</xdr:rowOff>
                  </from>
                  <to>
                    <xdr:col>11</xdr:col>
                    <xdr:colOff>365760</xdr:colOff>
                    <xdr:row>16</xdr:row>
                    <xdr:rowOff>182880</xdr:rowOff>
                  </to>
                </anchor>
              </controlPr>
            </control>
          </mc:Choice>
        </mc:AlternateContent>
        <mc:AlternateContent xmlns:mc="http://schemas.openxmlformats.org/markup-compatibility/2006">
          <mc:Choice Requires="x14">
            <control shapeId="1062" r:id="rId12" name="Group Box 38">
              <controlPr defaultSize="0" autoFill="0" autoPict="0">
                <anchor moveWithCells="1">
                  <from>
                    <xdr:col>4</xdr:col>
                    <xdr:colOff>967740</xdr:colOff>
                    <xdr:row>70</xdr:row>
                    <xdr:rowOff>30480</xdr:rowOff>
                  </from>
                  <to>
                    <xdr:col>19</xdr:col>
                    <xdr:colOff>548640</xdr:colOff>
                    <xdr:row>71</xdr:row>
                    <xdr:rowOff>15240</xdr:rowOff>
                  </to>
                </anchor>
              </controlPr>
            </control>
          </mc:Choice>
        </mc:AlternateContent>
        <mc:AlternateContent xmlns:mc="http://schemas.openxmlformats.org/markup-compatibility/2006">
          <mc:Choice Requires="x14">
            <control shapeId="1065" r:id="rId13" name="Option Button 41">
              <controlPr defaultSize="0" autoFill="0" autoLine="0" autoPict="0">
                <anchor moveWithCells="1">
                  <from>
                    <xdr:col>5</xdr:col>
                    <xdr:colOff>259080</xdr:colOff>
                    <xdr:row>70</xdr:row>
                    <xdr:rowOff>30480</xdr:rowOff>
                  </from>
                  <to>
                    <xdr:col>6</xdr:col>
                    <xdr:colOff>601980</xdr:colOff>
                    <xdr:row>70</xdr:row>
                    <xdr:rowOff>297180</xdr:rowOff>
                  </to>
                </anchor>
              </controlPr>
            </control>
          </mc:Choice>
        </mc:AlternateContent>
        <mc:AlternateContent xmlns:mc="http://schemas.openxmlformats.org/markup-compatibility/2006">
          <mc:Choice Requires="x14">
            <control shapeId="1069" r:id="rId14" name="Group Box 45">
              <controlPr defaultSize="0" autoFill="0" autoPict="0">
                <anchor moveWithCells="1">
                  <from>
                    <xdr:col>5</xdr:col>
                    <xdr:colOff>243840</xdr:colOff>
                    <xdr:row>71</xdr:row>
                    <xdr:rowOff>15240</xdr:rowOff>
                  </from>
                  <to>
                    <xdr:col>19</xdr:col>
                    <xdr:colOff>91440</xdr:colOff>
                    <xdr:row>72</xdr:row>
                    <xdr:rowOff>0</xdr:rowOff>
                  </to>
                </anchor>
              </controlPr>
            </control>
          </mc:Choice>
        </mc:AlternateContent>
        <mc:AlternateContent xmlns:mc="http://schemas.openxmlformats.org/markup-compatibility/2006">
          <mc:Choice Requires="x14">
            <control shapeId="1071" r:id="rId15" name="Option Button 47">
              <controlPr defaultSize="0" autoFill="0" autoLine="0" autoPict="0">
                <anchor moveWithCells="1">
                  <from>
                    <xdr:col>6</xdr:col>
                    <xdr:colOff>22860</xdr:colOff>
                    <xdr:row>71</xdr:row>
                    <xdr:rowOff>38100</xdr:rowOff>
                  </from>
                  <to>
                    <xdr:col>7</xdr:col>
                    <xdr:colOff>609600</xdr:colOff>
                    <xdr:row>71</xdr:row>
                    <xdr:rowOff>274320</xdr:rowOff>
                  </to>
                </anchor>
              </controlPr>
            </control>
          </mc:Choice>
        </mc:AlternateContent>
        <mc:AlternateContent xmlns:mc="http://schemas.openxmlformats.org/markup-compatibility/2006">
          <mc:Choice Requires="x14">
            <control shapeId="1072" r:id="rId16" name="Option Button 48">
              <controlPr defaultSize="0" autoFill="0" autoLine="0" autoPict="0">
                <anchor moveWithCells="1">
                  <from>
                    <xdr:col>8</xdr:col>
                    <xdr:colOff>60960</xdr:colOff>
                    <xdr:row>71</xdr:row>
                    <xdr:rowOff>45720</xdr:rowOff>
                  </from>
                  <to>
                    <xdr:col>9</xdr:col>
                    <xdr:colOff>243840</xdr:colOff>
                    <xdr:row>71</xdr:row>
                    <xdr:rowOff>281940</xdr:rowOff>
                  </to>
                </anchor>
              </controlPr>
            </control>
          </mc:Choice>
        </mc:AlternateContent>
        <mc:AlternateContent xmlns:mc="http://schemas.openxmlformats.org/markup-compatibility/2006">
          <mc:Choice Requires="x14">
            <control shapeId="1073" r:id="rId17" name="Option Button 49">
              <controlPr defaultSize="0" autoFill="0" autoLine="0" autoPict="0">
                <anchor moveWithCells="1">
                  <from>
                    <xdr:col>9</xdr:col>
                    <xdr:colOff>754380</xdr:colOff>
                    <xdr:row>71</xdr:row>
                    <xdr:rowOff>45720</xdr:rowOff>
                  </from>
                  <to>
                    <xdr:col>10</xdr:col>
                    <xdr:colOff>670560</xdr:colOff>
                    <xdr:row>71</xdr:row>
                    <xdr:rowOff>281940</xdr:rowOff>
                  </to>
                </anchor>
              </controlPr>
            </control>
          </mc:Choice>
        </mc:AlternateContent>
        <mc:AlternateContent xmlns:mc="http://schemas.openxmlformats.org/markup-compatibility/2006">
          <mc:Choice Requires="x14">
            <control shapeId="1076" r:id="rId18" name="Group Box 52">
              <controlPr defaultSize="0" autoFill="0" autoPict="0">
                <anchor moveWithCells="1">
                  <from>
                    <xdr:col>5</xdr:col>
                    <xdr:colOff>213360</xdr:colOff>
                    <xdr:row>7</xdr:row>
                    <xdr:rowOff>152400</xdr:rowOff>
                  </from>
                  <to>
                    <xdr:col>7</xdr:col>
                    <xdr:colOff>320040</xdr:colOff>
                    <xdr:row>9</xdr:row>
                    <xdr:rowOff>53340</xdr:rowOff>
                  </to>
                </anchor>
              </controlPr>
            </control>
          </mc:Choice>
        </mc:AlternateContent>
        <mc:AlternateContent xmlns:mc="http://schemas.openxmlformats.org/markup-compatibility/2006">
          <mc:Choice Requires="x14">
            <control shapeId="1077" r:id="rId19" name="Option Button 53">
              <controlPr defaultSize="0" autoFill="0" autoLine="0" autoPict="0">
                <anchor moveWithCells="1">
                  <from>
                    <xdr:col>5</xdr:col>
                    <xdr:colOff>281940</xdr:colOff>
                    <xdr:row>8</xdr:row>
                    <xdr:rowOff>15240</xdr:rowOff>
                  </from>
                  <to>
                    <xdr:col>6</xdr:col>
                    <xdr:colOff>53340</xdr:colOff>
                    <xdr:row>9</xdr:row>
                    <xdr:rowOff>22860</xdr:rowOff>
                  </to>
                </anchor>
              </controlPr>
            </control>
          </mc:Choice>
        </mc:AlternateContent>
        <mc:AlternateContent xmlns:mc="http://schemas.openxmlformats.org/markup-compatibility/2006">
          <mc:Choice Requires="x14">
            <control shapeId="1078" r:id="rId20" name="Option Button 54">
              <controlPr defaultSize="0" autoFill="0" autoLine="0" autoPict="0">
                <anchor moveWithCells="1">
                  <from>
                    <xdr:col>6</xdr:col>
                    <xdr:colOff>670560</xdr:colOff>
                    <xdr:row>8</xdr:row>
                    <xdr:rowOff>7620</xdr:rowOff>
                  </from>
                  <to>
                    <xdr:col>7</xdr:col>
                    <xdr:colOff>15240</xdr:colOff>
                    <xdr:row>9</xdr:row>
                    <xdr:rowOff>7620</xdr:rowOff>
                  </to>
                </anchor>
              </controlPr>
            </control>
          </mc:Choice>
        </mc:AlternateContent>
        <mc:AlternateContent xmlns:mc="http://schemas.openxmlformats.org/markup-compatibility/2006">
          <mc:Choice Requires="x14">
            <control shapeId="1079" r:id="rId21" name="Check Box 55">
              <controlPr defaultSize="0" autoFill="0" autoLine="0" autoPict="0">
                <anchor moveWithCells="1">
                  <from>
                    <xdr:col>10</xdr:col>
                    <xdr:colOff>373380</xdr:colOff>
                    <xdr:row>19</xdr:row>
                    <xdr:rowOff>182880</xdr:rowOff>
                  </from>
                  <to>
                    <xdr:col>10</xdr:col>
                    <xdr:colOff>762000</xdr:colOff>
                    <xdr:row>21</xdr:row>
                    <xdr:rowOff>0</xdr:rowOff>
                  </to>
                </anchor>
              </controlPr>
            </control>
          </mc:Choice>
        </mc:AlternateContent>
        <mc:AlternateContent xmlns:mc="http://schemas.openxmlformats.org/markup-compatibility/2006">
          <mc:Choice Requires="x14">
            <control shapeId="1133" r:id="rId22" name="Group Box 109">
              <controlPr defaultSize="0" autoFill="0" autoPict="0">
                <anchor moveWithCells="1">
                  <from>
                    <xdr:col>4</xdr:col>
                    <xdr:colOff>982980</xdr:colOff>
                    <xdr:row>66</xdr:row>
                    <xdr:rowOff>152400</xdr:rowOff>
                  </from>
                  <to>
                    <xdr:col>23</xdr:col>
                    <xdr:colOff>220980</xdr:colOff>
                    <xdr:row>68</xdr:row>
                    <xdr:rowOff>0</xdr:rowOff>
                  </to>
                </anchor>
              </controlPr>
            </control>
          </mc:Choice>
        </mc:AlternateContent>
        <mc:AlternateContent xmlns:mc="http://schemas.openxmlformats.org/markup-compatibility/2006">
          <mc:Choice Requires="x14">
            <control shapeId="1135" r:id="rId23" name="Option Button 111">
              <controlPr defaultSize="0" autoFill="0" autoLine="0" autoPict="0">
                <anchor moveWithCells="1">
                  <from>
                    <xdr:col>6</xdr:col>
                    <xdr:colOff>304800</xdr:colOff>
                    <xdr:row>67</xdr:row>
                    <xdr:rowOff>30480</xdr:rowOff>
                  </from>
                  <to>
                    <xdr:col>6</xdr:col>
                    <xdr:colOff>609600</xdr:colOff>
                    <xdr:row>68</xdr:row>
                    <xdr:rowOff>0</xdr:rowOff>
                  </to>
                </anchor>
              </controlPr>
            </control>
          </mc:Choice>
        </mc:AlternateContent>
        <mc:AlternateContent xmlns:mc="http://schemas.openxmlformats.org/markup-compatibility/2006">
          <mc:Choice Requires="x14">
            <control shapeId="1136" r:id="rId24" name="Option Button 112">
              <controlPr defaultSize="0" autoFill="0" autoLine="0" autoPict="0">
                <anchor moveWithCells="1">
                  <from>
                    <xdr:col>7</xdr:col>
                    <xdr:colOff>297180</xdr:colOff>
                    <xdr:row>67</xdr:row>
                    <xdr:rowOff>30480</xdr:rowOff>
                  </from>
                  <to>
                    <xdr:col>7</xdr:col>
                    <xdr:colOff>601980</xdr:colOff>
                    <xdr:row>68</xdr:row>
                    <xdr:rowOff>0</xdr:rowOff>
                  </to>
                </anchor>
              </controlPr>
            </control>
          </mc:Choice>
        </mc:AlternateContent>
        <mc:AlternateContent xmlns:mc="http://schemas.openxmlformats.org/markup-compatibility/2006">
          <mc:Choice Requires="x14">
            <control shapeId="1137" r:id="rId25" name="Option Button 113">
              <controlPr defaultSize="0" autoFill="0" autoLine="0" autoPict="0">
                <anchor moveWithCells="1">
                  <from>
                    <xdr:col>8</xdr:col>
                    <xdr:colOff>335280</xdr:colOff>
                    <xdr:row>67</xdr:row>
                    <xdr:rowOff>30480</xdr:rowOff>
                  </from>
                  <to>
                    <xdr:col>8</xdr:col>
                    <xdr:colOff>640080</xdr:colOff>
                    <xdr:row>68</xdr:row>
                    <xdr:rowOff>0</xdr:rowOff>
                  </to>
                </anchor>
              </controlPr>
            </control>
          </mc:Choice>
        </mc:AlternateContent>
        <mc:AlternateContent xmlns:mc="http://schemas.openxmlformats.org/markup-compatibility/2006">
          <mc:Choice Requires="x14">
            <control shapeId="1138" r:id="rId26" name="Option Button 114">
              <controlPr defaultSize="0" autoFill="0" autoLine="0" autoPict="0">
                <anchor moveWithCells="1">
                  <from>
                    <xdr:col>9</xdr:col>
                    <xdr:colOff>304800</xdr:colOff>
                    <xdr:row>67</xdr:row>
                    <xdr:rowOff>30480</xdr:rowOff>
                  </from>
                  <to>
                    <xdr:col>9</xdr:col>
                    <xdr:colOff>609600</xdr:colOff>
                    <xdr:row>68</xdr:row>
                    <xdr:rowOff>0</xdr:rowOff>
                  </to>
                </anchor>
              </controlPr>
            </control>
          </mc:Choice>
        </mc:AlternateContent>
        <mc:AlternateContent xmlns:mc="http://schemas.openxmlformats.org/markup-compatibility/2006">
          <mc:Choice Requires="x14">
            <control shapeId="1139" r:id="rId27" name="Option Button 115">
              <controlPr defaultSize="0" autoFill="0" autoLine="0" autoPict="0">
                <anchor moveWithCells="1">
                  <from>
                    <xdr:col>10</xdr:col>
                    <xdr:colOff>365760</xdr:colOff>
                    <xdr:row>67</xdr:row>
                    <xdr:rowOff>0</xdr:rowOff>
                  </from>
                  <to>
                    <xdr:col>10</xdr:col>
                    <xdr:colOff>670560</xdr:colOff>
                    <xdr:row>67</xdr:row>
                    <xdr:rowOff>228600</xdr:rowOff>
                  </to>
                </anchor>
              </controlPr>
            </control>
          </mc:Choice>
        </mc:AlternateContent>
        <mc:AlternateContent xmlns:mc="http://schemas.openxmlformats.org/markup-compatibility/2006">
          <mc:Choice Requires="x14">
            <control shapeId="1140" r:id="rId28" name="Option Button 116">
              <controlPr defaultSize="0" autoFill="0" autoLine="0" autoPict="0">
                <anchor moveWithCells="1">
                  <from>
                    <xdr:col>11</xdr:col>
                    <xdr:colOff>381000</xdr:colOff>
                    <xdr:row>67</xdr:row>
                    <xdr:rowOff>0</xdr:rowOff>
                  </from>
                  <to>
                    <xdr:col>11</xdr:col>
                    <xdr:colOff>685800</xdr:colOff>
                    <xdr:row>67</xdr:row>
                    <xdr:rowOff>228600</xdr:rowOff>
                  </to>
                </anchor>
              </controlPr>
            </control>
          </mc:Choice>
        </mc:AlternateContent>
        <mc:AlternateContent xmlns:mc="http://schemas.openxmlformats.org/markup-compatibility/2006">
          <mc:Choice Requires="x14">
            <control shapeId="1141" r:id="rId29" name="Option Button 117">
              <controlPr defaultSize="0" autoFill="0" autoLine="0" autoPict="0">
                <anchor moveWithCells="1">
                  <from>
                    <xdr:col>12</xdr:col>
                    <xdr:colOff>365760</xdr:colOff>
                    <xdr:row>67</xdr:row>
                    <xdr:rowOff>0</xdr:rowOff>
                  </from>
                  <to>
                    <xdr:col>12</xdr:col>
                    <xdr:colOff>670560</xdr:colOff>
                    <xdr:row>67</xdr:row>
                    <xdr:rowOff>228600</xdr:rowOff>
                  </to>
                </anchor>
              </controlPr>
            </control>
          </mc:Choice>
        </mc:AlternateContent>
        <mc:AlternateContent xmlns:mc="http://schemas.openxmlformats.org/markup-compatibility/2006">
          <mc:Choice Requires="x14">
            <control shapeId="1143" r:id="rId30" name="Option Button 119">
              <controlPr defaultSize="0" autoFill="0" autoLine="0" autoPict="0">
                <anchor moveWithCells="1">
                  <from>
                    <xdr:col>13</xdr:col>
                    <xdr:colOff>373380</xdr:colOff>
                    <xdr:row>66</xdr:row>
                    <xdr:rowOff>190500</xdr:rowOff>
                  </from>
                  <to>
                    <xdr:col>13</xdr:col>
                    <xdr:colOff>678180</xdr:colOff>
                    <xdr:row>67</xdr:row>
                    <xdr:rowOff>228600</xdr:rowOff>
                  </to>
                </anchor>
              </controlPr>
            </control>
          </mc:Choice>
        </mc:AlternateContent>
        <mc:AlternateContent xmlns:mc="http://schemas.openxmlformats.org/markup-compatibility/2006">
          <mc:Choice Requires="x14">
            <control shapeId="1145" r:id="rId31" name="Option Button 121">
              <controlPr defaultSize="0" autoFill="0" autoLine="0" autoPict="0">
                <anchor moveWithCells="1">
                  <from>
                    <xdr:col>14</xdr:col>
                    <xdr:colOff>365760</xdr:colOff>
                    <xdr:row>66</xdr:row>
                    <xdr:rowOff>190500</xdr:rowOff>
                  </from>
                  <to>
                    <xdr:col>14</xdr:col>
                    <xdr:colOff>670560</xdr:colOff>
                    <xdr:row>67</xdr:row>
                    <xdr:rowOff>228600</xdr:rowOff>
                  </to>
                </anchor>
              </controlPr>
            </control>
          </mc:Choice>
        </mc:AlternateContent>
        <mc:AlternateContent xmlns:mc="http://schemas.openxmlformats.org/markup-compatibility/2006">
          <mc:Choice Requires="x14">
            <control shapeId="1146" r:id="rId32" name="Option Button 122">
              <controlPr defaultSize="0" autoFill="0" autoLine="0" autoPict="0">
                <anchor moveWithCells="1">
                  <from>
                    <xdr:col>15</xdr:col>
                    <xdr:colOff>335280</xdr:colOff>
                    <xdr:row>66</xdr:row>
                    <xdr:rowOff>190500</xdr:rowOff>
                  </from>
                  <to>
                    <xdr:col>15</xdr:col>
                    <xdr:colOff>640080</xdr:colOff>
                    <xdr:row>67</xdr:row>
                    <xdr:rowOff>228600</xdr:rowOff>
                  </to>
                </anchor>
              </controlPr>
            </control>
          </mc:Choice>
        </mc:AlternateContent>
        <mc:AlternateContent xmlns:mc="http://schemas.openxmlformats.org/markup-compatibility/2006">
          <mc:Choice Requires="x14">
            <control shapeId="1371" r:id="rId33" name="Group Box 347">
              <controlPr defaultSize="0" autoFill="0" autoPict="0">
                <anchor moveWithCells="1">
                  <from>
                    <xdr:col>10</xdr:col>
                    <xdr:colOff>274320</xdr:colOff>
                    <xdr:row>17</xdr:row>
                    <xdr:rowOff>114300</xdr:rowOff>
                  </from>
                  <to>
                    <xdr:col>19</xdr:col>
                    <xdr:colOff>358140</xdr:colOff>
                    <xdr:row>19</xdr:row>
                    <xdr:rowOff>137160</xdr:rowOff>
                  </to>
                </anchor>
              </controlPr>
            </control>
          </mc:Choice>
        </mc:AlternateContent>
        <mc:AlternateContent xmlns:mc="http://schemas.openxmlformats.org/markup-compatibility/2006">
          <mc:Choice Requires="x14">
            <control shapeId="1372" r:id="rId34" name="Option Button 348">
              <controlPr defaultSize="0" autoFill="0" autoLine="0" autoPict="0">
                <anchor moveWithCells="1">
                  <from>
                    <xdr:col>12</xdr:col>
                    <xdr:colOff>236220</xdr:colOff>
                    <xdr:row>17</xdr:row>
                    <xdr:rowOff>175260</xdr:rowOff>
                  </from>
                  <to>
                    <xdr:col>12</xdr:col>
                    <xdr:colOff>822960</xdr:colOff>
                    <xdr:row>19</xdr:row>
                    <xdr:rowOff>30480</xdr:rowOff>
                  </to>
                </anchor>
              </controlPr>
            </control>
          </mc:Choice>
        </mc:AlternateContent>
        <mc:AlternateContent xmlns:mc="http://schemas.openxmlformats.org/markup-compatibility/2006">
          <mc:Choice Requires="x14">
            <control shapeId="1373" r:id="rId35" name="Option Button 349">
              <controlPr defaultSize="0" autoFill="0" autoLine="0" autoPict="0">
                <anchor moveWithCells="1">
                  <from>
                    <xdr:col>13</xdr:col>
                    <xdr:colOff>678180</xdr:colOff>
                    <xdr:row>17</xdr:row>
                    <xdr:rowOff>175260</xdr:rowOff>
                  </from>
                  <to>
                    <xdr:col>14</xdr:col>
                    <xdr:colOff>716280</xdr:colOff>
                    <xdr:row>19</xdr:row>
                    <xdr:rowOff>30480</xdr:rowOff>
                  </to>
                </anchor>
              </controlPr>
            </control>
          </mc:Choice>
        </mc:AlternateContent>
        <mc:AlternateContent xmlns:mc="http://schemas.openxmlformats.org/markup-compatibility/2006">
          <mc:Choice Requires="x14">
            <control shapeId="1631" r:id="rId36" name="Group Box 607">
              <controlPr defaultSize="0" autoFill="0" autoPict="0">
                <anchor moveWithCells="1">
                  <from>
                    <xdr:col>5</xdr:col>
                    <xdr:colOff>243840</xdr:colOff>
                    <xdr:row>69</xdr:row>
                    <xdr:rowOff>0</xdr:rowOff>
                  </from>
                  <to>
                    <xdr:col>19</xdr:col>
                    <xdr:colOff>381000</xdr:colOff>
                    <xdr:row>69</xdr:row>
                    <xdr:rowOff>312420</xdr:rowOff>
                  </to>
                </anchor>
              </controlPr>
            </control>
          </mc:Choice>
        </mc:AlternateContent>
        <mc:AlternateContent xmlns:mc="http://schemas.openxmlformats.org/markup-compatibility/2006">
          <mc:Choice Requires="x14">
            <control shapeId="1633" r:id="rId37" name="Option Button 609">
              <controlPr defaultSize="0" autoFill="0" autoLine="0" autoPict="0">
                <anchor moveWithCells="1">
                  <from>
                    <xdr:col>5</xdr:col>
                    <xdr:colOff>274320</xdr:colOff>
                    <xdr:row>69</xdr:row>
                    <xdr:rowOff>53340</xdr:rowOff>
                  </from>
                  <to>
                    <xdr:col>6</xdr:col>
                    <xdr:colOff>533400</xdr:colOff>
                    <xdr:row>69</xdr:row>
                    <xdr:rowOff>274320</xdr:rowOff>
                  </to>
                </anchor>
              </controlPr>
            </control>
          </mc:Choice>
        </mc:AlternateContent>
        <mc:AlternateContent xmlns:mc="http://schemas.openxmlformats.org/markup-compatibility/2006">
          <mc:Choice Requires="x14">
            <control shapeId="1635" r:id="rId38" name="Option Button 611">
              <controlPr defaultSize="0" autoFill="0" autoLine="0" autoPict="0">
                <anchor moveWithCells="1">
                  <from>
                    <xdr:col>8</xdr:col>
                    <xdr:colOff>655320</xdr:colOff>
                    <xdr:row>69</xdr:row>
                    <xdr:rowOff>38100</xdr:rowOff>
                  </from>
                  <to>
                    <xdr:col>9</xdr:col>
                    <xdr:colOff>297180</xdr:colOff>
                    <xdr:row>69</xdr:row>
                    <xdr:rowOff>259080</xdr:rowOff>
                  </to>
                </anchor>
              </controlPr>
            </control>
          </mc:Choice>
        </mc:AlternateContent>
        <mc:AlternateContent xmlns:mc="http://schemas.openxmlformats.org/markup-compatibility/2006">
          <mc:Choice Requires="x14">
            <control shapeId="1653" r:id="rId39" name="Option Button 629">
              <controlPr defaultSize="0" autoFill="0" autoLine="0" autoPict="0">
                <anchor moveWithCells="1">
                  <from>
                    <xdr:col>11</xdr:col>
                    <xdr:colOff>601980</xdr:colOff>
                    <xdr:row>69</xdr:row>
                    <xdr:rowOff>45720</xdr:rowOff>
                  </from>
                  <to>
                    <xdr:col>12</xdr:col>
                    <xdr:colOff>228600</xdr:colOff>
                    <xdr:row>69</xdr:row>
                    <xdr:rowOff>266700</xdr:rowOff>
                  </to>
                </anchor>
              </controlPr>
            </control>
          </mc:Choice>
        </mc:AlternateContent>
        <mc:AlternateContent xmlns:mc="http://schemas.openxmlformats.org/markup-compatibility/2006">
          <mc:Choice Requires="x14">
            <control shapeId="1673" r:id="rId40" name="Option Button 649">
              <controlPr defaultSize="0" autoFill="0" autoLine="0" autoPict="0">
                <anchor moveWithCells="1">
                  <from>
                    <xdr:col>6</xdr:col>
                    <xdr:colOff>723900</xdr:colOff>
                    <xdr:row>70</xdr:row>
                    <xdr:rowOff>45720</xdr:rowOff>
                  </from>
                  <to>
                    <xdr:col>7</xdr:col>
                    <xdr:colOff>647700</xdr:colOff>
                    <xdr:row>70</xdr:row>
                    <xdr:rowOff>281940</xdr:rowOff>
                  </to>
                </anchor>
              </controlPr>
            </control>
          </mc:Choice>
        </mc:AlternateContent>
        <mc:AlternateContent xmlns:mc="http://schemas.openxmlformats.org/markup-compatibility/2006">
          <mc:Choice Requires="x14">
            <control shapeId="35153" r:id="rId41" name="Option Button 3409">
              <controlPr defaultSize="0" autoFill="0" autoLine="0" autoPict="0">
                <anchor moveWithCells="1">
                  <from>
                    <xdr:col>8</xdr:col>
                    <xdr:colOff>708660</xdr:colOff>
                    <xdr:row>70</xdr:row>
                    <xdr:rowOff>45720</xdr:rowOff>
                  </from>
                  <to>
                    <xdr:col>9</xdr:col>
                    <xdr:colOff>685800</xdr:colOff>
                    <xdr:row>70</xdr:row>
                    <xdr:rowOff>281940</xdr:rowOff>
                  </to>
                </anchor>
              </controlPr>
            </control>
          </mc:Choice>
        </mc:AlternateContent>
        <mc:AlternateContent xmlns:mc="http://schemas.openxmlformats.org/markup-compatibility/2006">
          <mc:Choice Requires="x14">
            <control shapeId="35154" r:id="rId42" name="Option Button 3410">
              <controlPr defaultSize="0" autoFill="0" autoLine="0" autoPict="0">
                <anchor moveWithCells="1">
                  <from>
                    <xdr:col>10</xdr:col>
                    <xdr:colOff>807720</xdr:colOff>
                    <xdr:row>70</xdr:row>
                    <xdr:rowOff>45720</xdr:rowOff>
                  </from>
                  <to>
                    <xdr:col>11</xdr:col>
                    <xdr:colOff>784860</xdr:colOff>
                    <xdr:row>70</xdr:row>
                    <xdr:rowOff>281940</xdr:rowOff>
                  </to>
                </anchor>
              </controlPr>
            </control>
          </mc:Choice>
        </mc:AlternateContent>
        <mc:AlternateContent xmlns:mc="http://schemas.openxmlformats.org/markup-compatibility/2006">
          <mc:Choice Requires="x14">
            <control shapeId="35164" r:id="rId43" name="Option Button 3420">
              <controlPr defaultSize="0" autoFill="0" autoLine="0" autoPict="0">
                <anchor moveWithCells="1">
                  <from>
                    <xdr:col>12</xdr:col>
                    <xdr:colOff>883920</xdr:colOff>
                    <xdr:row>70</xdr:row>
                    <xdr:rowOff>30480</xdr:rowOff>
                  </from>
                  <to>
                    <xdr:col>13</xdr:col>
                    <xdr:colOff>708660</xdr:colOff>
                    <xdr:row>70</xdr:row>
                    <xdr:rowOff>274320</xdr:rowOff>
                  </to>
                </anchor>
              </controlPr>
            </control>
          </mc:Choice>
        </mc:AlternateContent>
        <mc:AlternateContent xmlns:mc="http://schemas.openxmlformats.org/markup-compatibility/2006">
          <mc:Choice Requires="x14">
            <control shapeId="35398" r:id="rId44" name="Option Button 3654">
              <controlPr defaultSize="0" autoFill="0" autoLine="0" autoPict="0">
                <anchor moveWithCells="1">
                  <from>
                    <xdr:col>12</xdr:col>
                    <xdr:colOff>53340</xdr:colOff>
                    <xdr:row>71</xdr:row>
                    <xdr:rowOff>45720</xdr:rowOff>
                  </from>
                  <to>
                    <xdr:col>12</xdr:col>
                    <xdr:colOff>899160</xdr:colOff>
                    <xdr:row>71</xdr:row>
                    <xdr:rowOff>281940</xdr:rowOff>
                  </to>
                </anchor>
              </controlPr>
            </control>
          </mc:Choice>
        </mc:AlternateContent>
        <mc:AlternateContent xmlns:mc="http://schemas.openxmlformats.org/markup-compatibility/2006">
          <mc:Choice Requires="x14">
            <control shapeId="35703" r:id="rId45" name="Group Box 3959">
              <controlPr defaultSize="0" autoFill="0" autoPict="0">
                <anchor moveWithCells="1">
                  <from>
                    <xdr:col>5</xdr:col>
                    <xdr:colOff>190500</xdr:colOff>
                    <xdr:row>71</xdr:row>
                    <xdr:rowOff>312420</xdr:rowOff>
                  </from>
                  <to>
                    <xdr:col>19</xdr:col>
                    <xdr:colOff>30480</xdr:colOff>
                    <xdr:row>72</xdr:row>
                    <xdr:rowOff>297180</xdr:rowOff>
                  </to>
                </anchor>
              </controlPr>
            </control>
          </mc:Choice>
        </mc:AlternateContent>
        <mc:AlternateContent xmlns:mc="http://schemas.openxmlformats.org/markup-compatibility/2006">
          <mc:Choice Requires="x14">
            <control shapeId="35712" r:id="rId46" name="Option Button 3968">
              <controlPr defaultSize="0" autoFill="0" autoLine="0" autoPict="0">
                <anchor moveWithCells="1">
                  <from>
                    <xdr:col>6</xdr:col>
                    <xdr:colOff>30480</xdr:colOff>
                    <xdr:row>72</xdr:row>
                    <xdr:rowOff>38100</xdr:rowOff>
                  </from>
                  <to>
                    <xdr:col>6</xdr:col>
                    <xdr:colOff>548640</xdr:colOff>
                    <xdr:row>72</xdr:row>
                    <xdr:rowOff>259080</xdr:rowOff>
                  </to>
                </anchor>
              </controlPr>
            </control>
          </mc:Choice>
        </mc:AlternateContent>
        <mc:AlternateContent xmlns:mc="http://schemas.openxmlformats.org/markup-compatibility/2006">
          <mc:Choice Requires="x14">
            <control shapeId="35713" r:id="rId47" name="Option Button 3969">
              <controlPr defaultSize="0" autoFill="0" autoLine="0" autoPict="0">
                <anchor moveWithCells="1">
                  <from>
                    <xdr:col>7</xdr:col>
                    <xdr:colOff>876300</xdr:colOff>
                    <xdr:row>72</xdr:row>
                    <xdr:rowOff>30480</xdr:rowOff>
                  </from>
                  <to>
                    <xdr:col>8</xdr:col>
                    <xdr:colOff>685800</xdr:colOff>
                    <xdr:row>72</xdr:row>
                    <xdr:rowOff>251460</xdr:rowOff>
                  </to>
                </anchor>
              </controlPr>
            </control>
          </mc:Choice>
        </mc:AlternateContent>
        <mc:AlternateContent xmlns:mc="http://schemas.openxmlformats.org/markup-compatibility/2006">
          <mc:Choice Requires="x14">
            <control shapeId="35714" r:id="rId48" name="Option Button 3970">
              <controlPr defaultSize="0" autoFill="0" autoLine="0" autoPict="0">
                <anchor moveWithCells="1">
                  <from>
                    <xdr:col>10</xdr:col>
                    <xdr:colOff>731520</xdr:colOff>
                    <xdr:row>72</xdr:row>
                    <xdr:rowOff>30480</xdr:rowOff>
                  </from>
                  <to>
                    <xdr:col>11</xdr:col>
                    <xdr:colOff>304800</xdr:colOff>
                    <xdr:row>72</xdr:row>
                    <xdr:rowOff>251460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44" id="{B2F98982-14A7-4A08-99AE-8AA2F0E493A4}">
            <xm:f>'Equations HSC-AD'!C$282</xm:f>
            <x14:dxf>
              <font>
                <color rgb="FFC00000"/>
              </font>
            </x14:dxf>
          </x14:cfRule>
          <xm:sqref>G48:R48</xm:sqref>
        </x14:conditionalFormatting>
        <x14:conditionalFormatting xmlns:xm="http://schemas.microsoft.com/office/excel/2006/main">
          <x14:cfRule type="expression" priority="7" id="{52F2DE98-1A50-456A-8544-E8581AFA61DC}">
            <xm:f>'Equations HSC-AD'!C$284</xm:f>
            <x14:dxf>
              <font>
                <color rgb="FFC00000"/>
              </font>
            </x14:dxf>
          </x14:cfRule>
          <xm:sqref>G50:R50</xm:sqref>
        </x14:conditionalFormatting>
        <x14:conditionalFormatting xmlns:xm="http://schemas.microsoft.com/office/excel/2006/main">
          <x14:cfRule type="expression" priority="153" id="{00000000-000E-0000-0000-000086000000}">
            <xm:f>'Equations HSC-AD'!C$287</xm:f>
            <x14:dxf>
              <font>
                <color rgb="FFC00000"/>
              </font>
            </x14:dxf>
          </x14:cfRule>
          <xm:sqref>G53:R53</xm:sqref>
        </x14:conditionalFormatting>
        <x14:conditionalFormatting xmlns:xm="http://schemas.microsoft.com/office/excel/2006/main">
          <x14:cfRule type="expression" priority="90" id="{00000000-000E-0000-0000-00005A000000}">
            <xm:f>'Equations HSC-AD'!C$289</xm:f>
            <x14:dxf>
              <font>
                <color rgb="FFC00000"/>
              </font>
            </x14:dxf>
          </x14:cfRule>
          <xm:sqref>G59:R63</xm:sqref>
        </x14:conditionalFormatting>
        <x14:conditionalFormatting xmlns:xm="http://schemas.microsoft.com/office/excel/2006/main">
          <x14:cfRule type="expression" priority="142" id="{00000000-000E-0000-0000-000081000000}">
            <xm:f>'Equations HSC-AD'!C$291</xm:f>
            <x14:dxf>
              <fill>
                <patternFill>
                  <bgColor theme="0" tint="-0.14996795556505021"/>
                </patternFill>
              </fill>
            </x14:dxf>
          </x14:cfRule>
          <xm:sqref>G39:S64</xm:sqref>
        </x14:conditionalFormatting>
        <x14:conditionalFormatting xmlns:xm="http://schemas.microsoft.com/office/excel/2006/main">
          <x14:cfRule type="expression" priority="19" id="{00000000-000E-0000-0000-000006000000}">
            <xm:f>'Equations HSC-AD'!C$277</xm:f>
            <x14:dxf>
              <font>
                <color rgb="FFC00000"/>
              </font>
            </x14:dxf>
          </x14:cfRule>
          <xm:sqref>G41:S41 G44:S45</xm:sqref>
        </x14:conditionalFormatting>
        <x14:conditionalFormatting xmlns:xm="http://schemas.microsoft.com/office/excel/2006/main">
          <x14:cfRule type="expression" priority="99" id="{00000000-000E-0000-0000-000056000000}">
            <xm:f>'Equations HSC-AD'!C$278</xm:f>
            <x14:dxf>
              <font>
                <color rgb="FFC00000"/>
              </font>
            </x14:dxf>
          </x14:cfRule>
          <xm:sqref>G43:S43</xm:sqref>
        </x14:conditionalFormatting>
        <x14:conditionalFormatting xmlns:xm="http://schemas.microsoft.com/office/excel/2006/main">
          <x14:cfRule type="expression" priority="12" id="{25D6B1CD-46CE-4436-98DD-9D5D6FC176EE}">
            <xm:f>'Equations HSC-AD'!C$279</xm:f>
            <x14:dxf>
              <font>
                <color rgb="FFC00000"/>
              </font>
            </x14:dxf>
          </x14:cfRule>
          <xm:sqref>G44:S44</xm:sqref>
        </x14:conditionalFormatting>
        <x14:conditionalFormatting xmlns:xm="http://schemas.microsoft.com/office/excel/2006/main">
          <x14:cfRule type="expression" priority="13" id="{42A9615A-EDF8-46CE-A54C-D496094865EC}">
            <xm:f>'Equations HSC-AD'!C$280</xm:f>
            <x14:dxf>
              <font>
                <color rgb="FFC00000"/>
              </font>
            </x14:dxf>
          </x14:cfRule>
          <xm:sqref>G45:S45</xm:sqref>
        </x14:conditionalFormatting>
        <x14:conditionalFormatting xmlns:xm="http://schemas.microsoft.com/office/excel/2006/main">
          <x14:cfRule type="expression" priority="745" id="{0FC70B16-CF7B-4BE0-B9B0-65ED9B0A6DC5}">
            <xm:f>'Equations HSC-AD'!C$285</xm:f>
            <x14:dxf>
              <font>
                <color rgb="FFC00000"/>
              </font>
            </x14:dxf>
          </x14:cfRule>
          <xm:sqref>G51:S51</xm:sqref>
        </x14:conditionalFormatting>
        <x14:conditionalFormatting xmlns:xm="http://schemas.microsoft.com/office/excel/2006/main">
          <x14:cfRule type="expression" priority="743" id="{C421B380-4752-4CF5-93C1-7EF0A750AFAA}">
            <xm:f>'Equations HSC-AD'!C$286</xm:f>
            <x14:dxf>
              <font>
                <color rgb="FFC00000"/>
              </font>
            </x14:dxf>
          </x14:cfRule>
          <xm:sqref>G52:S52</xm:sqref>
        </x14:conditionalFormatting>
        <x14:conditionalFormatting xmlns:xm="http://schemas.microsoft.com/office/excel/2006/main">
          <x14:cfRule type="expression" priority="9" id="{57546B55-CAF2-4460-AA98-BB7BC0DA273F}">
            <xm:f>('HSC-AD data'!I47="N/A")</xm:f>
            <x14:dxf>
              <font>
                <color theme="0" tint="-0.34998626667073579"/>
              </font>
            </x14:dxf>
          </x14:cfRule>
          <xm:sqref>K70</xm:sqref>
        </x14:conditionalFormatting>
        <x14:conditionalFormatting xmlns:xm="http://schemas.microsoft.com/office/excel/2006/main">
          <x14:cfRule type="expression" priority="8" id="{547E4890-82FD-4003-9143-5A64DBB939BF}">
            <xm:f>('Equations HSC-AD'!$C$82&lt;&gt;2)</xm:f>
            <x14:dxf>
              <font>
                <color theme="0" tint="-0.34998626667073579"/>
              </font>
            </x14:dxf>
          </x14:cfRule>
          <xm:sqref>K15:L15</xm:sqref>
        </x14:conditionalFormatting>
        <x14:conditionalFormatting xmlns:xm="http://schemas.microsoft.com/office/excel/2006/main">
          <x14:cfRule type="expression" priority="147" id="{F4085A6B-1740-4F42-8CCB-2128816AB4C1}">
            <xm:f>('Equations HSC-AD'!$C$82&lt;&gt;3)</xm:f>
            <x14:dxf>
              <font>
                <color theme="0" tint="-0.34998626667073579"/>
              </font>
            </x14:dxf>
          </x14:cfRule>
          <xm:sqref>K17:L17 N17</xm:sqref>
        </x14:conditionalFormatting>
        <x14:conditionalFormatting xmlns:xm="http://schemas.microsoft.com/office/excel/2006/main">
          <x14:cfRule type="expression" priority="3" id="{6A9994A0-B80C-4EF3-8B6F-B9738246739E}">
            <xm:f>('Equations HSC-AD'!$C$82&lt;&gt;1)</xm:f>
            <x14:dxf>
              <font>
                <color theme="0" tint="-0.34998626667073579"/>
              </font>
            </x14:dxf>
          </x14:cfRule>
          <xm:sqref>K13:N13</xm:sqref>
        </x14:conditionalFormatting>
        <x14:conditionalFormatting xmlns:xm="http://schemas.microsoft.com/office/excel/2006/main">
          <x14:cfRule type="expression" priority="150" id="{6423103C-8CAB-4299-A845-2D79941A0087}">
            <xm:f>('Equations HSC-AD'!$C$82&lt;&gt;2)</xm:f>
            <x14:dxf>
              <font>
                <color theme="1" tint="0.34998626667073579"/>
              </font>
              <fill>
                <patternFill>
                  <bgColor theme="1" tint="0.499984740745262"/>
                </patternFill>
              </fill>
              <border>
                <left style="thin">
                  <color auto="1"/>
                </left>
                <right style="thin">
                  <color auto="1"/>
                </right>
                <top style="thin">
                  <color auto="1"/>
                </top>
                <bottom style="thin">
                  <color auto="1"/>
                </bottom>
                <vertical/>
                <horizontal/>
              </border>
            </x14:dxf>
          </x14:cfRule>
          <xm:sqref>M15</xm:sqref>
        </x14:conditionalFormatting>
        <x14:conditionalFormatting xmlns:xm="http://schemas.microsoft.com/office/excel/2006/main">
          <x14:cfRule type="expression" priority="143" id="{BD3B8C53-8578-4FD1-A185-95BDFA5ECE53}">
            <xm:f>('Equations HSC-AD'!$C$82&lt;&gt;3)</xm:f>
            <x14:dxf>
              <font>
                <color theme="1" tint="0.34998626667073579"/>
              </font>
              <fill>
                <patternFill>
                  <bgColor theme="1" tint="0.499984740745262"/>
                </patternFill>
              </fill>
              <border>
                <left style="thin">
                  <color auto="1"/>
                </left>
                <right style="thin">
                  <color auto="1"/>
                </right>
                <top style="thin">
                  <color auto="1"/>
                </top>
                <bottom style="thin">
                  <color auto="1"/>
                </bottom>
                <vertical/>
                <horizontal/>
              </border>
            </x14:dxf>
          </x14:cfRule>
          <xm:sqref>M17</xm:sqref>
        </x14:conditionalFormatting>
        <x14:conditionalFormatting xmlns:xm="http://schemas.microsoft.com/office/excel/2006/main">
          <x14:cfRule type="expression" priority="58" id="{C2EDC4DA-C78D-4339-9BF2-E4EBB66EFA0B}">
            <xm:f>NOT('Equations HSC-AD'!$C$24)</xm:f>
            <x14:dxf>
              <font>
                <color theme="1" tint="0.499984740745262"/>
              </font>
              <fill>
                <patternFill>
                  <bgColor theme="1" tint="0.499984740745262"/>
                </patternFill>
              </fill>
              <border>
                <left style="thin">
                  <color auto="1"/>
                </left>
                <right style="thin">
                  <color auto="1"/>
                </right>
                <top style="thin">
                  <color auto="1"/>
                </top>
                <bottom style="thin">
                  <color auto="1"/>
                </bottom>
                <vertical/>
                <horizontal/>
              </border>
            </x14:dxf>
          </x14:cfRule>
          <xm:sqref>M21</xm:sqref>
        </x14:conditionalFormatting>
        <x14:conditionalFormatting xmlns:xm="http://schemas.microsoft.com/office/excel/2006/main">
          <x14:cfRule type="expression" priority="129" id="{BD2BA2B7-CAD7-4B92-9085-18E32AFE0987}">
            <xm:f>NOT('Equations HSC-AD'!$C$22)</xm:f>
            <x14:dxf>
              <font>
                <color theme="1" tint="0.499984740745262"/>
              </font>
              <fill>
                <patternFill>
                  <bgColor theme="1" tint="0.499984740745262"/>
                </patternFill>
              </fill>
              <border>
                <left style="thin">
                  <color auto="1"/>
                </left>
                <right style="thin">
                  <color auto="1"/>
                </right>
                <top style="thin">
                  <color auto="1"/>
                </top>
                <bottom style="thin">
                  <color auto="1"/>
                </bottom>
                <vertical/>
                <horizontal/>
              </border>
            </x14:dxf>
          </x14:cfRule>
          <xm:sqref>M25</xm:sqref>
        </x14:conditionalFormatting>
        <x14:conditionalFormatting xmlns:xm="http://schemas.microsoft.com/office/excel/2006/main">
          <x14:cfRule type="expression" priority="131" id="{723DDC28-475B-4D83-8420-64809A4B33E4}">
            <xm:f>('Equations HSC-AD'!$C$82&lt;&gt;2)</xm:f>
            <x14:dxf>
              <font>
                <color theme="0" tint="-0.14996795556505021"/>
              </font>
            </x14:dxf>
          </x14:cfRule>
          <xm:sqref>M16:N16</xm:sqref>
        </x14:conditionalFormatting>
        <x14:conditionalFormatting xmlns:xm="http://schemas.microsoft.com/office/excel/2006/main">
          <x14:cfRule type="expression" priority="130" id="{7CB4C776-A788-4480-9690-525DBC2775D4}">
            <xm:f>('Equations HSC-AD'!$C$82&lt;&gt;3)</xm:f>
            <x14:dxf>
              <font>
                <color theme="0" tint="-0.14996795556505021"/>
              </font>
            </x14:dxf>
          </x14:cfRule>
          <xm:sqref>M18:N18 M20:N20 M22:N22</xm:sqref>
        </x14:conditionalFormatting>
        <x14:conditionalFormatting xmlns:xm="http://schemas.microsoft.com/office/excel/2006/main">
          <x14:cfRule type="expression" priority="128" id="{270757F3-9109-4EEB-AA7B-3777DA7921C4}">
            <xm:f>('Equations HSC-AD'!$C$22)</xm:f>
            <x14:dxf>
              <font>
                <color theme="0" tint="-0.14996795556505021"/>
              </font>
            </x14:dxf>
          </x14:cfRule>
          <xm:sqref>M26:N26</xm:sqref>
        </x14:conditionalFormatting>
        <x14:conditionalFormatting xmlns:xm="http://schemas.microsoft.com/office/excel/2006/main">
          <x14:cfRule type="expression" priority="32" id="{3CDA2310-2755-4BF4-AA1A-19F4D0C3CF88}">
            <xm:f>('Equations HSC-AD'!$C$82&lt;&gt;1)</xm:f>
            <x14:dxf>
              <font>
                <color theme="0" tint="-0.14996795556505021"/>
              </font>
            </x14:dxf>
          </x14:cfRule>
          <xm:sqref>M14:O14</xm:sqref>
        </x14:conditionalFormatting>
        <x14:conditionalFormatting xmlns:xm="http://schemas.microsoft.com/office/excel/2006/main">
          <x14:cfRule type="expression" priority="148" id="{13D94592-FD8C-4DC2-B025-79F9DB6A1E13}">
            <xm:f>('Equations HSC-AD'!$C$82&lt;&gt;2)</xm:f>
            <x14:dxf>
              <font>
                <color theme="0" tint="-0.34998626667073579"/>
              </font>
            </x14:dxf>
          </x14:cfRule>
          <xm:sqref>N15</xm:sqref>
        </x14:conditionalFormatting>
        <x14:conditionalFormatting xmlns:xm="http://schemas.microsoft.com/office/excel/2006/main">
          <x14:cfRule type="expression" priority="1" id="{6E6F86D1-39E2-4F58-B1F9-262CCF8EC4AF}">
            <xm:f>'HSC-AD data'!$J$34</xm:f>
            <x14:dxf>
              <font>
                <color theme="0" tint="-0.499984740745262"/>
              </font>
            </x14:dxf>
          </x14:cfRule>
          <xm:sqref>N71</xm:sqref>
        </x14:conditionalFormatting>
        <x14:conditionalFormatting xmlns:xm="http://schemas.microsoft.com/office/excel/2006/main">
          <x14:cfRule type="expression" priority="33" id="{2E2079CF-E574-4DB8-AAB3-448C3419D9DE}">
            <xm:f>'HSC-AD data'!$D$36="&lt;N/A&gt;"</xm:f>
            <x14:dxf>
              <font>
                <color rgb="FFC00000"/>
              </font>
            </x14:dxf>
          </x14:cfRule>
          <xm:sqref>O77:P77</xm:sqref>
        </x14:conditionalFormatting>
        <x14:conditionalFormatting xmlns:xm="http://schemas.microsoft.com/office/excel/2006/main">
          <x14:cfRule type="expression" priority="2" id="{D695ABFC-1881-4A83-8D25-D259C8D17525}">
            <xm:f>'HSC-AD data'!$J$34</xm:f>
            <x14:dxf>
              <font>
                <color theme="0" tint="-0.499984740745262"/>
              </font>
            </x14:dxf>
          </x14:cfRule>
          <xm:sqref>P71</xm:sqref>
        </x14:conditionalFormatting>
        <x14:conditionalFormatting xmlns:xm="http://schemas.microsoft.com/office/excel/2006/main">
          <x14:cfRule type="expression" priority="1047" id="{F8481108-C33B-4610-AD28-5B9D27D37FA4}">
            <xm:f>'Equations HSC-AD'!$O$282</xm:f>
            <x14:dxf>
              <font>
                <color rgb="FFC00000"/>
              </font>
            </x14:dxf>
          </x14:cfRule>
          <x14:cfRule type="expression" priority="1048" id="{EFB7E7E3-4A2F-46EB-A2E8-5152F2A643AB}">
            <xm:f>OR(NOT('Equations HSC-AD'!$C$24),'Equations HSC-AD'!$O$282)</xm:f>
            <x14:dxf>
              <numFmt numFmtId="171" formatCode="\+0.0\ \K;\-0.0\ \K;0.0\ \K"/>
            </x14:dxf>
          </x14:cfRule>
          <xm:sqref>S48</xm:sqref>
        </x14:conditionalFormatting>
        <x14:conditionalFormatting xmlns:xm="http://schemas.microsoft.com/office/excel/2006/main">
          <x14:cfRule type="expression" priority="47" id="{C70A15C7-676A-4BFB-A99C-9BA99832DFB9}">
            <xm:f>NOT('Equations HSC-AD'!$C$24)</xm:f>
            <x14:dxf>
              <font>
                <color theme="0" tint="-4.9989318521683403E-2"/>
              </font>
            </x14:dxf>
          </x14:cfRule>
          <xm:sqref>T48</xm:sqref>
        </x14:conditionalFormatting>
      </x14:conditionalFormattings>
    </ext>
    <ext xmlns:x14="http://schemas.microsoft.com/office/spreadsheetml/2009/9/main" uri="{CCE6A557-97BC-4b89-ADB6-D9C93CAAB3DF}">
      <x14:dataValidations xmlns:xm="http://schemas.microsoft.com/office/excel/2006/main" disablePrompts="1" xWindow="624" yWindow="849" count="1">
        <x14:dataValidation type="decimal" operator="lessThan" allowBlank="1" showInputMessage="1" showErrorMessage="1" xr:uid="{00000000-0002-0000-0000-000005000000}">
          <x14:formula1>
            <xm:f>'Equations HSC-AD'!F84</xm:f>
          </x14:formula1>
          <xm:sqref>M17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R345"/>
  <sheetViews>
    <sheetView topLeftCell="CG90" workbookViewId="0">
      <selection activeCell="CN111" sqref="CN111"/>
    </sheetView>
  </sheetViews>
  <sheetFormatPr defaultRowHeight="14.4" x14ac:dyDescent="0.3"/>
  <cols>
    <col min="2" max="2" width="26.33203125" customWidth="1"/>
    <col min="3" max="3" width="10.109375" customWidth="1"/>
    <col min="4" max="4" width="9.109375" customWidth="1"/>
    <col min="11" max="11" width="10.109375" customWidth="1"/>
    <col min="12" max="12" width="15" customWidth="1"/>
    <col min="13" max="13" width="11.6640625" customWidth="1"/>
    <col min="16" max="16" width="10.88671875" customWidth="1"/>
    <col min="18" max="18" width="11.109375" customWidth="1"/>
    <col min="22" max="22" width="17.44140625" customWidth="1"/>
    <col min="32" max="32" width="26.109375" bestFit="1" customWidth="1"/>
    <col min="47" max="47" width="10.5546875" customWidth="1"/>
    <col min="72" max="72" width="26.109375" bestFit="1" customWidth="1"/>
    <col min="92" max="92" width="11" customWidth="1"/>
    <col min="102" max="102" width="11.6640625" customWidth="1"/>
  </cols>
  <sheetData>
    <row r="1" spans="2:13" ht="20.399999999999999" thickBot="1" x14ac:dyDescent="0.45">
      <c r="B1" s="24" t="s">
        <v>160</v>
      </c>
    </row>
    <row r="2" spans="2:13" ht="15" thickTop="1" x14ac:dyDescent="0.3"/>
    <row r="3" spans="2:13" x14ac:dyDescent="0.3">
      <c r="B3" t="s">
        <v>161</v>
      </c>
      <c r="C3">
        <v>1</v>
      </c>
      <c r="D3" t="str">
        <f>IF(C3=1,"[L/s]","[m³/h]")</f>
        <v>[L/s]</v>
      </c>
      <c r="E3" t="str">
        <f>IF(C3=1,"L/s","m³/h")</f>
        <v>L/s</v>
      </c>
      <c r="G3" t="str">
        <f>IF(C3=1,"L/s/m²","m³/h/m²")</f>
        <v>L/s/m²</v>
      </c>
    </row>
    <row r="4" spans="2:13" x14ac:dyDescent="0.3">
      <c r="B4" t="s">
        <v>162</v>
      </c>
      <c r="C4">
        <f>IF(C3=1,1,3.6)</f>
        <v>1</v>
      </c>
    </row>
    <row r="6" spans="2:13" x14ac:dyDescent="0.3">
      <c r="B6" t="s">
        <v>229</v>
      </c>
      <c r="C6">
        <f>IF(C3=1,3.6,1/3.6)</f>
        <v>3.6</v>
      </c>
      <c r="D6" t="str">
        <f>IF(C3=2,"L/s","m³/h")</f>
        <v>m³/h</v>
      </c>
    </row>
    <row r="8" spans="2:13" ht="20.399999999999999" thickBot="1" x14ac:dyDescent="0.45">
      <c r="B8" s="24" t="s">
        <v>17</v>
      </c>
    </row>
    <row r="9" spans="2:13" ht="15" thickTop="1" x14ac:dyDescent="0.3"/>
    <row r="10" spans="2:13" x14ac:dyDescent="0.3">
      <c r="B10" t="s">
        <v>18</v>
      </c>
    </row>
    <row r="11" spans="2:13" x14ac:dyDescent="0.3">
      <c r="B11" t="s">
        <v>19</v>
      </c>
      <c r="C11">
        <f>'HSC-AD'!E9/C4</f>
        <v>800</v>
      </c>
    </row>
    <row r="12" spans="2:13" x14ac:dyDescent="0.3">
      <c r="B12" t="s">
        <v>253</v>
      </c>
      <c r="C12">
        <f>'HSC-AD'!E11/100</f>
        <v>1</v>
      </c>
    </row>
    <row r="13" spans="2:13" x14ac:dyDescent="0.3">
      <c r="B13" t="s">
        <v>254</v>
      </c>
      <c r="C13">
        <f>C12*C11</f>
        <v>800</v>
      </c>
    </row>
    <row r="14" spans="2:13" x14ac:dyDescent="0.3">
      <c r="B14" t="s">
        <v>20</v>
      </c>
      <c r="C14">
        <f>'HSC-AD'!E13</f>
        <v>60</v>
      </c>
    </row>
    <row r="15" spans="2:13" x14ac:dyDescent="0.3">
      <c r="B15" t="s">
        <v>21</v>
      </c>
      <c r="C15">
        <f>'HSC-AD'!E15</f>
        <v>6</v>
      </c>
      <c r="D15" t="s">
        <v>3</v>
      </c>
      <c r="J15" s="367" t="s">
        <v>508</v>
      </c>
      <c r="K15" t="s">
        <v>511</v>
      </c>
      <c r="L15" t="s">
        <v>509</v>
      </c>
      <c r="M15" t="s">
        <v>510</v>
      </c>
    </row>
    <row r="16" spans="2:13" x14ac:dyDescent="0.3">
      <c r="B16" t="s">
        <v>69</v>
      </c>
      <c r="C16">
        <f>IF(ABS('HSC-AD'!E18)&lt;6,6,ABS('HSC-AD'!E18))</f>
        <v>12</v>
      </c>
      <c r="J16">
        <v>2.7</v>
      </c>
      <c r="K16">
        <v>2</v>
      </c>
      <c r="L16">
        <f>(3.33/J16)^2*$C$89*$AG$100^2*SQRT($AG$95)*1.2</f>
        <v>174.14355806610877</v>
      </c>
      <c r="M16">
        <f>(3.33/K16)^2*$C$89*$AG$100^2*SQRT($AG$95)*1.2</f>
        <v>317.37663457548331</v>
      </c>
    </row>
    <row r="17" spans="2:13" x14ac:dyDescent="0.3">
      <c r="B17" t="s">
        <v>30</v>
      </c>
      <c r="C17">
        <f>'HSC-AD'!$M$27</f>
        <v>16</v>
      </c>
      <c r="J17">
        <v>4.5</v>
      </c>
      <c r="K17">
        <v>4.5</v>
      </c>
      <c r="L17">
        <f t="shared" ref="L17:M17" si="0">(3.33/J17)^2*$C$89*$AG$100^2*SQRT($AG$95)*1.2</f>
        <v>62.691680903799167</v>
      </c>
      <c r="M17">
        <f t="shared" si="0"/>
        <v>62.691680903799167</v>
      </c>
    </row>
    <row r="18" spans="2:13" x14ac:dyDescent="0.3">
      <c r="J18">
        <v>3.5</v>
      </c>
      <c r="K18">
        <f>1.39*J18-1.75</f>
        <v>3.1149999999999993</v>
      </c>
      <c r="L18">
        <f>(3.33/J18)^2*$C$89*$AG$100^2*SQRT($AG$95)*1.2</f>
        <v>103.63318680015783</v>
      </c>
      <c r="M18">
        <f>(3.33/K18)^2*$C$89*$AG$100^2*SQRT($AG$95)*1.2</f>
        <v>130.83346395677046</v>
      </c>
    </row>
    <row r="19" spans="2:13" x14ac:dyDescent="0.3">
      <c r="B19" t="s">
        <v>70</v>
      </c>
      <c r="C19" s="41">
        <f>'HSC-AD'!M9</f>
        <v>0.9</v>
      </c>
    </row>
    <row r="20" spans="2:13" x14ac:dyDescent="0.3">
      <c r="B20" t="s">
        <v>57</v>
      </c>
      <c r="C20">
        <f>VLOOKUP(C19,'HSC-AD data'!B2:C5,2,0)</f>
        <v>0.25</v>
      </c>
    </row>
    <row r="21" spans="2:13" x14ac:dyDescent="0.3">
      <c r="B21" t="s">
        <v>74</v>
      </c>
      <c r="C21">
        <f>'HSC-AD'!$M$23</f>
        <v>23</v>
      </c>
      <c r="D21" t="s">
        <v>28</v>
      </c>
      <c r="J21" s="27">
        <v>1.389</v>
      </c>
      <c r="K21" s="27">
        <v>-1.75</v>
      </c>
    </row>
    <row r="22" spans="2:13" x14ac:dyDescent="0.3">
      <c r="B22" t="s">
        <v>193</v>
      </c>
      <c r="C22" s="82" t="b">
        <v>0</v>
      </c>
      <c r="J22" s="41"/>
      <c r="K22" s="41"/>
    </row>
    <row r="23" spans="2:13" x14ac:dyDescent="0.3">
      <c r="B23" t="s">
        <v>88</v>
      </c>
      <c r="C23">
        <f>IF(C22,'HSC-AD'!M25,'Equations HSC-AD'!C21-2)</f>
        <v>21</v>
      </c>
    </row>
    <row r="24" spans="2:13" x14ac:dyDescent="0.3">
      <c r="B24" t="s">
        <v>194</v>
      </c>
      <c r="C24" t="b">
        <v>0</v>
      </c>
      <c r="E24" s="41"/>
    </row>
    <row r="25" spans="2:13" x14ac:dyDescent="0.3">
      <c r="B25" t="s">
        <v>195</v>
      </c>
      <c r="C25">
        <f>'HSC-AD'!M21</f>
        <v>4</v>
      </c>
      <c r="D25" t="s">
        <v>4</v>
      </c>
      <c r="E25" s="41"/>
    </row>
    <row r="26" spans="2:13" x14ac:dyDescent="0.3">
      <c r="B26" t="s">
        <v>335</v>
      </c>
      <c r="C26">
        <f>IF(C15&lt;4.5,J21*C15+K21,C15)</f>
        <v>6</v>
      </c>
      <c r="E26" s="41"/>
    </row>
    <row r="27" spans="2:13" x14ac:dyDescent="0.3">
      <c r="E27" s="41"/>
    </row>
    <row r="28" spans="2:13" x14ac:dyDescent="0.3">
      <c r="B28" s="338" t="s">
        <v>475</v>
      </c>
      <c r="E28" s="27"/>
    </row>
    <row r="29" spans="2:13" x14ac:dyDescent="0.3">
      <c r="B29" t="s">
        <v>70</v>
      </c>
      <c r="C29" t="s">
        <v>424</v>
      </c>
      <c r="E29" t="s">
        <v>470</v>
      </c>
    </row>
    <row r="30" spans="2:13" x14ac:dyDescent="0.3">
      <c r="B30" s="41">
        <v>0.7</v>
      </c>
      <c r="C30">
        <v>0</v>
      </c>
      <c r="D30">
        <f>(C33-C30)/25</f>
        <v>0.2</v>
      </c>
      <c r="E30">
        <f>20-C33</f>
        <v>15</v>
      </c>
    </row>
    <row r="31" spans="2:13" x14ac:dyDescent="0.3">
      <c r="B31" s="41">
        <v>0.8</v>
      </c>
      <c r="C31">
        <f>C30+D30*10</f>
        <v>2</v>
      </c>
      <c r="E31">
        <f>$E$30+C31</f>
        <v>17</v>
      </c>
    </row>
    <row r="32" spans="2:13" x14ac:dyDescent="0.3">
      <c r="B32" s="41">
        <v>0.9</v>
      </c>
      <c r="C32">
        <f>C30+D30*20</f>
        <v>4</v>
      </c>
      <c r="E32">
        <f t="shared" ref="E32:E33" si="1">$E$30+C32</f>
        <v>19</v>
      </c>
    </row>
    <row r="33" spans="2:5" x14ac:dyDescent="0.3">
      <c r="B33" s="232">
        <v>0.95</v>
      </c>
      <c r="C33" s="39">
        <f>$C$23-$C$17</f>
        <v>5</v>
      </c>
      <c r="D33" s="39"/>
      <c r="E33" s="39">
        <f t="shared" si="1"/>
        <v>20</v>
      </c>
    </row>
    <row r="34" spans="2:5" x14ac:dyDescent="0.3">
      <c r="B34" t="s">
        <v>75</v>
      </c>
      <c r="C34">
        <f>VLOOKUP($C$19,B30:E33,2,0)</f>
        <v>4</v>
      </c>
      <c r="D34" t="s">
        <v>4</v>
      </c>
      <c r="E34" s="27">
        <f>VLOOKUP(C19,B30:E33,4,0)</f>
        <v>19</v>
      </c>
    </row>
    <row r="35" spans="2:5" x14ac:dyDescent="0.3">
      <c r="E35" s="27"/>
    </row>
    <row r="36" spans="2:5" x14ac:dyDescent="0.3">
      <c r="B36" s="28" t="s">
        <v>216</v>
      </c>
    </row>
    <row r="37" spans="2:5" x14ac:dyDescent="0.3">
      <c r="B37" t="s">
        <v>70</v>
      </c>
      <c r="C37" t="s">
        <v>221</v>
      </c>
      <c r="D37" t="s">
        <v>222</v>
      </c>
    </row>
    <row r="38" spans="2:5" x14ac:dyDescent="0.3">
      <c r="B38" s="41">
        <v>0.7</v>
      </c>
      <c r="C38">
        <v>0.9</v>
      </c>
      <c r="D38" s="41">
        <f>VLOOKUP(C19,B38:C41,2,0)</f>
        <v>1.1000000000000001</v>
      </c>
    </row>
    <row r="39" spans="2:5" x14ac:dyDescent="0.3">
      <c r="B39" s="41">
        <v>0.8</v>
      </c>
      <c r="C39">
        <v>1</v>
      </c>
      <c r="D39" s="41"/>
    </row>
    <row r="40" spans="2:5" x14ac:dyDescent="0.3">
      <c r="B40" s="41">
        <v>0.9</v>
      </c>
      <c r="C40">
        <v>1.1000000000000001</v>
      </c>
    </row>
    <row r="41" spans="2:5" x14ac:dyDescent="0.3">
      <c r="B41" s="41">
        <v>0.95</v>
      </c>
      <c r="C41">
        <v>1.1499999999999999</v>
      </c>
    </row>
    <row r="42" spans="2:5" x14ac:dyDescent="0.3">
      <c r="B42" t="s">
        <v>75</v>
      </c>
    </row>
    <row r="43" spans="2:5" x14ac:dyDescent="0.3">
      <c r="E43" s="27"/>
    </row>
    <row r="44" spans="2:5" x14ac:dyDescent="0.3">
      <c r="E44" s="27"/>
    </row>
    <row r="45" spans="2:5" x14ac:dyDescent="0.3">
      <c r="B45" s="28" t="s">
        <v>257</v>
      </c>
      <c r="C45">
        <v>2</v>
      </c>
      <c r="D45" t="str">
        <f>IF(C45=1,"ceiling","free")</f>
        <v>free</v>
      </c>
      <c r="E45" s="41"/>
    </row>
    <row r="46" spans="2:5" x14ac:dyDescent="0.3">
      <c r="B46" t="s">
        <v>442</v>
      </c>
      <c r="C46">
        <f>IF(C45=1,1,1.1)</f>
        <v>1.1000000000000001</v>
      </c>
      <c r="E46" s="41"/>
    </row>
    <row r="47" spans="2:5" x14ac:dyDescent="0.3">
      <c r="B47" t="s">
        <v>261</v>
      </c>
      <c r="C47">
        <f>IF(C45=1,1,0.85)</f>
        <v>0.85</v>
      </c>
      <c r="E47" s="41"/>
    </row>
    <row r="48" spans="2:5" x14ac:dyDescent="0.3">
      <c r="B48" t="s">
        <v>262</v>
      </c>
      <c r="C48">
        <f>IF(C45=1,1,0.8)</f>
        <v>0.8</v>
      </c>
      <c r="E48" s="41"/>
    </row>
    <row r="49" spans="2:7" x14ac:dyDescent="0.3">
      <c r="E49" s="41"/>
    </row>
    <row r="50" spans="2:7" x14ac:dyDescent="0.3">
      <c r="B50" s="28" t="s">
        <v>43</v>
      </c>
      <c r="C50" t="s">
        <v>56</v>
      </c>
    </row>
    <row r="51" spans="2:7" x14ac:dyDescent="0.3">
      <c r="B51" t="s">
        <v>27</v>
      </c>
      <c r="C51" t="s">
        <v>54</v>
      </c>
      <c r="D51" t="s">
        <v>55</v>
      </c>
      <c r="E51" t="s">
        <v>53</v>
      </c>
    </row>
    <row r="52" spans="2:7" x14ac:dyDescent="0.3">
      <c r="B52">
        <v>2.7</v>
      </c>
      <c r="C52">
        <v>4510</v>
      </c>
      <c r="D52">
        <v>2.2692999999999999</v>
      </c>
      <c r="E52">
        <f>C52*$C$20^D52</f>
        <v>194.05364448580664</v>
      </c>
    </row>
    <row r="53" spans="2:7" x14ac:dyDescent="0.3">
      <c r="B53">
        <v>4</v>
      </c>
      <c r="C53">
        <v>3884</v>
      </c>
      <c r="D53">
        <v>2.2425999999999999</v>
      </c>
      <c r="E53">
        <f>C53*$C$20^D53</f>
        <v>173.42012091102143</v>
      </c>
    </row>
    <row r="54" spans="2:7" x14ac:dyDescent="0.3">
      <c r="B54">
        <v>10.0000000001</v>
      </c>
      <c r="C54">
        <v>3435</v>
      </c>
      <c r="D54">
        <v>2.2753999999999999</v>
      </c>
      <c r="E54">
        <f>C54*$C$20^D54</f>
        <v>146.55459415179587</v>
      </c>
    </row>
    <row r="55" spans="2:7" x14ac:dyDescent="0.3">
      <c r="B55" s="39">
        <v>30</v>
      </c>
      <c r="C55" s="39">
        <v>2736</v>
      </c>
      <c r="D55" s="39">
        <v>2.2624333333333335</v>
      </c>
      <c r="E55">
        <f>C55*$C$20^D55</f>
        <v>118.84899126806246</v>
      </c>
    </row>
    <row r="56" spans="2:7" x14ac:dyDescent="0.3">
      <c r="C56" t="s">
        <v>226</v>
      </c>
      <c r="D56" t="s">
        <v>55</v>
      </c>
      <c r="E56" t="s">
        <v>233</v>
      </c>
    </row>
    <row r="57" spans="2:7" x14ac:dyDescent="0.3">
      <c r="B57" s="39">
        <f>MIN($C$15,10)</f>
        <v>6</v>
      </c>
      <c r="C57" s="39">
        <f>EXP(INDEX(LINEST(LN(E52:E55),LN(B52:B55),,),1,2))</f>
        <v>232.52865309533729</v>
      </c>
      <c r="D57" s="244">
        <f>INDEX(LINEST(LN(E52:E55),LN(B52:B55),,),1)</f>
        <v>-0.19879810017849303</v>
      </c>
      <c r="E57" s="39">
        <f>C57*B57^D57</f>
        <v>162.84764624372622</v>
      </c>
    </row>
    <row r="58" spans="2:7" x14ac:dyDescent="0.3">
      <c r="B58" s="28" t="s">
        <v>234</v>
      </c>
      <c r="C58" s="28">
        <f>$E$57/$C$16</f>
        <v>13.570637186977185</v>
      </c>
      <c r="E58" s="41"/>
    </row>
    <row r="59" spans="2:7" x14ac:dyDescent="0.3">
      <c r="B59" s="28" t="s">
        <v>235</v>
      </c>
      <c r="C59" s="28">
        <f>C58+C60</f>
        <v>17.570637186977187</v>
      </c>
      <c r="E59" s="41"/>
    </row>
    <row r="60" spans="2:7" x14ac:dyDescent="0.3">
      <c r="B60" t="s">
        <v>278</v>
      </c>
      <c r="C60">
        <v>4</v>
      </c>
      <c r="E60" s="41"/>
    </row>
    <row r="61" spans="2:7" x14ac:dyDescent="0.3">
      <c r="E61" s="41"/>
    </row>
    <row r="62" spans="2:7" x14ac:dyDescent="0.3">
      <c r="B62" s="28" t="s">
        <v>395</v>
      </c>
      <c r="E62" s="41"/>
    </row>
    <row r="63" spans="2:7" x14ac:dyDescent="0.3">
      <c r="B63" t="s">
        <v>70</v>
      </c>
      <c r="C63" t="s">
        <v>244</v>
      </c>
      <c r="D63" t="s">
        <v>245</v>
      </c>
      <c r="F63" t="s">
        <v>246</v>
      </c>
      <c r="G63" t="s">
        <v>247</v>
      </c>
    </row>
    <row r="64" spans="2:7" x14ac:dyDescent="0.3">
      <c r="B64" s="41">
        <v>0.95</v>
      </c>
      <c r="C64">
        <v>0.95499999999999996</v>
      </c>
      <c r="D64">
        <v>1.27</v>
      </c>
      <c r="F64">
        <v>5.3170379048810661</v>
      </c>
      <c r="G64">
        <v>4.4308649207342219</v>
      </c>
    </row>
    <row r="65" spans="2:7" x14ac:dyDescent="0.3">
      <c r="B65" s="41">
        <v>0.9</v>
      </c>
      <c r="C65">
        <v>0.75</v>
      </c>
      <c r="D65">
        <v>1</v>
      </c>
      <c r="F65">
        <v>6</v>
      </c>
      <c r="G65">
        <v>5</v>
      </c>
    </row>
    <row r="66" spans="2:7" x14ac:dyDescent="0.3">
      <c r="B66" s="41">
        <v>0.85</v>
      </c>
      <c r="C66">
        <f>6.623*0.85^2-8.55*0.85+3.09</f>
        <v>0.60761749999999903</v>
      </c>
      <c r="D66">
        <f>9.17*0.85^2-11.971*0.85+4.3583</f>
        <v>0.80827499999999919</v>
      </c>
      <c r="F66">
        <f>-13.659*0.85+18.293</f>
        <v>6.6828499999999984</v>
      </c>
      <c r="G66">
        <f>-11.383*0.85+15.244</f>
        <v>5.5684500000000003</v>
      </c>
    </row>
    <row r="67" spans="2:7" x14ac:dyDescent="0.3">
      <c r="B67" s="41">
        <v>0.8</v>
      </c>
      <c r="C67">
        <v>0.5</v>
      </c>
      <c r="D67">
        <v>0.66</v>
      </c>
      <c r="F67">
        <v>7.3659241902378696</v>
      </c>
      <c r="G67">
        <v>6.138270158531558</v>
      </c>
    </row>
    <row r="68" spans="2:7" x14ac:dyDescent="0.3">
      <c r="B68" s="232">
        <v>0.7</v>
      </c>
      <c r="C68" s="39">
        <v>0.35</v>
      </c>
      <c r="D68" s="39">
        <v>0.47</v>
      </c>
      <c r="E68" s="39"/>
      <c r="F68" s="39">
        <v>8.7318483804757356</v>
      </c>
      <c r="G68" s="39">
        <v>7.2765403170631142</v>
      </c>
    </row>
    <row r="69" spans="2:7" x14ac:dyDescent="0.3">
      <c r="B69" t="s">
        <v>248</v>
      </c>
      <c r="C69" s="28">
        <f>VLOOKUP($C$19,B64:D68,2,0)</f>
        <v>0.75</v>
      </c>
      <c r="E69" t="s">
        <v>249</v>
      </c>
      <c r="F69" s="28">
        <f>VLOOKUP($C$19,B63:G68,5,0)</f>
        <v>6</v>
      </c>
      <c r="G69" t="s">
        <v>271</v>
      </c>
    </row>
    <row r="70" spans="2:7" x14ac:dyDescent="0.3">
      <c r="B70" t="s">
        <v>250</v>
      </c>
      <c r="C70" s="28">
        <f>VLOOKUP($C$19,B64:D68,3,0)</f>
        <v>1</v>
      </c>
      <c r="F70" s="28">
        <f>VLOOKUP($C$19,B63:G68,6,0)</f>
        <v>5</v>
      </c>
    </row>
    <row r="71" spans="2:7" x14ac:dyDescent="0.3">
      <c r="C71" s="28"/>
      <c r="F71" s="28"/>
    </row>
    <row r="72" spans="2:7" x14ac:dyDescent="0.3">
      <c r="B72" s="28" t="s">
        <v>394</v>
      </c>
      <c r="E72" s="41"/>
    </row>
    <row r="73" spans="2:7" x14ac:dyDescent="0.3">
      <c r="B73" t="s">
        <v>70</v>
      </c>
      <c r="C73" t="s">
        <v>244</v>
      </c>
      <c r="D73" t="s">
        <v>245</v>
      </c>
      <c r="F73" t="s">
        <v>246</v>
      </c>
      <c r="G73" t="s">
        <v>247</v>
      </c>
    </row>
    <row r="74" spans="2:7" x14ac:dyDescent="0.3">
      <c r="B74" s="41">
        <v>0.95</v>
      </c>
      <c r="C74">
        <f>6.623*(B74-0.05)^2-8.55*(B74-0.05)+3.09</f>
        <v>0.7596299999999987</v>
      </c>
      <c r="D74">
        <f>9.17*(B74-0.05)^2-11.971*(B74-0.05)+4.3583</f>
        <v>1.0120999999999984</v>
      </c>
      <c r="F74">
        <v>5.3170379048810661</v>
      </c>
      <c r="G74">
        <v>4.4308649207342219</v>
      </c>
    </row>
    <row r="75" spans="2:7" x14ac:dyDescent="0.3">
      <c r="B75" s="41">
        <v>0.9</v>
      </c>
      <c r="C75">
        <f>6.623*(B75-0.05)^2-8.55*(B75-0.05)+3.09</f>
        <v>0.60761749999999903</v>
      </c>
      <c r="D75">
        <f>9.17*(B75-0.05)^2-11.971*(B75-0.05)+4.3583</f>
        <v>0.80827499999999919</v>
      </c>
      <c r="F75">
        <v>6</v>
      </c>
      <c r="G75">
        <v>5</v>
      </c>
    </row>
    <row r="76" spans="2:7" x14ac:dyDescent="0.3">
      <c r="B76" s="41">
        <v>0.85</v>
      </c>
      <c r="C76">
        <f>6.623*(B76-0.05)^2-8.55*(B76-0.05)+3.09</f>
        <v>0.48871999999999982</v>
      </c>
      <c r="D76">
        <f>9.17*(B76-0.05)^2-11.971*(B76-0.05)+4.3583</f>
        <v>0.65030000000000054</v>
      </c>
      <c r="F76">
        <f>-13.659*0.85+18.293</f>
        <v>6.6828499999999984</v>
      </c>
      <c r="G76">
        <f>-11.383*0.85+15.244</f>
        <v>5.5684500000000003</v>
      </c>
    </row>
    <row r="77" spans="2:7" x14ac:dyDescent="0.3">
      <c r="B77" s="41">
        <v>0.8</v>
      </c>
      <c r="C77">
        <f>6.623*(B77-0.05)^2-8.55*(B77-0.05)+3.09</f>
        <v>0.40293749999999928</v>
      </c>
      <c r="D77">
        <f>9.17*(B77-0.05)^2-11.971*(B77-0.05)+4.3583</f>
        <v>0.53817500000000074</v>
      </c>
      <c r="F77">
        <v>7.3659241902378696</v>
      </c>
      <c r="G77">
        <v>6.138270158531558</v>
      </c>
    </row>
    <row r="78" spans="2:7" x14ac:dyDescent="0.3">
      <c r="B78" s="232">
        <v>0.7</v>
      </c>
      <c r="C78" s="39">
        <f>6.623*(B78-0.05)^2-8.55*(B78-0.05)+3.09</f>
        <v>0.33071749999999911</v>
      </c>
      <c r="D78" s="39">
        <f>9.17*(B78-0.05)^2-11.971*(B78-0.05)+4.3583</f>
        <v>0.4514749999999994</v>
      </c>
      <c r="E78" s="39"/>
      <c r="F78" s="39">
        <v>8.7318483804757356</v>
      </c>
      <c r="G78" s="39">
        <v>7.2765403170631142</v>
      </c>
    </row>
    <row r="79" spans="2:7" x14ac:dyDescent="0.3">
      <c r="B79" t="s">
        <v>248</v>
      </c>
      <c r="C79" s="28">
        <f>VLOOKUP($C$19,B74:D78,2,0)</f>
        <v>0.60761749999999903</v>
      </c>
      <c r="E79" t="s">
        <v>249</v>
      </c>
      <c r="F79" s="28">
        <f>VLOOKUP($C$19,B73:G78,5,0)</f>
        <v>6</v>
      </c>
      <c r="G79" t="s">
        <v>271</v>
      </c>
    </row>
    <row r="80" spans="2:7" x14ac:dyDescent="0.3">
      <c r="B80" t="s">
        <v>250</v>
      </c>
      <c r="C80" s="28">
        <f>VLOOKUP($C$19,B74:D78,3,0)</f>
        <v>0.80827499999999919</v>
      </c>
      <c r="F80" s="28">
        <f>VLOOKUP($C$19,B73:G78,6,0)</f>
        <v>5</v>
      </c>
    </row>
    <row r="81" spans="2:146" x14ac:dyDescent="0.3">
      <c r="C81" s="28"/>
      <c r="F81" s="28"/>
    </row>
    <row r="82" spans="2:146" x14ac:dyDescent="0.3">
      <c r="B82" t="s">
        <v>98</v>
      </c>
      <c r="C82" s="82">
        <v>1</v>
      </c>
      <c r="E82" s="41"/>
    </row>
    <row r="83" spans="2:146" x14ac:dyDescent="0.3">
      <c r="B83" t="s">
        <v>93</v>
      </c>
      <c r="C83">
        <f>'HSC-AD'!M15</f>
        <v>20</v>
      </c>
      <c r="E83" s="41"/>
    </row>
    <row r="84" spans="2:146" x14ac:dyDescent="0.3">
      <c r="B84" t="s">
        <v>287</v>
      </c>
      <c r="C84" s="46">
        <f>'HSC-AD'!M17/C4</f>
        <v>10</v>
      </c>
      <c r="D84" t="s">
        <v>164</v>
      </c>
      <c r="E84">
        <f>IF(C3=1,31,109)</f>
        <v>31</v>
      </c>
    </row>
    <row r="85" spans="2:146" x14ac:dyDescent="0.3">
      <c r="B85" t="s">
        <v>286</v>
      </c>
      <c r="C85" s="29">
        <f>SQRT(C11/C84)</f>
        <v>8.9442719099991592</v>
      </c>
      <c r="E85" s="41"/>
    </row>
    <row r="86" spans="2:146" x14ac:dyDescent="0.3">
      <c r="C86" s="44"/>
      <c r="D86" t="s">
        <v>100</v>
      </c>
      <c r="E86" s="41"/>
    </row>
    <row r="87" spans="2:146" x14ac:dyDescent="0.3">
      <c r="B87" t="s">
        <v>103</v>
      </c>
      <c r="C87" s="41">
        <f>'HSC-AD'!M29</f>
        <v>0</v>
      </c>
      <c r="D87" s="27">
        <f>1+C87</f>
        <v>1</v>
      </c>
      <c r="E87" s="41"/>
    </row>
    <row r="89" spans="2:146" x14ac:dyDescent="0.3">
      <c r="B89" t="s">
        <v>204</v>
      </c>
      <c r="C89">
        <v>4.6420000000000003</v>
      </c>
    </row>
    <row r="91" spans="2:146" ht="18" thickBot="1" x14ac:dyDescent="0.4">
      <c r="B91" s="25" t="s">
        <v>60</v>
      </c>
      <c r="E91" t="s">
        <v>240</v>
      </c>
      <c r="F91" t="s">
        <v>79</v>
      </c>
      <c r="L91" s="25" t="s">
        <v>59</v>
      </c>
      <c r="O91" t="s">
        <v>240</v>
      </c>
      <c r="P91" t="s">
        <v>241</v>
      </c>
      <c r="V91" s="25" t="s">
        <v>61</v>
      </c>
      <c r="AF91" s="25" t="s">
        <v>62</v>
      </c>
      <c r="AP91" s="25"/>
      <c r="AZ91" s="25" t="s">
        <v>344</v>
      </c>
      <c r="BJ91" s="25" t="s">
        <v>63</v>
      </c>
      <c r="BT91" s="25" t="s">
        <v>64</v>
      </c>
      <c r="CD91" s="25" t="s">
        <v>426</v>
      </c>
      <c r="CN91" s="25" t="s">
        <v>345</v>
      </c>
      <c r="CX91" s="25" t="s">
        <v>65</v>
      </c>
      <c r="DH91" s="25" t="s">
        <v>66</v>
      </c>
      <c r="DR91" s="25" t="s">
        <v>67</v>
      </c>
      <c r="EB91" s="25" t="s">
        <v>68</v>
      </c>
      <c r="EL91" s="25" t="s">
        <v>231</v>
      </c>
    </row>
    <row r="92" spans="2:146" ht="15" thickTop="1" x14ac:dyDescent="0.3">
      <c r="B92" t="s">
        <v>23</v>
      </c>
      <c r="C92">
        <f>E92*($C$11/F92)^2</f>
        <v>1204.4111558583313</v>
      </c>
      <c r="D92" t="s">
        <v>339</v>
      </c>
      <c r="E92">
        <f>O92</f>
        <v>50</v>
      </c>
      <c r="F92">
        <v>163</v>
      </c>
      <c r="L92" t="s">
        <v>23</v>
      </c>
      <c r="M92">
        <f>O92*($C$11/P92)^2</f>
        <v>966.06690013283446</v>
      </c>
      <c r="N92" t="s">
        <v>24</v>
      </c>
      <c r="O92">
        <v>50</v>
      </c>
      <c r="P92">
        <v>182</v>
      </c>
      <c r="Q92">
        <f>O98/P92</f>
        <v>0.42799999999999999</v>
      </c>
      <c r="V92" t="s">
        <v>23</v>
      </c>
      <c r="W92">
        <f>Y92*($C$11/Z92)^2</f>
        <v>299.26399760588799</v>
      </c>
      <c r="X92" t="s">
        <v>24</v>
      </c>
      <c r="Y92">
        <f>AI92</f>
        <v>50</v>
      </c>
      <c r="Z92">
        <v>327</v>
      </c>
      <c r="AA92">
        <f>Z92/AJ92</f>
        <v>0.7936893203883495</v>
      </c>
      <c r="AF92" t="s">
        <v>23</v>
      </c>
      <c r="AG92">
        <f>AI92*($C$11/AJ92)^2</f>
        <v>188.51918182675087</v>
      </c>
      <c r="AH92" t="s">
        <v>24</v>
      </c>
      <c r="AI92">
        <v>50</v>
      </c>
      <c r="AJ92">
        <v>412</v>
      </c>
      <c r="AK92">
        <f>AI98/AJ92</f>
        <v>0.41</v>
      </c>
      <c r="AP92" t="s">
        <v>23</v>
      </c>
      <c r="AQ92">
        <f>AS92*($C$11/AT92)^2</f>
        <v>186.70214007328056</v>
      </c>
      <c r="AR92" t="s">
        <v>24</v>
      </c>
      <c r="AS92">
        <f>BC92</f>
        <v>50</v>
      </c>
      <c r="AT92">
        <v>414</v>
      </c>
      <c r="AZ92" t="s">
        <v>23</v>
      </c>
      <c r="BA92">
        <f>BC92*($C$11/BD92)^2</f>
        <v>128.51354010626463</v>
      </c>
      <c r="BB92" t="s">
        <v>24</v>
      </c>
      <c r="BC92">
        <v>50</v>
      </c>
      <c r="BD92">
        <v>499</v>
      </c>
      <c r="BE92">
        <f>BC98/BD92</f>
        <v>0.41</v>
      </c>
      <c r="BJ92" t="s">
        <v>23</v>
      </c>
      <c r="BK92" s="31">
        <f>BM92*($C$11/BN92)^2</f>
        <v>88.006622498342992</v>
      </c>
      <c r="BL92" t="s">
        <v>24</v>
      </c>
      <c r="BM92">
        <f>BW92</f>
        <v>50</v>
      </c>
      <c r="BN92">
        <v>603</v>
      </c>
      <c r="BO92">
        <f>BN92/BX92</f>
        <v>0.8469101123595506</v>
      </c>
      <c r="BT92" t="s">
        <v>23</v>
      </c>
      <c r="BU92">
        <f>BW92*($C$11/BX92)^2</f>
        <v>63.12334301224594</v>
      </c>
      <c r="BV92" t="s">
        <v>24</v>
      </c>
      <c r="BW92">
        <v>50</v>
      </c>
      <c r="BX92">
        <v>712</v>
      </c>
      <c r="BY92">
        <f>BW98/BX92</f>
        <v>0.40999999999999992</v>
      </c>
      <c r="CD92" t="s">
        <v>23</v>
      </c>
      <c r="CE92" s="31">
        <f>CG92*($C$11/CH92)^2</f>
        <v>34.932226760413471</v>
      </c>
      <c r="CF92" t="s">
        <v>24</v>
      </c>
      <c r="CG92">
        <f>CQ92</f>
        <v>50</v>
      </c>
      <c r="CH92">
        <f>CR92*0.847</f>
        <v>957.11</v>
      </c>
      <c r="CN92" t="s">
        <v>23</v>
      </c>
      <c r="CO92">
        <f>CQ92*($C$11/CR92)^2</f>
        <v>25.060693867961469</v>
      </c>
      <c r="CP92" t="s">
        <v>24</v>
      </c>
      <c r="CQ92">
        <v>50</v>
      </c>
      <c r="CR92">
        <v>1130</v>
      </c>
      <c r="CS92">
        <f>CQ98/CR92</f>
        <v>0.41</v>
      </c>
      <c r="CX92" t="s">
        <v>23</v>
      </c>
      <c r="CY92" s="31">
        <f>DA92*($C$11/DB92)^2</f>
        <v>21.645218614803312</v>
      </c>
      <c r="CZ92" t="s">
        <v>24</v>
      </c>
      <c r="DA92">
        <f>DK92</f>
        <v>50</v>
      </c>
      <c r="DB92">
        <f>BN92*(710/500)^2</f>
        <v>1215.8892000000001</v>
      </c>
      <c r="DH92" t="s">
        <v>23</v>
      </c>
      <c r="DI92">
        <f>DK92*($C$11/DL92)^2</f>
        <v>15.525178905973872</v>
      </c>
      <c r="DJ92" t="s">
        <v>24</v>
      </c>
      <c r="DK92">
        <v>50</v>
      </c>
      <c r="DL92">
        <f>BX92*(710/500)^2</f>
        <v>1435.6768</v>
      </c>
      <c r="DR92" t="s">
        <v>23</v>
      </c>
      <c r="DS92" s="31">
        <f>DU92*($C$11/DV92)^2</f>
        <v>5.500413906146437</v>
      </c>
      <c r="DT92" t="s">
        <v>24</v>
      </c>
      <c r="DU92">
        <f>EE92</f>
        <v>50</v>
      </c>
      <c r="DV92">
        <f>DB92*(1000/710)^2</f>
        <v>2412</v>
      </c>
      <c r="EB92" t="s">
        <v>23</v>
      </c>
      <c r="EC92">
        <f>EE92*($C$11/EF92)^2</f>
        <v>3.9452089382653712</v>
      </c>
      <c r="ED92" t="s">
        <v>24</v>
      </c>
      <c r="EE92">
        <v>50</v>
      </c>
      <c r="EF92">
        <f>DL92*(1000/710)^2</f>
        <v>2847.9999999999995</v>
      </c>
      <c r="EL92" t="s">
        <v>23</v>
      </c>
      <c r="EM92">
        <f>EO92*($C$11/EP92)^2</f>
        <v>1.2236319688695514</v>
      </c>
      <c r="EN92" t="s">
        <v>24</v>
      </c>
      <c r="EO92">
        <v>50</v>
      </c>
      <c r="EP92">
        <f>EF92*(1340/1000)^2</f>
        <v>5113.8688000000002</v>
      </c>
    </row>
    <row r="93" spans="2:146" x14ac:dyDescent="0.3">
      <c r="D93" t="s">
        <v>340</v>
      </c>
      <c r="E93">
        <f>E92-(0.5*1.225*(F92/(1000*M95))^2)</f>
        <v>43.246304057268716</v>
      </c>
      <c r="N93" t="s">
        <v>340</v>
      </c>
      <c r="O93">
        <f>O92-(0.5*1.225*(P92/(1000*M95))^2)</f>
        <v>41.580058549172684</v>
      </c>
      <c r="X93" t="s">
        <v>340</v>
      </c>
      <c r="Y93">
        <f>Y92-(0.5*1.225*(Z92/(1000*AG95))^2)</f>
        <v>43.314892067925641</v>
      </c>
      <c r="AH93" t="s">
        <v>340</v>
      </c>
      <c r="AI93">
        <f t="shared" ref="AI93" si="2">AI92-(0.5*1.225*(AJ92/(1000*AG95))^2)</f>
        <v>39.387752987290348</v>
      </c>
      <c r="AR93" t="s">
        <v>340</v>
      </c>
      <c r="AS93">
        <f>AS92-(0.5*1.225*(AT92/(1000*BA95))^2)</f>
        <v>43.352060671980126</v>
      </c>
      <c r="BB93" t="s">
        <v>340</v>
      </c>
      <c r="BC93">
        <f t="shared" ref="BC93" si="3">BC92-(0.5*1.225*(BD92/(1000*BA95))^2)</f>
        <v>40.341994325326866</v>
      </c>
      <c r="BL93" t="s">
        <v>340</v>
      </c>
      <c r="BM93">
        <f>BM92-(0.5*1.225*(BN92/(1000*BU95))^2)</f>
        <v>44.223285059560531</v>
      </c>
      <c r="BV93" t="s">
        <v>340</v>
      </c>
      <c r="BW93">
        <f t="shared" ref="BW93" si="4">BW92-(0.5*1.225*(BX92/(1000*BU95))^2)</f>
        <v>41.946098752324211</v>
      </c>
      <c r="CF93" t="s">
        <v>340</v>
      </c>
      <c r="CG93">
        <f>CG92-(0.5*1.225*(CH92/(1000*CO95))^2)</f>
        <v>44.225852946406143</v>
      </c>
      <c r="CP93" t="s">
        <v>340</v>
      </c>
      <c r="CQ93">
        <f t="shared" ref="CQ93" si="5">CQ92-(0.5*1.225*(CR92/(1000*CO95))^2)</f>
        <v>41.951387488038399</v>
      </c>
      <c r="CZ93" t="s">
        <v>340</v>
      </c>
      <c r="DA93">
        <f>DA92-(0.5*1.225*(DB92/(1000*DI95))^2)</f>
        <v>44.223285059560531</v>
      </c>
      <c r="DJ93" t="s">
        <v>340</v>
      </c>
      <c r="DK93">
        <f t="shared" ref="DK93" si="6">DK92-(0.5*1.225*(DL92/(1000*DI95))^2)</f>
        <v>41.946098752324211</v>
      </c>
      <c r="DT93" t="s">
        <v>340</v>
      </c>
      <c r="DU93">
        <f>DU92-(0.5*1.225*(DV92/(1000*EC95))^2)</f>
        <v>44.223285059560531</v>
      </c>
      <c r="ED93" t="s">
        <v>340</v>
      </c>
      <c r="EE93">
        <f t="shared" ref="EE93" si="7">EE92-(0.5*1.225*(EF92/(1000*EC95))^2)</f>
        <v>41.946098752324218</v>
      </c>
      <c r="EN93" t="s">
        <v>340</v>
      </c>
      <c r="EO93">
        <f t="shared" ref="EO93" si="8">EO92-(0.5*1.225*(EP92/(1000*EM95))^2)</f>
        <v>41.946098752324218</v>
      </c>
    </row>
    <row r="94" spans="2:146" x14ac:dyDescent="0.3">
      <c r="B94" t="s">
        <v>205</v>
      </c>
      <c r="C94" s="27">
        <v>209</v>
      </c>
      <c r="L94" t="s">
        <v>205</v>
      </c>
      <c r="M94" s="27">
        <v>250</v>
      </c>
      <c r="P94" s="27"/>
      <c r="V94" t="s">
        <v>205</v>
      </c>
      <c r="W94" s="27">
        <v>297</v>
      </c>
      <c r="AF94" t="s">
        <v>205</v>
      </c>
      <c r="AG94" s="27">
        <v>355</v>
      </c>
      <c r="AI94" s="27"/>
      <c r="AJ94" s="27"/>
      <c r="AP94" t="s">
        <v>205</v>
      </c>
      <c r="AQ94" s="27">
        <v>335</v>
      </c>
      <c r="AZ94" t="s">
        <v>205</v>
      </c>
      <c r="BA94" s="27">
        <v>400</v>
      </c>
      <c r="BC94" s="27"/>
      <c r="BD94" s="27"/>
      <c r="BJ94" t="s">
        <v>205</v>
      </c>
      <c r="BK94" s="27">
        <v>418</v>
      </c>
      <c r="BT94" t="s">
        <v>205</v>
      </c>
      <c r="BU94" s="27">
        <v>500</v>
      </c>
      <c r="BW94" s="27"/>
      <c r="BX94" s="27"/>
      <c r="CD94" t="s">
        <v>205</v>
      </c>
      <c r="CE94" s="27">
        <v>527</v>
      </c>
      <c r="CN94" t="s">
        <v>205</v>
      </c>
      <c r="CO94" s="27">
        <v>630</v>
      </c>
      <c r="CQ94" s="27"/>
      <c r="CR94" s="27"/>
      <c r="CX94" t="s">
        <v>205</v>
      </c>
      <c r="CY94" s="27">
        <v>594</v>
      </c>
      <c r="DH94" t="s">
        <v>205</v>
      </c>
      <c r="DI94" s="27">
        <v>710</v>
      </c>
      <c r="DK94" s="27"/>
      <c r="DL94" s="27"/>
      <c r="DR94" t="s">
        <v>205</v>
      </c>
      <c r="DS94" s="27">
        <v>837</v>
      </c>
      <c r="EB94" t="s">
        <v>205</v>
      </c>
      <c r="EC94" s="27">
        <v>1000</v>
      </c>
      <c r="EE94" s="27"/>
      <c r="EF94" s="27"/>
      <c r="EL94" t="s">
        <v>205</v>
      </c>
      <c r="EM94" s="27">
        <v>1340</v>
      </c>
      <c r="EO94" s="27"/>
      <c r="EP94" s="27"/>
    </row>
    <row r="95" spans="2:146" x14ac:dyDescent="0.3">
      <c r="B95" t="s">
        <v>94</v>
      </c>
      <c r="C95" s="30">
        <f>PI()*(C94/2000)^2</f>
        <v>3.4306977175363934E-2</v>
      </c>
      <c r="L95" t="s">
        <v>94</v>
      </c>
      <c r="M95" s="30">
        <f>PI()*(M94/2000)^2</f>
        <v>4.9087385212340517E-2</v>
      </c>
      <c r="P95" s="27"/>
      <c r="V95" t="s">
        <v>94</v>
      </c>
      <c r="W95" s="30">
        <f>PI()*(W94/2000)^2</f>
        <v>6.9279186595125511E-2</v>
      </c>
      <c r="AF95" t="s">
        <v>94</v>
      </c>
      <c r="AG95" s="30">
        <f>PI()*(AG94/2000)^2</f>
        <v>9.8979803542163416E-2</v>
      </c>
      <c r="AI95" s="27"/>
      <c r="AJ95" s="27"/>
      <c r="AP95" t="s">
        <v>94</v>
      </c>
      <c r="AQ95" s="30">
        <f>PI()*(AQ94/2000)^2</f>
        <v>8.8141308887278655E-2</v>
      </c>
      <c r="AZ95" t="s">
        <v>94</v>
      </c>
      <c r="BA95" s="30">
        <f>PI()*(BA94/2000)^2</f>
        <v>0.12566370614359174</v>
      </c>
      <c r="BC95" s="27"/>
      <c r="BD95" s="27"/>
      <c r="BJ95" t="s">
        <v>94</v>
      </c>
      <c r="BK95" s="30">
        <f>PI()*(BK94/2000)^2</f>
        <v>0.13722790870145574</v>
      </c>
      <c r="BT95" t="s">
        <v>94</v>
      </c>
      <c r="BU95" s="30">
        <f>PI()*(BU94/2000)^2</f>
        <v>0.19634954084936207</v>
      </c>
      <c r="BW95" s="27"/>
      <c r="BX95" s="27"/>
      <c r="CD95" t="s">
        <v>94</v>
      </c>
      <c r="CE95" s="30">
        <f>PI()*(CE94/2000)^2</f>
        <v>0.21812784652220993</v>
      </c>
      <c r="CN95" t="s">
        <v>94</v>
      </c>
      <c r="CO95" s="30">
        <f>PI()*(CO94/2000)^2</f>
        <v>0.31172453105244724</v>
      </c>
      <c r="CQ95" s="27"/>
      <c r="CR95" s="27"/>
      <c r="CX95" t="s">
        <v>94</v>
      </c>
      <c r="CY95" s="30">
        <f>PI()*(CY94/2000)^2</f>
        <v>0.27711674638050204</v>
      </c>
      <c r="DH95" t="s">
        <v>94</v>
      </c>
      <c r="DI95" s="30">
        <f>PI()*(DI94/2000)^2</f>
        <v>0.39591921416865367</v>
      </c>
      <c r="DK95" s="27"/>
      <c r="DL95" s="27"/>
      <c r="DR95" t="s">
        <v>94</v>
      </c>
      <c r="DS95" s="30">
        <f>PI()*(DS94/2000)^2</f>
        <v>0.55022560593318692</v>
      </c>
      <c r="EB95" t="s">
        <v>94</v>
      </c>
      <c r="EC95" s="30">
        <f>PI()*(EC94/2000)^2</f>
        <v>0.78539816339744828</v>
      </c>
      <c r="EE95" s="27"/>
      <c r="EF95" s="27"/>
      <c r="EL95" t="s">
        <v>94</v>
      </c>
      <c r="EM95" s="30">
        <f>PI()*(EM94/2000)^2</f>
        <v>1.4102609421964585</v>
      </c>
      <c r="EO95" s="27"/>
      <c r="EP95" s="27"/>
    </row>
    <row r="96" spans="2:146" x14ac:dyDescent="0.3">
      <c r="B96" t="s">
        <v>230</v>
      </c>
      <c r="C96">
        <f>E93*($C$11/F92)^2</f>
        <v>1041.726621124317</v>
      </c>
      <c r="L96" t="s">
        <v>230</v>
      </c>
      <c r="M96">
        <f>O93*($C$11/P92)^2</f>
        <v>803.3823653988203</v>
      </c>
      <c r="V96" t="s">
        <v>230</v>
      </c>
      <c r="W96">
        <f t="shared" ref="W96" si="9">Y93*($C$11/Z92)^2</f>
        <v>259.25175512229993</v>
      </c>
      <c r="AF96" t="s">
        <v>230</v>
      </c>
      <c r="AG96">
        <f t="shared" ref="AG96" si="10">AI93*($C$11/AJ92)^2</f>
        <v>148.50693934316277</v>
      </c>
      <c r="AP96" t="s">
        <v>230</v>
      </c>
      <c r="AQ96">
        <f t="shared" ref="AQ96" si="11">AS93*($C$11/AT92)^2</f>
        <v>161.87845008090781</v>
      </c>
      <c r="AZ96" t="s">
        <v>230</v>
      </c>
      <c r="BA96">
        <f t="shared" ref="BA96" si="12">BC93*($C$11/BD92)^2</f>
        <v>103.68985011389189</v>
      </c>
      <c r="BJ96" t="s">
        <v>230</v>
      </c>
      <c r="BK96">
        <f t="shared" ref="BK96" si="13">BM93*($C$11/BN92)^2</f>
        <v>77.8388390774671</v>
      </c>
      <c r="BT96" t="s">
        <v>230</v>
      </c>
      <c r="BU96">
        <f t="shared" ref="BU96" si="14">BW93*($C$11/BX92)^2</f>
        <v>52.955559591370047</v>
      </c>
      <c r="CD96" t="s">
        <v>230</v>
      </c>
      <c r="CE96">
        <f>CG93*($C$11/CH92)^2</f>
        <v>30.898150475931192</v>
      </c>
      <c r="CN96" t="s">
        <v>230</v>
      </c>
      <c r="CO96">
        <f t="shared" ref="CO96" si="15">CQ93*($C$11/CR92)^2</f>
        <v>21.02661758347919</v>
      </c>
      <c r="CX96" t="s">
        <v>230</v>
      </c>
      <c r="CY96">
        <f>DA93*($C$11/DB92)^2</f>
        <v>19.144453459579054</v>
      </c>
      <c r="DH96" t="s">
        <v>230</v>
      </c>
      <c r="DI96">
        <f t="shared" ref="DI96" si="16">DK93*($C$11/DL92)^2</f>
        <v>13.024413750749616</v>
      </c>
      <c r="DR96" t="s">
        <v>230</v>
      </c>
      <c r="DS96">
        <f t="shared" ref="DS96" si="17">DU93*($C$11/DV92)^2</f>
        <v>4.8649274423416937</v>
      </c>
      <c r="EB96" t="s">
        <v>230</v>
      </c>
      <c r="EC96">
        <f t="shared" ref="EC96" si="18">EE93*($C$11/EF92)^2</f>
        <v>3.3097224744606288</v>
      </c>
      <c r="EL96" t="s">
        <v>230</v>
      </c>
      <c r="EM96">
        <f t="shared" ref="EM96" si="19">EO93*($C$11/EP92)^2</f>
        <v>1.0265317480540623</v>
      </c>
    </row>
    <row r="97" spans="2:148" x14ac:dyDescent="0.3">
      <c r="B97" t="s">
        <v>46</v>
      </c>
      <c r="C97">
        <f>F92*SQRT($C$14/E93)</f>
        <v>191.99447483568773</v>
      </c>
      <c r="L97" t="s">
        <v>46</v>
      </c>
      <c r="M97">
        <f>P92*SQRT($C$14/O93)</f>
        <v>218.62733702194814</v>
      </c>
      <c r="V97" t="s">
        <v>46</v>
      </c>
      <c r="W97">
        <f t="shared" ref="W97" si="20">Z92*SQRT($C$14/Y93)</f>
        <v>384.8617582152163</v>
      </c>
      <c r="AF97" t="s">
        <v>46</v>
      </c>
      <c r="AG97">
        <f t="shared" ref="AG97" si="21">AJ92*SQRT($C$14/AI93)</f>
        <v>508.50150003810296</v>
      </c>
      <c r="AP97" t="s">
        <v>46</v>
      </c>
      <c r="AQ97">
        <f t="shared" ref="AQ97" si="22">AT92*SQRT($C$14/AS93)</f>
        <v>487.04724760450767</v>
      </c>
      <c r="AZ97" t="s">
        <v>46</v>
      </c>
      <c r="BA97">
        <f t="shared" ref="BA97" si="23">BD92*SQRT($C$14/BC93)</f>
        <v>608.55171242225686</v>
      </c>
      <c r="BJ97" t="s">
        <v>46</v>
      </c>
      <c r="BK97">
        <f t="shared" ref="BK97" si="24">BN92*SQRT($C$14/BM93)</f>
        <v>702.37239951130766</v>
      </c>
      <c r="BT97" t="s">
        <v>46</v>
      </c>
      <c r="BU97">
        <f t="shared" ref="BU97" si="25">BX92*SQRT($C$14/BW93)</f>
        <v>851.54936876686645</v>
      </c>
      <c r="CD97" t="s">
        <v>46</v>
      </c>
      <c r="CE97">
        <f>CH92*SQRT($C$14/CG93)</f>
        <v>1114.8061868104189</v>
      </c>
      <c r="CN97" t="s">
        <v>46</v>
      </c>
      <c r="CO97">
        <f t="shared" ref="CO97" si="26">CR92*SQRT($C$14/CQ93)</f>
        <v>1351.3906322818736</v>
      </c>
      <c r="CX97" t="s">
        <v>46</v>
      </c>
      <c r="CY97">
        <f>DB92*SQRT($C$14/DA93)</f>
        <v>1416.2637063746008</v>
      </c>
      <c r="DH97" t="s">
        <v>46</v>
      </c>
      <c r="DI97">
        <f t="shared" ref="DI97" si="27">DL92*SQRT($C$14/DK93)</f>
        <v>1717.0641471815095</v>
      </c>
      <c r="DR97" t="s">
        <v>46</v>
      </c>
      <c r="DS97">
        <f t="shared" ref="DS97" si="28">DV92*SQRT($C$14/DU93)</f>
        <v>2809.4895980452307</v>
      </c>
      <c r="EB97" t="s">
        <v>46</v>
      </c>
      <c r="EC97">
        <f t="shared" ref="EC97" si="29">EF92*SQRT($C$14/EE93)</f>
        <v>3406.1974750674653</v>
      </c>
      <c r="EL97" t="s">
        <v>46</v>
      </c>
      <c r="EM97">
        <f t="shared" ref="EM97" si="30">EP92*SQRT($C$14/EO93)</f>
        <v>6116.1681862311416</v>
      </c>
    </row>
    <row r="98" spans="2:148" x14ac:dyDescent="0.3">
      <c r="B98" t="s">
        <v>95</v>
      </c>
      <c r="C98">
        <f>E98*SQRT($C$16/F98)</f>
        <v>69.763999999999996</v>
      </c>
      <c r="D98" t="s">
        <v>97</v>
      </c>
      <c r="E98">
        <f>163*0.428</f>
        <v>69.763999999999996</v>
      </c>
      <c r="F98">
        <v>12</v>
      </c>
      <c r="L98" t="s">
        <v>95</v>
      </c>
      <c r="M98">
        <f>O98*SQRT($C$16/P98)</f>
        <v>77.896000000000001</v>
      </c>
      <c r="N98" t="s">
        <v>97</v>
      </c>
      <c r="O98">
        <f>182*0.428</f>
        <v>77.896000000000001</v>
      </c>
      <c r="P98">
        <v>12</v>
      </c>
      <c r="V98" t="s">
        <v>95</v>
      </c>
      <c r="W98">
        <f>Y98*SQRT($C$16/Z98)</f>
        <v>134.07</v>
      </c>
      <c r="X98" t="s">
        <v>97</v>
      </c>
      <c r="Y98">
        <f>327*0.41</f>
        <v>134.07</v>
      </c>
      <c r="Z98">
        <v>12</v>
      </c>
      <c r="AF98" t="s">
        <v>95</v>
      </c>
      <c r="AG98">
        <f>AI98*SQRT($C$16/AJ98)</f>
        <v>168.92</v>
      </c>
      <c r="AH98" t="s">
        <v>97</v>
      </c>
      <c r="AI98">
        <f>412*0.41</f>
        <v>168.92</v>
      </c>
      <c r="AJ98">
        <v>12</v>
      </c>
      <c r="AP98" t="s">
        <v>95</v>
      </c>
      <c r="AQ98">
        <f>AS98*SQRT($C$16/AT98)</f>
        <v>172.74600000000001</v>
      </c>
      <c r="AR98" t="s">
        <v>97</v>
      </c>
      <c r="AS98">
        <f>411.3*0.42</f>
        <v>172.74600000000001</v>
      </c>
      <c r="AT98">
        <v>12</v>
      </c>
      <c r="AZ98" t="s">
        <v>95</v>
      </c>
      <c r="BA98">
        <f>BC98*SQRT($C$16/BD98)</f>
        <v>204.58999999999997</v>
      </c>
      <c r="BB98" t="s">
        <v>97</v>
      </c>
      <c r="BC98">
        <f>BD92*0.41</f>
        <v>204.58999999999997</v>
      </c>
      <c r="BD98">
        <v>12</v>
      </c>
      <c r="BJ98" t="s">
        <v>95</v>
      </c>
      <c r="BK98">
        <f t="shared" ref="BK98" si="31">BM98*SQRT($C$16/BN98)</f>
        <v>247.23</v>
      </c>
      <c r="BL98" t="s">
        <v>97</v>
      </c>
      <c r="BM98">
        <f t="shared" ref="BM98" si="32">BN92*0.41</f>
        <v>247.23</v>
      </c>
      <c r="BN98">
        <v>12</v>
      </c>
      <c r="BT98" t="s">
        <v>95</v>
      </c>
      <c r="BU98">
        <f t="shared" ref="BU98" si="33">BW98*SQRT($C$16/BX98)</f>
        <v>291.91999999999996</v>
      </c>
      <c r="BV98" t="s">
        <v>97</v>
      </c>
      <c r="BW98">
        <f t="shared" ref="BW98" si="34">BX92*0.41</f>
        <v>291.91999999999996</v>
      </c>
      <c r="BX98">
        <v>12</v>
      </c>
      <c r="CD98" t="s">
        <v>95</v>
      </c>
      <c r="CE98">
        <f t="shared" ref="CE98" si="35">CG98*SQRT($C$16/CH98)</f>
        <v>392.4151</v>
      </c>
      <c r="CF98" t="s">
        <v>97</v>
      </c>
      <c r="CG98">
        <f t="shared" ref="CG98" si="36">CH92*0.41</f>
        <v>392.4151</v>
      </c>
      <c r="CH98">
        <v>12</v>
      </c>
      <c r="CN98" t="s">
        <v>95</v>
      </c>
      <c r="CO98">
        <f t="shared" ref="CO98" si="37">CQ98*SQRT($C$16/CR98)</f>
        <v>463.29999999999995</v>
      </c>
      <c r="CP98" t="s">
        <v>97</v>
      </c>
      <c r="CQ98">
        <f t="shared" ref="CQ98" si="38">CR92*0.41</f>
        <v>463.29999999999995</v>
      </c>
      <c r="CR98">
        <v>12</v>
      </c>
      <c r="CX98" t="s">
        <v>95</v>
      </c>
      <c r="CY98">
        <f t="shared" ref="CY98" si="39">DA98*SQRT($C$16/DB98)</f>
        <v>498.51457199999999</v>
      </c>
      <c r="CZ98" t="s">
        <v>97</v>
      </c>
      <c r="DA98">
        <f t="shared" ref="DA98" si="40">DB92*0.41</f>
        <v>498.51457199999999</v>
      </c>
      <c r="DB98">
        <v>12</v>
      </c>
      <c r="DH98" t="s">
        <v>95</v>
      </c>
      <c r="DI98">
        <f t="shared" ref="DI98" si="41">DK98*SQRT($C$16/DL98)</f>
        <v>588.62748799999997</v>
      </c>
      <c r="DJ98" t="s">
        <v>97</v>
      </c>
      <c r="DK98">
        <f t="shared" ref="DK98" si="42">DL92*0.41</f>
        <v>588.62748799999997</v>
      </c>
      <c r="DL98">
        <v>12</v>
      </c>
      <c r="DR98" t="s">
        <v>95</v>
      </c>
      <c r="DS98">
        <f t="shared" ref="DS98" si="43">DU98*SQRT($C$16/DV98)</f>
        <v>988.92</v>
      </c>
      <c r="DT98" t="s">
        <v>97</v>
      </c>
      <c r="DU98">
        <f t="shared" ref="DU98" si="44">DV92*0.41</f>
        <v>988.92</v>
      </c>
      <c r="DV98">
        <v>12</v>
      </c>
      <c r="EB98" t="s">
        <v>95</v>
      </c>
      <c r="EC98">
        <f t="shared" ref="EC98" si="45">EE98*SQRT($C$16/EF98)</f>
        <v>1167.6799999999998</v>
      </c>
      <c r="ED98" t="s">
        <v>97</v>
      </c>
      <c r="EE98">
        <f t="shared" ref="EE98" si="46">EF92*0.41</f>
        <v>1167.6799999999998</v>
      </c>
      <c r="EF98">
        <v>12</v>
      </c>
      <c r="EL98" t="s">
        <v>95</v>
      </c>
      <c r="EM98">
        <f t="shared" ref="EM98" si="47">EO98*SQRT($C$16/EP98)</f>
        <v>1803.641385357515</v>
      </c>
      <c r="EN98" t="s">
        <v>97</v>
      </c>
      <c r="EO98">
        <f>1328.8*(1340/1000)^2</f>
        <v>2385.9932800000001</v>
      </c>
      <c r="EP98">
        <v>21</v>
      </c>
    </row>
    <row r="99" spans="2:148" x14ac:dyDescent="0.3">
      <c r="B99" t="s">
        <v>25</v>
      </c>
      <c r="C99" s="27">
        <f>E99*LN(C92)+F99</f>
        <v>94.469005791175348</v>
      </c>
      <c r="E99" s="27">
        <v>14.39</v>
      </c>
      <c r="F99">
        <v>-7.61</v>
      </c>
      <c r="L99" t="s">
        <v>25</v>
      </c>
      <c r="M99" s="27">
        <f>O99*LN(M92)+P99</f>
        <v>89.658924866876276</v>
      </c>
      <c r="O99" s="27">
        <v>14.05</v>
      </c>
      <c r="P99">
        <v>-6.91</v>
      </c>
      <c r="V99" t="s">
        <v>25</v>
      </c>
      <c r="W99" s="27">
        <f>Y99*LN(W92)+Z99</f>
        <v>79.33172723949319</v>
      </c>
      <c r="Y99" s="27">
        <v>15.63</v>
      </c>
      <c r="Z99">
        <v>-9.7799999999999994</v>
      </c>
      <c r="AF99" t="s">
        <v>25</v>
      </c>
      <c r="AG99" s="27">
        <f>AI99*LN(AG92)+AJ99</f>
        <v>69.386204611804871</v>
      </c>
      <c r="AI99" s="27">
        <v>14.24</v>
      </c>
      <c r="AJ99">
        <v>-5.22</v>
      </c>
      <c r="AP99" t="s">
        <v>25</v>
      </c>
      <c r="AQ99" s="27">
        <f>AS99*LN(AQ92)+AT99</f>
        <v>71.597916515054209</v>
      </c>
      <c r="AS99" s="265">
        <v>15.332000000000001</v>
      </c>
      <c r="AT99" s="266">
        <v>-8.5809999999999995</v>
      </c>
      <c r="AZ99" t="s">
        <v>25</v>
      </c>
      <c r="BA99" s="27">
        <f>BC99*LN(BA92)+BD99</f>
        <v>64.067624542584298</v>
      </c>
      <c r="BC99" s="270">
        <v>14.256</v>
      </c>
      <c r="BD99" s="271">
        <v>-5.16</v>
      </c>
      <c r="BE99" s="271"/>
      <c r="BJ99" t="s">
        <v>25</v>
      </c>
      <c r="BK99" s="27">
        <f>BM99*LN(BK92)+BN99</f>
        <v>59.773635027432277</v>
      </c>
      <c r="BM99" s="27">
        <v>14.67</v>
      </c>
      <c r="BN99">
        <v>-5.91</v>
      </c>
      <c r="BT99" t="s">
        <v>25</v>
      </c>
      <c r="BU99" s="27">
        <f>BW99*LN(BU92)+BX99</f>
        <v>54.203345216163292</v>
      </c>
      <c r="BW99">
        <v>14.29</v>
      </c>
      <c r="BX99">
        <v>-5.03</v>
      </c>
      <c r="CD99" t="s">
        <v>25</v>
      </c>
      <c r="CE99" s="27">
        <f>CG99*LN(CE92)+CH99</f>
        <v>47.353752385118739</v>
      </c>
      <c r="CG99" s="270">
        <v>14.459</v>
      </c>
      <c r="CH99" s="271">
        <v>-4.0250000000000004</v>
      </c>
      <c r="CN99" t="s">
        <v>25</v>
      </c>
      <c r="CO99" s="27">
        <f>CQ99*LN(CO92)+CR99</f>
        <v>42.967803826232235</v>
      </c>
      <c r="CQ99" s="271">
        <v>14.319000000000001</v>
      </c>
      <c r="CR99" s="271">
        <v>-3.1579999999999999</v>
      </c>
      <c r="CX99" t="s">
        <v>25</v>
      </c>
      <c r="CY99" s="27">
        <f>DA99*LN(CY92)+DB99</f>
        <v>41.191280362179533</v>
      </c>
      <c r="DA99" s="27">
        <v>14.327999999999999</v>
      </c>
      <c r="DB99" s="27">
        <v>-2.8642331123388707</v>
      </c>
      <c r="DH99" t="s">
        <v>25</v>
      </c>
      <c r="DI99" s="27">
        <f>DK99*LN(DI92)+DL99</f>
        <v>37.315263848475162</v>
      </c>
      <c r="DK99" s="27">
        <v>14.33</v>
      </c>
      <c r="DL99" s="27">
        <v>-1.9842331123388708</v>
      </c>
      <c r="DR99" t="s">
        <v>25</v>
      </c>
      <c r="DS99" s="27">
        <f>DU99*LN(DS92)+DV99</f>
        <v>24.611652310173188</v>
      </c>
      <c r="DU99" s="27">
        <v>14.33</v>
      </c>
      <c r="DV99">
        <v>0.18153377532225878</v>
      </c>
      <c r="EB99" t="s">
        <v>25</v>
      </c>
      <c r="EC99" s="27">
        <f>EE99*LN(EC92)+EF99</f>
        <v>20.729486227307099</v>
      </c>
      <c r="EE99" s="27">
        <v>14.33</v>
      </c>
      <c r="EF99">
        <v>1.0615337753222587</v>
      </c>
      <c r="EL99" t="s">
        <v>25</v>
      </c>
      <c r="EM99" s="27">
        <f>EO99*LN(EM92)+EP99</f>
        <v>6.1194308426193835</v>
      </c>
      <c r="EO99" s="27">
        <v>14.33</v>
      </c>
      <c r="EP99" s="27">
        <v>3.2273006629833882</v>
      </c>
    </row>
    <row r="100" spans="2:148" x14ac:dyDescent="0.3">
      <c r="B100" t="s">
        <v>206</v>
      </c>
      <c r="C100" s="30">
        <f>$C$11/1000/C95</f>
        <v>23.318871724276697</v>
      </c>
      <c r="L100" t="s">
        <v>206</v>
      </c>
      <c r="M100" s="30">
        <f>$C$11/1000/M95</f>
        <v>16.297466172610083</v>
      </c>
      <c r="O100" s="27"/>
      <c r="P100" s="27"/>
      <c r="V100" t="s">
        <v>206</v>
      </c>
      <c r="W100" s="30">
        <f>$C$11/1000/W95</f>
        <v>11.547479687879131</v>
      </c>
      <c r="AF100" t="s">
        <v>206</v>
      </c>
      <c r="AG100" s="30">
        <f>$C$11/1000/AG95</f>
        <v>8.082456939401947</v>
      </c>
      <c r="AI100" s="27"/>
      <c r="AJ100" s="27"/>
      <c r="AP100" t="s">
        <v>206</v>
      </c>
      <c r="AQ100" s="30">
        <f>$C$11/1000/AQ95</f>
        <v>9.0763344690410328</v>
      </c>
      <c r="AZ100" t="s">
        <v>206</v>
      </c>
      <c r="BA100" s="30">
        <f>$C$11/1000/BA95</f>
        <v>6.3661977236758132</v>
      </c>
      <c r="BC100" s="27"/>
      <c r="BD100" s="27"/>
      <c r="BJ100" t="s">
        <v>206</v>
      </c>
      <c r="BK100" s="30">
        <f>$C$11/1000/BK95</f>
        <v>5.8297179310691742</v>
      </c>
      <c r="BT100" t="s">
        <v>206</v>
      </c>
      <c r="BU100" s="30">
        <f>$C$11/1000/BU95</f>
        <v>4.0743665431525207</v>
      </c>
      <c r="BW100" s="27"/>
      <c r="BX100" s="27"/>
      <c r="CD100" t="s">
        <v>206</v>
      </c>
      <c r="CE100" s="30">
        <f>$C$11/1000/CE95</f>
        <v>3.6675739148167104</v>
      </c>
      <c r="CN100" t="s">
        <v>206</v>
      </c>
      <c r="CO100" s="30">
        <f>$C$11/1000/CO95</f>
        <v>2.5663684449184432</v>
      </c>
      <c r="CQ100" s="27"/>
      <c r="CR100" s="27"/>
      <c r="CX100" t="s">
        <v>206</v>
      </c>
      <c r="CY100" s="30">
        <f>$C$11/1000/CY95</f>
        <v>2.8868699219697826</v>
      </c>
      <c r="DH100" t="s">
        <v>206</v>
      </c>
      <c r="DI100" s="30">
        <f>$C$11/1000/DI95</f>
        <v>2.0206142348504867</v>
      </c>
      <c r="DK100" s="27"/>
      <c r="DL100" s="27"/>
      <c r="DR100" t="s">
        <v>206</v>
      </c>
      <c r="DS100" s="30">
        <f>$C$11/1000/DS95</f>
        <v>1.4539490553937304</v>
      </c>
      <c r="EB100" t="s">
        <v>206</v>
      </c>
      <c r="EC100" s="30">
        <f>$C$11/1000/EC95</f>
        <v>1.0185916357881302</v>
      </c>
      <c r="EE100" s="27"/>
      <c r="EF100" s="27"/>
      <c r="EL100" t="s">
        <v>206</v>
      </c>
      <c r="EM100" s="30">
        <f>$C$11/1000/EM95</f>
        <v>0.56727090431506455</v>
      </c>
      <c r="EO100" s="27"/>
      <c r="EP100" s="27"/>
    </row>
    <row r="101" spans="2:148" x14ac:dyDescent="0.3">
      <c r="C101" s="30"/>
      <c r="M101" s="30"/>
      <c r="O101" s="27"/>
      <c r="P101" s="27"/>
      <c r="W101" s="30"/>
      <c r="AG101" s="30"/>
      <c r="AI101" s="27"/>
      <c r="AJ101" s="27"/>
      <c r="AQ101" s="30"/>
      <c r="BA101" s="30"/>
      <c r="BC101" s="27"/>
      <c r="BD101" s="27"/>
      <c r="BK101" s="30"/>
      <c r="BU101" s="30"/>
      <c r="BW101" s="27"/>
      <c r="BX101" s="27"/>
      <c r="CE101" s="30"/>
      <c r="CO101" s="30"/>
      <c r="CQ101" s="27"/>
      <c r="CR101" s="27"/>
      <c r="CY101" s="30"/>
      <c r="DI101" s="30"/>
      <c r="DK101" s="27"/>
      <c r="DL101" s="27"/>
      <c r="DS101" s="30"/>
      <c r="EC101" s="30"/>
      <c r="EE101" s="27"/>
      <c r="EF101" s="27"/>
      <c r="EM101" s="30"/>
      <c r="EO101" s="27"/>
      <c r="EP101" s="27"/>
    </row>
    <row r="102" spans="2:148" x14ac:dyDescent="0.3">
      <c r="B102" s="28" t="s">
        <v>473</v>
      </c>
      <c r="C102" s="30"/>
      <c r="L102" s="28" t="s">
        <v>273</v>
      </c>
      <c r="M102" s="30"/>
      <c r="O102" s="27"/>
      <c r="P102" s="27"/>
      <c r="V102" s="28" t="s">
        <v>273</v>
      </c>
      <c r="W102" s="30"/>
      <c r="AF102" s="28" t="s">
        <v>273</v>
      </c>
      <c r="AG102" s="30"/>
      <c r="AI102" s="27"/>
      <c r="AJ102" s="27"/>
      <c r="AP102" s="28" t="s">
        <v>273</v>
      </c>
      <c r="AQ102" s="30"/>
      <c r="AZ102" s="28" t="s">
        <v>273</v>
      </c>
      <c r="BA102" s="30"/>
      <c r="BC102" s="27"/>
      <c r="BD102" s="27"/>
      <c r="BJ102" s="28" t="s">
        <v>273</v>
      </c>
      <c r="BK102" s="30"/>
      <c r="BT102" s="28" t="s">
        <v>273</v>
      </c>
      <c r="BU102" s="30"/>
      <c r="BW102" s="27"/>
      <c r="BX102" s="27"/>
      <c r="CD102" s="28" t="s">
        <v>273</v>
      </c>
      <c r="CE102" s="30"/>
      <c r="CN102" s="28" t="s">
        <v>273</v>
      </c>
      <c r="CO102" s="30"/>
      <c r="CQ102" s="27"/>
      <c r="CR102" s="27"/>
      <c r="CX102" s="28" t="s">
        <v>273</v>
      </c>
      <c r="CY102" s="30"/>
      <c r="DH102" s="28" t="s">
        <v>273</v>
      </c>
      <c r="DI102" s="30"/>
      <c r="DK102" s="27"/>
      <c r="DL102" s="27"/>
      <c r="DR102" s="28" t="s">
        <v>273</v>
      </c>
      <c r="DS102" s="30"/>
      <c r="EB102" s="28" t="s">
        <v>273</v>
      </c>
      <c r="EC102" s="30"/>
      <c r="EE102" s="27"/>
      <c r="EF102" s="27"/>
      <c r="EL102" s="28" t="s">
        <v>273</v>
      </c>
      <c r="EM102" s="30"/>
      <c r="EO102" s="27"/>
      <c r="EP102" s="27"/>
    </row>
    <row r="103" spans="2:148" x14ac:dyDescent="0.3">
      <c r="B103" t="s">
        <v>26</v>
      </c>
      <c r="C103" s="27">
        <f>(3.33/$C$26)^2*$C$89*C100^2*SQRT(C95)</f>
        <v>144.01157362039007</v>
      </c>
      <c r="D103" s="28"/>
      <c r="E103" s="28"/>
      <c r="F103" s="28"/>
      <c r="G103" s="28"/>
      <c r="H103" s="28"/>
      <c r="L103" t="s">
        <v>26</v>
      </c>
      <c r="M103" s="27">
        <f>(3.33/$C$26)^2*$C$89*M100^2*SQRT(M95)*1.2</f>
        <v>100.97118991781848</v>
      </c>
      <c r="N103" s="28"/>
      <c r="O103" s="28"/>
      <c r="P103" s="28"/>
      <c r="Q103" s="28"/>
      <c r="R103" s="28"/>
      <c r="V103" t="s">
        <v>26</v>
      </c>
      <c r="W103" s="27">
        <f>(3.33/$C$26)^2*$C$89*W100^2*SQRT(W95)</f>
        <v>50.184188561817557</v>
      </c>
      <c r="X103" s="28"/>
      <c r="Y103" s="28"/>
      <c r="Z103" s="28"/>
      <c r="AA103" s="28"/>
      <c r="AB103" s="28"/>
      <c r="AF103" t="s">
        <v>26</v>
      </c>
      <c r="AG103" s="27">
        <f>(3.33/$C$26)^2*$C$89*AG100^2*SQRT(AG95)*1.2</f>
        <v>35.264070508387043</v>
      </c>
      <c r="AH103" s="28"/>
      <c r="AI103" s="28"/>
      <c r="AJ103" s="28"/>
      <c r="AK103" s="28"/>
      <c r="AL103" s="28"/>
      <c r="AP103" t="s">
        <v>26</v>
      </c>
      <c r="AQ103" s="27">
        <f>(3.33/$C$26)^2*$C$89*AQ100^2*SQRT(AQ95)</f>
        <v>34.970499307115865</v>
      </c>
      <c r="AR103" s="28"/>
      <c r="AS103" s="28"/>
      <c r="AT103" s="28"/>
      <c r="AU103" s="28"/>
      <c r="AV103" s="28"/>
      <c r="AZ103" t="s">
        <v>26</v>
      </c>
      <c r="BA103" s="27">
        <f>(3.33/$C$26)^2*$C$89*BA100^2*SQRT(BA95)*1.2</f>
        <v>24.6511694135299</v>
      </c>
      <c r="BB103" s="28"/>
      <c r="BC103" s="28"/>
      <c r="BD103" s="28"/>
      <c r="BE103" s="28"/>
      <c r="BF103" s="28"/>
      <c r="BJ103" t="s">
        <v>26</v>
      </c>
      <c r="BK103" s="27">
        <f>(3.33/$C$26)^2*$C$89*BK100^2*SQRT(BK95)</f>
        <v>18.001446702548758</v>
      </c>
      <c r="BL103" s="28"/>
      <c r="BM103" s="28"/>
      <c r="BN103" s="28"/>
      <c r="BO103" s="28"/>
      <c r="BP103" s="28"/>
      <c r="BT103" t="s">
        <v>26</v>
      </c>
      <c r="BU103" s="27">
        <f>(3.33/$C$26)^2*$C$89*BU100^2*SQRT(BU95)*1.2</f>
        <v>12.62139873972731</v>
      </c>
      <c r="BV103" s="28"/>
      <c r="BW103" s="28"/>
      <c r="BX103" s="28"/>
      <c r="BY103" s="28"/>
      <c r="BZ103" s="28"/>
      <c r="CD103" t="s">
        <v>26</v>
      </c>
      <c r="CE103" s="27">
        <f>(3.33/$C$26)^2*$C$89*CE100^2*SQRT(CE95)</f>
        <v>8.9826485625709687</v>
      </c>
      <c r="CF103" s="28"/>
      <c r="CG103" s="28"/>
      <c r="CH103" s="28"/>
      <c r="CI103" s="28"/>
      <c r="CN103" t="s">
        <v>26</v>
      </c>
      <c r="CO103" s="27">
        <f>(3.33/$C$26)^2*$C$89*CO100^2*SQRT(CO95)*1.2</f>
        <v>6.3095131813855536</v>
      </c>
      <c r="CP103" s="28"/>
      <c r="CQ103" s="28"/>
      <c r="CR103" s="28"/>
      <c r="CS103" s="28"/>
      <c r="CX103" t="s">
        <v>26</v>
      </c>
      <c r="CY103" s="427">
        <f>(3.33/$C$26)^2*($C$89/1.1)*CY100^2*SQRT(CY95)</f>
        <v>5.7027487002065405</v>
      </c>
      <c r="CZ103" s="28"/>
      <c r="DA103" s="28"/>
      <c r="DB103" s="28"/>
      <c r="DC103" s="28"/>
      <c r="DD103" s="28"/>
      <c r="DH103" t="s">
        <v>26</v>
      </c>
      <c r="DI103" s="27">
        <f>(3.33/$C$26)^2*$C$89*DI100^2*SQRT(DI95)*1.2</f>
        <v>4.4080088135483804</v>
      </c>
      <c r="DJ103" s="28"/>
      <c r="DK103" s="28"/>
      <c r="DL103" s="28"/>
      <c r="DM103" s="28"/>
      <c r="DN103" s="28"/>
      <c r="DR103" t="s">
        <v>26</v>
      </c>
      <c r="DS103" s="27">
        <f>(3.33/$C$26)^2*$C$89*DS100^2*SQRT(DS95)</f>
        <v>2.2421253054875363</v>
      </c>
      <c r="DT103" s="28"/>
      <c r="DU103" s="28"/>
      <c r="DV103" s="28"/>
      <c r="DW103" s="28"/>
      <c r="DX103" s="28"/>
      <c r="EB103" t="s">
        <v>26</v>
      </c>
      <c r="EC103" s="27">
        <f>(3.33/$C$26)^2*$C$89*EC100^2*SQRT(EC95)*1.2</f>
        <v>1.5776748424659137</v>
      </c>
      <c r="ED103" s="28"/>
      <c r="EE103" s="28"/>
      <c r="EF103" s="28"/>
      <c r="EG103" s="28"/>
      <c r="EH103" s="28"/>
      <c r="EL103" t="s">
        <v>26</v>
      </c>
      <c r="EM103" s="27">
        <f>(3.33/$C$26)^2*$C$89*EM100^2*SQRT(EM95)*1.2</f>
        <v>0.65569686200842248</v>
      </c>
      <c r="EN103" s="28" t="s">
        <v>27</v>
      </c>
      <c r="EO103" s="28"/>
      <c r="EP103" s="28"/>
      <c r="EQ103" s="28"/>
      <c r="ER103" s="28" t="s">
        <v>4</v>
      </c>
    </row>
    <row r="104" spans="2:148" x14ac:dyDescent="0.3">
      <c r="B104" t="s">
        <v>113</v>
      </c>
      <c r="C104">
        <f>C103*$D$87</f>
        <v>144.01157362039007</v>
      </c>
      <c r="E104" s="26"/>
      <c r="G104" s="26"/>
      <c r="H104" s="27"/>
      <c r="L104" t="s">
        <v>113</v>
      </c>
      <c r="M104">
        <f>M103*$D$87</f>
        <v>100.97118991781848</v>
      </c>
      <c r="O104" s="26"/>
      <c r="Q104" s="26"/>
      <c r="R104" s="27"/>
      <c r="V104" t="s">
        <v>113</v>
      </c>
      <c r="W104">
        <f>W103*$D$87</f>
        <v>50.184188561817557</v>
      </c>
      <c r="Y104" s="26"/>
      <c r="AA104" s="26"/>
      <c r="AB104" s="27"/>
      <c r="AF104" t="s">
        <v>113</v>
      </c>
      <c r="AG104">
        <f>AG103*$D$87</f>
        <v>35.264070508387043</v>
      </c>
      <c r="AI104" s="26"/>
      <c r="AK104" s="26"/>
      <c r="AL104" s="27"/>
      <c r="AP104" t="s">
        <v>113</v>
      </c>
      <c r="AQ104">
        <f>AQ103*$D$87</f>
        <v>34.970499307115865</v>
      </c>
      <c r="AS104" s="26"/>
      <c r="AU104" s="26"/>
      <c r="AV104" s="27"/>
      <c r="AZ104" t="s">
        <v>113</v>
      </c>
      <c r="BA104">
        <f>BA103*$D$87</f>
        <v>24.6511694135299</v>
      </c>
      <c r="BC104" s="26"/>
      <c r="BE104" s="26"/>
      <c r="BF104" s="27"/>
      <c r="BJ104" t="s">
        <v>113</v>
      </c>
      <c r="BK104">
        <f>BK103*$D$87</f>
        <v>18.001446702548758</v>
      </c>
      <c r="BM104" s="26"/>
      <c r="BO104" s="26"/>
      <c r="BP104" s="27"/>
      <c r="BT104" t="s">
        <v>113</v>
      </c>
      <c r="BU104">
        <f>BU103*$D$87</f>
        <v>12.62139873972731</v>
      </c>
      <c r="BY104" s="26"/>
      <c r="BZ104" s="27"/>
      <c r="CD104" t="s">
        <v>113</v>
      </c>
      <c r="CE104">
        <f>CE103*$D$87</f>
        <v>8.9826485625709687</v>
      </c>
      <c r="CG104" s="26"/>
      <c r="CI104" s="26"/>
      <c r="CN104" t="s">
        <v>113</v>
      </c>
      <c r="CO104">
        <f>CO103*$D$87</f>
        <v>6.3095131813855536</v>
      </c>
      <c r="CS104" s="26"/>
      <c r="CX104" t="s">
        <v>113</v>
      </c>
      <c r="CY104">
        <f>CY103*$D$87</f>
        <v>5.7027487002065405</v>
      </c>
      <c r="DA104" s="26"/>
      <c r="DC104" s="26"/>
      <c r="DD104" s="27"/>
      <c r="DH104" t="s">
        <v>113</v>
      </c>
      <c r="DI104">
        <f>DI103*$D$87</f>
        <v>4.4080088135483804</v>
      </c>
      <c r="DK104" s="26"/>
      <c r="DM104" s="26"/>
      <c r="DN104" s="27"/>
      <c r="DR104" t="s">
        <v>113</v>
      </c>
      <c r="DS104">
        <f>DS103*$D$87</f>
        <v>2.2421253054875363</v>
      </c>
      <c r="DU104" s="26"/>
      <c r="DW104" s="26"/>
      <c r="DX104" s="27"/>
      <c r="EB104" t="s">
        <v>113</v>
      </c>
      <c r="EC104">
        <f>EC103*$D$87</f>
        <v>1.5776748424659137</v>
      </c>
      <c r="EE104" s="26"/>
      <c r="EG104" s="26"/>
      <c r="EH104" s="27"/>
      <c r="EL104" t="s">
        <v>113</v>
      </c>
      <c r="EM104">
        <f>EM103*$D$87</f>
        <v>0.65569686200842248</v>
      </c>
      <c r="EN104">
        <v>6</v>
      </c>
      <c r="EO104" s="26">
        <v>4.4299999999999999E-5</v>
      </c>
      <c r="EP104">
        <v>1.673</v>
      </c>
      <c r="EQ104" s="26"/>
      <c r="ER104" s="27">
        <f>EO104*$C$11^EP104</f>
        <v>3.1862017693566189</v>
      </c>
    </row>
    <row r="105" spans="2:148" x14ac:dyDescent="0.3">
      <c r="B105" t="s">
        <v>471</v>
      </c>
      <c r="C105" s="27">
        <f>C104+$C$17</f>
        <v>160.01157362039007</v>
      </c>
      <c r="E105" s="26"/>
      <c r="F105" s="26"/>
      <c r="G105" s="26"/>
      <c r="H105" s="30"/>
      <c r="L105" t="s">
        <v>471</v>
      </c>
      <c r="M105" s="27">
        <f t="shared" ref="M105" si="48">M104+$C$17</f>
        <v>116.97118991781848</v>
      </c>
      <c r="O105" s="26"/>
      <c r="P105" s="26"/>
      <c r="Q105" s="26"/>
      <c r="R105" s="30"/>
      <c r="V105" t="s">
        <v>471</v>
      </c>
      <c r="W105" s="27">
        <f t="shared" ref="W105" si="49">W104+$C$17</f>
        <v>66.184188561817564</v>
      </c>
      <c r="Y105" s="26"/>
      <c r="Z105" s="26"/>
      <c r="AA105" s="26"/>
      <c r="AB105" s="30"/>
      <c r="AF105" t="s">
        <v>471</v>
      </c>
      <c r="AG105" s="27">
        <f t="shared" ref="AG105" si="50">AG104+$C$17</f>
        <v>51.264070508387043</v>
      </c>
      <c r="AI105" s="26"/>
      <c r="AJ105" s="26"/>
      <c r="AK105" s="26"/>
      <c r="AL105" s="30"/>
      <c r="AP105" t="s">
        <v>471</v>
      </c>
      <c r="AQ105" s="27">
        <f t="shared" ref="AQ105" si="51">AQ104+$C$17</f>
        <v>50.970499307115865</v>
      </c>
      <c r="AS105" s="26"/>
      <c r="AT105" s="26"/>
      <c r="AU105" s="26"/>
      <c r="AV105" s="30"/>
      <c r="AZ105" t="s">
        <v>471</v>
      </c>
      <c r="BA105" s="27">
        <f t="shared" ref="BA105" si="52">BA104+$C$17</f>
        <v>40.6511694135299</v>
      </c>
      <c r="BC105" s="26"/>
      <c r="BD105" s="26"/>
      <c r="BE105" s="26"/>
      <c r="BF105" s="30"/>
      <c r="BJ105" t="s">
        <v>471</v>
      </c>
      <c r="BK105" s="27">
        <f t="shared" ref="BK105" si="53">BK104+$C$17</f>
        <v>34.001446702548762</v>
      </c>
      <c r="BM105" s="26"/>
      <c r="BN105" s="26"/>
      <c r="BO105" s="26"/>
      <c r="BP105" s="30"/>
      <c r="BT105" t="s">
        <v>471</v>
      </c>
      <c r="BU105" s="27">
        <f t="shared" ref="BU105" si="54">BU104+$C$17</f>
        <v>28.621398739727312</v>
      </c>
      <c r="BW105" s="26"/>
      <c r="BX105" s="26"/>
      <c r="BY105" s="26"/>
      <c r="BZ105" s="30"/>
      <c r="CD105" t="s">
        <v>471</v>
      </c>
      <c r="CE105" s="27">
        <f t="shared" ref="CE105" si="55">CE104+$C$17</f>
        <v>24.982648562570969</v>
      </c>
      <c r="CG105" s="26"/>
      <c r="CH105" s="26"/>
      <c r="CI105" s="26"/>
      <c r="CJ105" s="30"/>
      <c r="CN105" t="s">
        <v>471</v>
      </c>
      <c r="CO105" s="27">
        <f t="shared" ref="CO105" si="56">CO104+$C$17</f>
        <v>22.309513181385555</v>
      </c>
      <c r="CQ105" s="26"/>
      <c r="CR105" s="26"/>
      <c r="CS105" s="26"/>
      <c r="CT105" s="30"/>
      <c r="CX105" t="s">
        <v>471</v>
      </c>
      <c r="CY105" s="27">
        <f t="shared" ref="CY105" si="57">CY104+$C$17</f>
        <v>21.702748700206541</v>
      </c>
      <c r="DA105" s="26"/>
      <c r="DB105" s="26"/>
      <c r="DC105" s="26"/>
      <c r="DD105" s="30"/>
      <c r="DH105" t="s">
        <v>471</v>
      </c>
      <c r="DI105" s="27">
        <f t="shared" ref="DI105" si="58">DI104+$C$17</f>
        <v>20.408008813548381</v>
      </c>
      <c r="DK105" s="26"/>
      <c r="DL105" s="26"/>
      <c r="DM105" s="26"/>
      <c r="DN105" s="30"/>
      <c r="DR105" t="s">
        <v>471</v>
      </c>
      <c r="DS105" s="27">
        <f t="shared" ref="DS105" si="59">DS104+$C$17</f>
        <v>18.242125305487537</v>
      </c>
      <c r="DU105" s="26"/>
      <c r="DV105" s="26"/>
      <c r="DW105" s="26"/>
      <c r="DX105" s="30"/>
      <c r="EB105" t="s">
        <v>471</v>
      </c>
      <c r="EC105" s="27">
        <f t="shared" ref="EC105" si="60">EC104+$C$17</f>
        <v>17.577674842465914</v>
      </c>
      <c r="EE105" s="26"/>
      <c r="EF105" s="26"/>
      <c r="EG105" s="26"/>
      <c r="EH105" s="30"/>
      <c r="EL105" t="s">
        <v>471</v>
      </c>
      <c r="EM105" s="27">
        <f t="shared" ref="EM105" si="61">EM104+$C$17</f>
        <v>16.655696862008423</v>
      </c>
      <c r="EO105" s="26"/>
      <c r="EP105" s="26"/>
      <c r="EQ105" s="26"/>
      <c r="ER105" s="30"/>
    </row>
    <row r="106" spans="2:148" x14ac:dyDescent="0.3">
      <c r="B106" t="s">
        <v>472</v>
      </c>
      <c r="C106" s="27">
        <f>C105+$C$34</f>
        <v>164.01157362039007</v>
      </c>
      <c r="L106" t="s">
        <v>472</v>
      </c>
      <c r="M106" s="27">
        <f>M105+$C$34</f>
        <v>120.97118991781848</v>
      </c>
      <c r="V106" t="s">
        <v>472</v>
      </c>
      <c r="W106" s="27">
        <f>W105+$C$34</f>
        <v>70.184188561817564</v>
      </c>
      <c r="AF106" t="s">
        <v>472</v>
      </c>
      <c r="AG106" s="27">
        <f>AG105+$C$34</f>
        <v>55.264070508387043</v>
      </c>
      <c r="AP106" t="s">
        <v>472</v>
      </c>
      <c r="AQ106" s="27">
        <f>AQ105+$C$34</f>
        <v>54.970499307115865</v>
      </c>
      <c r="AZ106" t="s">
        <v>472</v>
      </c>
      <c r="BA106" s="27">
        <f>BA105+$C$34</f>
        <v>44.6511694135299</v>
      </c>
      <c r="BJ106" t="s">
        <v>472</v>
      </c>
      <c r="BK106" s="27">
        <f>BK105+$C$34</f>
        <v>38.001446702548762</v>
      </c>
      <c r="BT106" t="s">
        <v>472</v>
      </c>
      <c r="BU106" s="27">
        <f>BU105+$C$34</f>
        <v>32.621398739727312</v>
      </c>
      <c r="CD106" t="s">
        <v>472</v>
      </c>
      <c r="CE106" s="27">
        <f>CE105+$C$34</f>
        <v>28.982648562570969</v>
      </c>
      <c r="CN106" t="s">
        <v>472</v>
      </c>
      <c r="CO106" s="27">
        <f>CO105+$C$34</f>
        <v>26.309513181385555</v>
      </c>
      <c r="CX106" t="s">
        <v>472</v>
      </c>
      <c r="CY106" s="27">
        <f>CY105+$C$34</f>
        <v>25.702748700206541</v>
      </c>
      <c r="DH106" t="s">
        <v>472</v>
      </c>
      <c r="DI106" s="27">
        <f>DI105+$C$34</f>
        <v>24.408008813548381</v>
      </c>
      <c r="DR106" t="s">
        <v>472</v>
      </c>
      <c r="DS106" s="27">
        <f>DS105+$C$34</f>
        <v>22.242125305487537</v>
      </c>
      <c r="EB106" t="s">
        <v>472</v>
      </c>
      <c r="EC106" s="27">
        <f>EC105+$C$34</f>
        <v>21.577674842465914</v>
      </c>
      <c r="EL106" t="s">
        <v>472</v>
      </c>
      <c r="EM106" s="27">
        <f>EM105+$C$34</f>
        <v>20.655696862008423</v>
      </c>
    </row>
    <row r="107" spans="2:148" x14ac:dyDescent="0.3">
      <c r="B107" t="s">
        <v>474</v>
      </c>
      <c r="C107" s="27" t="str">
        <f>IF(OR(C106&lt;$E$34,C106&gt;40),"n.r.",IF(C106&lt;22,22,IF(C106&gt;30,30,C106)))</f>
        <v>n.r.</v>
      </c>
      <c r="L107" t="s">
        <v>474</v>
      </c>
      <c r="M107" s="27" t="str">
        <f>IF(OR(M106&lt;$E$34,M106&gt;40),"n.r.",IF(M106&lt;22,22,IF(M106&gt;30,30,M106)))</f>
        <v>n.r.</v>
      </c>
      <c r="V107" t="s">
        <v>474</v>
      </c>
      <c r="W107" s="27" t="str">
        <f>IF(OR(W106&lt;$E$34,W106&gt;40),"n.r.",IF(W106&lt;22,22,IF(W106&gt;30,30,W106)))</f>
        <v>n.r.</v>
      </c>
      <c r="AF107" t="s">
        <v>474</v>
      </c>
      <c r="AG107" s="27" t="str">
        <f>IF(OR(AG106&lt;$E$34,AG106&gt;40),"n.r.",IF(AG106&lt;22,22,IF(AG106&gt;30,30,AG106)))</f>
        <v>n.r.</v>
      </c>
      <c r="AP107" t="s">
        <v>474</v>
      </c>
      <c r="AQ107" s="27" t="str">
        <f>IF(OR(AQ106&lt;$E$34,AQ106&gt;40),"n.r.",IF(AQ106&lt;22,22,IF(AQ106&gt;30,30,AQ106)))</f>
        <v>n.r.</v>
      </c>
      <c r="AZ107" t="s">
        <v>474</v>
      </c>
      <c r="BA107" s="27" t="str">
        <f>IF(OR(BA106&lt;$E$34,BA106&gt;40),"n.r.",IF(BA106&lt;22,22,IF(BA106&gt;30,30,BA106)))</f>
        <v>n.r.</v>
      </c>
      <c r="BJ107" t="s">
        <v>474</v>
      </c>
      <c r="BK107" s="27">
        <f>IF(OR(BK106&lt;$E$34,BK106&gt;40),"n.r.",IF(BK106&lt;22,22,IF(BK106&gt;30,30,BK106)))</f>
        <v>30</v>
      </c>
      <c r="BT107" t="s">
        <v>474</v>
      </c>
      <c r="BU107" s="27">
        <f>IF(OR(BU106&lt;$E$34,BU106&gt;40),"n.r.",IF(BU106&lt;22,22,IF(BU106&gt;30,30,BU106)))</f>
        <v>30</v>
      </c>
      <c r="CD107" t="s">
        <v>474</v>
      </c>
      <c r="CE107" s="27">
        <f>IF(OR(CE106&lt;$E$34,CE106&gt;40),"n.r.",IF(CE106&lt;22,22,IF(CE106&gt;30,30,CE106)))</f>
        <v>28.982648562570969</v>
      </c>
      <c r="CN107" t="s">
        <v>474</v>
      </c>
      <c r="CO107" s="27">
        <f>IF(OR(CO106&lt;$E$34,CO106&gt;40),"n.r.",IF(CO106&lt;22,22,IF(CO106&gt;30,30,CO106)))</f>
        <v>26.309513181385555</v>
      </c>
      <c r="CX107" t="s">
        <v>474</v>
      </c>
      <c r="CY107" s="27">
        <f>IF(OR(CY106&lt;$E$34,CY106&gt;40),"n.r.",IF(CY106&lt;22,22,IF(CY106&gt;30,30,CY106)))</f>
        <v>25.702748700206541</v>
      </c>
      <c r="DH107" t="s">
        <v>474</v>
      </c>
      <c r="DI107" s="27">
        <f>IF(OR(DI106&lt;$E$34,DI106&gt;40),"n.r.",IF(DI106&lt;22,22,IF(DI106&gt;30,30,DI106)))</f>
        <v>24.408008813548381</v>
      </c>
      <c r="DR107" t="s">
        <v>474</v>
      </c>
      <c r="DS107" s="27">
        <f>IF(OR(DS106&lt;$E$34,DS106&gt;40),"n.r.",IF(DS106&lt;22,22,IF(DS106&gt;30,30,DS106)))</f>
        <v>22.242125305487537</v>
      </c>
      <c r="EB107" t="s">
        <v>474</v>
      </c>
      <c r="EC107" s="27">
        <f>IF(OR(EC106&lt;$E$34,EC106&gt;40),"n.r.",IF(EC106&lt;22,22,IF(EC106&gt;30,30,EC106)))</f>
        <v>22</v>
      </c>
      <c r="EL107" t="s">
        <v>474</v>
      </c>
      <c r="EM107" s="27">
        <f>IF(OR(EM106&lt;$E$34,EM106&gt;40),"n.r.",IF(EM106&lt;22,22,IF(EM106&gt;30,30,EM106)))</f>
        <v>22</v>
      </c>
    </row>
    <row r="108" spans="2:148" x14ac:dyDescent="0.3">
      <c r="B108" t="s">
        <v>281</v>
      </c>
      <c r="C108" s="27" t="str">
        <f>IFERROR(ROUND(C107,0),C107)</f>
        <v>n.r.</v>
      </c>
      <c r="L108" t="s">
        <v>281</v>
      </c>
      <c r="M108" s="27" t="str">
        <f t="shared" ref="M108" si="62">IFERROR(ROUND(M107,0),M107)</f>
        <v>n.r.</v>
      </c>
      <c r="V108" t="s">
        <v>281</v>
      </c>
      <c r="W108" s="27" t="str">
        <f t="shared" ref="W108" si="63">IFERROR(ROUND(W107,0),W107)</f>
        <v>n.r.</v>
      </c>
      <c r="AF108" t="s">
        <v>281</v>
      </c>
      <c r="AG108" s="27" t="str">
        <f t="shared" ref="AG108" si="64">IFERROR(ROUND(AG107,0),AG107)</f>
        <v>n.r.</v>
      </c>
      <c r="AP108" t="s">
        <v>281</v>
      </c>
      <c r="AQ108" s="27" t="str">
        <f t="shared" ref="AQ108" si="65">IFERROR(ROUND(AQ107,0),AQ107)</f>
        <v>n.r.</v>
      </c>
      <c r="AZ108" t="s">
        <v>281</v>
      </c>
      <c r="BA108" s="27" t="str">
        <f t="shared" ref="BA108" si="66">IFERROR(ROUND(BA107,0),BA107)</f>
        <v>n.r.</v>
      </c>
      <c r="BJ108" t="s">
        <v>281</v>
      </c>
      <c r="BK108" s="27">
        <f t="shared" ref="BK108" si="67">IFERROR(ROUND(BK107,0),BK107)</f>
        <v>30</v>
      </c>
      <c r="BT108" t="s">
        <v>281</v>
      </c>
      <c r="BU108" s="27">
        <f t="shared" ref="BU108" si="68">IFERROR(ROUND(BU107,0),BU107)</f>
        <v>30</v>
      </c>
      <c r="CD108" t="s">
        <v>281</v>
      </c>
      <c r="CE108" s="27">
        <f t="shared" ref="CE108" si="69">IFERROR(ROUND(CE107,0),CE107)</f>
        <v>29</v>
      </c>
      <c r="CN108" t="s">
        <v>281</v>
      </c>
      <c r="CO108" s="27">
        <f t="shared" ref="CO108" si="70">IFERROR(ROUND(CO107,0),CO107)</f>
        <v>26</v>
      </c>
      <c r="CX108" t="s">
        <v>281</v>
      </c>
      <c r="CY108" s="27">
        <f t="shared" ref="CY108" si="71">IFERROR(ROUND(CY107,0),CY107)</f>
        <v>26</v>
      </c>
      <c r="DH108" t="s">
        <v>281</v>
      </c>
      <c r="DI108" s="27">
        <f t="shared" ref="DI108" si="72">IFERROR(ROUND(DI107,0),DI107)</f>
        <v>24</v>
      </c>
      <c r="DR108" t="s">
        <v>281</v>
      </c>
      <c r="DS108" s="27">
        <f t="shared" ref="DS108" si="73">IFERROR(ROUND(DS107,0),DS107)</f>
        <v>22</v>
      </c>
      <c r="EB108" t="s">
        <v>281</v>
      </c>
      <c r="EC108" s="27">
        <f t="shared" ref="EC108" si="74">IFERROR(ROUND(EC107,0),EC107)</f>
        <v>22</v>
      </c>
      <c r="EL108" t="s">
        <v>281</v>
      </c>
      <c r="EM108" s="27">
        <f t="shared" ref="EM108" si="75">IFERROR(ROUND(EM107,0),EM107)</f>
        <v>22</v>
      </c>
    </row>
    <row r="109" spans="2:148" x14ac:dyDescent="0.3">
      <c r="B109" t="s">
        <v>550</v>
      </c>
      <c r="C109" s="27" t="str">
        <f>IF(AND(C106&lt;=40,C106&gt;36),"high",IF(AND(C106&lt;=40,C106&gt;32),"mid",""))</f>
        <v/>
      </c>
      <c r="L109" t="s">
        <v>550</v>
      </c>
      <c r="M109" s="27" t="str">
        <f t="shared" ref="M109" si="76">IF(AND(M106&lt;=40,M106&gt;36),"high",IF(AND(M106&lt;=40,M106&gt;32),"mid",""))</f>
        <v/>
      </c>
      <c r="V109" t="s">
        <v>550</v>
      </c>
      <c r="W109" s="27" t="str">
        <f t="shared" ref="W109" si="77">IF(AND(W106&lt;=40,W106&gt;36),"high",IF(AND(W106&lt;=40,W106&gt;32),"mid",""))</f>
        <v/>
      </c>
      <c r="AF109" t="s">
        <v>550</v>
      </c>
      <c r="AG109" s="27" t="str">
        <f t="shared" ref="AG109" si="78">IF(AND(AG106&lt;=40,AG106&gt;36),"high",IF(AND(AG106&lt;=40,AG106&gt;32),"mid",""))</f>
        <v/>
      </c>
      <c r="AP109" t="s">
        <v>550</v>
      </c>
      <c r="AQ109" s="27" t="str">
        <f t="shared" ref="AQ109" si="79">IF(AND(AQ106&lt;=40,AQ106&gt;36),"high",IF(AND(AQ106&lt;=40,AQ106&gt;32),"mid",""))</f>
        <v/>
      </c>
      <c r="AZ109" t="s">
        <v>550</v>
      </c>
      <c r="BA109" s="27" t="str">
        <f t="shared" ref="BA109" si="80">IF(AND(BA106&lt;=40,BA106&gt;36),"high",IF(AND(BA106&lt;=40,BA106&gt;32),"mid",""))</f>
        <v/>
      </c>
      <c r="BJ109" t="s">
        <v>550</v>
      </c>
      <c r="BK109" s="27" t="str">
        <f t="shared" ref="BK109" si="81">IF(AND(BK106&lt;=40,BK106&gt;36),"high",IF(AND(BK106&lt;=40,BK106&gt;32),"mid",""))</f>
        <v>high</v>
      </c>
      <c r="BT109" t="s">
        <v>550</v>
      </c>
      <c r="BU109" s="27" t="str">
        <f t="shared" ref="BU109" si="82">IF(AND(BU106&lt;=40,BU106&gt;36),"high",IF(AND(BU106&lt;=40,BU106&gt;32),"mid",""))</f>
        <v>mid</v>
      </c>
      <c r="CD109" t="s">
        <v>550</v>
      </c>
      <c r="CE109" s="27" t="str">
        <f t="shared" ref="CE109" si="83">IF(AND(CE106&lt;=40,CE106&gt;36),"high",IF(AND(CE106&lt;=40,CE106&gt;32),"mid",""))</f>
        <v/>
      </c>
      <c r="CN109" t="s">
        <v>550</v>
      </c>
      <c r="CO109" s="27" t="str">
        <f t="shared" ref="CO109" si="84">IF(AND(CO106&lt;=40,CO106&gt;36),"high",IF(AND(CO106&lt;=40,CO106&gt;32),"mid",""))</f>
        <v/>
      </c>
      <c r="CX109" t="s">
        <v>550</v>
      </c>
      <c r="CY109" s="27" t="str">
        <f t="shared" ref="CY109" si="85">IF(AND(CY106&lt;=40,CY106&gt;36),"high",IF(AND(CY106&lt;=40,CY106&gt;32),"mid",""))</f>
        <v/>
      </c>
      <c r="DH109" t="s">
        <v>550</v>
      </c>
      <c r="DI109" s="27" t="str">
        <f t="shared" ref="DI109" si="86">IF(AND(DI106&lt;=40,DI106&gt;36),"high",IF(AND(DI106&lt;=40,DI106&gt;32),"mid",""))</f>
        <v/>
      </c>
      <c r="DR109" t="s">
        <v>550</v>
      </c>
      <c r="DS109" s="27" t="str">
        <f t="shared" ref="DS109" si="87">IF(AND(DS106&lt;=40,DS106&gt;36),"high",IF(AND(DS106&lt;=40,DS106&gt;32),"mid",""))</f>
        <v/>
      </c>
      <c r="EB109" t="s">
        <v>550</v>
      </c>
      <c r="EC109" s="27" t="str">
        <f t="shared" ref="EC109" si="88">IF(AND(EC106&lt;=40,EC106&gt;36),"high",IF(AND(EC106&lt;=40,EC106&gt;32),"mid",""))</f>
        <v/>
      </c>
      <c r="EL109" t="s">
        <v>550</v>
      </c>
      <c r="EM109" s="27" t="str">
        <f t="shared" ref="EM109" si="89">IF(AND(EM106&lt;=40,EM106&gt;36),"high",IF(AND(EM106&lt;=40,EM106&gt;32),"mid",""))</f>
        <v/>
      </c>
    </row>
    <row r="110" spans="2:148" x14ac:dyDescent="0.3">
      <c r="B110" t="s">
        <v>425</v>
      </c>
      <c r="C110" s="27" t="str">
        <f>IF(AND(C106&lt;=40,C106&gt;36),"‡",IF(AND(C106&lt;=40,C106&gt;32),"†",""))</f>
        <v/>
      </c>
      <c r="L110" t="s">
        <v>425</v>
      </c>
      <c r="M110" s="27" t="str">
        <f t="shared" ref="M110" si="90">IF(AND(M106&lt;=40,M106&gt;36),"‡",IF(AND(M106&lt;=40,M106&gt;32),"†",""))</f>
        <v/>
      </c>
      <c r="V110" t="s">
        <v>425</v>
      </c>
      <c r="W110" s="27" t="str">
        <f t="shared" ref="W110" si="91">IF(AND(W106&lt;=40,W106&gt;36),"‡",IF(AND(W106&lt;=40,W106&gt;32),"†",""))</f>
        <v/>
      </c>
      <c r="AF110" t="s">
        <v>425</v>
      </c>
      <c r="AG110" s="27" t="str">
        <f t="shared" ref="AG110" si="92">IF(AND(AG106&lt;=40,AG106&gt;36),"‡",IF(AND(AG106&lt;=40,AG106&gt;32),"†",""))</f>
        <v/>
      </c>
      <c r="AP110" t="s">
        <v>425</v>
      </c>
      <c r="AQ110" s="27" t="str">
        <f t="shared" ref="AQ110" si="93">IF(AND(AQ106&lt;=40,AQ106&gt;36),"‡",IF(AND(AQ106&lt;=40,AQ106&gt;32),"†",""))</f>
        <v/>
      </c>
      <c r="AZ110" t="s">
        <v>425</v>
      </c>
      <c r="BA110" s="27" t="str">
        <f t="shared" ref="BA110" si="94">IF(AND(BA106&lt;=40,BA106&gt;36),"‡",IF(AND(BA106&lt;=40,BA106&gt;32),"†",""))</f>
        <v/>
      </c>
      <c r="BJ110" t="s">
        <v>425</v>
      </c>
      <c r="BK110" s="27" t="str">
        <f t="shared" ref="BK110" si="95">IF(AND(BK106&lt;=40,BK106&gt;36),"‡",IF(AND(BK106&lt;=40,BK106&gt;32),"†",""))</f>
        <v>‡</v>
      </c>
      <c r="BT110" t="s">
        <v>425</v>
      </c>
      <c r="BU110" s="27" t="str">
        <f t="shared" ref="BU110" si="96">IF(AND(BU106&lt;=40,BU106&gt;36),"‡",IF(AND(BU106&lt;=40,BU106&gt;32),"†",""))</f>
        <v>†</v>
      </c>
      <c r="CD110" t="s">
        <v>425</v>
      </c>
      <c r="CE110" s="27" t="str">
        <f t="shared" ref="CE110" si="97">IF(AND(CE106&lt;=40,CE106&gt;36),"‡",IF(AND(CE106&lt;=40,CE106&gt;32),"†",""))</f>
        <v/>
      </c>
      <c r="CN110" t="s">
        <v>425</v>
      </c>
      <c r="CO110" s="27" t="str">
        <f t="shared" ref="CO110" si="98">IF(AND(CO106&lt;=40,CO106&gt;36),"‡",IF(AND(CO106&lt;=40,CO106&gt;32),"†",""))</f>
        <v/>
      </c>
      <c r="CX110" t="s">
        <v>425</v>
      </c>
      <c r="CY110" s="27" t="str">
        <f t="shared" ref="CY110" si="99">IF(AND(CY106&lt;=40,CY106&gt;36),"‡",IF(AND(CY106&lt;=40,CY106&gt;32),"†",""))</f>
        <v/>
      </c>
      <c r="DH110" t="s">
        <v>425</v>
      </c>
      <c r="DI110" s="27" t="str">
        <f t="shared" ref="DI110" si="100">IF(AND(DI106&lt;=40,DI106&gt;36),"‡",IF(AND(DI106&lt;=40,DI106&gt;32),"†",""))</f>
        <v/>
      </c>
      <c r="DR110" t="s">
        <v>425</v>
      </c>
      <c r="DS110" s="27" t="str">
        <f t="shared" ref="DS110" si="101">IF(AND(DS106&lt;=40,DS106&gt;36),"‡",IF(AND(DS106&lt;=40,DS106&gt;32),"†",""))</f>
        <v/>
      </c>
      <c r="EB110" t="s">
        <v>425</v>
      </c>
      <c r="EC110" s="27" t="str">
        <f t="shared" ref="EC110" si="102">IF(AND(EC106&lt;=40,EC106&gt;36),"‡",IF(AND(EC106&lt;=40,EC106&gt;32),"†",""))</f>
        <v/>
      </c>
      <c r="EL110" t="s">
        <v>425</v>
      </c>
      <c r="EM110" s="27" t="str">
        <f t="shared" ref="EM110" si="103">IF(AND(EM106&lt;=40,EM106&gt;36),"‡",IF(AND(EM106&lt;=40,EM106&gt;32),"†",""))</f>
        <v/>
      </c>
    </row>
    <row r="111" spans="2:148" x14ac:dyDescent="0.3">
      <c r="C111" s="27"/>
      <c r="M111" s="27"/>
      <c r="W111" s="27"/>
      <c r="AG111" s="27"/>
      <c r="AQ111" s="27"/>
      <c r="BA111" s="27"/>
      <c r="BK111" s="27"/>
      <c r="BU111" s="27"/>
      <c r="CE111" s="27"/>
      <c r="CO111" s="27"/>
      <c r="CY111" s="27"/>
      <c r="DI111" s="27"/>
      <c r="DS111" s="27"/>
      <c r="EC111" s="27"/>
      <c r="EM111" s="27"/>
    </row>
    <row r="112" spans="2:148" x14ac:dyDescent="0.3">
      <c r="B112" s="28" t="s">
        <v>458</v>
      </c>
      <c r="C112" s="27"/>
      <c r="L112" s="28" t="s">
        <v>458</v>
      </c>
      <c r="M112" s="27"/>
      <c r="V112" s="28" t="s">
        <v>458</v>
      </c>
      <c r="W112" s="27"/>
      <c r="AF112" s="28" t="s">
        <v>458</v>
      </c>
      <c r="AG112" s="27"/>
      <c r="AP112" s="28" t="s">
        <v>458</v>
      </c>
      <c r="AQ112" s="27"/>
      <c r="AZ112" s="28" t="s">
        <v>458</v>
      </c>
      <c r="BA112" s="27"/>
      <c r="BJ112" s="28" t="s">
        <v>458</v>
      </c>
      <c r="BK112" s="27"/>
      <c r="BT112" s="28" t="s">
        <v>458</v>
      </c>
      <c r="BU112" s="27"/>
      <c r="CD112" s="28" t="s">
        <v>458</v>
      </c>
      <c r="CE112" s="27"/>
      <c r="CN112" s="28" t="s">
        <v>458</v>
      </c>
      <c r="CO112" s="27"/>
      <c r="CX112" s="28" t="s">
        <v>458</v>
      </c>
      <c r="CY112" s="27"/>
      <c r="DH112" s="28" t="s">
        <v>458</v>
      </c>
      <c r="DI112" s="27"/>
      <c r="DR112" s="28" t="s">
        <v>458</v>
      </c>
      <c r="DS112" s="27"/>
      <c r="EB112" s="28" t="s">
        <v>458</v>
      </c>
      <c r="EC112" s="27"/>
      <c r="EL112" s="28" t="s">
        <v>458</v>
      </c>
      <c r="EM112" s="27"/>
    </row>
    <row r="113" spans="2:143" ht="15.75" customHeight="1" x14ac:dyDescent="0.3">
      <c r="B113" t="s">
        <v>520</v>
      </c>
      <c r="C113" s="27" t="e">
        <f>C107-$C$17</f>
        <v>#VALUE!</v>
      </c>
      <c r="L113" t="s">
        <v>520</v>
      </c>
      <c r="M113" s="27" t="e">
        <f t="shared" ref="M113" si="104">M107-$C$17</f>
        <v>#VALUE!</v>
      </c>
      <c r="V113" t="s">
        <v>520</v>
      </c>
      <c r="W113" s="27" t="e">
        <f t="shared" ref="W113" si="105">W107-$C$17</f>
        <v>#VALUE!</v>
      </c>
      <c r="AF113" t="s">
        <v>520</v>
      </c>
      <c r="AG113" s="27" t="e">
        <f t="shared" ref="AG113" si="106">AG107-$C$17</f>
        <v>#VALUE!</v>
      </c>
      <c r="AP113" t="s">
        <v>520</v>
      </c>
      <c r="AQ113" s="27" t="e">
        <f t="shared" ref="AQ113" si="107">AQ107-$C$17</f>
        <v>#VALUE!</v>
      </c>
      <c r="AZ113" t="s">
        <v>520</v>
      </c>
      <c r="BA113" s="27" t="e">
        <f t="shared" ref="BA113" si="108">BA107-$C$17</f>
        <v>#VALUE!</v>
      </c>
      <c r="BJ113" t="s">
        <v>520</v>
      </c>
      <c r="BK113" s="27">
        <f t="shared" ref="BK113" si="109">BK107-$C$17</f>
        <v>14</v>
      </c>
      <c r="BT113" t="s">
        <v>520</v>
      </c>
      <c r="BU113" s="27">
        <f t="shared" ref="BU113" si="110">BU107-$C$17</f>
        <v>14</v>
      </c>
      <c r="CD113" t="s">
        <v>520</v>
      </c>
      <c r="CE113" s="27">
        <f t="shared" ref="CE113" si="111">CE107-$C$17</f>
        <v>12.982648562570969</v>
      </c>
      <c r="CN113" t="s">
        <v>520</v>
      </c>
      <c r="CO113" s="27">
        <f t="shared" ref="CO113" si="112">CO107-$C$17</f>
        <v>10.309513181385555</v>
      </c>
      <c r="CX113" t="s">
        <v>520</v>
      </c>
      <c r="CY113" s="27">
        <f>CY107-$C$17</f>
        <v>9.7027487002065413</v>
      </c>
      <c r="DH113" t="s">
        <v>520</v>
      </c>
      <c r="DI113" s="27">
        <f t="shared" ref="DI113" si="113">DI107-$C$17</f>
        <v>8.4080088135483813</v>
      </c>
      <c r="DR113" t="s">
        <v>520</v>
      </c>
      <c r="DS113" s="27">
        <f t="shared" ref="DS113" si="114">DS107-$C$17</f>
        <v>6.2421253054875372</v>
      </c>
      <c r="EB113" t="s">
        <v>520</v>
      </c>
      <c r="EC113" s="27">
        <f t="shared" ref="EC113" si="115">EC107-$C$17</f>
        <v>6</v>
      </c>
      <c r="EL113" t="s">
        <v>520</v>
      </c>
      <c r="EM113" s="27">
        <f t="shared" ref="EM113" si="116">EM107-$C$17</f>
        <v>6</v>
      </c>
    </row>
    <row r="114" spans="2:143" x14ac:dyDescent="0.3">
      <c r="B114" t="s">
        <v>518</v>
      </c>
      <c r="C114">
        <f>MIN(C104,20)</f>
        <v>20</v>
      </c>
      <c r="L114" t="s">
        <v>518</v>
      </c>
      <c r="M114">
        <f t="shared" ref="M114" si="117">MIN(M104,20)</f>
        <v>20</v>
      </c>
      <c r="V114" t="s">
        <v>518</v>
      </c>
      <c r="W114">
        <f t="shared" ref="W114" si="118">MIN(W104,20)</f>
        <v>20</v>
      </c>
      <c r="AF114" t="s">
        <v>518</v>
      </c>
      <c r="AG114">
        <f t="shared" ref="AG114" si="119">MIN(AG104,20)</f>
        <v>20</v>
      </c>
      <c r="AP114" t="s">
        <v>518</v>
      </c>
      <c r="AQ114">
        <f t="shared" ref="AQ114" si="120">MIN(AQ104,20)</f>
        <v>20</v>
      </c>
      <c r="AZ114" t="s">
        <v>518</v>
      </c>
      <c r="BA114">
        <f t="shared" ref="BA114" si="121">MIN(BA104,20)</f>
        <v>20</v>
      </c>
      <c r="BJ114" t="s">
        <v>518</v>
      </c>
      <c r="BK114">
        <f t="shared" ref="BK114" si="122">MIN(BK104,20)</f>
        <v>18.001446702548758</v>
      </c>
      <c r="BT114" t="s">
        <v>518</v>
      </c>
      <c r="BU114">
        <f t="shared" ref="BU114" si="123">MIN(BU104,20)</f>
        <v>12.62139873972731</v>
      </c>
      <c r="CD114" t="s">
        <v>518</v>
      </c>
      <c r="CE114">
        <f t="shared" ref="CE114" si="124">MIN(CE104,20)</f>
        <v>8.9826485625709687</v>
      </c>
      <c r="CN114" t="s">
        <v>518</v>
      </c>
      <c r="CO114">
        <f t="shared" ref="CO114" si="125">MIN(CO104,20)</f>
        <v>6.3095131813855536</v>
      </c>
      <c r="CX114" t="s">
        <v>518</v>
      </c>
      <c r="CY114">
        <f t="shared" ref="CY114" si="126">MIN(CY104,20)</f>
        <v>5.7027487002065405</v>
      </c>
      <c r="DH114" t="s">
        <v>518</v>
      </c>
      <c r="DI114">
        <f t="shared" ref="DI114" si="127">MIN(DI104,20)</f>
        <v>4.4080088135483804</v>
      </c>
      <c r="DR114" t="s">
        <v>518</v>
      </c>
      <c r="DS114">
        <f t="shared" ref="DS114" si="128">MIN(DS104,20)</f>
        <v>2.2421253054875363</v>
      </c>
      <c r="EB114" t="s">
        <v>518</v>
      </c>
      <c r="EC114">
        <f t="shared" ref="EC114" si="129">MIN(EC104,20)</f>
        <v>1.5776748424659137</v>
      </c>
      <c r="EL114" t="s">
        <v>518</v>
      </c>
      <c r="EM114">
        <f t="shared" ref="EM114" si="130">MIN(EM104,20)</f>
        <v>0.65569686200842248</v>
      </c>
    </row>
    <row r="115" spans="2:143" x14ac:dyDescent="0.3">
      <c r="B115" t="s">
        <v>519</v>
      </c>
      <c r="C115" s="27" t="e">
        <f>MAX(C113,C114)</f>
        <v>#VALUE!</v>
      </c>
      <c r="L115" t="s">
        <v>519</v>
      </c>
      <c r="M115" s="27" t="e">
        <f t="shared" ref="M115" si="131">MAX(M113,M114)</f>
        <v>#VALUE!</v>
      </c>
      <c r="V115" t="s">
        <v>519</v>
      </c>
      <c r="W115" s="27" t="e">
        <f t="shared" ref="W115" si="132">MAX(W113,W114)</f>
        <v>#VALUE!</v>
      </c>
      <c r="AF115" t="s">
        <v>519</v>
      </c>
      <c r="AG115" s="27" t="e">
        <f t="shared" ref="AG115" si="133">MAX(AG113,AG114)</f>
        <v>#VALUE!</v>
      </c>
      <c r="AP115" t="s">
        <v>519</v>
      </c>
      <c r="AQ115" s="27" t="e">
        <f t="shared" ref="AQ115" si="134">MAX(AQ113,AQ114)</f>
        <v>#VALUE!</v>
      </c>
      <c r="AZ115" t="s">
        <v>519</v>
      </c>
      <c r="BA115" s="27" t="e">
        <f t="shared" ref="BA115" si="135">MAX(BA113,BA114)</f>
        <v>#VALUE!</v>
      </c>
      <c r="BJ115" t="s">
        <v>519</v>
      </c>
      <c r="BK115" s="27">
        <f t="shared" ref="BK115" si="136">MAX(BK113,BK114)</f>
        <v>18.001446702548758</v>
      </c>
      <c r="BT115" t="s">
        <v>519</v>
      </c>
      <c r="BU115" s="27">
        <f t="shared" ref="BU115" si="137">MAX(BU113,BU114)</f>
        <v>14</v>
      </c>
      <c r="CD115" t="s">
        <v>519</v>
      </c>
      <c r="CE115" s="27">
        <f t="shared" ref="CE115" si="138">MAX(CE113,CE114)</f>
        <v>12.982648562570969</v>
      </c>
      <c r="CN115" t="s">
        <v>519</v>
      </c>
      <c r="CO115" s="27">
        <f t="shared" ref="CO115" si="139">MAX(CO113,CO114)</f>
        <v>10.309513181385555</v>
      </c>
      <c r="CX115" t="s">
        <v>519</v>
      </c>
      <c r="CY115" s="27">
        <f t="shared" ref="CY115" si="140">MAX(CY113,CY114)</f>
        <v>9.7027487002065413</v>
      </c>
      <c r="DH115" t="s">
        <v>519</v>
      </c>
      <c r="DI115" s="27">
        <f t="shared" ref="DI115" si="141">MAX(DI113,DI114)</f>
        <v>8.4080088135483813</v>
      </c>
      <c r="DR115" t="s">
        <v>519</v>
      </c>
      <c r="DS115" s="27">
        <f t="shared" ref="DS115" si="142">MAX(DS113,DS114)</f>
        <v>6.2421253054875372</v>
      </c>
      <c r="EB115" t="s">
        <v>519</v>
      </c>
      <c r="EC115" s="27">
        <f t="shared" ref="EC115" si="143">MAX(EC113,EC114)</f>
        <v>6</v>
      </c>
      <c r="EL115" t="s">
        <v>519</v>
      </c>
      <c r="EM115" s="27">
        <f t="shared" ref="EM115" si="144">MAX(EM113,EM114)</f>
        <v>6</v>
      </c>
    </row>
    <row r="116" spans="2:143" x14ac:dyDescent="0.3">
      <c r="B116" t="s">
        <v>517</v>
      </c>
      <c r="C116" s="27" t="str">
        <f>IFERROR(C115,"")</f>
        <v/>
      </c>
      <c r="L116" t="s">
        <v>517</v>
      </c>
      <c r="M116" s="27" t="str">
        <f>IFERROR(M115,"")</f>
        <v/>
      </c>
      <c r="V116" t="s">
        <v>517</v>
      </c>
      <c r="W116" s="27" t="str">
        <f>IFERROR(W115,"")</f>
        <v/>
      </c>
      <c r="AF116" t="s">
        <v>517</v>
      </c>
      <c r="AG116" s="27" t="str">
        <f>IFERROR(AG115,"")</f>
        <v/>
      </c>
      <c r="AP116" t="s">
        <v>517</v>
      </c>
      <c r="AQ116" s="27" t="str">
        <f>IFERROR(AQ115,"")</f>
        <v/>
      </c>
      <c r="AZ116" t="s">
        <v>517</v>
      </c>
      <c r="BA116" s="27" t="str">
        <f>IFERROR(BA115,"")</f>
        <v/>
      </c>
      <c r="BJ116" t="s">
        <v>517</v>
      </c>
      <c r="BK116" s="27">
        <f>IFERROR(BK115,"")</f>
        <v>18.001446702548758</v>
      </c>
      <c r="BT116" t="s">
        <v>517</v>
      </c>
      <c r="BU116" s="27">
        <f>IFERROR(BU115,"")</f>
        <v>14</v>
      </c>
      <c r="CD116" t="s">
        <v>517</v>
      </c>
      <c r="CE116" s="27">
        <f>IFERROR(CE115,"")</f>
        <v>12.982648562570969</v>
      </c>
      <c r="CN116" t="s">
        <v>517</v>
      </c>
      <c r="CO116" s="27">
        <f>IFERROR(CO115,"")</f>
        <v>10.309513181385555</v>
      </c>
      <c r="CX116" t="s">
        <v>517</v>
      </c>
      <c r="CY116" s="27">
        <f>IFERROR(CY115,"")</f>
        <v>9.7027487002065413</v>
      </c>
      <c r="DH116" t="s">
        <v>517</v>
      </c>
      <c r="DI116" s="27">
        <f>IFERROR(DI115,"")</f>
        <v>8.4080088135483813</v>
      </c>
      <c r="DR116" t="s">
        <v>517</v>
      </c>
      <c r="DS116" s="27">
        <f>IFERROR(DS115,"")</f>
        <v>6.2421253054875372</v>
      </c>
      <c r="EB116" t="s">
        <v>517</v>
      </c>
      <c r="EC116" s="27">
        <f>IFERROR(EC115,"")</f>
        <v>6</v>
      </c>
      <c r="EL116" t="s">
        <v>517</v>
      </c>
      <c r="EM116" s="27">
        <f>IFERROR(EM115,"")</f>
        <v>6</v>
      </c>
    </row>
    <row r="117" spans="2:143" x14ac:dyDescent="0.3">
      <c r="B117" t="s">
        <v>461</v>
      </c>
      <c r="C117" s="27" t="str">
        <f>IFERROR(MAX(SQRT(C116/C104),1),"")</f>
        <v/>
      </c>
      <c r="L117" t="s">
        <v>461</v>
      </c>
      <c r="M117" s="27" t="str">
        <f>IFERROR(MAX(SQRT(M116/M104),1),"")</f>
        <v/>
      </c>
      <c r="V117" t="s">
        <v>461</v>
      </c>
      <c r="W117" s="27" t="str">
        <f>IFERROR(MAX(SQRT(W116/W104),1),"")</f>
        <v/>
      </c>
      <c r="AF117" t="s">
        <v>461</v>
      </c>
      <c r="AG117" s="27" t="str">
        <f>IFERROR(MAX(SQRT(AG116/AG104),1),"")</f>
        <v/>
      </c>
      <c r="AP117" t="s">
        <v>461</v>
      </c>
      <c r="AQ117" s="27" t="str">
        <f>IFERROR(MAX(SQRT(AQ116/AQ104),1),"")</f>
        <v/>
      </c>
      <c r="AZ117" t="s">
        <v>461</v>
      </c>
      <c r="BA117" s="27" t="str">
        <f>IFERROR(MAX(SQRT(BA116/BA104),1),"")</f>
        <v/>
      </c>
      <c r="BJ117" t="s">
        <v>461</v>
      </c>
      <c r="BK117" s="27">
        <f>IFERROR(MAX(SQRT(BK116/BK104),1),"")</f>
        <v>1</v>
      </c>
      <c r="BT117" t="s">
        <v>461</v>
      </c>
      <c r="BU117" s="27">
        <f>IFERROR(MAX(SQRT(BU116/BU104),1),"")</f>
        <v>1.0531986025115729</v>
      </c>
      <c r="CD117" t="s">
        <v>461</v>
      </c>
      <c r="CE117" s="27">
        <f>IFERROR(MAX(SQRT(CE116/CE104),1),"")</f>
        <v>1.2022075364585609</v>
      </c>
      <c r="CN117" t="s">
        <v>461</v>
      </c>
      <c r="CO117" s="27">
        <f>IFERROR(MAX(SQRT(CO116/CO104),1),"")</f>
        <v>1.2782657517263751</v>
      </c>
      <c r="CX117" t="s">
        <v>461</v>
      </c>
      <c r="CY117" s="27">
        <f>IFERROR(MAX(SQRT(CY116/CY104),1),"")</f>
        <v>1.3043834341888436</v>
      </c>
      <c r="DH117" t="s">
        <v>461</v>
      </c>
      <c r="DI117" s="27">
        <f>IFERROR(MAX(SQRT(DI116/DI104),1),"")</f>
        <v>1.3811007211497028</v>
      </c>
      <c r="DR117" t="s">
        <v>461</v>
      </c>
      <c r="DS117" s="27">
        <f>IFERROR(MAX(SQRT(DS116/DS104),1),"")</f>
        <v>1.6685387652662906</v>
      </c>
      <c r="EB117" t="s">
        <v>461</v>
      </c>
      <c r="EC117" s="27">
        <f>IFERROR(MAX(SQRT(EC116/EC104),1),"")</f>
        <v>1.9501448705151523</v>
      </c>
      <c r="EL117" t="s">
        <v>461</v>
      </c>
      <c r="EM117" s="27">
        <f>IFERROR(MAX(SQRT(EM116/EM104),1),"")</f>
        <v>3.0249909003581132</v>
      </c>
    </row>
    <row r="118" spans="2:143" x14ac:dyDescent="0.3">
      <c r="B118" t="s">
        <v>460</v>
      </c>
      <c r="C118" s="27" t="str">
        <f>IFERROR(C117^2,"")</f>
        <v/>
      </c>
      <c r="L118" t="s">
        <v>460</v>
      </c>
      <c r="M118" s="27" t="str">
        <f t="shared" ref="M118" si="145">IFERROR(M117^2,"")</f>
        <v/>
      </c>
      <c r="V118" t="s">
        <v>460</v>
      </c>
      <c r="W118" s="27" t="str">
        <f t="shared" ref="W118" si="146">IFERROR(W117^2,"")</f>
        <v/>
      </c>
      <c r="AF118" t="s">
        <v>460</v>
      </c>
      <c r="AG118" s="27" t="str">
        <f t="shared" ref="AG118" si="147">IFERROR(AG117^2,"")</f>
        <v/>
      </c>
      <c r="AP118" t="s">
        <v>460</v>
      </c>
      <c r="AQ118" s="27" t="str">
        <f t="shared" ref="AQ118" si="148">IFERROR(AQ117^2,"")</f>
        <v/>
      </c>
      <c r="AZ118" t="s">
        <v>460</v>
      </c>
      <c r="BA118" s="27" t="str">
        <f t="shared" ref="BA118" si="149">IFERROR(BA117^2,"")</f>
        <v/>
      </c>
      <c r="BJ118" t="s">
        <v>460</v>
      </c>
      <c r="BK118" s="27">
        <f t="shared" ref="BK118" si="150">IFERROR(BK117^2,"")</f>
        <v>1</v>
      </c>
      <c r="BT118" t="s">
        <v>460</v>
      </c>
      <c r="BU118" s="27">
        <f t="shared" ref="BU118" si="151">IFERROR(BU117^2,"")</f>
        <v>1.1092272963323302</v>
      </c>
      <c r="CD118" t="s">
        <v>460</v>
      </c>
      <c r="CE118" s="27">
        <f t="shared" ref="CE118" si="152">IFERROR(CE117^2,"")</f>
        <v>1.4453029607177621</v>
      </c>
      <c r="CN118" t="s">
        <v>460</v>
      </c>
      <c r="CO118" s="27">
        <f t="shared" ref="CO118" si="153">IFERROR(CO117^2,"")</f>
        <v>1.6339633320365949</v>
      </c>
      <c r="CX118" t="s">
        <v>460</v>
      </c>
      <c r="CY118" s="27">
        <f t="shared" ref="CY118" si="154">IFERROR(CY117^2,"")</f>
        <v>1.7014161433862813</v>
      </c>
      <c r="DH118" t="s">
        <v>460</v>
      </c>
      <c r="DI118" s="27">
        <f t="shared" ref="DI118" si="155">IFERROR(DI117^2,"")</f>
        <v>1.9074392019602293</v>
      </c>
      <c r="DR118" t="s">
        <v>460</v>
      </c>
      <c r="DS118" s="27">
        <f t="shared" ref="DS118" si="156">IFERROR(DS117^2,"")</f>
        <v>2.7840216111963576</v>
      </c>
      <c r="EB118" t="s">
        <v>460</v>
      </c>
      <c r="EC118" s="27">
        <f t="shared" ref="EC118" si="157">IFERROR(EC117^2,"")</f>
        <v>3.8030650159965602</v>
      </c>
      <c r="EL118" t="s">
        <v>460</v>
      </c>
      <c r="EM118" s="27">
        <f t="shared" ref="EM118" si="158">IFERROR(EM117^2,"")</f>
        <v>9.1505699472493891</v>
      </c>
    </row>
    <row r="119" spans="2:143" x14ac:dyDescent="0.3">
      <c r="B119" t="s">
        <v>483</v>
      </c>
      <c r="C119" s="27" t="str">
        <f>IFERROR(1/C117,"")</f>
        <v/>
      </c>
      <c r="L119" t="s">
        <v>483</v>
      </c>
      <c r="M119" s="27" t="str">
        <f t="shared" ref="M119" si="159">IFERROR(1/M117,"")</f>
        <v/>
      </c>
      <c r="V119" t="s">
        <v>483</v>
      </c>
      <c r="W119" s="27" t="str">
        <f t="shared" ref="W119" si="160">IFERROR(1/W117,"")</f>
        <v/>
      </c>
      <c r="AF119" t="s">
        <v>483</v>
      </c>
      <c r="AG119" s="27" t="str">
        <f t="shared" ref="AG119" si="161">IFERROR(1/AG117,"")</f>
        <v/>
      </c>
      <c r="AP119" t="s">
        <v>483</v>
      </c>
      <c r="AQ119" s="27" t="str">
        <f t="shared" ref="AQ119" si="162">IFERROR(1/AQ117,"")</f>
        <v/>
      </c>
      <c r="AZ119" t="s">
        <v>483</v>
      </c>
      <c r="BA119" s="27" t="str">
        <f t="shared" ref="BA119" si="163">IFERROR(1/BA117,"")</f>
        <v/>
      </c>
      <c r="BJ119" t="s">
        <v>483</v>
      </c>
      <c r="BK119" s="27">
        <f t="shared" ref="BK119" si="164">IFERROR(1/BK117,"")</f>
        <v>1</v>
      </c>
      <c r="BT119" t="s">
        <v>483</v>
      </c>
      <c r="BU119" s="27">
        <f t="shared" ref="BU119" si="165">IFERROR(1/BU117,"")</f>
        <v>0.94948853674443767</v>
      </c>
      <c r="CD119" t="s">
        <v>483</v>
      </c>
      <c r="CE119" s="27">
        <f t="shared" ref="CE119" si="166">IFERROR(1/CE117,"")</f>
        <v>0.83180313687417073</v>
      </c>
      <c r="CN119" t="s">
        <v>483</v>
      </c>
      <c r="CO119" s="27">
        <f t="shared" ref="CO119" si="167">IFERROR(1/CO117,"")</f>
        <v>0.78230993723287945</v>
      </c>
      <c r="CX119" t="s">
        <v>483</v>
      </c>
      <c r="CY119" s="27">
        <f t="shared" ref="CY119" si="168">IFERROR(1/CY117,"")</f>
        <v>0.76664573758702292</v>
      </c>
      <c r="DH119" t="s">
        <v>483</v>
      </c>
      <c r="DI119" s="27">
        <f t="shared" ref="DI119" si="169">IFERROR(1/DI117,"")</f>
        <v>0.72406015338804974</v>
      </c>
      <c r="DR119" t="s">
        <v>483</v>
      </c>
      <c r="DS119" s="27">
        <f t="shared" ref="DS119" si="170">IFERROR(1/DS117,"")</f>
        <v>0.59932680068143629</v>
      </c>
      <c r="EB119" t="s">
        <v>483</v>
      </c>
      <c r="EC119" s="27">
        <f t="shared" ref="EC119" si="171">IFERROR(1/EC117,"")</f>
        <v>0.51278241689595039</v>
      </c>
      <c r="EL119" t="s">
        <v>483</v>
      </c>
      <c r="EM119" s="27">
        <f t="shared" ref="EM119" si="172">IFERROR(1/EM117,"")</f>
        <v>0.33057950682814125</v>
      </c>
    </row>
    <row r="120" spans="2:143" x14ac:dyDescent="0.3">
      <c r="C120" s="27"/>
      <c r="M120" s="27"/>
      <c r="W120" s="27"/>
      <c r="AG120" s="27"/>
      <c r="AQ120" s="27"/>
      <c r="BA120" s="27"/>
      <c r="BK120" s="27"/>
      <c r="BU120" s="27"/>
      <c r="CE120" s="27"/>
      <c r="CO120" s="27"/>
      <c r="CY120" s="27"/>
      <c r="DI120" s="27"/>
      <c r="DS120" s="27"/>
      <c r="EC120" s="27"/>
      <c r="EM120" s="27"/>
    </row>
    <row r="121" spans="2:143" x14ac:dyDescent="0.3">
      <c r="B121" s="28" t="s">
        <v>454</v>
      </c>
      <c r="C121" s="27"/>
      <c r="L121" s="28" t="s">
        <v>454</v>
      </c>
      <c r="M121" s="27"/>
      <c r="V121" s="28" t="s">
        <v>454</v>
      </c>
      <c r="W121" s="27"/>
      <c r="AF121" s="28" t="s">
        <v>454</v>
      </c>
      <c r="AG121" s="27"/>
      <c r="AP121" s="28" t="s">
        <v>454</v>
      </c>
      <c r="AQ121" s="27"/>
      <c r="AZ121" s="28" t="s">
        <v>454</v>
      </c>
      <c r="BA121" s="27"/>
      <c r="BJ121" s="28" t="s">
        <v>454</v>
      </c>
      <c r="BK121" s="27"/>
      <c r="BT121" s="28" t="s">
        <v>454</v>
      </c>
      <c r="BU121" s="27"/>
      <c r="CD121" s="28" t="s">
        <v>454</v>
      </c>
      <c r="CE121" s="27"/>
      <c r="CN121" s="28" t="s">
        <v>454</v>
      </c>
      <c r="CO121" s="27"/>
      <c r="CX121" s="28" t="s">
        <v>454</v>
      </c>
      <c r="CY121" s="27"/>
      <c r="DH121" s="28" t="s">
        <v>454</v>
      </c>
      <c r="DI121" s="27"/>
      <c r="DR121" s="28" t="s">
        <v>454</v>
      </c>
      <c r="DS121" s="27"/>
      <c r="EB121" s="28" t="s">
        <v>454</v>
      </c>
      <c r="EC121" s="27"/>
      <c r="EL121" s="28" t="s">
        <v>454</v>
      </c>
      <c r="EM121" s="27"/>
    </row>
    <row r="122" spans="2:143" x14ac:dyDescent="0.3">
      <c r="B122" t="s">
        <v>455</v>
      </c>
      <c r="C122" s="27">
        <v>153.69999999999999</v>
      </c>
      <c r="L122" t="s">
        <v>455</v>
      </c>
      <c r="M122" s="27">
        <v>220</v>
      </c>
      <c r="V122" t="s">
        <v>455</v>
      </c>
      <c r="W122" s="27">
        <v>308</v>
      </c>
      <c r="AF122" t="s">
        <v>455</v>
      </c>
      <c r="AG122" s="27">
        <v>440</v>
      </c>
      <c r="AP122" t="s">
        <v>455</v>
      </c>
      <c r="AQ122" s="27"/>
      <c r="AZ122" t="s">
        <v>455</v>
      </c>
      <c r="BA122" s="27">
        <v>563</v>
      </c>
      <c r="BJ122" t="s">
        <v>455</v>
      </c>
      <c r="BK122" s="27">
        <v>615</v>
      </c>
      <c r="BT122" t="s">
        <v>455</v>
      </c>
      <c r="BU122" s="27">
        <v>880</v>
      </c>
      <c r="CD122" t="s">
        <v>455</v>
      </c>
      <c r="CE122" s="27"/>
      <c r="CN122" t="s">
        <v>455</v>
      </c>
      <c r="CO122" s="27">
        <v>1386</v>
      </c>
      <c r="CX122" t="s">
        <v>455</v>
      </c>
      <c r="CY122" s="27">
        <v>1232</v>
      </c>
      <c r="DH122" t="s">
        <v>455</v>
      </c>
      <c r="DI122" s="27">
        <v>1760</v>
      </c>
      <c r="DR122" t="s">
        <v>455</v>
      </c>
      <c r="DS122" s="27">
        <v>2466</v>
      </c>
      <c r="EB122" t="s">
        <v>455</v>
      </c>
      <c r="EC122" s="27">
        <v>3520</v>
      </c>
      <c r="EL122" t="s">
        <v>455</v>
      </c>
      <c r="EM122" s="27">
        <v>6320</v>
      </c>
    </row>
    <row r="123" spans="2:143" x14ac:dyDescent="0.3">
      <c r="B123" t="s">
        <v>457</v>
      </c>
      <c r="C123" s="27">
        <f>C122/2</f>
        <v>76.849999999999994</v>
      </c>
      <c r="L123" t="s">
        <v>457</v>
      </c>
      <c r="M123" s="27">
        <f>M122/2</f>
        <v>110</v>
      </c>
      <c r="V123" t="s">
        <v>457</v>
      </c>
      <c r="W123" s="27">
        <f t="shared" ref="W123" si="173">W122/2</f>
        <v>154</v>
      </c>
      <c r="AF123" t="s">
        <v>457</v>
      </c>
      <c r="AG123" s="27">
        <f t="shared" ref="AG123" si="174">AG122/2</f>
        <v>220</v>
      </c>
      <c r="AP123" t="s">
        <v>457</v>
      </c>
      <c r="AQ123" s="27">
        <f t="shared" ref="AQ123" si="175">AQ122/2</f>
        <v>0</v>
      </c>
      <c r="AZ123" t="s">
        <v>457</v>
      </c>
      <c r="BA123" s="27">
        <f t="shared" ref="BA123" si="176">BA122/2</f>
        <v>281.5</v>
      </c>
      <c r="BJ123" t="s">
        <v>457</v>
      </c>
      <c r="BK123" s="27">
        <f t="shared" ref="BK123" si="177">BK122/2</f>
        <v>307.5</v>
      </c>
      <c r="BT123" t="s">
        <v>457</v>
      </c>
      <c r="BU123" s="27">
        <f t="shared" ref="BU123" si="178">BU122/2</f>
        <v>440</v>
      </c>
      <c r="CD123" t="s">
        <v>457</v>
      </c>
      <c r="CE123" s="27">
        <f t="shared" ref="CE123" si="179">CE122/2</f>
        <v>0</v>
      </c>
      <c r="CN123" t="s">
        <v>457</v>
      </c>
      <c r="CO123" s="27">
        <f t="shared" ref="CO123" si="180">CO122/2</f>
        <v>693</v>
      </c>
      <c r="CX123" t="s">
        <v>457</v>
      </c>
      <c r="CY123" s="27">
        <f t="shared" ref="CY123" si="181">CY122/2</f>
        <v>616</v>
      </c>
      <c r="DH123" t="s">
        <v>457</v>
      </c>
      <c r="DI123" s="27">
        <f t="shared" ref="DI123" si="182">DI122/2</f>
        <v>880</v>
      </c>
      <c r="DR123" t="s">
        <v>457</v>
      </c>
      <c r="DS123" s="27">
        <f t="shared" ref="DS123" si="183">DS122/2</f>
        <v>1233</v>
      </c>
      <c r="EB123" t="s">
        <v>457</v>
      </c>
      <c r="EC123" s="27">
        <f t="shared" ref="EC123" si="184">EC122/2</f>
        <v>1760</v>
      </c>
      <c r="EL123" t="s">
        <v>457</v>
      </c>
      <c r="EM123" s="27">
        <f t="shared" ref="EM123" si="185">EM122/2</f>
        <v>3160</v>
      </c>
    </row>
    <row r="124" spans="2:143" x14ac:dyDescent="0.3">
      <c r="B124" t="s">
        <v>456</v>
      </c>
      <c r="C124" s="27">
        <v>2.6918000000000002</v>
      </c>
      <c r="L124" t="s">
        <v>456</v>
      </c>
      <c r="M124" s="27">
        <v>2.8107000000000002</v>
      </c>
      <c r="V124" t="s">
        <v>456</v>
      </c>
      <c r="W124">
        <v>2.9470000000000001</v>
      </c>
      <c r="AF124" t="s">
        <v>456</v>
      </c>
      <c r="AG124">
        <v>3.1019999999999999</v>
      </c>
      <c r="AP124" t="s">
        <v>456</v>
      </c>
      <c r="AQ124" s="27"/>
      <c r="AZ124" t="s">
        <v>456</v>
      </c>
      <c r="BA124">
        <v>3.2549999999999999</v>
      </c>
      <c r="BJ124" t="s">
        <v>456</v>
      </c>
      <c r="BK124">
        <v>3.3162000000000003</v>
      </c>
      <c r="BT124" t="s">
        <v>456</v>
      </c>
      <c r="BU124">
        <v>3.5949999999999998</v>
      </c>
      <c r="CD124" t="s">
        <v>456</v>
      </c>
      <c r="CE124" s="27"/>
      <c r="CN124" t="s">
        <v>456</v>
      </c>
      <c r="CO124">
        <v>4.0369999999999999</v>
      </c>
      <c r="CX124" t="s">
        <v>456</v>
      </c>
      <c r="CY124">
        <v>3.9146000000000001</v>
      </c>
      <c r="DH124" t="s">
        <v>456</v>
      </c>
      <c r="DI124">
        <v>4.3089999999999993</v>
      </c>
      <c r="DR124" t="s">
        <v>456</v>
      </c>
      <c r="DS124">
        <v>4.7408000000000001</v>
      </c>
      <c r="EB124" t="s">
        <v>456</v>
      </c>
      <c r="EC124">
        <v>5.2949999999999999</v>
      </c>
      <c r="EL124" t="s">
        <v>456</v>
      </c>
      <c r="EM124">
        <v>6.4510000000000005</v>
      </c>
    </row>
    <row r="125" spans="2:143" x14ac:dyDescent="0.3">
      <c r="B125" t="s">
        <v>466</v>
      </c>
      <c r="C125">
        <f>-0.067*LN(C94)+1.2702</f>
        <v>0.91226360511835769</v>
      </c>
      <c r="L125" t="s">
        <v>466</v>
      </c>
      <c r="M125">
        <v>0.90026211850322957</v>
      </c>
      <c r="V125" t="s">
        <v>466</v>
      </c>
      <c r="W125">
        <v>0.88871994670021914</v>
      </c>
      <c r="AF125" t="s">
        <v>466</v>
      </c>
      <c r="AG125">
        <v>0.87676810810514705</v>
      </c>
      <c r="AP125" t="s">
        <v>466</v>
      </c>
      <c r="AZ125" t="s">
        <v>466</v>
      </c>
      <c r="BA125">
        <v>0.86877187534376521</v>
      </c>
      <c r="BJ125" t="s">
        <v>466</v>
      </c>
      <c r="BK125">
        <v>0.86582274402084125</v>
      </c>
      <c r="BT125" t="s">
        <v>466</v>
      </c>
      <c r="BU125">
        <v>0.85382125740571313</v>
      </c>
      <c r="CD125" t="s">
        <v>466</v>
      </c>
      <c r="CN125" t="s">
        <v>466</v>
      </c>
      <c r="CO125">
        <v>0.83833677210116619</v>
      </c>
      <c r="CX125" t="s">
        <v>466</v>
      </c>
      <c r="CY125">
        <v>0.8422790856027027</v>
      </c>
      <c r="DH125" t="s">
        <v>466</v>
      </c>
      <c r="DI125">
        <v>0.83032724700763083</v>
      </c>
      <c r="DR125" t="s">
        <v>466</v>
      </c>
      <c r="DS125">
        <v>0.81930178727720504</v>
      </c>
      <c r="EB125" t="s">
        <v>466</v>
      </c>
      <c r="EC125">
        <v>0.8073803963081968</v>
      </c>
      <c r="EL125" t="s">
        <v>466</v>
      </c>
      <c r="EM125">
        <v>0.78777153217268792</v>
      </c>
    </row>
    <row r="126" spans="2:143" x14ac:dyDescent="0.3">
      <c r="B126" t="s">
        <v>465</v>
      </c>
      <c r="C126">
        <f>0.0156*LN(C94)+0.7513</f>
        <v>0.83464041433065106</v>
      </c>
      <c r="L126" t="s">
        <v>465</v>
      </c>
      <c r="M126">
        <v>0.83743479031865098</v>
      </c>
      <c r="V126" t="s">
        <v>465</v>
      </c>
      <c r="W126">
        <v>0.84012222136532211</v>
      </c>
      <c r="AF126" t="s">
        <v>465</v>
      </c>
      <c r="AG126">
        <v>0.84290503751581647</v>
      </c>
      <c r="AP126" t="s">
        <v>465</v>
      </c>
      <c r="AZ126" t="s">
        <v>465</v>
      </c>
      <c r="BA126">
        <v>0.84476684693488446</v>
      </c>
      <c r="BJ126" t="s">
        <v>465</v>
      </c>
      <c r="BK126">
        <v>0.84545351034738614</v>
      </c>
      <c r="BT126" t="s">
        <v>465</v>
      </c>
      <c r="BU126">
        <v>0.84824788633538617</v>
      </c>
      <c r="CD126" t="s">
        <v>465</v>
      </c>
      <c r="CN126" t="s">
        <v>465</v>
      </c>
      <c r="CO126">
        <v>0.85185322918241502</v>
      </c>
      <c r="CX126" t="s">
        <v>465</v>
      </c>
      <c r="CY126">
        <v>0.85093531738205719</v>
      </c>
      <c r="DH126" t="s">
        <v>465</v>
      </c>
      <c r="DI126">
        <v>0.85371813353255166</v>
      </c>
      <c r="DR126" t="s">
        <v>465</v>
      </c>
      <c r="DS126">
        <v>0.85628525549963574</v>
      </c>
      <c r="EB126" t="s">
        <v>465</v>
      </c>
      <c r="EC126">
        <v>0.85906098235212125</v>
      </c>
      <c r="EL126" t="s">
        <v>465</v>
      </c>
      <c r="EM126">
        <v>0.8636266283299413</v>
      </c>
    </row>
    <row r="127" spans="2:143" x14ac:dyDescent="0.3">
      <c r="B127" t="s">
        <v>469</v>
      </c>
      <c r="C127">
        <f>$C$11/C122</f>
        <v>5.2049446974625901</v>
      </c>
      <c r="L127" t="s">
        <v>469</v>
      </c>
      <c r="M127">
        <f>$C$11/M122</f>
        <v>3.6363636363636362</v>
      </c>
      <c r="V127" t="s">
        <v>469</v>
      </c>
      <c r="W127">
        <f t="shared" ref="W127" si="186">$C$11/W122</f>
        <v>2.5974025974025974</v>
      </c>
      <c r="AF127" t="s">
        <v>469</v>
      </c>
      <c r="AG127">
        <f t="shared" ref="AG127" si="187">$C$11/AG122</f>
        <v>1.8181818181818181</v>
      </c>
      <c r="AP127" t="s">
        <v>469</v>
      </c>
      <c r="AQ127" t="e">
        <f t="shared" ref="AQ127" si="188">$C$11/AQ122</f>
        <v>#DIV/0!</v>
      </c>
      <c r="AZ127" t="s">
        <v>469</v>
      </c>
      <c r="BA127">
        <f t="shared" ref="BA127" si="189">$C$11/BA122</f>
        <v>1.4209591474245116</v>
      </c>
      <c r="BJ127" t="s">
        <v>469</v>
      </c>
      <c r="BK127">
        <f t="shared" ref="BK127" si="190">$C$11/BK122</f>
        <v>1.3008130081300813</v>
      </c>
      <c r="BT127" t="s">
        <v>469</v>
      </c>
      <c r="BU127">
        <f t="shared" ref="BU127" si="191">$C$11/BU122</f>
        <v>0.90909090909090906</v>
      </c>
      <c r="CD127" t="s">
        <v>469</v>
      </c>
      <c r="CE127" t="e">
        <f t="shared" ref="CE127" si="192">$C$11/CE122</f>
        <v>#DIV/0!</v>
      </c>
      <c r="CN127" t="s">
        <v>469</v>
      </c>
      <c r="CO127">
        <f t="shared" ref="CO127" si="193">$C$11/CO122</f>
        <v>0.57720057720057716</v>
      </c>
      <c r="CX127" t="s">
        <v>469</v>
      </c>
      <c r="CY127">
        <f t="shared" ref="CY127" si="194">$C$11/CY122</f>
        <v>0.64935064935064934</v>
      </c>
      <c r="DH127" t="s">
        <v>469</v>
      </c>
      <c r="DI127">
        <f t="shared" ref="DI127" si="195">$C$11/DI122</f>
        <v>0.45454545454545453</v>
      </c>
      <c r="DR127" t="s">
        <v>469</v>
      </c>
      <c r="DS127">
        <f t="shared" ref="DS127" si="196">$C$11/DS122</f>
        <v>0.32441200324412001</v>
      </c>
      <c r="EB127" t="s">
        <v>469</v>
      </c>
      <c r="EC127">
        <f t="shared" ref="EC127" si="197">$C$11/EC122</f>
        <v>0.22727272727272727</v>
      </c>
      <c r="EL127" t="s">
        <v>469</v>
      </c>
      <c r="EM127">
        <f t="shared" ref="EM127" si="198">$C$11/EM122</f>
        <v>0.12658227848101267</v>
      </c>
    </row>
    <row r="128" spans="2:143" x14ac:dyDescent="0.3">
      <c r="C128" t="s">
        <v>216</v>
      </c>
      <c r="M128" t="s">
        <v>216</v>
      </c>
      <c r="W128" t="s">
        <v>216</v>
      </c>
      <c r="AG128" t="s">
        <v>216</v>
      </c>
      <c r="AQ128" t="s">
        <v>216</v>
      </c>
      <c r="BA128" t="s">
        <v>216</v>
      </c>
      <c r="BK128" t="s">
        <v>216</v>
      </c>
      <c r="BU128" t="s">
        <v>216</v>
      </c>
      <c r="CE128" t="s">
        <v>216</v>
      </c>
      <c r="CO128" t="s">
        <v>216</v>
      </c>
      <c r="CY128" t="s">
        <v>216</v>
      </c>
      <c r="DI128" t="s">
        <v>216</v>
      </c>
      <c r="DS128" t="s">
        <v>216</v>
      </c>
      <c r="EC128" t="s">
        <v>216</v>
      </c>
      <c r="EM128" t="s">
        <v>216</v>
      </c>
    </row>
    <row r="129" spans="2:144" x14ac:dyDescent="0.3">
      <c r="B129" t="s">
        <v>467</v>
      </c>
      <c r="C129">
        <f>((1-C125)/0.5)*(C127-1)+1</f>
        <v>1.7378533768640916</v>
      </c>
      <c r="L129" t="s">
        <v>467</v>
      </c>
      <c r="M129">
        <f>((1-M125)/0.5)*(M127-1)+1</f>
        <v>1.5258906478920622</v>
      </c>
      <c r="V129" t="s">
        <v>467</v>
      </c>
      <c r="W129">
        <f>((1-W125)/0.5)*(W127-1)+1</f>
        <v>1.3555180923603389</v>
      </c>
      <c r="AF129" t="s">
        <v>467</v>
      </c>
      <c r="AG129">
        <f>((1-AG125)/0.5)*(AG127-1)+1</f>
        <v>1.201652186737032</v>
      </c>
      <c r="AP129" t="s">
        <v>467</v>
      </c>
      <c r="AQ129" t="e">
        <f>((1-AQ125)/0.5)*(AQ127-1)+1</f>
        <v>#DIV/0!</v>
      </c>
      <c r="AZ129" t="s">
        <v>467</v>
      </c>
      <c r="BA129">
        <f>((1-BA125)/0.5)*(BA127-1)+1</f>
        <v>1.1104833589468122</v>
      </c>
      <c r="BJ129" t="s">
        <v>467</v>
      </c>
      <c r="BK129">
        <f>((1-BK125)/0.5)*(BK127-1)+1</f>
        <v>1.0807245279874613</v>
      </c>
      <c r="BT129" t="s">
        <v>467</v>
      </c>
      <c r="BU129">
        <f>((1-BU125)/0.5)*(BU127-1)+1</f>
        <v>0.97342204680103872</v>
      </c>
      <c r="CD129" t="s">
        <v>467</v>
      </c>
      <c r="CE129" t="e">
        <f>((1-CE125)/0.5)*(CE127-1)+1</f>
        <v>#DIV/0!</v>
      </c>
      <c r="CN129" t="s">
        <v>467</v>
      </c>
      <c r="CO129">
        <f>((1-CO125)/0.5)*(CO127-1)+1</f>
        <v>0.86329776111296308</v>
      </c>
      <c r="CX129" t="s">
        <v>467</v>
      </c>
      <c r="CY129">
        <f>((1-CY125)/0.5)*(CY127-1)+1</f>
        <v>0.88939052756553172</v>
      </c>
      <c r="DH129" t="s">
        <v>467</v>
      </c>
      <c r="DI129">
        <f>((1-DI125)/0.5)*(DI127-1)+1</f>
        <v>0.81490245128105188</v>
      </c>
      <c r="DR129" t="s">
        <v>467</v>
      </c>
      <c r="DS129">
        <f>((1-DS125)/0.5)*(DS127-1)+1</f>
        <v>0.75584491289847811</v>
      </c>
      <c r="EB129" t="s">
        <v>467</v>
      </c>
      <c r="EC129">
        <f>((1-EC125)/0.5)*(EC127-1)+1</f>
        <v>0.70231515793084953</v>
      </c>
      <c r="EL129" t="s">
        <v>467</v>
      </c>
      <c r="EM129">
        <f>((1-EM125)/0.5)*(EM127-1)+1</f>
        <v>0.62927179037760672</v>
      </c>
    </row>
    <row r="130" spans="2:144" x14ac:dyDescent="0.3">
      <c r="B130" s="39" t="s">
        <v>468</v>
      </c>
      <c r="C130" s="39">
        <f>((1-C126)/0.5)*(C127-1)+1</f>
        <v>2.3906558258698798</v>
      </c>
      <c r="D130" s="39"/>
      <c r="L130" s="39" t="s">
        <v>468</v>
      </c>
      <c r="M130" s="39">
        <f>((1-M126)/0.5)*(M127-1)+1</f>
        <v>1.8571620146834766</v>
      </c>
      <c r="N130" s="39"/>
      <c r="V130" s="39" t="s">
        <v>468</v>
      </c>
      <c r="W130" s="39">
        <f>((1-W126)/0.5)*(W127-1)+1</f>
        <v>1.5107783577159839</v>
      </c>
      <c r="X130" s="39"/>
      <c r="AF130" s="39" t="s">
        <v>468</v>
      </c>
      <c r="AG130" s="39">
        <f>((1-AG126)/0.5)*(AG127-1)+1</f>
        <v>1.2570644840650276</v>
      </c>
      <c r="AH130" s="39"/>
      <c r="AP130" s="39" t="s">
        <v>468</v>
      </c>
      <c r="AQ130" s="39" t="e">
        <f>((1-AQ126)/0.5)*(AQ127-1)+1</f>
        <v>#DIV/0!</v>
      </c>
      <c r="AR130" s="39"/>
      <c r="AZ130" s="39" t="s">
        <v>468</v>
      </c>
      <c r="BA130" s="39">
        <f>((1-BA126)/0.5)*(BA127-1)+1</f>
        <v>1.1306936315326195</v>
      </c>
      <c r="BB130" s="39"/>
      <c r="BJ130" s="39" t="s">
        <v>468</v>
      </c>
      <c r="BK130" s="39">
        <f>((1-BK126)/0.5)*(BK127-1)+1</f>
        <v>1.0929791888966944</v>
      </c>
      <c r="BL130" s="39"/>
      <c r="BT130" s="39" t="s">
        <v>468</v>
      </c>
      <c r="BU130" s="39">
        <f>((1-BU126)/0.5)*(BU127-1)+1</f>
        <v>0.97240870660643386</v>
      </c>
      <c r="BV130" s="39"/>
      <c r="CD130" s="39" t="s">
        <v>468</v>
      </c>
      <c r="CE130" s="39" t="e">
        <f>((1-CE126)/0.5)*(CE127-1)+1</f>
        <v>#DIV/0!</v>
      </c>
      <c r="CF130" s="39"/>
      <c r="CN130" s="39" t="s">
        <v>468</v>
      </c>
      <c r="CO130" s="39">
        <f>((1-CO126)/0.5)*(CO127-1)+1</f>
        <v>0.8747272616174534</v>
      </c>
      <c r="CP130" s="39"/>
      <c r="CX130" s="39" t="s">
        <v>468</v>
      </c>
      <c r="CY130" s="39">
        <f>((1-CY126)/0.5)*(CY127-1)+1</f>
        <v>0.89546113167053365</v>
      </c>
      <c r="CZ130" s="39"/>
      <c r="DH130" s="39" t="s">
        <v>468</v>
      </c>
      <c r="DI130" s="39">
        <f>((1-DI126)/0.5)*(DI127-1)+1</f>
        <v>0.84041978203551093</v>
      </c>
      <c r="DJ130" s="39"/>
      <c r="DR130" s="39" t="s">
        <v>468</v>
      </c>
      <c r="DS130" s="39">
        <f>((1-DS126)/0.5)*(DS127-1)+1</f>
        <v>0.8058160873174316</v>
      </c>
      <c r="DT130" s="39"/>
      <c r="EB130" s="39" t="s">
        <v>468</v>
      </c>
      <c r="EC130" s="39">
        <f>((1-EC126)/0.5)*(EC127-1)+1</f>
        <v>0.78218515454418736</v>
      </c>
      <c r="ED130" s="39"/>
      <c r="EL130" s="39" t="s">
        <v>468</v>
      </c>
      <c r="EM130" s="39">
        <f>((1-EM126)/0.5)*(EM127-1)+1</f>
        <v>0.7617781608801506</v>
      </c>
      <c r="EN130" s="39"/>
    </row>
    <row r="131" spans="2:144" x14ac:dyDescent="0.3">
      <c r="B131" t="s">
        <v>464</v>
      </c>
      <c r="C131">
        <f>IF(C127&lt;=1,C129,C130)*C124</f>
        <v>6.4351673520765429</v>
      </c>
      <c r="L131" t="s">
        <v>464</v>
      </c>
      <c r="M131">
        <f>IF(M127&lt;=1,M129,M130)*M124</f>
        <v>5.2199252746708478</v>
      </c>
      <c r="V131" t="s">
        <v>464</v>
      </c>
      <c r="W131">
        <f t="shared" ref="W131" si="199">IF(W127&lt;=1,W129,W130)*W124</f>
        <v>4.452263820189005</v>
      </c>
      <c r="AF131" t="s">
        <v>464</v>
      </c>
      <c r="AG131">
        <f t="shared" ref="AG131" si="200">IF(AG127&lt;=1,AG129,AG130)*AG124</f>
        <v>3.8994140295697153</v>
      </c>
      <c r="AP131" t="s">
        <v>464</v>
      </c>
      <c r="AQ131" t="e">
        <f t="shared" ref="AQ131" si="201">IF(AQ127&lt;=1,AQ129,AQ130)*AQ124</f>
        <v>#DIV/0!</v>
      </c>
      <c r="AZ131" t="s">
        <v>464</v>
      </c>
      <c r="BA131">
        <f t="shared" ref="BA131" si="202">IF(BA127&lt;=1,BA129,BA130)*BA124</f>
        <v>3.6804077706386762</v>
      </c>
      <c r="BJ131" t="s">
        <v>464</v>
      </c>
      <c r="BK131">
        <f t="shared" ref="BK131" si="203">IF(BK127&lt;=1,BK129,BK130)*BK124</f>
        <v>3.6245375862192182</v>
      </c>
      <c r="BT131" t="s">
        <v>464</v>
      </c>
      <c r="BU131">
        <f t="shared" ref="BU131" si="204">IF(BU127&lt;=1,BU129,BU130)*BU124</f>
        <v>3.4994522582497338</v>
      </c>
      <c r="CD131" t="s">
        <v>464</v>
      </c>
      <c r="CE131" t="e">
        <f t="shared" ref="CE131" si="205">IF(CE127&lt;=1,CE129,CE130)*CE124</f>
        <v>#DIV/0!</v>
      </c>
      <c r="CN131" t="s">
        <v>464</v>
      </c>
      <c r="CO131">
        <f t="shared" ref="CO131" si="206">IF(CO127&lt;=1,CO129,CO130)*CO124</f>
        <v>3.4851330616130318</v>
      </c>
      <c r="CX131" t="s">
        <v>464</v>
      </c>
      <c r="CY131">
        <f t="shared" ref="CY131" si="207">IF(CY127&lt;=1,CY129,CY130)*CY124</f>
        <v>3.4816081592080304</v>
      </c>
      <c r="DH131" t="s">
        <v>464</v>
      </c>
      <c r="DI131">
        <f t="shared" ref="DI131" si="208">IF(DI127&lt;=1,DI129,DI130)*DI124</f>
        <v>3.511414662570052</v>
      </c>
      <c r="DR131" t="s">
        <v>464</v>
      </c>
      <c r="DS131">
        <f t="shared" ref="DS131" si="209">IF(DS127&lt;=1,DS129,DS130)*DS124</f>
        <v>3.583309563069105</v>
      </c>
      <c r="EB131" t="s">
        <v>464</v>
      </c>
      <c r="EC131">
        <f t="shared" ref="EC131" si="210">IF(EC127&lt;=1,EC129,EC130)*EC124</f>
        <v>3.7187587612438482</v>
      </c>
      <c r="EL131" t="s">
        <v>464</v>
      </c>
      <c r="EM131">
        <f t="shared" ref="EM131" si="211">IF(EM127&lt;=1,EM129,EM130)*EM124</f>
        <v>4.059432319725941</v>
      </c>
    </row>
    <row r="132" spans="2:144" x14ac:dyDescent="0.3">
      <c r="C132" s="29"/>
      <c r="W132" s="29"/>
      <c r="AI132" s="26"/>
      <c r="AJ132" s="26"/>
      <c r="AK132" s="26"/>
      <c r="AQ132" s="29"/>
      <c r="BC132" s="26"/>
      <c r="BD132" s="26"/>
      <c r="BE132" s="26"/>
      <c r="BK132" s="29"/>
      <c r="CE132" s="29"/>
      <c r="CY132" s="29"/>
    </row>
    <row r="133" spans="2:144" x14ac:dyDescent="0.3">
      <c r="B133" s="28" t="s">
        <v>274</v>
      </c>
      <c r="C133" s="29"/>
      <c r="L133" s="28" t="s">
        <v>274</v>
      </c>
      <c r="V133" s="28" t="s">
        <v>274</v>
      </c>
      <c r="W133" s="29"/>
      <c r="AF133" s="28" t="s">
        <v>274</v>
      </c>
      <c r="AP133" s="28" t="s">
        <v>274</v>
      </c>
      <c r="AQ133" s="29"/>
      <c r="AZ133" s="28" t="s">
        <v>274</v>
      </c>
      <c r="BJ133" s="28" t="s">
        <v>274</v>
      </c>
      <c r="BK133" s="29"/>
      <c r="BT133" s="28" t="s">
        <v>274</v>
      </c>
      <c r="CD133" s="28" t="s">
        <v>274</v>
      </c>
      <c r="CE133" s="29"/>
      <c r="CN133" s="28" t="s">
        <v>274</v>
      </c>
      <c r="CX133" s="28" t="s">
        <v>274</v>
      </c>
      <c r="CY133" s="29"/>
      <c r="DH133" s="28" t="s">
        <v>274</v>
      </c>
      <c r="DR133" s="28" t="s">
        <v>274</v>
      </c>
      <c r="EB133" s="28" t="s">
        <v>274</v>
      </c>
      <c r="EL133" s="28" t="s">
        <v>274</v>
      </c>
    </row>
    <row r="134" spans="2:144" x14ac:dyDescent="0.3">
      <c r="B134" t="s">
        <v>216</v>
      </c>
      <c r="C134" s="29">
        <v>2.5</v>
      </c>
      <c r="L134" t="s">
        <v>216</v>
      </c>
      <c r="M134">
        <v>2.5</v>
      </c>
      <c r="V134" t="s">
        <v>216</v>
      </c>
      <c r="W134" s="29">
        <v>2.5</v>
      </c>
      <c r="AF134" t="s">
        <v>216</v>
      </c>
      <c r="AG134">
        <v>2.7</v>
      </c>
      <c r="AP134" t="s">
        <v>216</v>
      </c>
      <c r="AQ134" s="29">
        <v>2.7</v>
      </c>
      <c r="AZ134" t="s">
        <v>216</v>
      </c>
      <c r="BA134">
        <v>3</v>
      </c>
      <c r="BJ134" t="s">
        <v>216</v>
      </c>
      <c r="BK134" s="29">
        <v>3</v>
      </c>
      <c r="BT134" t="s">
        <v>216</v>
      </c>
      <c r="BU134">
        <v>3.5</v>
      </c>
      <c r="CD134" t="s">
        <v>216</v>
      </c>
      <c r="CE134" s="29">
        <v>3.5</v>
      </c>
      <c r="CN134" t="s">
        <v>216</v>
      </c>
      <c r="CO134">
        <v>4</v>
      </c>
      <c r="CX134" t="s">
        <v>216</v>
      </c>
      <c r="CY134" s="29">
        <v>4</v>
      </c>
      <c r="DH134" t="s">
        <v>216</v>
      </c>
      <c r="DI134">
        <v>4.5</v>
      </c>
      <c r="DR134" t="s">
        <v>216</v>
      </c>
      <c r="DS134" s="29">
        <v>5</v>
      </c>
      <c r="EB134" t="s">
        <v>216</v>
      </c>
      <c r="EC134">
        <v>5.5</v>
      </c>
      <c r="EL134" t="s">
        <v>216</v>
      </c>
      <c r="EM134">
        <v>6</v>
      </c>
    </row>
    <row r="135" spans="2:144" x14ac:dyDescent="0.3">
      <c r="B135" t="s">
        <v>443</v>
      </c>
      <c r="C135">
        <f>MEDIAN(0.2*($C$11/F92)+0.8,0.9,1.1)</f>
        <v>1.1000000000000001</v>
      </c>
      <c r="L135" t="s">
        <v>443</v>
      </c>
      <c r="M135">
        <f>MEDIAN(0.2*($C$11/P92)+0.8,0.9,1.1)</f>
        <v>1.1000000000000001</v>
      </c>
      <c r="V135" t="s">
        <v>443</v>
      </c>
      <c r="W135">
        <f>MEDIAN(0.2*($C$11/Z92)+0.8,0.9,1.1)</f>
        <v>1.1000000000000001</v>
      </c>
      <c r="AF135" t="s">
        <v>443</v>
      </c>
      <c r="AG135">
        <f>MEDIAN(0.2*($C$11/AJ92)+0.8,0.9,1.1)</f>
        <v>1.1000000000000001</v>
      </c>
      <c r="AP135" t="s">
        <v>443</v>
      </c>
      <c r="AQ135">
        <f>MEDIAN(0.2*($C$11/AT92)+0.8,0.9,1.1)</f>
        <v>1.1000000000000001</v>
      </c>
      <c r="AZ135" t="s">
        <v>443</v>
      </c>
      <c r="BA135">
        <f>MEDIAN(0.2*($C$11/BD92)+0.8,0.9,1.1)</f>
        <v>1.1000000000000001</v>
      </c>
      <c r="BJ135" t="s">
        <v>443</v>
      </c>
      <c r="BK135">
        <f>MEDIAN(0.2*($C$11/BN92)+0.8,0.9,1.1)</f>
        <v>1.0653399668325041</v>
      </c>
      <c r="BT135" t="s">
        <v>443</v>
      </c>
      <c r="BU135">
        <f>MEDIAN(0.2*($C$11/BX92)+0.8,0.9,1.1)</f>
        <v>1.0247191011235957</v>
      </c>
      <c r="CD135" t="s">
        <v>443</v>
      </c>
      <c r="CE135">
        <f>MEDIAN(0.2*($C$11/CH92)+0.8,0.9,1.1)</f>
        <v>0.96716991777329675</v>
      </c>
      <c r="CN135" t="s">
        <v>443</v>
      </c>
      <c r="CO135">
        <f>MEDIAN(0.2*($C$11/CR92)+0.8,0.9,1.1)</f>
        <v>0.94159292035398234</v>
      </c>
      <c r="CX135" t="s">
        <v>443</v>
      </c>
      <c r="CY135">
        <f>MEDIAN(0.2*($C$11/DB92)+0.8,0.9,1.1)</f>
        <v>0.93159093772689161</v>
      </c>
      <c r="DH135" t="s">
        <v>443</v>
      </c>
      <c r="DI135">
        <f>MEDIAN(0.2*($C$11/DL92)+0.8,0.9,1.1)</f>
        <v>0.91144569585578039</v>
      </c>
      <c r="DR135" t="s">
        <v>443</v>
      </c>
      <c r="DS135">
        <f>MEDIAN(0.2*($C$11/DV92)+0.8,0.9,1.1)</f>
        <v>0.9</v>
      </c>
      <c r="EB135" t="s">
        <v>443</v>
      </c>
      <c r="EC135">
        <f>MEDIAN(0.2*($C$11/EF92)+0.8,0.9,1.1)</f>
        <v>0.9</v>
      </c>
      <c r="EL135" t="s">
        <v>443</v>
      </c>
      <c r="EM135">
        <f>MEDIAN(0.2*($C$11/EP92)+0.8,0.9,1.1)</f>
        <v>0.9</v>
      </c>
    </row>
    <row r="136" spans="2:144" x14ac:dyDescent="0.3">
      <c r="B136" t="s">
        <v>223</v>
      </c>
      <c r="C136">
        <f>C134*$D$38*$C$46*C135</f>
        <v>3.3275000000000006</v>
      </c>
      <c r="L136" t="s">
        <v>223</v>
      </c>
      <c r="M136">
        <f>M134*$D$38*$C$46*M135</f>
        <v>3.3275000000000006</v>
      </c>
      <c r="V136" t="s">
        <v>223</v>
      </c>
      <c r="W136">
        <f>W134*$D$38*$C$46*W135</f>
        <v>3.3275000000000006</v>
      </c>
      <c r="AF136" t="s">
        <v>223</v>
      </c>
      <c r="AG136">
        <f>AG134*$D$38*$C$46*AG135</f>
        <v>3.593700000000001</v>
      </c>
      <c r="AP136" t="s">
        <v>223</v>
      </c>
      <c r="AQ136">
        <f>AQ134*$D$38*$C$46*AQ135</f>
        <v>3.593700000000001</v>
      </c>
      <c r="AZ136" t="s">
        <v>223</v>
      </c>
      <c r="BA136">
        <f>BA134*$D$38*$C$46*BA135</f>
        <v>3.9930000000000012</v>
      </c>
      <c r="BJ136" t="s">
        <v>223</v>
      </c>
      <c r="BK136">
        <f>BK134*$D$38*$C$46*BK135</f>
        <v>3.8671840796019907</v>
      </c>
      <c r="BT136" t="s">
        <v>223</v>
      </c>
      <c r="BU136">
        <f>BU134*$D$38*$C$46*BU135</f>
        <v>4.3396853932584287</v>
      </c>
      <c r="CD136" t="s">
        <v>223</v>
      </c>
      <c r="CE136">
        <f>CE134*$D$38*$C$46*CE135</f>
        <v>4.0959646017699125</v>
      </c>
      <c r="CN136" t="s">
        <v>223</v>
      </c>
      <c r="CO136">
        <f>CO134*$D$38*$C$46*CO135</f>
        <v>4.5573097345132751</v>
      </c>
      <c r="CX136" t="s">
        <v>223</v>
      </c>
      <c r="CY136">
        <f>CY134*$D$38*$C$46*CY135</f>
        <v>4.5089001385981557</v>
      </c>
      <c r="DH136" t="s">
        <v>223</v>
      </c>
      <c r="DI136">
        <f>DI134*$D$38*$C$46*DI135</f>
        <v>4.9628218139347249</v>
      </c>
      <c r="DR136" t="s">
        <v>223</v>
      </c>
      <c r="DS136">
        <f>DS134*$D$38*$C$46*DS135</f>
        <v>5.4450000000000012</v>
      </c>
      <c r="EB136" t="s">
        <v>223</v>
      </c>
      <c r="EC136">
        <f>EC134*$D$38*$C$46*EC135</f>
        <v>5.9895000000000014</v>
      </c>
      <c r="EL136" t="s">
        <v>223</v>
      </c>
      <c r="EM136">
        <f>EM134*$D$38*$C$46*EM135</f>
        <v>6.5340000000000016</v>
      </c>
    </row>
    <row r="138" spans="2:144" x14ac:dyDescent="0.3">
      <c r="B138" s="28" t="s">
        <v>272</v>
      </c>
      <c r="L138" s="28" t="s">
        <v>272</v>
      </c>
      <c r="V138" s="28" t="s">
        <v>272</v>
      </c>
      <c r="AF138" s="28" t="s">
        <v>272</v>
      </c>
      <c r="AP138" s="28" t="s">
        <v>272</v>
      </c>
      <c r="AZ138" s="28" t="s">
        <v>272</v>
      </c>
      <c r="BJ138" s="28" t="s">
        <v>272</v>
      </c>
      <c r="BT138" s="28" t="s">
        <v>272</v>
      </c>
      <c r="CD138" s="28" t="s">
        <v>272</v>
      </c>
      <c r="CN138" s="28" t="s">
        <v>272</v>
      </c>
      <c r="CX138" s="28" t="s">
        <v>272</v>
      </c>
      <c r="DH138" s="28" t="s">
        <v>272</v>
      </c>
      <c r="DR138" s="28" t="s">
        <v>272</v>
      </c>
      <c r="EB138" s="28" t="s">
        <v>272</v>
      </c>
      <c r="EL138" s="28" t="s">
        <v>272</v>
      </c>
    </row>
    <row r="139" spans="2:144" x14ac:dyDescent="0.3">
      <c r="B139" t="s">
        <v>236</v>
      </c>
      <c r="C139">
        <f>F92</f>
        <v>163</v>
      </c>
      <c r="L139" t="s">
        <v>236</v>
      </c>
      <c r="M139">
        <f>P92</f>
        <v>182</v>
      </c>
      <c r="V139" t="s">
        <v>236</v>
      </c>
      <c r="W139">
        <f>Z92</f>
        <v>327</v>
      </c>
      <c r="AF139" t="s">
        <v>236</v>
      </c>
      <c r="AG139">
        <f>AJ92</f>
        <v>412</v>
      </c>
      <c r="AP139" t="s">
        <v>236</v>
      </c>
      <c r="AQ139">
        <f>AT92</f>
        <v>414</v>
      </c>
      <c r="AZ139" t="s">
        <v>236</v>
      </c>
      <c r="BA139">
        <f>BD92</f>
        <v>499</v>
      </c>
      <c r="BJ139" t="s">
        <v>236</v>
      </c>
      <c r="BK139">
        <f>BN92</f>
        <v>603</v>
      </c>
      <c r="BT139" t="s">
        <v>236</v>
      </c>
      <c r="BU139">
        <f>BX92</f>
        <v>712</v>
      </c>
      <c r="CD139" t="s">
        <v>236</v>
      </c>
      <c r="CE139">
        <f>CH92</f>
        <v>957.11</v>
      </c>
      <c r="CN139" t="s">
        <v>236</v>
      </c>
      <c r="CO139">
        <f>CR92</f>
        <v>1130</v>
      </c>
      <c r="CX139" t="s">
        <v>236</v>
      </c>
      <c r="CY139">
        <f>DB92</f>
        <v>1215.8892000000001</v>
      </c>
      <c r="DH139" t="s">
        <v>236</v>
      </c>
      <c r="DI139">
        <f>DL92</f>
        <v>1435.6768</v>
      </c>
      <c r="DR139" t="s">
        <v>236</v>
      </c>
      <c r="DS139">
        <f>DV92</f>
        <v>2412</v>
      </c>
      <c r="EB139" t="s">
        <v>236</v>
      </c>
      <c r="EC139">
        <f>EF92</f>
        <v>2847.9999999999995</v>
      </c>
      <c r="EL139" t="s">
        <v>236</v>
      </c>
      <c r="EM139">
        <f>EP92</f>
        <v>5113.8688000000002</v>
      </c>
    </row>
    <row r="140" spans="2:144" x14ac:dyDescent="0.3">
      <c r="B140" t="s">
        <v>95</v>
      </c>
      <c r="C140">
        <f>C139*0.3</f>
        <v>48.9</v>
      </c>
      <c r="L140" t="s">
        <v>95</v>
      </c>
      <c r="M140">
        <f>M139*0.3</f>
        <v>54.6</v>
      </c>
      <c r="V140" t="s">
        <v>95</v>
      </c>
      <c r="W140">
        <f>W139*0.3</f>
        <v>98.1</v>
      </c>
      <c r="AF140" t="s">
        <v>95</v>
      </c>
      <c r="AG140">
        <f>AG139*0.3</f>
        <v>123.6</v>
      </c>
      <c r="AP140" t="s">
        <v>95</v>
      </c>
      <c r="AQ140">
        <f>AQ139*0.3</f>
        <v>124.19999999999999</v>
      </c>
      <c r="AZ140" t="s">
        <v>95</v>
      </c>
      <c r="BA140">
        <f>BA139*0.3</f>
        <v>149.69999999999999</v>
      </c>
      <c r="BJ140" t="s">
        <v>95</v>
      </c>
      <c r="BK140">
        <f>BK139*0.3</f>
        <v>180.9</v>
      </c>
      <c r="BT140" t="s">
        <v>95</v>
      </c>
      <c r="BU140">
        <f>BU139*0.3</f>
        <v>213.6</v>
      </c>
      <c r="CD140" t="s">
        <v>95</v>
      </c>
      <c r="CE140">
        <f>CE139*0.3</f>
        <v>287.13299999999998</v>
      </c>
      <c r="CN140" t="s">
        <v>95</v>
      </c>
      <c r="CO140">
        <f>CO139*0.3</f>
        <v>339</v>
      </c>
      <c r="CX140" t="s">
        <v>95</v>
      </c>
      <c r="CY140">
        <f>CY139*0.3</f>
        <v>364.76676000000003</v>
      </c>
      <c r="DH140" t="s">
        <v>95</v>
      </c>
      <c r="DI140">
        <f>DI139*0.3</f>
        <v>430.70303999999999</v>
      </c>
      <c r="DR140" t="s">
        <v>95</v>
      </c>
      <c r="DS140">
        <f>DS139*0.3</f>
        <v>723.6</v>
      </c>
      <c r="EB140" t="s">
        <v>95</v>
      </c>
      <c r="EC140">
        <f>EC139*0.3</f>
        <v>854.39999999999986</v>
      </c>
      <c r="EL140" t="s">
        <v>95</v>
      </c>
      <c r="EM140">
        <f>EM139*0.3</f>
        <v>1534.1606400000001</v>
      </c>
    </row>
    <row r="142" spans="2:144" x14ac:dyDescent="0.3">
      <c r="B142" s="28" t="s">
        <v>43</v>
      </c>
      <c r="L142" s="28" t="s">
        <v>43</v>
      </c>
      <c r="V142" s="28" t="s">
        <v>43</v>
      </c>
      <c r="AF142" s="28" t="s">
        <v>43</v>
      </c>
      <c r="AP142" s="28" t="s">
        <v>43</v>
      </c>
      <c r="AZ142" s="28" t="s">
        <v>43</v>
      </c>
      <c r="BJ142" s="28" t="s">
        <v>43</v>
      </c>
      <c r="BT142" s="28" t="s">
        <v>43</v>
      </c>
      <c r="CD142" s="28" t="s">
        <v>43</v>
      </c>
      <c r="CN142" s="28" t="s">
        <v>43</v>
      </c>
      <c r="CX142" s="28" t="s">
        <v>43</v>
      </c>
      <c r="DH142" s="28" t="s">
        <v>43</v>
      </c>
      <c r="DR142" s="28" t="s">
        <v>43</v>
      </c>
      <c r="EB142" s="28" t="s">
        <v>43</v>
      </c>
      <c r="EL142" s="28" t="s">
        <v>43</v>
      </c>
    </row>
    <row r="143" spans="2:144" x14ac:dyDescent="0.3">
      <c r="B143" t="s">
        <v>237</v>
      </c>
      <c r="C143">
        <f>TREND($C$58:$C$59,C139:C140,$C$11,1)</f>
        <v>-8.7606511565811118</v>
      </c>
      <c r="L143" t="s">
        <v>237</v>
      </c>
      <c r="M143">
        <f>TREND($C$58:$C$59,M139:M140,$C$11,1)</f>
        <v>-5.8328165021908021</v>
      </c>
      <c r="V143" t="s">
        <v>237</v>
      </c>
      <c r="W143">
        <f>TREND($C$58:$C$59,W139:W140,$C$11,1)</f>
        <v>5.3050190131021253</v>
      </c>
      <c r="AF143" t="s">
        <v>237</v>
      </c>
      <c r="AG143">
        <f>TREND($C$58:$C$59,AG139:AG140,$C$11,1)</f>
        <v>8.1892224851741346</v>
      </c>
      <c r="AP143" t="s">
        <v>237</v>
      </c>
      <c r="AQ143">
        <f>TREND($C$58:$C$59,AQ139:AQ140,$C$11,1)</f>
        <v>8.2428249026431608</v>
      </c>
      <c r="AZ143" t="s">
        <v>237</v>
      </c>
      <c r="BA143">
        <f>TREND($C$58:$C$59,BA139:BA140,$C$11,1)</f>
        <v>10.123743399402034</v>
      </c>
      <c r="BJ143" t="s">
        <v>237</v>
      </c>
      <c r="BK143">
        <f>TREND($C$58:$C$59,BK139:BK140,$C$11,1)</f>
        <v>11.703780991762777</v>
      </c>
      <c r="BT143" t="s">
        <v>237</v>
      </c>
      <c r="BU143">
        <f>TREND($C$58:$C$59,BU139:BU140,$C$11,1)</f>
        <v>12.864377154874457</v>
      </c>
      <c r="CD143" t="s">
        <v>237</v>
      </c>
      <c r="CE143">
        <f>TREND($C$58:$C$59,CE139:CE140,$C$11,1)</f>
        <v>14.508639536311568</v>
      </c>
      <c r="CN143" t="s">
        <v>237</v>
      </c>
      <c r="CO143">
        <f>TREND($C$58:$C$59,CO139:CO140,$C$11,1)</f>
        <v>15.23941089114912</v>
      </c>
      <c r="CX143" t="s">
        <v>237</v>
      </c>
      <c r="CY143">
        <f>TREND($C$58:$C$59,CY139:CY140,$C$11,1)</f>
        <v>15.525181823351716</v>
      </c>
      <c r="DH143" t="s">
        <v>237</v>
      </c>
      <c r="DI143">
        <f>TREND($C$58:$C$59,DI139:DI140,$C$11,1)</f>
        <v>16.100760162526321</v>
      </c>
      <c r="DR143" t="s">
        <v>237</v>
      </c>
      <c r="DS143">
        <f>TREND($C$58:$C$59,DS139:DS140,$C$11,1)</f>
        <v>17.389637423887873</v>
      </c>
      <c r="EB143" t="s">
        <v>237</v>
      </c>
      <c r="EC143">
        <f>TREND($C$58:$C$59,EC139:EC140,$C$11,1)</f>
        <v>17.679786464665792</v>
      </c>
      <c r="EL143" t="s">
        <v>237</v>
      </c>
      <c r="EM143">
        <f>TREND($C$58:$C$59,EM139:EM140,$C$11,1)</f>
        <v>18.390995280079391</v>
      </c>
    </row>
    <row r="144" spans="2:144" x14ac:dyDescent="0.3">
      <c r="B144" t="s">
        <v>43</v>
      </c>
      <c r="C144" t="e">
        <f>SQRT($C$11/C143)</f>
        <v>#NUM!</v>
      </c>
      <c r="L144" t="s">
        <v>43</v>
      </c>
      <c r="M144" t="e">
        <f>SQRT($C$11/M143)</f>
        <v>#NUM!</v>
      </c>
      <c r="V144" t="s">
        <v>43</v>
      </c>
      <c r="W144">
        <f>SQRT($C$11/W143)</f>
        <v>12.280089191030909</v>
      </c>
      <c r="AF144" t="s">
        <v>43</v>
      </c>
      <c r="AG144">
        <f>SQRT($C$11/AG143)</f>
        <v>9.8837933905420297</v>
      </c>
      <c r="AP144" t="s">
        <v>43</v>
      </c>
      <c r="AQ144">
        <f>SQRT($C$11/AQ143)</f>
        <v>9.8516042235113428</v>
      </c>
      <c r="AZ144" t="s">
        <v>43</v>
      </c>
      <c r="BA144">
        <f>SQRT($C$11/BA143)</f>
        <v>8.8894405344642475</v>
      </c>
      <c r="BJ144" t="s">
        <v>43</v>
      </c>
      <c r="BK144">
        <f>SQRT($C$11/BK143)</f>
        <v>8.2676465205498388</v>
      </c>
      <c r="BT144" t="s">
        <v>43</v>
      </c>
      <c r="BU144">
        <f>SQRT($C$11/BU143)</f>
        <v>7.885888122580103</v>
      </c>
      <c r="CD144" t="s">
        <v>43</v>
      </c>
      <c r="CE144">
        <f>SQRT($C$11/CE143)</f>
        <v>7.4256016580537496</v>
      </c>
      <c r="CN144" t="s">
        <v>43</v>
      </c>
      <c r="CO144">
        <f>SQRT($C$11/CO143)</f>
        <v>7.2453755979533492</v>
      </c>
      <c r="CX144" t="s">
        <v>43</v>
      </c>
      <c r="CY144">
        <f>SQRT($C$11/CY143)</f>
        <v>7.1783833255454379</v>
      </c>
      <c r="DH144" t="s">
        <v>43</v>
      </c>
      <c r="DI144">
        <f>SQRT($C$11/DI143)</f>
        <v>7.0489073631613524</v>
      </c>
      <c r="DR144" t="s">
        <v>43</v>
      </c>
      <c r="DS144">
        <f>SQRT($C$11/DS143)</f>
        <v>6.7826550433036763</v>
      </c>
      <c r="EB144" t="s">
        <v>43</v>
      </c>
      <c r="EC144">
        <f>SQRT($C$11/EC143)</f>
        <v>6.7267685623361526</v>
      </c>
      <c r="EL144" t="s">
        <v>43</v>
      </c>
      <c r="EM144">
        <f>SQRT($C$11/EM143)</f>
        <v>6.5954187874056593</v>
      </c>
    </row>
    <row r="145" spans="2:145" x14ac:dyDescent="0.3">
      <c r="B145" t="s">
        <v>238</v>
      </c>
      <c r="C145" s="28" t="str">
        <f>IFERROR(C144*$C$47,"")</f>
        <v/>
      </c>
      <c r="D145" t="s">
        <v>239</v>
      </c>
      <c r="L145" t="s">
        <v>238</v>
      </c>
      <c r="M145" s="28" t="str">
        <f>IFERROR(M144*$C$47,"")</f>
        <v/>
      </c>
      <c r="N145" t="s">
        <v>239</v>
      </c>
      <c r="V145" t="s">
        <v>238</v>
      </c>
      <c r="W145" s="28">
        <f>IFERROR(W144*$C$47,"")</f>
        <v>10.438075812376272</v>
      </c>
      <c r="X145" t="s">
        <v>239</v>
      </c>
      <c r="AF145" t="s">
        <v>238</v>
      </c>
      <c r="AG145" s="28">
        <f>IFERROR(AG144*$C$47,"")</f>
        <v>8.4012243819607253</v>
      </c>
      <c r="AH145" t="s">
        <v>239</v>
      </c>
      <c r="AP145" t="s">
        <v>238</v>
      </c>
      <c r="AQ145" s="28">
        <f>IFERROR(AQ144*$C$47,"")</f>
        <v>8.3738635899846408</v>
      </c>
      <c r="AR145" t="s">
        <v>239</v>
      </c>
      <c r="AZ145" t="s">
        <v>238</v>
      </c>
      <c r="BA145" s="28">
        <f>IFERROR(BA144*$C$47,"")</f>
        <v>7.5560244542946098</v>
      </c>
      <c r="BB145" t="s">
        <v>239</v>
      </c>
      <c r="BJ145" t="s">
        <v>238</v>
      </c>
      <c r="BK145" s="28">
        <f>IFERROR(BK144*$C$47,"")</f>
        <v>7.0274995424673632</v>
      </c>
      <c r="BL145" t="s">
        <v>239</v>
      </c>
      <c r="BT145" t="s">
        <v>238</v>
      </c>
      <c r="BU145" s="28">
        <f>IFERROR(BU144*$C$47,"")</f>
        <v>6.7030049041930875</v>
      </c>
      <c r="BV145" t="s">
        <v>239</v>
      </c>
      <c r="CD145" t="s">
        <v>238</v>
      </c>
      <c r="CE145" s="28">
        <f>IFERROR(CE144*$C$47,"")</f>
        <v>6.3117614093456869</v>
      </c>
      <c r="CF145" t="s">
        <v>239</v>
      </c>
      <c r="CN145" t="s">
        <v>238</v>
      </c>
      <c r="CO145" s="28">
        <f>IFERROR(CO144*$C$47,"")</f>
        <v>6.1585692582603464</v>
      </c>
      <c r="CP145" t="s">
        <v>239</v>
      </c>
      <c r="CX145" t="s">
        <v>238</v>
      </c>
      <c r="CY145" s="28">
        <f>IFERROR(CY144*$C$47,"")</f>
        <v>6.1016258267136223</v>
      </c>
      <c r="CZ145" t="s">
        <v>239</v>
      </c>
      <c r="DH145" t="s">
        <v>238</v>
      </c>
      <c r="DI145" s="28">
        <f>IFERROR(DI144*$C$47,"")</f>
        <v>5.9915712586871495</v>
      </c>
      <c r="DJ145" t="s">
        <v>239</v>
      </c>
      <c r="DR145" t="s">
        <v>238</v>
      </c>
      <c r="DS145" s="28">
        <f>IFERROR(DS144*$C$47,"")</f>
        <v>5.7652567868081244</v>
      </c>
      <c r="DT145" t="s">
        <v>239</v>
      </c>
      <c r="EB145" t="s">
        <v>238</v>
      </c>
      <c r="EC145" s="28">
        <f>IFERROR(EC144*$C$47,"")</f>
        <v>5.7177532779857296</v>
      </c>
      <c r="ED145" t="s">
        <v>239</v>
      </c>
      <c r="EL145" t="s">
        <v>238</v>
      </c>
      <c r="EM145" s="28">
        <f>IFERROR(EM144*$C$47,"")</f>
        <v>5.6061059692948101</v>
      </c>
      <c r="EN145" t="s">
        <v>239</v>
      </c>
    </row>
    <row r="146" spans="2:145" x14ac:dyDescent="0.3">
      <c r="C146" s="28"/>
      <c r="M146" s="28"/>
      <c r="W146" s="28"/>
      <c r="AG146" s="28"/>
      <c r="AQ146" s="28"/>
      <c r="BA146" s="28"/>
      <c r="BK146" s="28"/>
      <c r="BU146" s="28"/>
      <c r="CE146" s="28"/>
      <c r="CO146" s="28"/>
      <c r="CY146" s="28"/>
      <c r="DI146" s="28"/>
      <c r="DS146" s="28"/>
      <c r="EC146" s="28"/>
      <c r="EM146" s="28"/>
    </row>
    <row r="147" spans="2:145" x14ac:dyDescent="0.3">
      <c r="B147" s="28" t="s">
        <v>398</v>
      </c>
      <c r="C147" s="28"/>
      <c r="L147" s="28" t="s">
        <v>398</v>
      </c>
      <c r="M147" s="28"/>
      <c r="V147" s="28" t="s">
        <v>398</v>
      </c>
      <c r="W147" s="28"/>
      <c r="AF147" s="28" t="s">
        <v>398</v>
      </c>
      <c r="AG147" s="28"/>
      <c r="AP147" s="28" t="s">
        <v>398</v>
      </c>
      <c r="AQ147" s="28"/>
      <c r="AZ147" s="28" t="s">
        <v>398</v>
      </c>
      <c r="BA147" s="28"/>
      <c r="BJ147" s="28" t="s">
        <v>398</v>
      </c>
      <c r="BK147" s="28"/>
      <c r="BT147" s="28" t="s">
        <v>398</v>
      </c>
      <c r="BU147" s="28"/>
      <c r="CD147" s="28" t="s">
        <v>398</v>
      </c>
      <c r="CE147" s="28"/>
      <c r="CN147" s="28" t="s">
        <v>398</v>
      </c>
      <c r="CO147" s="28"/>
      <c r="CX147" s="28" t="s">
        <v>398</v>
      </c>
      <c r="CY147" s="28"/>
      <c r="DH147" s="28" t="s">
        <v>398</v>
      </c>
      <c r="DI147" s="28"/>
      <c r="DR147" s="28" t="s">
        <v>398</v>
      </c>
      <c r="DS147" s="28"/>
      <c r="EB147" s="28" t="s">
        <v>398</v>
      </c>
      <c r="EC147" s="28"/>
      <c r="EL147" s="28" t="s">
        <v>398</v>
      </c>
      <c r="EM147" s="28"/>
    </row>
    <row r="148" spans="2:145" x14ac:dyDescent="0.3">
      <c r="B148" t="s">
        <v>251</v>
      </c>
      <c r="C148" s="28">
        <f>TREND($C$69:$C$70,C139:C140,$C$13,1)</f>
        <v>-0.64570552147239302</v>
      </c>
      <c r="E148" s="28"/>
      <c r="L148" t="s">
        <v>251</v>
      </c>
      <c r="M148" s="28">
        <f>TREND($C$69:$C$70,M139:M140,$C$13,1)</f>
        <v>-0.46271585557299821</v>
      </c>
      <c r="O148" s="28"/>
      <c r="V148" t="s">
        <v>251</v>
      </c>
      <c r="W148" s="28">
        <f>TREND($C$69:$C$70,W139:W140,$C$13,1)</f>
        <v>0.2333988641328093</v>
      </c>
      <c r="Y148" s="28"/>
      <c r="AF148" t="s">
        <v>251</v>
      </c>
      <c r="AG148" s="28">
        <f>TREND($C$69:$C$70,AG139:AG140,$C$13,1)</f>
        <v>0.41366158113730944</v>
      </c>
      <c r="AI148" s="28"/>
      <c r="AP148" t="s">
        <v>251</v>
      </c>
      <c r="AQ148" s="28">
        <f>TREND($C$69:$C$70,AQ139:AQ140,$C$13,1)</f>
        <v>0.4170117322291238</v>
      </c>
      <c r="AS148" s="28"/>
      <c r="AZ148" t="s">
        <v>251</v>
      </c>
      <c r="BA148" s="28">
        <f>TREND($C$69:$C$70,BA139:BA140,$C$13,1)</f>
        <v>0.53456913827655328</v>
      </c>
      <c r="BC148" s="28"/>
      <c r="BJ148" t="s">
        <v>251</v>
      </c>
      <c r="BK148" s="28">
        <f>TREND($C$69:$C$70,BK139:BK140,$C$13,1)</f>
        <v>0.6333214877990998</v>
      </c>
      <c r="BM148" s="28"/>
      <c r="BT148" t="s">
        <v>251</v>
      </c>
      <c r="BU148" s="28">
        <f>TREND($C$69:$C$70,BU139:BU140,$C$13,1)</f>
        <v>0.70585874799357939</v>
      </c>
      <c r="BW148" s="28"/>
      <c r="CD148" t="s">
        <v>251</v>
      </c>
      <c r="CE148" s="28">
        <f>TREND($C$69:$C$70,CE139:CE140,$C$13,1)</f>
        <v>0.8086251468333987</v>
      </c>
      <c r="CG148" s="28"/>
      <c r="CN148" t="s">
        <v>251</v>
      </c>
      <c r="CO148" s="28">
        <f>TREND($C$69:$C$70,CO139:CO140,$C$13,1)</f>
        <v>0.85429835651074582</v>
      </c>
      <c r="CQ148" s="28"/>
      <c r="CX148" t="s">
        <v>251</v>
      </c>
      <c r="CY148" s="28">
        <f>TREND($C$69:$C$70,CY139:CY140,$C$13,1)</f>
        <v>0.87215903977340803</v>
      </c>
      <c r="DA148" s="28"/>
      <c r="DH148" t="s">
        <v>251</v>
      </c>
      <c r="DI148" s="28">
        <f>TREND($C$69:$C$70,DI139:DI140,$C$13,1)</f>
        <v>0.90813268597182084</v>
      </c>
      <c r="DK148" s="28"/>
      <c r="DR148" t="s">
        <v>251</v>
      </c>
      <c r="DS148" s="28">
        <f>TREND($C$69:$C$70,DS139:DS140,$C$13,1)</f>
        <v>0.98868751480691786</v>
      </c>
      <c r="DU148" s="28"/>
      <c r="EB148" t="s">
        <v>251</v>
      </c>
      <c r="EC148" s="28">
        <f>TREND($C$69:$C$70,EC139:EC140,$C$13,1)</f>
        <v>1.0068218298555378</v>
      </c>
      <c r="EE148" s="28"/>
      <c r="EL148" t="s">
        <v>251</v>
      </c>
      <c r="EM148" s="28">
        <f>TREND($C$69:$C$70,EM139:EM140,$C$13,1)</f>
        <v>1.0512723808188877</v>
      </c>
      <c r="EO148" s="28"/>
    </row>
    <row r="149" spans="2:145" x14ac:dyDescent="0.3">
      <c r="B149" t="s">
        <v>252</v>
      </c>
      <c r="C149" s="28">
        <f>TREND($F$69:$F$70,C139:C140,$C$13,1)</f>
        <v>11.582822085889571</v>
      </c>
      <c r="E149" s="28"/>
      <c r="L149" t="s">
        <v>252</v>
      </c>
      <c r="M149" s="28">
        <f>TREND($F$79:$F$80,M139:M140,$C$13,1)</f>
        <v>10.850863422291994</v>
      </c>
      <c r="O149" s="28"/>
      <c r="V149" t="s">
        <v>252</v>
      </c>
      <c r="W149" s="28">
        <f>TREND($F$69:$F$70,W139:W140,$C$13,1)</f>
        <v>8.0664045434687637</v>
      </c>
      <c r="Y149" s="28"/>
      <c r="AF149" t="s">
        <v>252</v>
      </c>
      <c r="AG149" s="28">
        <f>TREND($F$79:$F$80,AG139:AG140,$C$13,1)</f>
        <v>7.3453536754507622</v>
      </c>
      <c r="AI149" s="28"/>
      <c r="AP149" t="s">
        <v>252</v>
      </c>
      <c r="AQ149" s="28">
        <f>TREND($F$69:$F$70,AQ139:AQ140,$C$13,1)</f>
        <v>7.3319530710835048</v>
      </c>
      <c r="AS149" s="28"/>
      <c r="AZ149" t="s">
        <v>252</v>
      </c>
      <c r="BA149" s="28">
        <f>TREND($F$79:$F$80,BA139:BA140,$C$13,1)</f>
        <v>6.8617234468937873</v>
      </c>
      <c r="BC149" s="28"/>
      <c r="BJ149" t="s">
        <v>252</v>
      </c>
      <c r="BK149" s="28">
        <f>TREND($F$69:$F$70,BK139:BK140,$C$13,1)</f>
        <v>6.4667140488036008</v>
      </c>
      <c r="BM149" s="28"/>
      <c r="BT149" t="s">
        <v>252</v>
      </c>
      <c r="BU149" s="28">
        <f>TREND($F$79:$F$80,BU139:BU140,$C$13,1)</f>
        <v>6.1765650080256824</v>
      </c>
      <c r="BW149" s="28"/>
      <c r="CD149" t="s">
        <v>252</v>
      </c>
      <c r="CE149" s="28">
        <f>TREND($F$69:$F$70,CE139:CE140,$C$13,1)</f>
        <v>5.7654994126664052</v>
      </c>
      <c r="CG149" s="28"/>
      <c r="CN149" t="s">
        <v>252</v>
      </c>
      <c r="CO149" s="28">
        <f>TREND($F$79:$F$80,CO139:CO140,$C$13,1)</f>
        <v>5.5828065739570167</v>
      </c>
      <c r="CQ149" s="28"/>
      <c r="CX149" t="s">
        <v>252</v>
      </c>
      <c r="CY149" s="28">
        <f>TREND($F$69:$F$70,CY139:CY140,$C$13,1)</f>
        <v>5.5113638409063679</v>
      </c>
      <c r="DA149" s="28"/>
      <c r="DH149" t="s">
        <v>252</v>
      </c>
      <c r="DI149" s="28">
        <f>TREND($F$79:$F$80,DI139:DI140,$C$13,1)</f>
        <v>5.3674692561127166</v>
      </c>
      <c r="DK149" s="28"/>
      <c r="DR149" t="s">
        <v>252</v>
      </c>
      <c r="DS149" s="28">
        <f>TREND($F$69:$F$70,DS139:DS140,$C$13,1)</f>
        <v>5.0452499407723286</v>
      </c>
      <c r="DU149" s="28"/>
      <c r="EB149" t="s">
        <v>252</v>
      </c>
      <c r="EC149" s="28">
        <f>TREND($F$79:$F$80,EC139:EC140,$C$13,1)</f>
        <v>4.9727126805778488</v>
      </c>
      <c r="EE149" s="28"/>
      <c r="EL149" t="s">
        <v>252</v>
      </c>
      <c r="EM149" s="28">
        <f>TREND($F$79:$F$80,EM139:EM140,$C$13,1)</f>
        <v>4.794910476724449</v>
      </c>
      <c r="EO149" s="28"/>
    </row>
    <row r="151" spans="2:145" x14ac:dyDescent="0.3">
      <c r="B151" t="s">
        <v>255</v>
      </c>
      <c r="C151" t="e">
        <f>SQRT($C$13/C148)*SQRT(2.7/$C$15)</f>
        <v>#NUM!</v>
      </c>
      <c r="L151" t="s">
        <v>255</v>
      </c>
      <c r="M151" t="e">
        <f>SQRT($C$13/M148)*SQRT(2.7/$C$15)</f>
        <v>#NUM!</v>
      </c>
      <c r="V151" t="s">
        <v>255</v>
      </c>
      <c r="W151">
        <f t="shared" ref="W151" si="212">SQRT($C$13/W148)*SQRT(2.7/$C$15)</f>
        <v>39.273705692495774</v>
      </c>
      <c r="AF151" t="s">
        <v>255</v>
      </c>
      <c r="AG151">
        <f t="shared" ref="AG151" si="213">SQRT($C$13/AG148)*SQRT(2.7/$C$15)</f>
        <v>29.500451074165152</v>
      </c>
      <c r="AP151" t="s">
        <v>255</v>
      </c>
      <c r="AQ151">
        <f t="shared" ref="AQ151" si="214">SQRT($C$13/AQ148)*SQRT(2.7/$C$15)</f>
        <v>29.381713090442588</v>
      </c>
      <c r="AZ151" t="s">
        <v>255</v>
      </c>
      <c r="BA151">
        <f t="shared" ref="BA151" si="215">SQRT($C$13/BA148)*SQRT(2.7/$C$15)</f>
        <v>25.950713865722093</v>
      </c>
      <c r="BJ151" t="s">
        <v>255</v>
      </c>
      <c r="BK151">
        <f t="shared" ref="BK151" si="216">SQRT($C$13/BK148)*SQRT(2.7/$C$15)</f>
        <v>23.84180539052014</v>
      </c>
      <c r="BT151" t="s">
        <v>255</v>
      </c>
      <c r="BU151">
        <f t="shared" ref="BU151" si="217">SQRT($C$13/BU148)*SQRT(2.7/$C$15)</f>
        <v>22.583557185372033</v>
      </c>
      <c r="CD151" t="s">
        <v>255</v>
      </c>
      <c r="CE151">
        <f>SQRT($C$13/CE148)*SQRT(2.7/$C$15)</f>
        <v>21.099765511939733</v>
      </c>
      <c r="CN151" t="s">
        <v>255</v>
      </c>
      <c r="CO151">
        <f t="shared" ref="CO151" si="218">SQRT($C$13/CO148)*SQRT(2.7/$C$15)</f>
        <v>20.527991771503643</v>
      </c>
      <c r="CX151" t="s">
        <v>255</v>
      </c>
      <c r="CY151">
        <f>SQRT($C$13/CY148)*SQRT(2.7/$C$15)</f>
        <v>20.316711196519897</v>
      </c>
      <c r="DH151" t="s">
        <v>255</v>
      </c>
      <c r="DI151">
        <f t="shared" ref="DI151" si="219">SQRT($C$13/DI148)*SQRT(2.7/$C$15)</f>
        <v>19.910244659862013</v>
      </c>
      <c r="DR151" t="s">
        <v>255</v>
      </c>
      <c r="DS151">
        <f t="shared" ref="DS151" si="220">SQRT($C$13/DS148)*SQRT(2.7/$C$15)</f>
        <v>19.081904827215254</v>
      </c>
      <c r="EB151" t="s">
        <v>255</v>
      </c>
      <c r="EC151">
        <f t="shared" ref="EC151" si="221">SQRT($C$13/EC148)*SQRT(2.7/$C$15)</f>
        <v>18.909277648491077</v>
      </c>
      <c r="EL151" t="s">
        <v>255</v>
      </c>
      <c r="EM151">
        <f t="shared" ref="EM151" si="222">SQRT($C$13/EM148)*SQRT(2.7/$C$15)</f>
        <v>18.505193174470271</v>
      </c>
    </row>
    <row r="152" spans="2:145" x14ac:dyDescent="0.3">
      <c r="B152" t="s">
        <v>256</v>
      </c>
      <c r="C152">
        <f>C149*$C$15</f>
        <v>69.49693251533742</v>
      </c>
      <c r="L152" t="s">
        <v>256</v>
      </c>
      <c r="M152">
        <f>M149*$C$15</f>
        <v>65.105180533751962</v>
      </c>
      <c r="V152" t="s">
        <v>256</v>
      </c>
      <c r="W152">
        <f t="shared" ref="W152" si="223">W149*$C$15</f>
        <v>48.398427260812582</v>
      </c>
      <c r="AF152" t="s">
        <v>256</v>
      </c>
      <c r="AG152">
        <f t="shared" ref="AG152" si="224">AG149*$C$15</f>
        <v>44.072122052704572</v>
      </c>
      <c r="AP152" t="s">
        <v>256</v>
      </c>
      <c r="AQ152">
        <f t="shared" ref="AQ152" si="225">AQ149*$C$15</f>
        <v>43.991718426501031</v>
      </c>
      <c r="AZ152" t="s">
        <v>256</v>
      </c>
      <c r="BA152">
        <f t="shared" ref="BA152" si="226">BA149*$C$15</f>
        <v>41.170340681362724</v>
      </c>
      <c r="BJ152" t="s">
        <v>256</v>
      </c>
      <c r="BK152">
        <f t="shared" ref="BK152" si="227">BK149*$C$15</f>
        <v>38.800284292821601</v>
      </c>
      <c r="BT152" t="s">
        <v>256</v>
      </c>
      <c r="BU152">
        <f t="shared" ref="BU152" si="228">BU149*$C$15</f>
        <v>37.059390048154093</v>
      </c>
      <c r="CD152" t="s">
        <v>256</v>
      </c>
      <c r="CE152">
        <f>CE149*$C$15</f>
        <v>34.592996475998433</v>
      </c>
      <c r="CN152" t="s">
        <v>256</v>
      </c>
      <c r="CO152">
        <f t="shared" ref="CO152" si="229">CO149*$C$15</f>
        <v>33.496839443742104</v>
      </c>
      <c r="CX152" t="s">
        <v>256</v>
      </c>
      <c r="CY152">
        <f>CY149*$C$15</f>
        <v>33.068183045438204</v>
      </c>
      <c r="DH152" t="s">
        <v>256</v>
      </c>
      <c r="DI152">
        <f t="shared" ref="DI152" si="230">DI149*$C$15</f>
        <v>32.2048155366763</v>
      </c>
      <c r="DR152" t="s">
        <v>256</v>
      </c>
      <c r="DS152">
        <f t="shared" ref="DS152" si="231">DS149*$C$15</f>
        <v>30.27149964463397</v>
      </c>
      <c r="EB152" t="s">
        <v>256</v>
      </c>
      <c r="EC152">
        <f t="shared" ref="EC152" si="232">EC149*$C$15</f>
        <v>29.836276083467091</v>
      </c>
      <c r="EL152" t="s">
        <v>256</v>
      </c>
      <c r="EM152">
        <f t="shared" ref="EM152" si="233">EM149*$C$15</f>
        <v>28.769462860346692</v>
      </c>
    </row>
    <row r="153" spans="2:145" x14ac:dyDescent="0.3">
      <c r="B153" t="s">
        <v>42</v>
      </c>
      <c r="C153" s="28">
        <f>IFERROR(MIN(C151,C152),C152)*$C$48*SQRT(12/$C$16)</f>
        <v>55.597546012269937</v>
      </c>
      <c r="D153" t="s">
        <v>270</v>
      </c>
      <c r="L153" t="s">
        <v>42</v>
      </c>
      <c r="M153" s="28">
        <f>IFERROR(MIN(M151,M152),M152)*$C$48*SQRT(12/$C$16)</f>
        <v>52.084144427001576</v>
      </c>
      <c r="V153" t="s">
        <v>42</v>
      </c>
      <c r="W153" s="28">
        <f>IFERROR(MIN(W151,W152),W152)*$C$48*SQRT(12/$C$16)</f>
        <v>31.41896455399662</v>
      </c>
      <c r="X153" t="s">
        <v>270</v>
      </c>
      <c r="AF153" t="s">
        <v>42</v>
      </c>
      <c r="AG153" s="28">
        <f>IFERROR(MIN(AG151,AG152),AG152)*$C$48*SQRT(12/$C$16)</f>
        <v>23.600360859332124</v>
      </c>
      <c r="AP153" t="s">
        <v>42</v>
      </c>
      <c r="AQ153" s="28">
        <f>IFERROR(MIN(AQ151,AQ152),AQ152)*$C$48*SQRT(12/$C$16)</f>
        <v>23.505370472354073</v>
      </c>
      <c r="AR153" t="s">
        <v>270</v>
      </c>
      <c r="AZ153" t="s">
        <v>42</v>
      </c>
      <c r="BA153" s="28">
        <f>IFERROR(MIN(BA151,BA152),BA152)*$C$48*SQRT(12/$C$16)</f>
        <v>20.760571092577678</v>
      </c>
      <c r="BJ153" t="s">
        <v>42</v>
      </c>
      <c r="BK153" s="28">
        <f>IFERROR(MIN(BK151,BK152),BK152)*$C$48*SQRT(12/$C$16)</f>
        <v>19.073444312416111</v>
      </c>
      <c r="BL153" t="s">
        <v>270</v>
      </c>
      <c r="BT153" t="s">
        <v>42</v>
      </c>
      <c r="BU153" s="28">
        <f>IFERROR(MIN(BU151,BU152),BU152)*$C$48*SQRT(12/$C$16)</f>
        <v>18.066845748297627</v>
      </c>
      <c r="CD153" t="s">
        <v>42</v>
      </c>
      <c r="CE153" s="28">
        <f>IFERROR(MIN(CE151,CE152),CE152)*$C$48*SQRT(12/$C$16)</f>
        <v>16.879812409551786</v>
      </c>
      <c r="CF153" t="s">
        <v>270</v>
      </c>
      <c r="CN153" t="s">
        <v>42</v>
      </c>
      <c r="CO153" s="28">
        <f>IFERROR(MIN(CO151,CO152),CO152)*$C$48*SQRT(12/$C$16)</f>
        <v>16.422393417202915</v>
      </c>
      <c r="CX153" t="s">
        <v>42</v>
      </c>
      <c r="CY153" s="28">
        <f>IFERROR(MIN(CY151,CY152),CY152)*$C$48*SQRT(12/$C$16)</f>
        <v>16.253368957215919</v>
      </c>
      <c r="CZ153" t="s">
        <v>270</v>
      </c>
      <c r="DH153" t="s">
        <v>42</v>
      </c>
      <c r="DI153" s="28">
        <f>IFERROR(MIN(DI151,DI152),DI152)*$C$48*SQRT(12/$C$16)</f>
        <v>15.92819572788961</v>
      </c>
      <c r="DR153" t="s">
        <v>42</v>
      </c>
      <c r="DS153" s="28">
        <f>IFERROR(MIN(DS151,DS152),DS152)*$C$48*SQRT(12/$C$16)</f>
        <v>15.265523861772204</v>
      </c>
      <c r="DT153" t="s">
        <v>270</v>
      </c>
      <c r="EB153" t="s">
        <v>42</v>
      </c>
      <c r="EC153" s="28">
        <f>IFERROR(MIN(EC151,EC152),EC152)*$C$48*SQRT(12/$C$16)</f>
        <v>15.127422118792863</v>
      </c>
      <c r="EL153" t="s">
        <v>42</v>
      </c>
      <c r="EM153" s="28">
        <f>IFERROR(MIN(EM151,EM152),EM152)*$C$48*SQRT(12/$C$16)</f>
        <v>14.804154539576217</v>
      </c>
    </row>
    <row r="154" spans="2:145" x14ac:dyDescent="0.3">
      <c r="M154" s="28"/>
      <c r="AG154" s="28"/>
      <c r="BA154" s="28"/>
      <c r="BU154" s="28"/>
      <c r="CO154" s="28"/>
      <c r="DI154" s="28"/>
      <c r="EC154" s="28"/>
      <c r="EM154" s="28"/>
    </row>
    <row r="155" spans="2:145" x14ac:dyDescent="0.3">
      <c r="B155" s="28" t="s">
        <v>397</v>
      </c>
      <c r="C155" s="28"/>
      <c r="L155" s="28" t="s">
        <v>397</v>
      </c>
      <c r="M155" s="28"/>
      <c r="V155" s="28" t="s">
        <v>397</v>
      </c>
      <c r="W155" s="28"/>
      <c r="AF155" s="28" t="s">
        <v>397</v>
      </c>
      <c r="AG155" s="28"/>
      <c r="AP155" s="28" t="s">
        <v>397</v>
      </c>
      <c r="AQ155" s="28"/>
      <c r="AZ155" s="28" t="s">
        <v>397</v>
      </c>
      <c r="BA155" s="28"/>
      <c r="BJ155" s="28" t="s">
        <v>397</v>
      </c>
      <c r="BK155" s="28"/>
      <c r="BT155" s="28" t="s">
        <v>397</v>
      </c>
      <c r="BU155" s="28"/>
      <c r="CD155" s="28" t="s">
        <v>397</v>
      </c>
      <c r="CE155" s="28"/>
      <c r="CN155" s="28" t="s">
        <v>397</v>
      </c>
      <c r="CO155" s="28"/>
      <c r="CX155" s="28" t="s">
        <v>397</v>
      </c>
      <c r="CY155" s="28"/>
      <c r="DH155" s="28" t="s">
        <v>397</v>
      </c>
      <c r="DI155" s="28"/>
      <c r="DR155" s="28" t="s">
        <v>397</v>
      </c>
      <c r="DS155" s="28"/>
      <c r="EB155" s="28" t="s">
        <v>397</v>
      </c>
      <c r="EC155" s="28"/>
      <c r="EL155" s="28" t="s">
        <v>397</v>
      </c>
      <c r="EM155" s="28"/>
    </row>
    <row r="156" spans="2:145" x14ac:dyDescent="0.3">
      <c r="B156" t="s">
        <v>251</v>
      </c>
      <c r="C156" s="28">
        <f>TREND($C$79:$C$80,C139:C140,$C$13,1)</f>
        <v>-0.51261762269938815</v>
      </c>
      <c r="L156" t="s">
        <v>251</v>
      </c>
      <c r="M156" s="28">
        <f>TREND($C$79:$C$80,M139:M140,$C$13,1)</f>
        <v>-0.36574462715855738</v>
      </c>
      <c r="V156" t="s">
        <v>251</v>
      </c>
      <c r="W156" s="28">
        <f>TREND($C$79:$C$80,W139:W140,$C$13,1)</f>
        <v>0.19297793031891541</v>
      </c>
      <c r="AF156" t="s">
        <v>251</v>
      </c>
      <c r="AG156" s="28">
        <f>TREND($C$79:$C$80,AG139:AG140,$C$13,1)</f>
        <v>0.33766219486823745</v>
      </c>
      <c r="AP156" t="s">
        <v>251</v>
      </c>
      <c r="AQ156" s="28">
        <f>TREND($C$79:$C$80,AQ139:AQ140,$C$13,1)</f>
        <v>0.34035112663906042</v>
      </c>
      <c r="AZ156" t="s">
        <v>251</v>
      </c>
      <c r="BA156" s="28">
        <f>TREND($C$79:$C$80,BA139:BA140,$C$13,1)</f>
        <v>0.43470622745490878</v>
      </c>
      <c r="BJ156" t="s">
        <v>251</v>
      </c>
      <c r="BK156" s="28">
        <f>TREND($C$79:$C$80,BK139:BK140,$C$13,1)</f>
        <v>0.51396782575219047</v>
      </c>
      <c r="BT156" t="s">
        <v>251</v>
      </c>
      <c r="BU156" s="28">
        <f>TREND($C$79:$C$80,BU139:BU140,$C$13,1)</f>
        <v>0.57218840690208572</v>
      </c>
      <c r="CD156" t="s">
        <v>251</v>
      </c>
      <c r="CE156" s="28">
        <f>TREND($C$79:$C$80,CE139:CE140,$C$13,1)</f>
        <v>0.65467180160288996</v>
      </c>
      <c r="CN156" t="s">
        <v>251</v>
      </c>
      <c r="CO156" s="28">
        <f>TREND($C$79:$C$80,CO139:CO140,$C$13,1)</f>
        <v>0.69133048988621915</v>
      </c>
      <c r="CX156" t="s">
        <v>251</v>
      </c>
      <c r="CY156" s="28">
        <f>TREND($C$79:$C$80,CY139:CY140,$C$13,1)</f>
        <v>0.70566601009332952</v>
      </c>
      <c r="DH156" t="s">
        <v>251</v>
      </c>
      <c r="DI156" s="28">
        <f>TREND($C$79:$C$80,DI139:DI140,$C$13,1)</f>
        <v>0.73453953774156167</v>
      </c>
      <c r="DR156" t="s">
        <v>251</v>
      </c>
      <c r="DS156" s="28">
        <f>TREND($C$79:$C$80,DS139:DS140,$C$13,1)</f>
        <v>0.79919526000947561</v>
      </c>
      <c r="EB156" t="s">
        <v>251</v>
      </c>
      <c r="EC156" s="28">
        <f>TREND($C$79:$C$80,EC139:EC140,$C$13,1)</f>
        <v>0.81375040529694942</v>
      </c>
      <c r="EL156" t="s">
        <v>251</v>
      </c>
      <c r="EM156" s="28">
        <f>TREND($C$79:$C$80,EM139:EM140,$C$13,1)</f>
        <v>0.84942775101666312</v>
      </c>
    </row>
    <row r="157" spans="2:145" x14ac:dyDescent="0.3">
      <c r="B157" t="s">
        <v>252</v>
      </c>
      <c r="C157" s="28">
        <f>TREND($F$79:$F$80,C139:C140,$C$13,1)</f>
        <v>11.582822085889571</v>
      </c>
      <c r="L157" t="s">
        <v>252</v>
      </c>
      <c r="M157" s="28">
        <f>TREND($F$69:$F$70,M139:M140,$C$13,1)</f>
        <v>10.850863422291994</v>
      </c>
      <c r="V157" t="s">
        <v>252</v>
      </c>
      <c r="W157" s="28">
        <f>TREND($F$79:$F$80,W139:W140,$C$13,1)</f>
        <v>8.0664045434687637</v>
      </c>
      <c r="AF157" t="s">
        <v>252</v>
      </c>
      <c r="AG157" s="28">
        <f>TREND($F$69:$F$70,AG139:AG140,$C$13,1)</f>
        <v>7.3453536754507622</v>
      </c>
      <c r="AP157" t="s">
        <v>252</v>
      </c>
      <c r="AQ157" s="28">
        <f>TREND($F$79:$F$80,AQ139:AQ140,$C$13,1)</f>
        <v>7.3319530710835048</v>
      </c>
      <c r="AZ157" t="s">
        <v>252</v>
      </c>
      <c r="BA157" s="28">
        <f>TREND($F$69:$F$70,BA139:BA140,$C$13,1)</f>
        <v>6.8617234468937873</v>
      </c>
      <c r="BJ157" t="s">
        <v>252</v>
      </c>
      <c r="BK157" s="28">
        <f>TREND($F$79:$F$80,BK139:BK140,$C$13,1)</f>
        <v>6.4667140488036008</v>
      </c>
      <c r="BT157" t="s">
        <v>252</v>
      </c>
      <c r="BU157" s="28">
        <f>TREND($F$69:$F$70,BU139:BU140,$C$13,1)</f>
        <v>6.1765650080256824</v>
      </c>
      <c r="CD157" t="s">
        <v>252</v>
      </c>
      <c r="CE157" s="28">
        <f>TREND($F$79:$F$80,CE139:CE140,$C$13,1)</f>
        <v>5.7654994126664052</v>
      </c>
      <c r="CN157" t="s">
        <v>252</v>
      </c>
      <c r="CO157" s="28">
        <f>TREND($F$69:$F$70,CO139:CO140,$C$13,1)</f>
        <v>5.5828065739570167</v>
      </c>
      <c r="CX157" t="s">
        <v>252</v>
      </c>
      <c r="CY157" s="28">
        <f>TREND($F$79:$F$80,CY139:CY140,$C$13,1)</f>
        <v>5.5113638409063679</v>
      </c>
      <c r="DH157" t="s">
        <v>252</v>
      </c>
      <c r="DI157" s="28">
        <f>TREND($F$69:$F$70,DI139:DI140,$C$13,1)</f>
        <v>5.3674692561127166</v>
      </c>
      <c r="DR157" t="s">
        <v>252</v>
      </c>
      <c r="DS157" s="28">
        <f>TREND($F$79:$F$80,DS139:DS140,$C$13,1)</f>
        <v>5.0452499407723286</v>
      </c>
      <c r="EB157" t="s">
        <v>252</v>
      </c>
      <c r="EC157" s="28">
        <f>TREND($F$69:$F$70,EC139:EC140,$C$13,1)</f>
        <v>4.9727126805778488</v>
      </c>
      <c r="EL157" t="s">
        <v>252</v>
      </c>
      <c r="EM157" s="28">
        <f>TREND($F$69:$F$70,EM139:EM140,$C$13,1)</f>
        <v>4.794910476724449</v>
      </c>
    </row>
    <row r="159" spans="2:145" x14ac:dyDescent="0.3">
      <c r="B159" t="s">
        <v>255</v>
      </c>
      <c r="C159" t="e">
        <f>SQRT($C$13/C156)*SQRT(2.7/$C$15)</f>
        <v>#NUM!</v>
      </c>
      <c r="L159" t="s">
        <v>255</v>
      </c>
      <c r="M159" t="e">
        <f>SQRT($C$13/M156)*SQRT(2.7/$C$15)</f>
        <v>#NUM!</v>
      </c>
      <c r="V159" t="s">
        <v>255</v>
      </c>
      <c r="W159">
        <f t="shared" ref="W159" si="234">SQRT($C$13/W156)*SQRT(2.7/$C$15)</f>
        <v>43.191414599319906</v>
      </c>
      <c r="AF159" t="s">
        <v>255</v>
      </c>
      <c r="AG159">
        <f t="shared" ref="AG159" si="235">SQRT($C$13/AG156)*SQRT(2.7/$C$15)</f>
        <v>32.65201826870846</v>
      </c>
      <c r="AP159" t="s">
        <v>255</v>
      </c>
      <c r="AQ159">
        <f t="shared" ref="AQ159" si="236">SQRT($C$13/AQ156)*SQRT(2.7/$C$15)</f>
        <v>32.522779455984804</v>
      </c>
      <c r="AZ159" t="s">
        <v>255</v>
      </c>
      <c r="BA159">
        <f t="shared" ref="BA159" si="237">SQRT($C$13/BA156)*SQRT(2.7/$C$15)</f>
        <v>28.777517022727885</v>
      </c>
      <c r="BJ159" t="s">
        <v>255</v>
      </c>
      <c r="BK159">
        <f t="shared" ref="BK159" si="238">SQRT($C$13/BK156)*SQRT(2.7/$C$15)</f>
        <v>26.465693817245299</v>
      </c>
      <c r="BT159" t="s">
        <v>255</v>
      </c>
      <c r="BU159">
        <f t="shared" ref="BU159" si="239">SQRT($C$13/BU156)*SQRT(2.7/$C$15)</f>
        <v>25.083129665888428</v>
      </c>
      <c r="CD159" t="s">
        <v>255</v>
      </c>
      <c r="CE159">
        <f>SQRT($C$13/CE156)*SQRT(2.7/$C$15)</f>
        <v>23.449815646711638</v>
      </c>
      <c r="CN159" t="s">
        <v>255</v>
      </c>
      <c r="CO159">
        <f t="shared" ref="CO159" si="240">SQRT($C$13/CO156)*SQRT(2.7/$C$15)</f>
        <v>22.81961930215386</v>
      </c>
      <c r="CX159" t="s">
        <v>255</v>
      </c>
      <c r="CY159">
        <f>SQRT($C$13/CY156)*SQRT(2.7/$C$15)</f>
        <v>22.586641087783146</v>
      </c>
      <c r="DH159" t="s">
        <v>255</v>
      </c>
      <c r="DI159">
        <f t="shared" ref="DI159" si="241">SQRT($C$13/DI156)*SQRT(2.7/$C$15)</f>
        <v>22.13826907658262</v>
      </c>
      <c r="DR159" t="s">
        <v>255</v>
      </c>
      <c r="DS159">
        <f t="shared" ref="DS159" si="242">SQRT($C$13/DS156)*SQRT(2.7/$C$15)</f>
        <v>21.223880937553911</v>
      </c>
      <c r="EB159" t="s">
        <v>255</v>
      </c>
      <c r="EC159">
        <f t="shared" ref="EC159" si="243">SQRT($C$13/EC156)*SQRT(2.7/$C$15)</f>
        <v>21.033214044076043</v>
      </c>
      <c r="EL159" t="s">
        <v>255</v>
      </c>
      <c r="EM159">
        <f t="shared" ref="EM159" si="244">SQRT($C$13/EM156)*SQRT(2.7/$C$15)</f>
        <v>20.586761238664554</v>
      </c>
    </row>
    <row r="160" spans="2:145" x14ac:dyDescent="0.3">
      <c r="B160" t="s">
        <v>256</v>
      </c>
      <c r="C160">
        <f>C157*$C$15</f>
        <v>69.49693251533742</v>
      </c>
      <c r="L160" t="s">
        <v>256</v>
      </c>
      <c r="M160">
        <f>M157*$C$15</f>
        <v>65.105180533751962</v>
      </c>
      <c r="V160" t="s">
        <v>256</v>
      </c>
      <c r="W160">
        <f t="shared" ref="W160" si="245">W157*$C$15</f>
        <v>48.398427260812582</v>
      </c>
      <c r="AF160" t="s">
        <v>256</v>
      </c>
      <c r="AG160">
        <f t="shared" ref="AG160" si="246">AG157*$C$15</f>
        <v>44.072122052704572</v>
      </c>
      <c r="AP160" t="s">
        <v>256</v>
      </c>
      <c r="AQ160">
        <f t="shared" ref="AQ160" si="247">AQ157*$C$15</f>
        <v>43.991718426501031</v>
      </c>
      <c r="AZ160" t="s">
        <v>256</v>
      </c>
      <c r="BA160">
        <f t="shared" ref="BA160" si="248">BA157*$C$15</f>
        <v>41.170340681362724</v>
      </c>
      <c r="BJ160" t="s">
        <v>256</v>
      </c>
      <c r="BK160">
        <f t="shared" ref="BK160" si="249">BK157*$C$15</f>
        <v>38.800284292821601</v>
      </c>
      <c r="BT160" t="s">
        <v>256</v>
      </c>
      <c r="BU160">
        <f t="shared" ref="BU160" si="250">BU157*$C$15</f>
        <v>37.059390048154093</v>
      </c>
      <c r="CD160" t="s">
        <v>256</v>
      </c>
      <c r="CE160">
        <f>CE157*$C$15</f>
        <v>34.592996475998433</v>
      </c>
      <c r="CN160" t="s">
        <v>256</v>
      </c>
      <c r="CO160">
        <f t="shared" ref="CO160" si="251">CO157*$C$15</f>
        <v>33.496839443742104</v>
      </c>
      <c r="CX160" t="s">
        <v>256</v>
      </c>
      <c r="CY160">
        <f>CY157*$C$15</f>
        <v>33.068183045438204</v>
      </c>
      <c r="DH160" t="s">
        <v>256</v>
      </c>
      <c r="DI160">
        <f t="shared" ref="DI160" si="252">DI157*$C$15</f>
        <v>32.2048155366763</v>
      </c>
      <c r="DR160" t="s">
        <v>256</v>
      </c>
      <c r="DS160">
        <f t="shared" ref="DS160" si="253">DS157*$C$15</f>
        <v>30.27149964463397</v>
      </c>
      <c r="EB160" t="s">
        <v>256</v>
      </c>
      <c r="EC160">
        <f t="shared" ref="EC160" si="254">EC157*$C$15</f>
        <v>29.836276083467091</v>
      </c>
      <c r="EL160" t="s">
        <v>256</v>
      </c>
      <c r="EM160">
        <f t="shared" ref="EM160" si="255">EM157*$C$15</f>
        <v>28.769462860346692</v>
      </c>
    </row>
    <row r="161" spans="2:146" x14ac:dyDescent="0.3">
      <c r="B161" t="s">
        <v>42</v>
      </c>
      <c r="C161" s="28">
        <f>IFERROR(MIN(C159,C160),C160)*$C$48*SQRT(12/$C$16)</f>
        <v>55.597546012269937</v>
      </c>
      <c r="L161" t="s">
        <v>42</v>
      </c>
      <c r="M161" s="28">
        <f>IFERROR(MIN(M159,M160),M160)*$C$48*SQRT(12/$C$16)</f>
        <v>52.084144427001576</v>
      </c>
      <c r="V161" t="s">
        <v>42</v>
      </c>
      <c r="W161" s="28">
        <f>IFERROR(MIN(W159,W160),W160)*$C$48*SQRT(12/$C$16)</f>
        <v>34.553131679455923</v>
      </c>
      <c r="AF161" t="s">
        <v>42</v>
      </c>
      <c r="AG161" s="28">
        <f>IFERROR(MIN(AG159,AG160),AG160)*$C$48*SQRT(12/$C$16)</f>
        <v>26.12161461496677</v>
      </c>
      <c r="AP161" t="s">
        <v>42</v>
      </c>
      <c r="AQ161" s="28">
        <f>IFERROR(MIN(AQ159,AQ160),AQ160)*$C$48*SQRT(12/$C$16)</f>
        <v>26.018223564787846</v>
      </c>
      <c r="AZ161" t="s">
        <v>42</v>
      </c>
      <c r="BA161" s="28">
        <f>IFERROR(MIN(BA159,BA160),BA160)*$C$48*SQRT(12/$C$16)</f>
        <v>23.02201361818231</v>
      </c>
      <c r="BJ161" t="s">
        <v>42</v>
      </c>
      <c r="BK161" s="28">
        <f>IFERROR(MIN(BK159,BK160),BK160)*$C$48*SQRT(12/$C$16)</f>
        <v>21.172555053796241</v>
      </c>
      <c r="BT161" t="s">
        <v>42</v>
      </c>
      <c r="BU161" s="28">
        <f>IFERROR(MIN(BU159,BU160),BU160)*$C$48*SQRT(12/$C$16)</f>
        <v>20.066503732710743</v>
      </c>
      <c r="CD161" t="s">
        <v>42</v>
      </c>
      <c r="CE161" s="28">
        <f>IFERROR(MIN(CE159,CE160),CE160)*$C$48*SQRT(12/$C$16)</f>
        <v>18.75985251736931</v>
      </c>
      <c r="CN161" t="s">
        <v>42</v>
      </c>
      <c r="CO161" s="28">
        <f>IFERROR(MIN(CO159,CO160),CO160)*$C$48*SQRT(12/$C$16)</f>
        <v>18.255695441723088</v>
      </c>
      <c r="CX161" t="s">
        <v>42</v>
      </c>
      <c r="CY161" s="28">
        <f>IFERROR(MIN(CY159,CY160),CY160)*$C$48*SQRT(12/$C$16)</f>
        <v>18.069312870226518</v>
      </c>
      <c r="DH161" t="s">
        <v>42</v>
      </c>
      <c r="DI161" s="28">
        <f>IFERROR(MIN(DI159,DI160),DI160)*$C$48*SQRT(12/$C$16)</f>
        <v>17.710615261266096</v>
      </c>
      <c r="DR161" t="s">
        <v>42</v>
      </c>
      <c r="DS161" s="28">
        <f>IFERROR(MIN(DS159,DS160),DS160)*$C$48*SQRT(12/$C$16)</f>
        <v>16.979104750043131</v>
      </c>
      <c r="EB161" t="s">
        <v>42</v>
      </c>
      <c r="EC161" s="28">
        <f>IFERROR(MIN(EC159,EC160),EC160)*$C$48*SQRT(12/$C$16)</f>
        <v>16.826571235260836</v>
      </c>
      <c r="EL161" t="s">
        <v>42</v>
      </c>
      <c r="EM161" s="28">
        <f>IFERROR(MIN(EM159,EM160),EM160)*$C$48*SQRT(12/$C$16)</f>
        <v>16.469408990931644</v>
      </c>
    </row>
    <row r="162" spans="2:146" x14ac:dyDescent="0.3">
      <c r="C162" s="28"/>
      <c r="M162" s="28"/>
      <c r="W162" s="28"/>
      <c r="AG162" s="28"/>
      <c r="AQ162" s="28"/>
      <c r="BA162" s="28"/>
      <c r="BK162" s="28"/>
      <c r="BU162" s="28"/>
      <c r="CE162" s="28"/>
      <c r="CO162" s="28"/>
      <c r="CY162" s="28"/>
      <c r="DI162" s="28"/>
      <c r="DS162" s="28"/>
      <c r="EC162" s="28"/>
      <c r="EM162" s="28"/>
    </row>
    <row r="163" spans="2:146" x14ac:dyDescent="0.3">
      <c r="B163" s="28" t="s">
        <v>275</v>
      </c>
      <c r="L163" s="28" t="s">
        <v>275</v>
      </c>
      <c r="V163" s="28" t="s">
        <v>275</v>
      </c>
      <c r="AF163" s="28" t="s">
        <v>275</v>
      </c>
      <c r="AP163" s="28" t="s">
        <v>275</v>
      </c>
      <c r="AZ163" s="28" t="s">
        <v>275</v>
      </c>
      <c r="BJ163" s="28" t="s">
        <v>275</v>
      </c>
      <c r="BT163" s="28" t="s">
        <v>275</v>
      </c>
      <c r="CD163" s="28" t="s">
        <v>275</v>
      </c>
      <c r="CN163" s="28" t="s">
        <v>275</v>
      </c>
      <c r="CX163" s="28" t="s">
        <v>275</v>
      </c>
      <c r="DH163" s="28" t="s">
        <v>275</v>
      </c>
      <c r="DR163" s="28" t="s">
        <v>275</v>
      </c>
      <c r="EB163" s="28" t="s">
        <v>275</v>
      </c>
      <c r="EL163" s="28" t="s">
        <v>275</v>
      </c>
    </row>
    <row r="164" spans="2:146" x14ac:dyDescent="0.3">
      <c r="B164" s="231"/>
      <c r="C164" s="231"/>
      <c r="D164" s="231"/>
      <c r="L164" s="231"/>
      <c r="M164" s="231"/>
      <c r="N164" s="231"/>
      <c r="V164" s="231"/>
      <c r="W164" s="231"/>
      <c r="X164" s="231"/>
      <c r="AF164" s="231"/>
      <c r="AG164" s="231"/>
      <c r="AH164" s="231"/>
      <c r="AP164" s="231"/>
      <c r="AQ164" s="231"/>
      <c r="AR164" s="231"/>
      <c r="AZ164" s="231"/>
      <c r="BA164" s="231"/>
      <c r="BB164" s="231"/>
      <c r="BJ164" s="231"/>
      <c r="BK164" s="231"/>
      <c r="BL164" s="231"/>
      <c r="BT164" s="231"/>
      <c r="BU164" s="231"/>
      <c r="BV164" s="231"/>
      <c r="CD164" s="231"/>
      <c r="CE164" s="231"/>
      <c r="CF164" s="231"/>
      <c r="CN164" s="231"/>
      <c r="CO164" s="231"/>
      <c r="CP164" s="231"/>
      <c r="CX164" s="231"/>
      <c r="CY164" s="231"/>
      <c r="CZ164" s="231"/>
      <c r="DH164" s="231"/>
      <c r="DI164" s="231"/>
      <c r="DJ164" s="231"/>
      <c r="DR164" s="231"/>
      <c r="DS164" s="231"/>
      <c r="DT164" s="231"/>
      <c r="EB164" s="231"/>
      <c r="EC164" s="231"/>
      <c r="ED164" s="231"/>
      <c r="EL164" s="231"/>
      <c r="EM164" s="231"/>
      <c r="EN164" s="231"/>
    </row>
    <row r="165" spans="2:146" x14ac:dyDescent="0.3">
      <c r="B165" s="234" t="s">
        <v>263</v>
      </c>
      <c r="C165" s="249">
        <f>$C$198</f>
        <v>11.453196887307534</v>
      </c>
      <c r="D165" s="234"/>
      <c r="L165" s="234" t="s">
        <v>263</v>
      </c>
      <c r="M165" s="249">
        <f>$C$198</f>
        <v>11.453196887307534</v>
      </c>
      <c r="N165" s="234"/>
      <c r="V165" s="234" t="s">
        <v>263</v>
      </c>
      <c r="W165" s="249">
        <f>$C$198</f>
        <v>11.453196887307534</v>
      </c>
      <c r="X165" s="234"/>
      <c r="AF165" s="234" t="s">
        <v>263</v>
      </c>
      <c r="AG165" s="249">
        <f>$C$198</f>
        <v>11.453196887307534</v>
      </c>
      <c r="AH165" s="234"/>
      <c r="AP165" s="234" t="s">
        <v>263</v>
      </c>
      <c r="AQ165" s="249">
        <f>$C$198</f>
        <v>11.453196887307534</v>
      </c>
      <c r="AR165" s="234"/>
      <c r="AZ165" s="234" t="s">
        <v>263</v>
      </c>
      <c r="BA165" s="249">
        <f>$C$198</f>
        <v>11.453196887307534</v>
      </c>
      <c r="BB165" s="234"/>
      <c r="BJ165" s="234" t="s">
        <v>263</v>
      </c>
      <c r="BK165" s="249">
        <f>$C$198</f>
        <v>11.453196887307534</v>
      </c>
      <c r="BL165" s="234"/>
      <c r="BT165" s="234" t="s">
        <v>263</v>
      </c>
      <c r="BU165" s="249">
        <f>$C$198</f>
        <v>11.453196887307534</v>
      </c>
      <c r="BV165" s="234"/>
      <c r="CD165" s="234" t="s">
        <v>263</v>
      </c>
      <c r="CE165" s="249">
        <f>$C$198</f>
        <v>11.453196887307534</v>
      </c>
      <c r="CF165" s="234"/>
      <c r="CN165" s="234" t="s">
        <v>263</v>
      </c>
      <c r="CO165" s="249">
        <f>$C$198</f>
        <v>11.453196887307534</v>
      </c>
      <c r="CP165" s="234"/>
      <c r="CX165" s="234" t="s">
        <v>263</v>
      </c>
      <c r="CY165" s="249">
        <f>$C$198</f>
        <v>11.453196887307534</v>
      </c>
      <c r="CZ165" s="234"/>
      <c r="DH165" s="234" t="s">
        <v>263</v>
      </c>
      <c r="DI165" s="249">
        <f>$C$198</f>
        <v>11.453196887307534</v>
      </c>
      <c r="DJ165" s="234"/>
      <c r="DR165" s="234" t="s">
        <v>263</v>
      </c>
      <c r="DS165" s="249">
        <f>$C$198</f>
        <v>11.453196887307534</v>
      </c>
      <c r="DT165" s="234"/>
      <c r="EB165" s="234" t="s">
        <v>263</v>
      </c>
      <c r="EC165" s="249">
        <f>$C$198</f>
        <v>11.453196887307534</v>
      </c>
      <c r="ED165" s="234"/>
      <c r="EL165" s="234" t="s">
        <v>263</v>
      </c>
      <c r="EM165" s="249">
        <f>$C$198</f>
        <v>11.453196887307534</v>
      </c>
      <c r="EN165" s="234"/>
    </row>
    <row r="166" spans="2:146" x14ac:dyDescent="0.3">
      <c r="B166" s="234" t="s">
        <v>264</v>
      </c>
      <c r="C166" s="234">
        <f>SQRT($C$11/$C$84)</f>
        <v>8.9442719099991592</v>
      </c>
      <c r="D166" s="234"/>
      <c r="L166" s="234" t="s">
        <v>264</v>
      </c>
      <c r="M166" s="234">
        <f>SQRT($C$11/$C$84)</f>
        <v>8.9442719099991592</v>
      </c>
      <c r="N166" s="234"/>
      <c r="V166" s="234" t="s">
        <v>264</v>
      </c>
      <c r="W166" s="234">
        <f>SQRT($C$11/$C$84)</f>
        <v>8.9442719099991592</v>
      </c>
      <c r="X166" s="234"/>
      <c r="AF166" s="234" t="s">
        <v>264</v>
      </c>
      <c r="AG166" s="234">
        <f>SQRT($C$11/$C$84)</f>
        <v>8.9442719099991592</v>
      </c>
      <c r="AH166" s="234"/>
      <c r="AP166" s="234" t="s">
        <v>264</v>
      </c>
      <c r="AQ166" s="234">
        <f>SQRT($C$11/$C$84)</f>
        <v>8.9442719099991592</v>
      </c>
      <c r="AR166" s="234"/>
      <c r="AZ166" s="234" t="s">
        <v>264</v>
      </c>
      <c r="BA166" s="234">
        <f>SQRT($C$11/$C$84)</f>
        <v>8.9442719099991592</v>
      </c>
      <c r="BB166" s="234"/>
      <c r="BJ166" s="234" t="s">
        <v>264</v>
      </c>
      <c r="BK166" s="234">
        <f>SQRT($C$11/$C$84)</f>
        <v>8.9442719099991592</v>
      </c>
      <c r="BL166" s="234"/>
      <c r="BT166" s="234" t="s">
        <v>264</v>
      </c>
      <c r="BU166" s="234">
        <f>SQRT($C$11/$C$84)</f>
        <v>8.9442719099991592</v>
      </c>
      <c r="BV166" s="234"/>
      <c r="CD166" s="234" t="s">
        <v>264</v>
      </c>
      <c r="CE166" s="234">
        <f>SQRT($C$11/$C$84)</f>
        <v>8.9442719099991592</v>
      </c>
      <c r="CF166" s="234"/>
      <c r="CN166" s="234" t="s">
        <v>264</v>
      </c>
      <c r="CO166" s="234">
        <f>SQRT($C$11/$C$84)</f>
        <v>8.9442719099991592</v>
      </c>
      <c r="CP166" s="234"/>
      <c r="CX166" s="234" t="s">
        <v>264</v>
      </c>
      <c r="CY166" s="234">
        <f>SQRT($C$11/$C$84)</f>
        <v>8.9442719099991592</v>
      </c>
      <c r="CZ166" s="234"/>
      <c r="DH166" s="234" t="s">
        <v>264</v>
      </c>
      <c r="DI166" s="234">
        <f>SQRT($C$11/$C$84)</f>
        <v>8.9442719099991592</v>
      </c>
      <c r="DJ166" s="234"/>
      <c r="DR166" s="234" t="s">
        <v>264</v>
      </c>
      <c r="DS166" s="234">
        <f>SQRT($C$11/$C$84)</f>
        <v>8.9442719099991592</v>
      </c>
      <c r="DT166" s="234"/>
      <c r="EB166" s="234" t="s">
        <v>264</v>
      </c>
      <c r="EC166" s="234">
        <f>SQRT($C$11/$C$84)</f>
        <v>8.9442719099991592</v>
      </c>
      <c r="ED166" s="234"/>
      <c r="EL166" s="234" t="s">
        <v>264</v>
      </c>
      <c r="EM166" s="234">
        <f>SQRT($C$11/$C$84)</f>
        <v>8.9442719099991592</v>
      </c>
      <c r="EN166" s="234"/>
    </row>
    <row r="167" spans="2:146" x14ac:dyDescent="0.3">
      <c r="B167" s="234" t="s">
        <v>265</v>
      </c>
      <c r="C167" s="234">
        <f>IF($C$82=1,C165,IF($C$82=2,$C$83,C166))</f>
        <v>11.453196887307534</v>
      </c>
      <c r="D167" s="234"/>
      <c r="L167" s="234" t="s">
        <v>265</v>
      </c>
      <c r="M167" s="234">
        <f>IF($C$82=1,M165,IF($C$82=2,$C$83,M166))</f>
        <v>11.453196887307534</v>
      </c>
      <c r="N167" s="234"/>
      <c r="V167" s="234" t="s">
        <v>265</v>
      </c>
      <c r="W167" s="234">
        <f>IF($C$82=1,W165,IF($C$82=2,$C$83,W166))</f>
        <v>11.453196887307534</v>
      </c>
      <c r="X167" s="234"/>
      <c r="AF167" s="234" t="s">
        <v>265</v>
      </c>
      <c r="AG167" s="234">
        <f>IF($C$82=1,AG165,IF($C$82=2,$C$83,AG166))</f>
        <v>11.453196887307534</v>
      </c>
      <c r="AH167" s="234"/>
      <c r="AP167" s="234" t="s">
        <v>265</v>
      </c>
      <c r="AQ167" s="234">
        <f>IF($C$82=1,AQ165,IF($C$82=2,$C$83,AQ166))</f>
        <v>11.453196887307534</v>
      </c>
      <c r="AR167" s="234"/>
      <c r="AZ167" s="234" t="s">
        <v>265</v>
      </c>
      <c r="BA167" s="234">
        <f>IF($C$82=1,BA165,IF($C$82=2,$C$83,BA166))</f>
        <v>11.453196887307534</v>
      </c>
      <c r="BB167" s="234"/>
      <c r="BJ167" s="234" t="s">
        <v>265</v>
      </c>
      <c r="BK167" s="234">
        <f>IF($C$82=1,BK165,IF($C$82=2,$C$83,BK166))</f>
        <v>11.453196887307534</v>
      </c>
      <c r="BL167" s="234"/>
      <c r="BT167" s="234" t="s">
        <v>265</v>
      </c>
      <c r="BU167" s="234">
        <f>IF($C$82=1,BU165,IF($C$82=2,$C$83,BU166))</f>
        <v>11.453196887307534</v>
      </c>
      <c r="BV167" s="234"/>
      <c r="CD167" s="234" t="s">
        <v>265</v>
      </c>
      <c r="CE167" s="234">
        <f>IF($C$82=1,CE165,IF($C$82=2,$C$83,CE166))</f>
        <v>11.453196887307534</v>
      </c>
      <c r="CF167" s="234"/>
      <c r="CN167" s="234" t="s">
        <v>265</v>
      </c>
      <c r="CO167" s="234">
        <f>IF($C$82=1,CO165,IF($C$82=2,$C$83,CO166))</f>
        <v>11.453196887307534</v>
      </c>
      <c r="CP167" s="234"/>
      <c r="CX167" s="234" t="s">
        <v>265</v>
      </c>
      <c r="CY167" s="234">
        <f>IF($C$82=1,CY165,IF($C$82=2,$C$83,CY166))</f>
        <v>11.453196887307534</v>
      </c>
      <c r="CZ167" s="234"/>
      <c r="DH167" s="234" t="s">
        <v>265</v>
      </c>
      <c r="DI167" s="234">
        <f>IF($C$82=1,DI165,IF($C$82=2,$C$83,DI166))</f>
        <v>11.453196887307534</v>
      </c>
      <c r="DJ167" s="234"/>
      <c r="DR167" s="234" t="s">
        <v>265</v>
      </c>
      <c r="DS167" s="234">
        <f>IF($C$82=1,DS165,IF($C$82=2,$C$83,DS166))</f>
        <v>11.453196887307534</v>
      </c>
      <c r="DT167" s="234"/>
      <c r="EB167" s="234" t="s">
        <v>265</v>
      </c>
      <c r="EC167" s="234">
        <f>IF($C$82=1,EC165,IF($C$82=2,$C$83,EC166))</f>
        <v>11.453196887307534</v>
      </c>
      <c r="ED167" s="234"/>
      <c r="EL167" s="234" t="s">
        <v>265</v>
      </c>
      <c r="EM167" s="234">
        <f>IF($C$82=1,EM165,IF($C$82=2,$C$83,EM166))</f>
        <v>11.453196887307534</v>
      </c>
      <c r="EN167" s="234"/>
    </row>
    <row r="168" spans="2:146" x14ac:dyDescent="0.3">
      <c r="B168" s="234" t="s">
        <v>94</v>
      </c>
      <c r="C168" s="234">
        <f>C167^2</f>
        <v>131.17571893943099</v>
      </c>
      <c r="D168" s="234"/>
      <c r="L168" s="234" t="s">
        <v>94</v>
      </c>
      <c r="M168" s="234">
        <f>M167^2</f>
        <v>131.17571893943099</v>
      </c>
      <c r="N168" s="234"/>
      <c r="V168" s="234" t="s">
        <v>94</v>
      </c>
      <c r="W168" s="234">
        <f>W167^2</f>
        <v>131.17571893943099</v>
      </c>
      <c r="X168" s="234"/>
      <c r="AF168" s="234" t="s">
        <v>94</v>
      </c>
      <c r="AG168" s="234">
        <f>AG167^2</f>
        <v>131.17571893943099</v>
      </c>
      <c r="AH168" s="234"/>
      <c r="AP168" s="234" t="s">
        <v>94</v>
      </c>
      <c r="AQ168" s="234">
        <f>AQ167^2</f>
        <v>131.17571893943099</v>
      </c>
      <c r="AR168" s="234"/>
      <c r="AZ168" s="234" t="s">
        <v>94</v>
      </c>
      <c r="BA168" s="234">
        <f>BA167^2</f>
        <v>131.17571893943099</v>
      </c>
      <c r="BB168" s="234"/>
      <c r="BJ168" s="234" t="s">
        <v>94</v>
      </c>
      <c r="BK168" s="234">
        <f>BK167^2</f>
        <v>131.17571893943099</v>
      </c>
      <c r="BL168" s="234"/>
      <c r="BT168" s="234" t="s">
        <v>94</v>
      </c>
      <c r="BU168" s="234">
        <f>BU167^2</f>
        <v>131.17571893943099</v>
      </c>
      <c r="BV168" s="234"/>
      <c r="CD168" s="234" t="s">
        <v>94</v>
      </c>
      <c r="CE168" s="234">
        <f>CE167^2</f>
        <v>131.17571893943099</v>
      </c>
      <c r="CF168" s="234"/>
      <c r="CN168" s="234" t="s">
        <v>94</v>
      </c>
      <c r="CO168" s="234">
        <f>CO167^2</f>
        <v>131.17571893943099</v>
      </c>
      <c r="CP168" s="234"/>
      <c r="CX168" s="234" t="s">
        <v>94</v>
      </c>
      <c r="CY168" s="234">
        <f>CY167^2</f>
        <v>131.17571893943099</v>
      </c>
      <c r="CZ168" s="234"/>
      <c r="DH168" s="234" t="s">
        <v>94</v>
      </c>
      <c r="DI168" s="234">
        <f>DI167^2</f>
        <v>131.17571893943099</v>
      </c>
      <c r="DJ168" s="234"/>
      <c r="DR168" s="234" t="s">
        <v>94</v>
      </c>
      <c r="DS168" s="234">
        <f>DS167^2</f>
        <v>131.17571893943099</v>
      </c>
      <c r="DT168" s="234"/>
      <c r="EB168" s="234" t="s">
        <v>94</v>
      </c>
      <c r="EC168" s="234">
        <f>EC167^2</f>
        <v>131.17571893943099</v>
      </c>
      <c r="ED168" s="234"/>
      <c r="EL168" s="234" t="s">
        <v>94</v>
      </c>
      <c r="EM168" s="234">
        <f>EM167^2</f>
        <v>131.17571893943099</v>
      </c>
      <c r="EN168" s="234"/>
    </row>
    <row r="169" spans="2:146" x14ac:dyDescent="0.3">
      <c r="B169" s="234" t="s">
        <v>266</v>
      </c>
      <c r="C169" s="234">
        <f>IF($C$82=3,$C$84,$C$11/C168)</f>
        <v>6.0986896543665337</v>
      </c>
      <c r="D169" s="234"/>
      <c r="L169" s="234" t="s">
        <v>266</v>
      </c>
      <c r="M169" s="234">
        <f>IF($C$82=3,$C$84,$C$11/M168)</f>
        <v>6.0986896543665337</v>
      </c>
      <c r="N169" s="234"/>
      <c r="V169" s="234" t="s">
        <v>266</v>
      </c>
      <c r="W169" s="234">
        <f>IF($C$82=3,$C$84,$C$11/W168)</f>
        <v>6.0986896543665337</v>
      </c>
      <c r="X169" s="234"/>
      <c r="AF169" s="234" t="s">
        <v>266</v>
      </c>
      <c r="AG169" s="234">
        <f>IF($C$82=3,$C$84,$C$11/AG168)</f>
        <v>6.0986896543665337</v>
      </c>
      <c r="AH169" s="234"/>
      <c r="AP169" s="234" t="s">
        <v>266</v>
      </c>
      <c r="AQ169" s="234">
        <f>IF($C$82=3,$C$84,$C$11/AQ168)</f>
        <v>6.0986896543665337</v>
      </c>
      <c r="AR169" s="234"/>
      <c r="AZ169" s="234" t="s">
        <v>266</v>
      </c>
      <c r="BA169" s="234">
        <f>IF($C$82=3,$C$84,$C$11/BA168)</f>
        <v>6.0986896543665337</v>
      </c>
      <c r="BB169" s="234"/>
      <c r="BJ169" s="234" t="s">
        <v>266</v>
      </c>
      <c r="BK169" s="234">
        <f>IF($C$82=3,$C$84,$C$11/BK168)</f>
        <v>6.0986896543665337</v>
      </c>
      <c r="BL169" s="234"/>
      <c r="BT169" s="234" t="s">
        <v>266</v>
      </c>
      <c r="BU169" s="234">
        <f>IF($C$82=3,$C$84,$C$11/BU168)</f>
        <v>6.0986896543665337</v>
      </c>
      <c r="BV169" s="234"/>
      <c r="CD169" s="234" t="s">
        <v>266</v>
      </c>
      <c r="CE169" s="234">
        <f>IF($C$82=3,$C$84,$C$11/CE168)</f>
        <v>6.0986896543665337</v>
      </c>
      <c r="CF169" s="234"/>
      <c r="CN169" s="234" t="s">
        <v>266</v>
      </c>
      <c r="CO169" s="234">
        <f>IF($C$82=3,$C$84,$C$11/CO168)</f>
        <v>6.0986896543665337</v>
      </c>
      <c r="CP169" s="234"/>
      <c r="CX169" s="234" t="s">
        <v>266</v>
      </c>
      <c r="CY169" s="234">
        <f>IF($C$82=3,$C$84,$C$11/CY168)</f>
        <v>6.0986896543665337</v>
      </c>
      <c r="CZ169" s="234"/>
      <c r="DH169" s="234" t="s">
        <v>266</v>
      </c>
      <c r="DI169" s="234">
        <f>IF($C$82=3,$C$84,$C$11/DI168)</f>
        <v>6.0986896543665337</v>
      </c>
      <c r="DJ169" s="234"/>
      <c r="DR169" s="234" t="s">
        <v>266</v>
      </c>
      <c r="DS169" s="234">
        <f>IF($C$82=3,$C$84,$C$11/DS168)</f>
        <v>6.0986896543665337</v>
      </c>
      <c r="DT169" s="234"/>
      <c r="EB169" s="234" t="s">
        <v>266</v>
      </c>
      <c r="EC169" s="234">
        <f>IF($C$82=3,$C$84,$C$11/EC168)</f>
        <v>6.0986896543665337</v>
      </c>
      <c r="ED169" s="234"/>
      <c r="EL169" s="234" t="s">
        <v>266</v>
      </c>
      <c r="EM169" s="234">
        <f>IF($C$82=3,$C$84,$C$11/EM168)</f>
        <v>6.0986896543665337</v>
      </c>
      <c r="EN169" s="234"/>
    </row>
    <row r="170" spans="2:146" x14ac:dyDescent="0.3">
      <c r="B170" s="234" t="s">
        <v>267</v>
      </c>
      <c r="C170" s="234">
        <f>C169*$C$16</f>
        <v>73.1842758523984</v>
      </c>
      <c r="D170" s="234" t="s">
        <v>58</v>
      </c>
      <c r="E170" t="s">
        <v>83</v>
      </c>
      <c r="L170" s="234" t="s">
        <v>267</v>
      </c>
      <c r="M170" s="234">
        <f>M169*$C$16</f>
        <v>73.1842758523984</v>
      </c>
      <c r="N170" s="234" t="s">
        <v>58</v>
      </c>
      <c r="O170" t="s">
        <v>83</v>
      </c>
      <c r="V170" s="234" t="s">
        <v>267</v>
      </c>
      <c r="W170" s="234">
        <f>W169*$C$16</f>
        <v>73.1842758523984</v>
      </c>
      <c r="X170" s="234" t="s">
        <v>58</v>
      </c>
      <c r="Y170" t="s">
        <v>83</v>
      </c>
      <c r="AF170" s="234" t="s">
        <v>267</v>
      </c>
      <c r="AG170" s="234">
        <f>AG169*$C$16</f>
        <v>73.1842758523984</v>
      </c>
      <c r="AH170" s="234" t="s">
        <v>58</v>
      </c>
      <c r="AI170" t="s">
        <v>83</v>
      </c>
      <c r="AP170" s="234" t="s">
        <v>267</v>
      </c>
      <c r="AQ170" s="234">
        <f>AQ169*$C$16</f>
        <v>73.1842758523984</v>
      </c>
      <c r="AR170" s="234" t="s">
        <v>58</v>
      </c>
      <c r="AS170" t="s">
        <v>83</v>
      </c>
      <c r="AZ170" s="234" t="s">
        <v>267</v>
      </c>
      <c r="BA170" s="234">
        <f>BA169*$C$16</f>
        <v>73.1842758523984</v>
      </c>
      <c r="BB170" s="234" t="s">
        <v>58</v>
      </c>
      <c r="BC170" t="s">
        <v>83</v>
      </c>
      <c r="BJ170" s="234" t="s">
        <v>267</v>
      </c>
      <c r="BK170" s="234">
        <f>BK169*$C$16</f>
        <v>73.1842758523984</v>
      </c>
      <c r="BL170" s="234" t="s">
        <v>58</v>
      </c>
      <c r="BM170" t="s">
        <v>83</v>
      </c>
      <c r="BT170" s="234" t="s">
        <v>267</v>
      </c>
      <c r="BU170" s="234">
        <f>BU169*$C$16</f>
        <v>73.1842758523984</v>
      </c>
      <c r="BV170" s="234" t="s">
        <v>58</v>
      </c>
      <c r="BW170" t="s">
        <v>83</v>
      </c>
      <c r="CD170" s="234" t="s">
        <v>267</v>
      </c>
      <c r="CE170" s="234">
        <f>CE169*$C$16</f>
        <v>73.1842758523984</v>
      </c>
      <c r="CF170" s="234" t="s">
        <v>58</v>
      </c>
      <c r="CG170" t="s">
        <v>83</v>
      </c>
      <c r="CN170" s="234" t="s">
        <v>267</v>
      </c>
      <c r="CO170" s="234">
        <f>CO169*$C$16</f>
        <v>73.1842758523984</v>
      </c>
      <c r="CP170" s="234" t="s">
        <v>58</v>
      </c>
      <c r="CQ170" t="s">
        <v>83</v>
      </c>
      <c r="CX170" s="234" t="s">
        <v>267</v>
      </c>
      <c r="CY170" s="234">
        <f>CY169*$C$16</f>
        <v>73.1842758523984</v>
      </c>
      <c r="CZ170" s="234" t="s">
        <v>58</v>
      </c>
      <c r="DA170" t="s">
        <v>83</v>
      </c>
      <c r="DH170" s="234" t="s">
        <v>267</v>
      </c>
      <c r="DI170" s="234">
        <f>DI169*$C$16</f>
        <v>73.1842758523984</v>
      </c>
      <c r="DJ170" s="234" t="s">
        <v>58</v>
      </c>
      <c r="DK170" t="s">
        <v>83</v>
      </c>
      <c r="DR170" s="234" t="s">
        <v>267</v>
      </c>
      <c r="DS170" s="234">
        <f>DS169*$C$16</f>
        <v>73.1842758523984</v>
      </c>
      <c r="DT170" s="234" t="s">
        <v>58</v>
      </c>
      <c r="DU170" t="s">
        <v>83</v>
      </c>
      <c r="EB170" s="234" t="s">
        <v>267</v>
      </c>
      <c r="EC170" s="234">
        <f>EC169*$C$16</f>
        <v>73.1842758523984</v>
      </c>
      <c r="ED170" s="234" t="s">
        <v>58</v>
      </c>
      <c r="EE170" t="s">
        <v>83</v>
      </c>
      <c r="EL170" s="234" t="s">
        <v>267</v>
      </c>
      <c r="EM170" s="234">
        <f>EM169*$C$16</f>
        <v>73.1842758523984</v>
      </c>
      <c r="EN170" s="234" t="s">
        <v>58</v>
      </c>
      <c r="EO170" t="s">
        <v>83</v>
      </c>
    </row>
    <row r="171" spans="2:146" x14ac:dyDescent="0.3">
      <c r="B171" s="234" t="s">
        <v>277</v>
      </c>
      <c r="C171" s="234">
        <f>(C139-$C$11)/(C139-C140)*(C169/$C$60)</f>
        <v>-8.5119748243459306</v>
      </c>
      <c r="D171" s="234"/>
      <c r="L171" s="234" t="s">
        <v>277</v>
      </c>
      <c r="M171" s="234">
        <f>(M139-$C$11)/(M139-M140)*(M169/$C$60)</f>
        <v>-7.3959776420693046</v>
      </c>
      <c r="N171" s="234"/>
      <c r="V171" s="234" t="s">
        <v>277</v>
      </c>
      <c r="W171" s="234">
        <f>(W139-$C$11)/(W139-W140)*(W169/$C$60)</f>
        <v>-3.1505900027472373</v>
      </c>
      <c r="X171" s="234"/>
      <c r="AF171" s="234" t="s">
        <v>277</v>
      </c>
      <c r="AG171" s="234">
        <f>(AG139-$C$11)/(AG139-AG140)*(AG169/$C$60)</f>
        <v>-2.0512236354838898</v>
      </c>
      <c r="AH171" s="234"/>
      <c r="AP171" s="234" t="s">
        <v>277</v>
      </c>
      <c r="AQ171" s="234">
        <f>(AQ139-$C$11)/(AQ139-AQ140)*(AQ169/$C$60)</f>
        <v>-2.0307921036796772</v>
      </c>
      <c r="AR171" s="234"/>
      <c r="AZ171" s="234" t="s">
        <v>277</v>
      </c>
      <c r="BA171" s="234">
        <f>(BA139-$C$11)/(BA139-BA140)*(BA169/$C$60)</f>
        <v>-1.3138459676240528</v>
      </c>
      <c r="BB171" s="234"/>
      <c r="BJ171" s="234" t="s">
        <v>277</v>
      </c>
      <c r="BK171" s="234">
        <f>(BK139-$C$11)/(BK139-BK140)*(BK169/$C$60)</f>
        <v>-0.71158603524650976</v>
      </c>
      <c r="BL171" s="234"/>
      <c r="BT171" s="234" t="s">
        <v>277</v>
      </c>
      <c r="BU171" s="234">
        <f>(BU139-$C$11)/(BU139-BU140)*(BU169/$C$60)</f>
        <v>-0.26920379694234303</v>
      </c>
      <c r="BV171" s="234"/>
      <c r="CD171" s="234" t="s">
        <v>277</v>
      </c>
      <c r="CE171" s="234">
        <f>(CE139-$C$11)/(CE139-CE140)*(CE169/$C$60)</f>
        <v>0.35753657647856796</v>
      </c>
      <c r="CF171" s="234"/>
      <c r="CN171" s="234" t="s">
        <v>277</v>
      </c>
      <c r="CO171" s="234">
        <f>(CO139-$C$11)/(CO139-CO140)*(CO169/$C$60)</f>
        <v>0.63608330781951827</v>
      </c>
      <c r="CP171" s="234"/>
      <c r="CX171" s="234" t="s">
        <v>277</v>
      </c>
      <c r="CY171" s="234">
        <f>(CY139-$C$11)/(CY139-CY140)*(CY169/$C$60)</f>
        <v>0.74501007205343284</v>
      </c>
      <c r="CZ171" s="234"/>
      <c r="DH171" s="234" t="s">
        <v>277</v>
      </c>
      <c r="DI171" s="234">
        <f>(DI139-$C$11)/(DI139-DI140)*(DI169/$C$60)</f>
        <v>0.96440217595353528</v>
      </c>
      <c r="DJ171" s="234"/>
      <c r="DR171" s="234" t="s">
        <v>277</v>
      </c>
      <c r="DS171" s="234">
        <f>(DS139-$C$11)/(DS139-DS140)*(DS169/$C$60)</f>
        <v>1.4556810771794082</v>
      </c>
      <c r="DT171" s="234"/>
      <c r="EB171" s="234" t="s">
        <v>277</v>
      </c>
      <c r="EC171" s="234">
        <f>(EC139-$C$11)/(EC139-EC140)*(EC169/$C$60)</f>
        <v>1.5662766367554499</v>
      </c>
      <c r="ED171" s="234"/>
      <c r="EL171" s="234" t="s">
        <v>277</v>
      </c>
      <c r="EM171" s="234">
        <f>(EM139-$C$11)/(EM139-EM140)*(EM169/$C$60)</f>
        <v>1.8373667520465251</v>
      </c>
      <c r="EN171" s="234"/>
    </row>
    <row r="172" spans="2:146" x14ac:dyDescent="0.3">
      <c r="B172" s="234" t="s">
        <v>279</v>
      </c>
      <c r="C172" s="234">
        <f>C169-C171</f>
        <v>14.610664478712465</v>
      </c>
      <c r="D172" s="234"/>
      <c r="L172" s="234" t="s">
        <v>279</v>
      </c>
      <c r="M172" s="234">
        <f>M169-M171</f>
        <v>13.494667296435839</v>
      </c>
      <c r="N172" s="234"/>
      <c r="V172" s="234" t="s">
        <v>279</v>
      </c>
      <c r="W172" s="234">
        <f t="shared" ref="W172" si="256">W169-W171</f>
        <v>9.249279657113771</v>
      </c>
      <c r="X172" s="234"/>
      <c r="AF172" s="234" t="s">
        <v>279</v>
      </c>
      <c r="AG172" s="234">
        <f t="shared" ref="AG172" si="257">AG169-AG171</f>
        <v>8.1499132898504243</v>
      </c>
      <c r="AH172" s="234"/>
      <c r="AP172" s="234" t="s">
        <v>279</v>
      </c>
      <c r="AQ172" s="234">
        <f t="shared" ref="AQ172" si="258">AQ169-AQ171</f>
        <v>8.1294817580462109</v>
      </c>
      <c r="AR172" s="234"/>
      <c r="AZ172" s="234" t="s">
        <v>279</v>
      </c>
      <c r="BA172" s="234">
        <f t="shared" ref="BA172" si="259">BA169-BA171</f>
        <v>7.4125356219905862</v>
      </c>
      <c r="BB172" s="234"/>
      <c r="BJ172" s="234" t="s">
        <v>279</v>
      </c>
      <c r="BK172" s="234">
        <f t="shared" ref="BK172" si="260">BK169-BK171</f>
        <v>6.810275689613043</v>
      </c>
      <c r="BL172" s="234"/>
      <c r="BT172" s="234" t="s">
        <v>279</v>
      </c>
      <c r="BU172" s="234">
        <f t="shared" ref="BU172" si="261">BU169-BU171</f>
        <v>6.367893451308877</v>
      </c>
      <c r="BV172" s="234"/>
      <c r="CD172" s="234" t="s">
        <v>279</v>
      </c>
      <c r="CE172" s="234">
        <f>CE169-CE171</f>
        <v>5.741153077887966</v>
      </c>
      <c r="CF172" s="234"/>
      <c r="CN172" s="234" t="s">
        <v>279</v>
      </c>
      <c r="CO172" s="234">
        <f t="shared" ref="CO172" si="262">CO169-CO171</f>
        <v>5.4626063465470152</v>
      </c>
      <c r="CP172" s="234"/>
      <c r="CX172" s="234" t="s">
        <v>279</v>
      </c>
      <c r="CY172" s="234">
        <f>CY169-CY171</f>
        <v>5.3536795823131005</v>
      </c>
      <c r="CZ172" s="234"/>
      <c r="DH172" s="234" t="s">
        <v>279</v>
      </c>
      <c r="DI172" s="234">
        <f t="shared" ref="DI172" si="263">DI169-DI171</f>
        <v>5.1342874784129986</v>
      </c>
      <c r="DJ172" s="234"/>
      <c r="DR172" s="234" t="s">
        <v>279</v>
      </c>
      <c r="DS172" s="234">
        <f t="shared" ref="DS172" si="264">DS169-DS171</f>
        <v>4.6430085771871257</v>
      </c>
      <c r="DT172" s="234"/>
      <c r="EB172" s="234" t="s">
        <v>279</v>
      </c>
      <c r="EC172" s="234">
        <f t="shared" ref="EC172" si="265">EC169-EC171</f>
        <v>4.5324130176110842</v>
      </c>
      <c r="ED172" s="234"/>
      <c r="EL172" s="234" t="s">
        <v>279</v>
      </c>
      <c r="EM172" s="234">
        <f t="shared" ref="EM172" si="266">EM169-EM171</f>
        <v>4.2613229023200088</v>
      </c>
      <c r="EN172" s="234"/>
    </row>
    <row r="173" spans="2:146" x14ac:dyDescent="0.3">
      <c r="B173" s="234" t="s">
        <v>276</v>
      </c>
      <c r="C173" s="234">
        <f>C172*$C$16*$C$47^2</f>
        <v>126.67446103043706</v>
      </c>
      <c r="D173" s="234"/>
      <c r="L173" s="234" t="s">
        <v>276</v>
      </c>
      <c r="M173" s="234">
        <f>M172*$C$16*$C$47^2</f>
        <v>116.99876546009872</v>
      </c>
      <c r="N173" s="234"/>
      <c r="V173" s="234" t="s">
        <v>276</v>
      </c>
      <c r="W173" s="234">
        <f>W172*$C$16*$C$47^2</f>
        <v>80.191254627176392</v>
      </c>
      <c r="X173" s="234"/>
      <c r="AF173" s="234" t="s">
        <v>276</v>
      </c>
      <c r="AG173" s="234">
        <f>AG172*$C$16*$C$47^2</f>
        <v>70.659748223003177</v>
      </c>
      <c r="AH173" s="234"/>
      <c r="AP173" s="234" t="s">
        <v>276</v>
      </c>
      <c r="AQ173" s="234">
        <f>AQ172*$C$16*$C$47^2</f>
        <v>70.482606842260637</v>
      </c>
      <c r="AR173" s="234"/>
      <c r="AZ173" s="234" t="s">
        <v>276</v>
      </c>
      <c r="BA173" s="234">
        <f>BA172*$C$16*$C$47^2</f>
        <v>64.266683842658381</v>
      </c>
      <c r="BB173" s="234"/>
      <c r="BJ173" s="234" t="s">
        <v>276</v>
      </c>
      <c r="BK173" s="234">
        <f>BK172*$C$16*$C$47^2</f>
        <v>59.045090228945078</v>
      </c>
      <c r="BL173" s="234"/>
      <c r="BT173" s="234" t="s">
        <v>276</v>
      </c>
      <c r="BU173" s="234">
        <f>BU172*$C$16*$C$47^2</f>
        <v>55.209636222847955</v>
      </c>
      <c r="BV173" s="234"/>
      <c r="CD173" s="234" t="s">
        <v>276</v>
      </c>
      <c r="CE173" s="234">
        <f>CE172*$C$16*$C$47^2</f>
        <v>49.77579718528866</v>
      </c>
      <c r="CF173" s="234"/>
      <c r="CN173" s="234" t="s">
        <v>276</v>
      </c>
      <c r="CO173" s="234">
        <f>CO172*$C$16*$C$47^2</f>
        <v>47.360797024562615</v>
      </c>
      <c r="CP173" s="234"/>
      <c r="CX173" s="234" t="s">
        <v>276</v>
      </c>
      <c r="CY173" s="234">
        <f>CY172*$C$16*$C$47^2</f>
        <v>46.416401978654584</v>
      </c>
      <c r="CZ173" s="234"/>
      <c r="DH173" s="234" t="s">
        <v>276</v>
      </c>
      <c r="DI173" s="234">
        <f>DI172*$C$16*$C$47^2</f>
        <v>44.514272437840695</v>
      </c>
      <c r="DJ173" s="234"/>
      <c r="DR173" s="234" t="s">
        <v>276</v>
      </c>
      <c r="DS173" s="234">
        <f>DS172*$C$16*$C$47^2</f>
        <v>40.25488436421238</v>
      </c>
      <c r="DT173" s="234"/>
      <c r="EB173" s="234" t="s">
        <v>276</v>
      </c>
      <c r="EC173" s="234">
        <f>EC172*$C$16*$C$47^2</f>
        <v>39.296020862688096</v>
      </c>
      <c r="ED173" s="234"/>
      <c r="EL173" s="234" t="s">
        <v>276</v>
      </c>
      <c r="EM173" s="234">
        <f>EM172*$C$16*$C$47^2</f>
        <v>36.945669563114471</v>
      </c>
      <c r="EN173" s="234"/>
    </row>
    <row r="174" spans="2:146" x14ac:dyDescent="0.3">
      <c r="B174" t="s">
        <v>79</v>
      </c>
      <c r="C174" s="245">
        <v>2.7</v>
      </c>
      <c r="D174" s="246">
        <v>2.4532000000000002E-2</v>
      </c>
      <c r="E174" s="246">
        <v>0.44066</v>
      </c>
      <c r="F174" s="31">
        <f>D174*C173^E174</f>
        <v>0.20715905416018729</v>
      </c>
      <c r="L174" t="s">
        <v>79</v>
      </c>
      <c r="M174" s="245">
        <v>2.7</v>
      </c>
      <c r="N174" s="246">
        <v>2.4532000000000002E-2</v>
      </c>
      <c r="O174" s="246">
        <v>0.44066</v>
      </c>
      <c r="P174" s="31">
        <f>N174*M173^O174</f>
        <v>0.20003118995596439</v>
      </c>
      <c r="V174" t="s">
        <v>79</v>
      </c>
      <c r="W174" s="245">
        <v>2.7</v>
      </c>
      <c r="X174" s="246">
        <v>2.4532000000000002E-2</v>
      </c>
      <c r="Y174" s="246">
        <v>0.44066</v>
      </c>
      <c r="Z174" s="31">
        <f>X174*W173^Y174</f>
        <v>0.16935794039335647</v>
      </c>
      <c r="AF174" t="s">
        <v>79</v>
      </c>
      <c r="AG174" s="245">
        <v>2.7</v>
      </c>
      <c r="AH174" s="246">
        <v>2.4532000000000002E-2</v>
      </c>
      <c r="AI174" s="246">
        <v>0.44066</v>
      </c>
      <c r="AJ174" s="31">
        <f>AH174*AG173^AI174</f>
        <v>0.16017293264766194</v>
      </c>
      <c r="AP174" t="s">
        <v>79</v>
      </c>
      <c r="AQ174" s="245">
        <v>2.7</v>
      </c>
      <c r="AR174" s="246">
        <v>2.4532000000000002E-2</v>
      </c>
      <c r="AS174" s="246">
        <v>0.44066</v>
      </c>
      <c r="AT174" s="31">
        <f>AR174*AQ173^AS174</f>
        <v>0.15999586244625169</v>
      </c>
      <c r="AZ174" t="s">
        <v>79</v>
      </c>
      <c r="BA174" s="245">
        <v>2.7</v>
      </c>
      <c r="BB174" s="246">
        <v>2.4532000000000002E-2</v>
      </c>
      <c r="BC174" s="246">
        <v>0.44066</v>
      </c>
      <c r="BD174" s="31">
        <f>BB174*BA173^BC174</f>
        <v>0.15361726147599072</v>
      </c>
      <c r="BJ174" t="s">
        <v>79</v>
      </c>
      <c r="BK174" s="245">
        <v>2.7</v>
      </c>
      <c r="BL174" s="246">
        <v>2.4532000000000002E-2</v>
      </c>
      <c r="BM174" s="246">
        <v>0.44066</v>
      </c>
      <c r="BN174" s="31">
        <f>BL174*BK173^BM174</f>
        <v>0.147986740670597</v>
      </c>
      <c r="BT174" t="s">
        <v>79</v>
      </c>
      <c r="BU174" s="245">
        <v>2.7</v>
      </c>
      <c r="BV174" s="246">
        <v>2.4532000000000002E-2</v>
      </c>
      <c r="BW174" s="246">
        <v>0.44066</v>
      </c>
      <c r="BX174" s="31">
        <f>BV174*BU173^BW174</f>
        <v>0.14367103998906514</v>
      </c>
      <c r="CD174" t="s">
        <v>79</v>
      </c>
      <c r="CE174" s="245">
        <v>2.7</v>
      </c>
      <c r="CF174" s="246">
        <v>2.4532000000000002E-2</v>
      </c>
      <c r="CG174" s="246">
        <v>0.44066</v>
      </c>
      <c r="CH174" s="31">
        <f>CF174*CE173^CG174</f>
        <v>0.13725905568162666</v>
      </c>
      <c r="CN174" t="s">
        <v>79</v>
      </c>
      <c r="CO174" s="245">
        <v>2.7</v>
      </c>
      <c r="CP174" s="246">
        <v>2.4532000000000002E-2</v>
      </c>
      <c r="CQ174" s="246">
        <v>0.44066</v>
      </c>
      <c r="CR174" s="31">
        <f>CP174*CO173^CQ174</f>
        <v>0.13428363646078265</v>
      </c>
      <c r="CX174" t="s">
        <v>79</v>
      </c>
      <c r="CY174" s="245">
        <v>2.7</v>
      </c>
      <c r="CZ174" s="246">
        <v>2.4532000000000002E-2</v>
      </c>
      <c r="DA174" s="246">
        <v>0.44066</v>
      </c>
      <c r="DB174" s="31">
        <f>CZ174*CY173^DA174</f>
        <v>0.1330970430634667</v>
      </c>
      <c r="DH174" t="s">
        <v>79</v>
      </c>
      <c r="DI174" s="245">
        <v>2.7</v>
      </c>
      <c r="DJ174" s="246">
        <v>2.4532000000000002E-2</v>
      </c>
      <c r="DK174" s="246">
        <v>0.44066</v>
      </c>
      <c r="DL174" s="31">
        <f>DJ174*DI173^DK174</f>
        <v>0.13066541390560785</v>
      </c>
      <c r="DR174" t="s">
        <v>79</v>
      </c>
      <c r="DS174" s="245">
        <v>2.7</v>
      </c>
      <c r="DT174" s="246">
        <v>2.4532000000000002E-2</v>
      </c>
      <c r="DU174" s="246">
        <v>0.44066</v>
      </c>
      <c r="DV174" s="31">
        <f>DT174*DS173^DU174</f>
        <v>0.1250006619896947</v>
      </c>
      <c r="EB174" t="s">
        <v>79</v>
      </c>
      <c r="EC174" s="245">
        <v>2.7</v>
      </c>
      <c r="ED174" s="246">
        <v>2.4532000000000002E-2</v>
      </c>
      <c r="EE174" s="246">
        <v>0.44066</v>
      </c>
      <c r="EF174" s="31">
        <f>ED174*EC173^EE174</f>
        <v>0.12367975019018052</v>
      </c>
      <c r="EL174" t="s">
        <v>79</v>
      </c>
      <c r="EM174" s="245">
        <v>2.7</v>
      </c>
      <c r="EN174" s="246">
        <v>2.4532000000000002E-2</v>
      </c>
      <c r="EO174" s="246">
        <v>0.44066</v>
      </c>
      <c r="EP174" s="31">
        <f>EN174*EM173^EO174</f>
        <v>0.1203636935480651</v>
      </c>
    </row>
    <row r="175" spans="2:146" x14ac:dyDescent="0.3">
      <c r="C175" s="245">
        <v>4</v>
      </c>
      <c r="D175" s="246">
        <v>2.5090000000000001E-2</v>
      </c>
      <c r="E175" s="246">
        <v>0.44590999999999997</v>
      </c>
      <c r="F175" s="31">
        <f>D175*C173^E175</f>
        <v>0.21732552746070627</v>
      </c>
      <c r="M175" s="245">
        <v>4</v>
      </c>
      <c r="N175" s="246">
        <v>2.5090000000000001E-2</v>
      </c>
      <c r="O175" s="246">
        <v>0.44590999999999997</v>
      </c>
      <c r="P175" s="31">
        <f>N175*M173^O175</f>
        <v>0.20976033866398855</v>
      </c>
      <c r="W175" s="245">
        <v>4</v>
      </c>
      <c r="X175" s="246">
        <v>2.5090000000000001E-2</v>
      </c>
      <c r="Y175" s="246">
        <v>0.44590999999999997</v>
      </c>
      <c r="Z175" s="31">
        <f>X175*W173^Y175</f>
        <v>0.17724334417065227</v>
      </c>
      <c r="AG175" s="245">
        <v>4</v>
      </c>
      <c r="AH175" s="246">
        <v>2.5090000000000001E-2</v>
      </c>
      <c r="AI175" s="246">
        <v>0.44590999999999997</v>
      </c>
      <c r="AJ175" s="31">
        <f>AH175*AG173^AI175</f>
        <v>0.16751935262223874</v>
      </c>
      <c r="AQ175" s="245">
        <v>4</v>
      </c>
      <c r="AR175" s="246">
        <v>2.5090000000000001E-2</v>
      </c>
      <c r="AS175" s="246">
        <v>0.44590999999999997</v>
      </c>
      <c r="AT175" s="31">
        <f>AR175*AQ173^AS175</f>
        <v>0.1673319558695936</v>
      </c>
      <c r="BA175" s="245">
        <v>4</v>
      </c>
      <c r="BB175" s="246">
        <v>2.5090000000000001E-2</v>
      </c>
      <c r="BC175" s="246">
        <v>0.44590999999999997</v>
      </c>
      <c r="BD175" s="31">
        <f>BB175*BA173^BC175</f>
        <v>0.1605830306232327</v>
      </c>
      <c r="BK175" s="245">
        <v>4</v>
      </c>
      <c r="BL175" s="246">
        <v>2.5090000000000001E-2</v>
      </c>
      <c r="BM175" s="246">
        <v>0.44590999999999997</v>
      </c>
      <c r="BN175" s="31">
        <f>BL175*BK173^BM175</f>
        <v>0.15462838692814804</v>
      </c>
      <c r="BU175" s="245">
        <v>4</v>
      </c>
      <c r="BV175" s="246">
        <v>2.5090000000000001E-2</v>
      </c>
      <c r="BW175" s="246">
        <v>0.44590999999999997</v>
      </c>
      <c r="BX175" s="31">
        <f>BV175*BU173^BW175</f>
        <v>0.15006607337250316</v>
      </c>
      <c r="CE175" s="245">
        <v>4</v>
      </c>
      <c r="CF175" s="246">
        <v>2.5090000000000001E-2</v>
      </c>
      <c r="CG175" s="246">
        <v>0.44590999999999997</v>
      </c>
      <c r="CH175" s="31">
        <f>CF175*CE173^CG175</f>
        <v>0.1432907176137313</v>
      </c>
      <c r="CO175" s="245">
        <v>4</v>
      </c>
      <c r="CP175" s="246">
        <v>2.5090000000000001E-2</v>
      </c>
      <c r="CQ175" s="246">
        <v>0.44590999999999997</v>
      </c>
      <c r="CR175" s="31">
        <f>CP175*CO173^CQ175</f>
        <v>0.1401479497229205</v>
      </c>
      <c r="CY175" s="245">
        <v>4</v>
      </c>
      <c r="CZ175" s="246">
        <v>2.5090000000000001E-2</v>
      </c>
      <c r="DA175" s="246">
        <v>0.44590999999999997</v>
      </c>
      <c r="DB175" s="31">
        <f>CZ175*CY173^DA175</f>
        <v>0.13889484826219314</v>
      </c>
      <c r="DI175" s="245">
        <v>4</v>
      </c>
      <c r="DJ175" s="246">
        <v>2.5090000000000001E-2</v>
      </c>
      <c r="DK175" s="246">
        <v>0.44590999999999997</v>
      </c>
      <c r="DL175" s="31">
        <f>DJ175*DI173^DK175</f>
        <v>0.13632734443143435</v>
      </c>
      <c r="DS175" s="245">
        <v>4</v>
      </c>
      <c r="DT175" s="246">
        <v>2.5090000000000001E-2</v>
      </c>
      <c r="DU175" s="246">
        <v>0.44590999999999997</v>
      </c>
      <c r="DV175" s="31">
        <f>DT175*DS173^DU175</f>
        <v>0.13034828330356926</v>
      </c>
      <c r="EC175" s="245">
        <v>4</v>
      </c>
      <c r="ED175" s="246">
        <v>2.5090000000000001E-2</v>
      </c>
      <c r="EE175" s="246">
        <v>0.44590999999999997</v>
      </c>
      <c r="EF175" s="31">
        <f>ED175*EC173^EE175</f>
        <v>0.1289545394357782</v>
      </c>
      <c r="EM175" s="245">
        <v>4</v>
      </c>
      <c r="EN175" s="246">
        <v>2.5090000000000001E-2</v>
      </c>
      <c r="EO175" s="246">
        <v>0.44590999999999997</v>
      </c>
      <c r="EP175" s="31">
        <f>EN175*EM173^EO175</f>
        <v>0.12545642858968264</v>
      </c>
    </row>
    <row r="176" spans="2:146" x14ac:dyDescent="0.3">
      <c r="C176" s="245">
        <v>10</v>
      </c>
      <c r="D176" s="246">
        <v>2.7927E-2</v>
      </c>
      <c r="E176" s="246">
        <v>0.43947999999999998</v>
      </c>
      <c r="F176" s="31">
        <f>D176*C173^E176</f>
        <v>0.23448446506928694</v>
      </c>
      <c r="M176" s="245">
        <v>10</v>
      </c>
      <c r="N176" s="246">
        <v>2.7927E-2</v>
      </c>
      <c r="O176" s="246">
        <v>0.43947999999999998</v>
      </c>
      <c r="P176" s="31">
        <f>N176*M173^O176</f>
        <v>0.22643762629788414</v>
      </c>
      <c r="W176" s="245">
        <v>10</v>
      </c>
      <c r="X176" s="246">
        <v>2.7927E-2</v>
      </c>
      <c r="Y176" s="246">
        <v>0.43947999999999998</v>
      </c>
      <c r="Z176" s="31">
        <f>X176*W173^Y176</f>
        <v>0.19180062702550274</v>
      </c>
      <c r="AG176" s="245">
        <v>10</v>
      </c>
      <c r="AH176" s="246">
        <v>2.7927E-2</v>
      </c>
      <c r="AI176" s="246">
        <v>0.43947999999999998</v>
      </c>
      <c r="AJ176" s="31">
        <f>AH176*AG173^AI176</f>
        <v>0.18142554367859623</v>
      </c>
      <c r="AQ176" s="245">
        <v>10</v>
      </c>
      <c r="AR176" s="246">
        <v>2.7927E-2</v>
      </c>
      <c r="AS176" s="246">
        <v>0.43947999999999998</v>
      </c>
      <c r="AT176" s="31">
        <f>AR176*AQ173^AS176</f>
        <v>0.1812255156217713</v>
      </c>
      <c r="BA176" s="245">
        <v>10</v>
      </c>
      <c r="BB176" s="246">
        <v>2.7927E-2</v>
      </c>
      <c r="BC176" s="246">
        <v>0.43947999999999998</v>
      </c>
      <c r="BD176" s="31">
        <f>BB176*BA173^BC176</f>
        <v>0.17401950315544157</v>
      </c>
      <c r="BK176" s="245">
        <v>10</v>
      </c>
      <c r="BL176" s="246">
        <v>2.7927E-2</v>
      </c>
      <c r="BM176" s="246">
        <v>0.43947999999999998</v>
      </c>
      <c r="BN176" s="31">
        <f>BL176*BK173^BM176</f>
        <v>0.16765794447957369</v>
      </c>
      <c r="BU176" s="245">
        <v>10</v>
      </c>
      <c r="BV176" s="246">
        <v>2.7927E-2</v>
      </c>
      <c r="BW176" s="246">
        <v>0.43947999999999998</v>
      </c>
      <c r="BX176" s="31">
        <f>BV176*BU173^BW176</f>
        <v>0.16278147782328278</v>
      </c>
      <c r="CE176" s="245">
        <v>10</v>
      </c>
      <c r="CF176" s="246">
        <v>2.7927E-2</v>
      </c>
      <c r="CG176" s="246">
        <v>0.43947999999999998</v>
      </c>
      <c r="CH176" s="31">
        <f>CF176*CE173^CG176</f>
        <v>0.15553561622738529</v>
      </c>
      <c r="CO176" s="245">
        <v>10</v>
      </c>
      <c r="CP176" s="246">
        <v>2.7927E-2</v>
      </c>
      <c r="CQ176" s="246">
        <v>0.43947999999999998</v>
      </c>
      <c r="CR176" s="31">
        <f>CP176*CO173^CQ176</f>
        <v>0.15217293890955286</v>
      </c>
      <c r="CY176" s="245">
        <v>10</v>
      </c>
      <c r="CZ176" s="246">
        <v>2.7927E-2</v>
      </c>
      <c r="DA176" s="246">
        <v>0.43947999999999998</v>
      </c>
      <c r="DB176" s="31">
        <f>CZ176*CY173^DA176</f>
        <v>0.15083185206855979</v>
      </c>
      <c r="DI176" s="245">
        <v>10</v>
      </c>
      <c r="DJ176" s="246">
        <v>2.7927E-2</v>
      </c>
      <c r="DK176" s="246">
        <v>0.43947999999999998</v>
      </c>
      <c r="DL176" s="31">
        <f>DJ176*DI173^DK176</f>
        <v>0.14808352653018622</v>
      </c>
      <c r="DS176" s="245">
        <v>10</v>
      </c>
      <c r="DT176" s="246">
        <v>2.7927E-2</v>
      </c>
      <c r="DU176" s="246">
        <v>0.43947999999999998</v>
      </c>
      <c r="DV176" s="31">
        <f>DT176*DS173^DU176</f>
        <v>0.14168045929618117</v>
      </c>
      <c r="EC176" s="245">
        <v>10</v>
      </c>
      <c r="ED176" s="246">
        <v>2.7927E-2</v>
      </c>
      <c r="EE176" s="246">
        <v>0.43947999999999998</v>
      </c>
      <c r="EF176" s="31">
        <f>ED176*EC173^EE176</f>
        <v>0.14018727602776773</v>
      </c>
      <c r="EM176" s="245">
        <v>10</v>
      </c>
      <c r="EN176" s="246">
        <v>2.7927E-2</v>
      </c>
      <c r="EO176" s="246">
        <v>0.43947999999999998</v>
      </c>
      <c r="EP176" s="31">
        <f>EN176*EM173^EO176</f>
        <v>0.13643855471522418</v>
      </c>
    </row>
    <row r="177" spans="2:147" x14ac:dyDescent="0.3">
      <c r="C177" s="247">
        <v>30</v>
      </c>
      <c r="D177" s="248">
        <v>3.0254E-2</v>
      </c>
      <c r="E177" s="248">
        <v>0.442</v>
      </c>
      <c r="F177" s="31">
        <f>D177*C173^E177</f>
        <v>0.25714102418693457</v>
      </c>
      <c r="M177" s="247">
        <v>30</v>
      </c>
      <c r="N177" s="248">
        <v>3.0254E-2</v>
      </c>
      <c r="O177" s="248">
        <v>0.442</v>
      </c>
      <c r="P177" s="31">
        <f>N177*M173^O177</f>
        <v>0.24826696090848685</v>
      </c>
      <c r="W177" s="247">
        <v>30</v>
      </c>
      <c r="X177" s="248">
        <v>3.0254E-2</v>
      </c>
      <c r="Y177" s="248">
        <v>0.442</v>
      </c>
      <c r="Z177" s="31">
        <f>X177*W173^Y177</f>
        <v>0.21009075423694165</v>
      </c>
      <c r="AG177" s="247">
        <v>30</v>
      </c>
      <c r="AH177" s="248">
        <v>3.0254E-2</v>
      </c>
      <c r="AI177" s="248">
        <v>0.442</v>
      </c>
      <c r="AJ177" s="31">
        <f>AH177*AG173^AI177</f>
        <v>0.19866294280039828</v>
      </c>
      <c r="AQ177" s="247">
        <v>30</v>
      </c>
      <c r="AR177" s="248">
        <v>3.0254E-2</v>
      </c>
      <c r="AS177" s="248">
        <v>0.442</v>
      </c>
      <c r="AT177" s="31">
        <f>AR177*AQ173^AS177</f>
        <v>0.19844265465460517</v>
      </c>
      <c r="BA177" s="247">
        <v>30</v>
      </c>
      <c r="BB177" s="248">
        <v>3.0254E-2</v>
      </c>
      <c r="BC177" s="248">
        <v>0.442</v>
      </c>
      <c r="BD177" s="31">
        <f>BB177*BA173^BC177</f>
        <v>0.19050771426955396</v>
      </c>
      <c r="BK177" s="247">
        <v>30</v>
      </c>
      <c r="BL177" s="248">
        <v>3.0254E-2</v>
      </c>
      <c r="BM177" s="248">
        <v>0.442</v>
      </c>
      <c r="BN177" s="31">
        <f>BL177*BK173^BM177</f>
        <v>0.18350421237079417</v>
      </c>
      <c r="BU177" s="247">
        <v>30</v>
      </c>
      <c r="BV177" s="248">
        <v>3.0254E-2</v>
      </c>
      <c r="BW177" s="248">
        <v>0.442</v>
      </c>
      <c r="BX177" s="31">
        <f>BV177*BU173^BW177</f>
        <v>0.17813669150131356</v>
      </c>
      <c r="CE177" s="247">
        <v>30</v>
      </c>
      <c r="CF177" s="248">
        <v>3.0254E-2</v>
      </c>
      <c r="CG177" s="248">
        <v>0.442</v>
      </c>
      <c r="CH177" s="31">
        <f>CF177*CE173^CG177</f>
        <v>0.1701628918670047</v>
      </c>
      <c r="CO177" s="247">
        <v>30</v>
      </c>
      <c r="CP177" s="248">
        <v>3.0254E-2</v>
      </c>
      <c r="CQ177" s="248">
        <v>0.442</v>
      </c>
      <c r="CR177" s="31">
        <f>CP177*CO173^CQ177</f>
        <v>0.1664631090092937</v>
      </c>
      <c r="CY177" s="247">
        <v>30</v>
      </c>
      <c r="CZ177" s="248">
        <v>3.0254E-2</v>
      </c>
      <c r="DA177" s="248">
        <v>0.442</v>
      </c>
      <c r="DB177" s="31">
        <f>CZ177*CY173^DA177</f>
        <v>0.16498770954137904</v>
      </c>
      <c r="DI177" s="247">
        <v>30</v>
      </c>
      <c r="DJ177" s="248">
        <v>3.0254E-2</v>
      </c>
      <c r="DK177" s="248">
        <v>0.442</v>
      </c>
      <c r="DL177" s="31">
        <f>DJ177*DI173^DK177</f>
        <v>0.16196436926243599</v>
      </c>
      <c r="DS177" s="247">
        <v>30</v>
      </c>
      <c r="DT177" s="248">
        <v>3.0254E-2</v>
      </c>
      <c r="DU177" s="248">
        <v>0.442</v>
      </c>
      <c r="DV177" s="31">
        <f>DT177*DS173^DU177</f>
        <v>0.15492182929698209</v>
      </c>
      <c r="EC177" s="247">
        <v>30</v>
      </c>
      <c r="ED177" s="248">
        <v>3.0254E-2</v>
      </c>
      <c r="EE177" s="248">
        <v>0.442</v>
      </c>
      <c r="EF177" s="31">
        <f>ED177*EC173^EE177</f>
        <v>0.153279781630734</v>
      </c>
      <c r="EM177" s="247">
        <v>30</v>
      </c>
      <c r="EN177" s="248">
        <v>3.0254E-2</v>
      </c>
      <c r="EO177" s="248">
        <v>0.442</v>
      </c>
      <c r="EP177" s="31">
        <f>EN177*EM173^EO177</f>
        <v>0.14915777212937403</v>
      </c>
    </row>
    <row r="178" spans="2:147" x14ac:dyDescent="0.3">
      <c r="B178" t="s">
        <v>81</v>
      </c>
      <c r="D178" t="s">
        <v>226</v>
      </c>
      <c r="E178" s="45" t="s">
        <v>55</v>
      </c>
      <c r="F178" s="199"/>
      <c r="G178" t="s">
        <v>78</v>
      </c>
      <c r="L178" t="s">
        <v>81</v>
      </c>
      <c r="N178" t="s">
        <v>226</v>
      </c>
      <c r="O178" s="45" t="s">
        <v>55</v>
      </c>
      <c r="P178" s="199"/>
      <c r="Q178" t="s">
        <v>78</v>
      </c>
      <c r="V178" t="s">
        <v>81</v>
      </c>
      <c r="X178" t="s">
        <v>226</v>
      </c>
      <c r="Y178" s="45" t="s">
        <v>55</v>
      </c>
      <c r="Z178" s="199"/>
      <c r="AA178" t="s">
        <v>78</v>
      </c>
      <c r="AF178" t="s">
        <v>81</v>
      </c>
      <c r="AH178" t="s">
        <v>226</v>
      </c>
      <c r="AI178" s="45" t="s">
        <v>55</v>
      </c>
      <c r="AJ178" s="199"/>
      <c r="AK178" t="s">
        <v>78</v>
      </c>
      <c r="AP178" t="s">
        <v>81</v>
      </c>
      <c r="AR178" t="s">
        <v>226</v>
      </c>
      <c r="AS178" s="45" t="s">
        <v>55</v>
      </c>
      <c r="AT178" s="199"/>
      <c r="AU178" t="s">
        <v>78</v>
      </c>
      <c r="AZ178" t="s">
        <v>81</v>
      </c>
      <c r="BB178" t="s">
        <v>226</v>
      </c>
      <c r="BC178" s="45" t="s">
        <v>55</v>
      </c>
      <c r="BD178" s="199"/>
      <c r="BE178" t="s">
        <v>78</v>
      </c>
      <c r="BJ178" t="s">
        <v>81</v>
      </c>
      <c r="BL178" t="s">
        <v>226</v>
      </c>
      <c r="BM178" s="45" t="s">
        <v>55</v>
      </c>
      <c r="BN178" s="199"/>
      <c r="BO178" t="s">
        <v>78</v>
      </c>
      <c r="BT178" t="s">
        <v>81</v>
      </c>
      <c r="BV178" t="s">
        <v>226</v>
      </c>
      <c r="BW178" s="45" t="s">
        <v>55</v>
      </c>
      <c r="BX178" s="199"/>
      <c r="BY178" t="s">
        <v>78</v>
      </c>
      <c r="CD178" t="s">
        <v>81</v>
      </c>
      <c r="CF178" t="s">
        <v>226</v>
      </c>
      <c r="CG178" s="45" t="s">
        <v>55</v>
      </c>
      <c r="CH178" s="199"/>
      <c r="CI178" t="s">
        <v>78</v>
      </c>
      <c r="CN178" t="s">
        <v>81</v>
      </c>
      <c r="CP178" t="s">
        <v>226</v>
      </c>
      <c r="CQ178" s="45" t="s">
        <v>55</v>
      </c>
      <c r="CR178" s="199"/>
      <c r="CS178" t="s">
        <v>78</v>
      </c>
      <c r="CX178" t="s">
        <v>81</v>
      </c>
      <c r="CZ178" t="s">
        <v>226</v>
      </c>
      <c r="DA178" s="45" t="s">
        <v>55</v>
      </c>
      <c r="DB178" s="199"/>
      <c r="DC178" t="s">
        <v>78</v>
      </c>
      <c r="DH178" t="s">
        <v>81</v>
      </c>
      <c r="DJ178" t="s">
        <v>226</v>
      </c>
      <c r="DK178" s="45" t="s">
        <v>55</v>
      </c>
      <c r="DL178" s="199"/>
      <c r="DM178" t="s">
        <v>78</v>
      </c>
      <c r="DR178" t="s">
        <v>81</v>
      </c>
      <c r="DT178" t="s">
        <v>226</v>
      </c>
      <c r="DU178" s="45" t="s">
        <v>55</v>
      </c>
      <c r="DV178" s="199"/>
      <c r="DW178" t="s">
        <v>78</v>
      </c>
      <c r="EB178" t="s">
        <v>81</v>
      </c>
      <c r="ED178" t="s">
        <v>226</v>
      </c>
      <c r="EE178" s="45" t="s">
        <v>55</v>
      </c>
      <c r="EF178" s="199"/>
      <c r="EG178" t="s">
        <v>78</v>
      </c>
      <c r="EL178" t="s">
        <v>81</v>
      </c>
      <c r="EN178" t="s">
        <v>226</v>
      </c>
      <c r="EO178" s="45" t="s">
        <v>55</v>
      </c>
      <c r="EP178" s="199"/>
      <c r="EQ178" t="s">
        <v>78</v>
      </c>
    </row>
    <row r="179" spans="2:147" x14ac:dyDescent="0.3">
      <c r="C179">
        <f>$B$57</f>
        <v>6</v>
      </c>
      <c r="D179">
        <f>EXP(INDEX(LINEST(LN(F174:F177),LN(C174:C177),,),1,2))</f>
        <v>0.19108777583392703</v>
      </c>
      <c r="E179" s="45">
        <f>INDEX(LINEST(LN(F174:F177),LN(C174:C177),,),1)</f>
        <v>8.7954572211373871E-2</v>
      </c>
      <c r="F179">
        <f>MAX(D179*C179^E179, 0.05)</f>
        <v>0.22370457492363735</v>
      </c>
      <c r="M179">
        <f>$B$57</f>
        <v>6</v>
      </c>
      <c r="N179">
        <f>EXP(INDEX(LINEST(LN(P174:P177),LN(M174:M177),,),1,2))</f>
        <v>0.18447745293639925</v>
      </c>
      <c r="O179" s="45">
        <f>INDEX(LINEST(LN(P174:P177),LN(M174:M177),,),1)</f>
        <v>8.799643354977571E-2</v>
      </c>
      <c r="P179">
        <f>MAX(N179*M179^O179, 0.05)</f>
        <v>0.21598213431896571</v>
      </c>
      <c r="W179">
        <f>$B$57</f>
        <v>6</v>
      </c>
      <c r="X179">
        <f>EXP(INDEX(LINEST(LN(Z174:Z177),LN(W174:W177),,),1,2))</f>
        <v>0.15604670164064646</v>
      </c>
      <c r="Y179" s="45">
        <f>INDEX(LINEST(LN(Z174:Z177),LN(W174:W177),,),1)</f>
        <v>8.8195447516223713E-2</v>
      </c>
      <c r="Z179">
        <f>MAX(X179*W179^Y179, 0.05)</f>
        <v>0.18276119588916323</v>
      </c>
      <c r="AG179">
        <f>$B$57</f>
        <v>6</v>
      </c>
      <c r="AH179">
        <f>EXP(INDEX(LINEST(LN(AJ174:AJ177),LN(AG174:AG177),,),1,2))</f>
        <v>0.14753848595860922</v>
      </c>
      <c r="AI179" s="45">
        <f>INDEX(LINEST(LN(AJ174:AJ177),LN(AG174:AG177),,),1)</f>
        <v>8.8262113242559281E-2</v>
      </c>
      <c r="AJ179">
        <f>MAX(AH179*AG179^AI179, 0.05)</f>
        <v>0.17281705348942827</v>
      </c>
      <c r="AQ179">
        <f>$B$57</f>
        <v>6</v>
      </c>
      <c r="AR179">
        <f>EXP(INDEX(LINEST(LN(AT174:AT177),LN(AQ174:AQ177),,),1,2))</f>
        <v>0.14737448888763749</v>
      </c>
      <c r="AS179" s="45">
        <f>INDEX(LINEST(LN(AT174:AT177),LN(AQ174:AQ177),,),1)</f>
        <v>8.8263435674149474E-2</v>
      </c>
      <c r="AT179">
        <f>MAX(AR179*AQ179^AS179, 0.05)</f>
        <v>0.17262536694420652</v>
      </c>
      <c r="BA179">
        <f>$B$57</f>
        <v>6</v>
      </c>
      <c r="BB179">
        <f>EXP(INDEX(LINEST(LN(BD174:BD177),LN(BA174:BA177),,),1,2))</f>
        <v>0.14146749396900782</v>
      </c>
      <c r="BC179" s="45">
        <f>INDEX(LINEST(LN(BD174:BD177),LN(BA174:BA177),,),1)</f>
        <v>8.8312076147645885E-2</v>
      </c>
      <c r="BD179">
        <f>MAX(BB179*BA179^BC179, 0.05)</f>
        <v>0.16572072048044159</v>
      </c>
      <c r="BK179">
        <f>$B$57</f>
        <v>6</v>
      </c>
      <c r="BL179">
        <f>EXP(INDEX(LINEST(LN(BN174:BN177),LN(BK174:BK177),,),1,2))</f>
        <v>0.13625438574715054</v>
      </c>
      <c r="BM179" s="45">
        <f>INDEX(LINEST(LN(BN174:BN177),LN(BK174:BK177),,),1)</f>
        <v>8.8356720715049894E-2</v>
      </c>
      <c r="BN179">
        <f>MAX(BL179*BK179^BM179, 0.05)</f>
        <v>0.15962664393105205</v>
      </c>
      <c r="BU179">
        <f>$B$57</f>
        <v>6</v>
      </c>
      <c r="BV179">
        <f>EXP(INDEX(LINEST(LN(BX174:BX177),LN(BU174:BU177),,),1,2))</f>
        <v>0.13225935933349853</v>
      </c>
      <c r="BW179" s="45">
        <f>INDEX(LINEST(LN(BX174:BX177),LN(BU174:BU177),,),1)</f>
        <v>8.8392105465792001E-2</v>
      </c>
      <c r="BX179">
        <f>MAX(BV179*BU179^BW179, 0.05)</f>
        <v>0.15495615876221955</v>
      </c>
      <c r="CE179">
        <f>$B$57</f>
        <v>6</v>
      </c>
      <c r="CF179">
        <f>EXP(INDEX(LINEST(LN(CH174:CH177),LN(CE174:CE177),,),1,2))</f>
        <v>0.12632503340542034</v>
      </c>
      <c r="CG179" s="45">
        <f>INDEX(LINEST(LN(CH174:CH177),LN(CE174:CE177),,),1)</f>
        <v>8.8446690841740505E-2</v>
      </c>
      <c r="CH179">
        <f>MAX(CF179*CE179^CG179, 0.05)</f>
        <v>0.14801792946431555</v>
      </c>
      <c r="CO179">
        <f>$B$57</f>
        <v>6</v>
      </c>
      <c r="CP179">
        <f>EXP(INDEX(LINEST(LN(CR174:CR177),LN(CO174:CO177),,),1,2))</f>
        <v>0.12357177925354498</v>
      </c>
      <c r="CQ179" s="45">
        <f>INDEX(LINEST(LN(CR174:CR177),LN(CO174:CO177),,),1)</f>
        <v>8.8472892822184568E-2</v>
      </c>
      <c r="CR179">
        <f>MAX(CP179*CO179^CQ179, 0.05)</f>
        <v>0.14479867643196961</v>
      </c>
      <c r="CY179">
        <f>$B$57</f>
        <v>6</v>
      </c>
      <c r="CZ179">
        <f>EXP(INDEX(LINEST(LN(DB174:DB177),LN(CY174:CY177),,),1,2))</f>
        <v>0.12247387792740234</v>
      </c>
      <c r="DA179" s="45">
        <f>INDEX(LINEST(LN(DB174:DB177),LN(CY174:CY177),,),1)</f>
        <v>8.8483504436256577E-2</v>
      </c>
      <c r="DB179">
        <f>MAX(CZ179*CY179^DA179, 0.05)</f>
        <v>0.14351490864228708</v>
      </c>
      <c r="DI179">
        <f>$B$57</f>
        <v>6</v>
      </c>
      <c r="DJ179">
        <f>EXP(INDEX(LINEST(LN(DL174:DL177),LN(DI174:DI177),,),1,2))</f>
        <v>0.12022416946464101</v>
      </c>
      <c r="DK179" s="45">
        <f>INDEX(LINEST(LN(DL174:DL177),LN(DI174:DI177),,),1)</f>
        <v>8.8505549093868693E-2</v>
      </c>
      <c r="DL179">
        <f>MAX(DJ179*DI179^DK179, 0.05)</f>
        <v>0.14088426456482497</v>
      </c>
      <c r="DS179">
        <f>$B$57</f>
        <v>6</v>
      </c>
      <c r="DT179">
        <f>EXP(INDEX(LINEST(LN(DV174:DV177),LN(DS174:DS177),,),1,2))</f>
        <v>0.11498412027551405</v>
      </c>
      <c r="DU179" s="45">
        <f>INDEX(LINEST(LN(DV174:DV177),LN(DS174:DS177),,),1)</f>
        <v>8.8558538074424167E-2</v>
      </c>
      <c r="DV179">
        <f>MAX(DT179*DS179^DU179, 0.05)</f>
        <v>0.13475652524545606</v>
      </c>
      <c r="EC179">
        <f>$B$57</f>
        <v>6</v>
      </c>
      <c r="ED179">
        <f>EXP(INDEX(LINEST(LN(EF174:EF177),LN(EC174:EC177),,),1,2))</f>
        <v>0.11376242618114489</v>
      </c>
      <c r="EE179" s="45">
        <f>INDEX(LINEST(LN(EF174:EF177),LN(EC174:EC177),,),1)</f>
        <v>8.8571239223596179E-2</v>
      </c>
      <c r="EF179">
        <f>MAX(ED179*EC179^EE179, 0.05)</f>
        <v>0.13332778560313427</v>
      </c>
      <c r="EM179">
        <f>$B$57</f>
        <v>6</v>
      </c>
      <c r="EN179">
        <f>EXP(INDEX(LINEST(LN(EP174:EP177),LN(EM174:EM177),,),1,2))</f>
        <v>0.11069576571929801</v>
      </c>
      <c r="EO179" s="45">
        <f>INDEX(LINEST(LN(EP174:EP177),LN(EM174:EM177),,),1)</f>
        <v>8.8603732104377428E-2</v>
      </c>
      <c r="EP179">
        <f>MAX(EN179*EM179^EO179, 0.05)</f>
        <v>0.12974126070963143</v>
      </c>
    </row>
    <row r="180" spans="2:147" x14ac:dyDescent="0.3">
      <c r="B180" t="s">
        <v>71</v>
      </c>
      <c r="C180" s="42">
        <f>(34-$C$21)*(F179-0.05)^0.62*(0.37*F179*40+3.14)/100</f>
        <v>0.23971273505250174</v>
      </c>
      <c r="L180" t="s">
        <v>71</v>
      </c>
      <c r="M180" s="42">
        <f>(34-$C$21)*(P179-0.05)^0.62*(0.37*P179*40+3.14)/100</f>
        <v>0.22891939910676684</v>
      </c>
      <c r="V180" t="s">
        <v>71</v>
      </c>
      <c r="W180" s="42">
        <f>(34-$C$21)*(Z179-0.05)^0.62*(0.37*Z179*40+3.14)/100</f>
        <v>0.1838532614197825</v>
      </c>
      <c r="AF180" t="s">
        <v>71</v>
      </c>
      <c r="AG180" s="42">
        <f>(34-$C$21)*(AJ179-0.05)^0.62*(0.37*AJ179*40+3.14)/100</f>
        <v>0.17077805449994329</v>
      </c>
      <c r="AP180" t="s">
        <v>71</v>
      </c>
      <c r="AQ180" s="42">
        <f>(34-$C$21)*(AT179-0.05)^0.62*(0.37*AT179*40+3.14)/100</f>
        <v>0.17052779918230276</v>
      </c>
      <c r="AZ180" t="s">
        <v>71</v>
      </c>
      <c r="BA180" s="42">
        <f>(34-$C$21)*(BD179-0.05)^0.62*(0.37*BD179*40+3.14)/100</f>
        <v>0.16155727532402697</v>
      </c>
      <c r="BJ180" t="s">
        <v>71</v>
      </c>
      <c r="BK180" s="42">
        <f>(34-$C$21)*(BN179-0.05)^0.62*(0.37*BN179*40+3.14)/100</f>
        <v>0.15370879011083721</v>
      </c>
      <c r="BT180" t="s">
        <v>71</v>
      </c>
      <c r="BU180" s="42">
        <f>(34-$C$21)*(BX179-0.05)^0.62*(0.37*BX179*40+3.14)/100</f>
        <v>0.14773567274580973</v>
      </c>
      <c r="CD180" t="s">
        <v>71</v>
      </c>
      <c r="CE180" s="42">
        <f>(34-$C$21)*(CH179-0.05)^0.62*(0.37*CH179*40+3.14)/100</f>
        <v>0.13892599943470524</v>
      </c>
      <c r="CN180" t="s">
        <v>71</v>
      </c>
      <c r="CO180" s="42">
        <f>(34-$C$21)*(CR179-0.05)^0.62*(0.37*CR179*40+3.14)/100</f>
        <v>0.13486286562845617</v>
      </c>
      <c r="CX180" t="s">
        <v>71</v>
      </c>
      <c r="CY180" s="42">
        <f>(34-$C$21)*(DB179-0.05)^0.62*(0.37*DB179*40+3.14)/100</f>
        <v>0.13324668056204764</v>
      </c>
      <c r="DH180" t="s">
        <v>71</v>
      </c>
      <c r="DI180" s="42">
        <f>(34-$C$21)*(DL179-0.05)^0.62*(0.37*DL179*40+3.14)/100</f>
        <v>0.12994190012131107</v>
      </c>
      <c r="DR180" t="s">
        <v>71</v>
      </c>
      <c r="DS180" s="42">
        <f>(34-$C$21)*(DV179-0.05)^0.62*(0.37*DV179*40+3.14)/100</f>
        <v>0.12227831462533473</v>
      </c>
      <c r="EB180" t="s">
        <v>71</v>
      </c>
      <c r="EC180" s="42">
        <f>(34-$C$21)*(EF179-0.05)^0.62*(0.37*EF179*40+3.14)/100</f>
        <v>0.12049791094973704</v>
      </c>
      <c r="EL180" t="s">
        <v>71</v>
      </c>
      <c r="EM180" s="42">
        <f>(34-$C$21)*(EP179-0.05)^0.62*(0.37*EP179*40+3.14)/100</f>
        <v>0.1160383032254559</v>
      </c>
    </row>
    <row r="181" spans="2:147" x14ac:dyDescent="0.3">
      <c r="B181" t="s">
        <v>45</v>
      </c>
      <c r="C181" s="40">
        <f>0.5*C180^2+0.25*C180+0.03</f>
        <v>0.11865928143630088</v>
      </c>
      <c r="L181" t="s">
        <v>45</v>
      </c>
      <c r="M181" s="40">
        <f>0.5*M180^2+0.25*M180+0.03</f>
        <v>0.11343189542039331</v>
      </c>
      <c r="V181" t="s">
        <v>45</v>
      </c>
      <c r="W181" s="40">
        <f>0.5*W180^2+0.25*W180+0.03</f>
        <v>9.2864326222291071E-2</v>
      </c>
      <c r="AF181" t="s">
        <v>45</v>
      </c>
      <c r="AG181" s="40">
        <f>0.5*AG180^2+0.25*AG180+0.03</f>
        <v>8.7277085574378632E-2</v>
      </c>
      <c r="AP181" t="s">
        <v>45</v>
      </c>
      <c r="AQ181" s="40">
        <f>0.5*AQ180^2+0.25*AQ180+0.03</f>
        <v>8.7171814942555576E-2</v>
      </c>
      <c r="AZ181" t="s">
        <v>45</v>
      </c>
      <c r="BA181" s="40">
        <f>0.5*BA180^2+0.25*BA180+0.03</f>
        <v>8.3439695436068467E-2</v>
      </c>
      <c r="BJ181" t="s">
        <v>45</v>
      </c>
      <c r="BK181" s="40">
        <f>0.5*BK180^2+0.25*BK180+0.03</f>
        <v>8.0240393606377997E-2</v>
      </c>
      <c r="BT181" t="s">
        <v>45</v>
      </c>
      <c r="BU181" s="40">
        <f>0.5*BU180^2+0.25*BU180+0.03</f>
        <v>7.7846832687280931E-2</v>
      </c>
      <c r="CD181" t="s">
        <v>45</v>
      </c>
      <c r="CE181" s="40">
        <f>0.5*CE180^2+0.25*CE180+0.03</f>
        <v>7.4381716518142169E-2</v>
      </c>
      <c r="CN181" t="s">
        <v>45</v>
      </c>
      <c r="CO181" s="40">
        <f>0.5*CO180^2+0.25*CO180+0.03</f>
        <v>7.2809712669873558E-2</v>
      </c>
      <c r="CX181" t="s">
        <v>45</v>
      </c>
      <c r="CY181" s="40">
        <f>0.5*CY180^2+0.25*CY180+0.03</f>
        <v>7.2189009080914093E-2</v>
      </c>
      <c r="DH181" t="s">
        <v>45</v>
      </c>
      <c r="DI181" s="40">
        <f>0.5*DI180^2+0.25*DI180+0.03</f>
        <v>7.0927923733896156E-2</v>
      </c>
      <c r="DR181" t="s">
        <v>45</v>
      </c>
      <c r="DS181" s="40">
        <f>0.5*DS180^2+0.25*DS180+0.03</f>
        <v>6.8045571770139854E-2</v>
      </c>
      <c r="EB181" t="s">
        <v>45</v>
      </c>
      <c r="EC181" s="40">
        <f>0.5*EC180^2+0.25*EC180+0.03</f>
        <v>6.7384351009059637E-2</v>
      </c>
      <c r="EL181" t="s">
        <v>45</v>
      </c>
      <c r="EM181" s="40">
        <f>0.5*EM180^2+0.25*EM180+0.03</f>
        <v>6.5742019714085401E-2</v>
      </c>
    </row>
    <row r="182" spans="2:147" x14ac:dyDescent="0.3">
      <c r="B182" t="s">
        <v>80</v>
      </c>
      <c r="C182" s="40" t="str">
        <f>IF(C180&lt;10%,"A",IF(C180&lt;20%,"B",IF(C180&lt;30,"C","-")))</f>
        <v>C</v>
      </c>
      <c r="L182" t="s">
        <v>80</v>
      </c>
      <c r="M182" s="40" t="str">
        <f>IF(M180&lt;10%,"A",IF(M180&lt;20%,"B",IF(M180&lt;30,"C","-")))</f>
        <v>C</v>
      </c>
      <c r="V182" t="s">
        <v>80</v>
      </c>
      <c r="W182" s="40" t="str">
        <f>IF(W180&lt;10%,"A",IF(W180&lt;20%,"B",IF(W180&lt;30,"C","-")))</f>
        <v>B</v>
      </c>
      <c r="AF182" t="s">
        <v>80</v>
      </c>
      <c r="AG182" s="40" t="str">
        <f>IF(AG180&lt;10%,"A",IF(AG180&lt;20%,"B",IF(AG180&lt;30,"C","-")))</f>
        <v>B</v>
      </c>
      <c r="AP182" t="s">
        <v>80</v>
      </c>
      <c r="AQ182" s="40" t="str">
        <f>IF(AQ180&lt;10%,"A",IF(AQ180&lt;20%,"B",IF(AQ180&lt;30,"C","-")))</f>
        <v>B</v>
      </c>
      <c r="AZ182" t="s">
        <v>80</v>
      </c>
      <c r="BA182" s="40" t="str">
        <f>IF(BA180&lt;10%,"A",IF(BA180&lt;20%,"B",IF(BA180&lt;30,"C","-")))</f>
        <v>B</v>
      </c>
      <c r="BJ182" t="s">
        <v>80</v>
      </c>
      <c r="BK182" s="40" t="str">
        <f>IF(BK180&lt;10%,"A",IF(BK180&lt;20%,"B",IF(BK180&lt;30,"C","-")))</f>
        <v>B</v>
      </c>
      <c r="BT182" t="s">
        <v>80</v>
      </c>
      <c r="BU182" s="40" t="str">
        <f>IF(BU180&lt;10%,"A",IF(BU180&lt;20%,"B",IF(BU180&lt;30,"C","-")))</f>
        <v>B</v>
      </c>
      <c r="CD182" t="s">
        <v>80</v>
      </c>
      <c r="CE182" s="40" t="str">
        <f>IF(CE180&lt;10%,"A",IF(CE180&lt;20%,"B",IF(CE180&lt;30,"C","-")))</f>
        <v>B</v>
      </c>
      <c r="CN182" t="s">
        <v>80</v>
      </c>
      <c r="CO182" s="40" t="str">
        <f>IF(CO180&lt;10%,"A",IF(CO180&lt;20%,"B",IF(CO180&lt;30,"C","-")))</f>
        <v>B</v>
      </c>
      <c r="CX182" t="s">
        <v>80</v>
      </c>
      <c r="CY182" s="40" t="str">
        <f>IF(CY180&lt;10%,"A",IF(CY180&lt;20%,"B",IF(CY180&lt;30,"C","-")))</f>
        <v>B</v>
      </c>
      <c r="DH182" t="s">
        <v>80</v>
      </c>
      <c r="DI182" s="40" t="str">
        <f>IF(DI180&lt;10%,"A",IF(DI180&lt;20%,"B",IF(DI180&lt;30,"C","-")))</f>
        <v>B</v>
      </c>
      <c r="DR182" t="s">
        <v>80</v>
      </c>
      <c r="DS182" s="40" t="str">
        <f>IF(DS180&lt;10%,"A",IF(DS180&lt;20%,"B",IF(DS180&lt;30,"C","-")))</f>
        <v>B</v>
      </c>
      <c r="EB182" t="s">
        <v>80</v>
      </c>
      <c r="EC182" s="40" t="str">
        <f>IF(EC180&lt;10%,"A",IF(EC180&lt;20%,"B",IF(EC180&lt;30,"C","-")))</f>
        <v>B</v>
      </c>
      <c r="EL182" t="s">
        <v>80</v>
      </c>
      <c r="EM182" s="40" t="str">
        <f>IF(EM180&lt;10%,"A",IF(EM180&lt;20%,"B",IF(EM180&lt;30,"C","-")))</f>
        <v>B</v>
      </c>
    </row>
    <row r="183" spans="2:147" x14ac:dyDescent="0.3">
      <c r="B183" t="s">
        <v>242</v>
      </c>
      <c r="C183" s="72">
        <f>ABS(0.4527*LN(C180)+1.2387)</f>
        <v>0.59210224775315912</v>
      </c>
      <c r="L183" t="s">
        <v>242</v>
      </c>
      <c r="M183" s="72">
        <f>ABS(0.4527*LN(M180)+1.2387)</f>
        <v>0.57124577181553793</v>
      </c>
      <c r="V183" t="s">
        <v>242</v>
      </c>
      <c r="W183" s="72">
        <f>ABS(0.4527*LN(W180)+1.2387)</f>
        <v>0.47199943388369103</v>
      </c>
      <c r="AF183" t="s">
        <v>242</v>
      </c>
      <c r="AG183" s="72">
        <f>ABS(0.4527*LN(AG180)+1.2387)</f>
        <v>0.4386023240827972</v>
      </c>
      <c r="AP183" t="s">
        <v>242</v>
      </c>
      <c r="AQ183" s="72">
        <f>ABS(0.4527*LN(AQ180)+1.2387)</f>
        <v>0.43793845851251045</v>
      </c>
      <c r="AZ183" t="s">
        <v>242</v>
      </c>
      <c r="BA183" s="72">
        <f>ABS(0.4527*LN(BA180)+1.2387)</f>
        <v>0.41347518305629372</v>
      </c>
      <c r="BJ183" t="s">
        <v>242</v>
      </c>
      <c r="BK183" s="72">
        <f>ABS(0.4527*LN(BK180)+1.2387)</f>
        <v>0.39093077430209255</v>
      </c>
      <c r="BT183" t="s">
        <v>242</v>
      </c>
      <c r="BU183" s="72">
        <f>ABS(0.4527*LN(BU180)+1.2387)</f>
        <v>0.37298793875200231</v>
      </c>
      <c r="CD183" t="s">
        <v>242</v>
      </c>
      <c r="CE183" s="72">
        <f>ABS(0.4527*LN(CE180)+1.2387)</f>
        <v>0.34515446296021379</v>
      </c>
      <c r="CN183" t="s">
        <v>242</v>
      </c>
      <c r="CO183" s="72">
        <f>ABS(0.4527*LN(CO180)+1.2387)</f>
        <v>0.33171698642249026</v>
      </c>
      <c r="CX183" t="s">
        <v>242</v>
      </c>
      <c r="CY183" s="72">
        <f>ABS(0.4527*LN(CY180)+1.2387)</f>
        <v>0.32625909913515627</v>
      </c>
      <c r="DH183" t="s">
        <v>242</v>
      </c>
      <c r="DI183" s="72">
        <f>ABS(0.4527*LN(DI180)+1.2387)</f>
        <v>0.31488966404705909</v>
      </c>
      <c r="DR183" t="s">
        <v>242</v>
      </c>
      <c r="DS183" s="72">
        <f>ABS(0.4527*LN(DS180)+1.2387)</f>
        <v>0.2873710657389823</v>
      </c>
      <c r="EB183" t="s">
        <v>242</v>
      </c>
      <c r="EC183" s="72">
        <f>ABS(0.4527*LN(EC180)+1.2387)</f>
        <v>0.28073118004737496</v>
      </c>
      <c r="EL183" t="s">
        <v>242</v>
      </c>
      <c r="EM183" s="72">
        <f>ABS(0.4527*LN(EM180)+1.2387)</f>
        <v>0.26365892168397798</v>
      </c>
    </row>
    <row r="184" spans="2:147" x14ac:dyDescent="0.3">
      <c r="C184" s="40"/>
      <c r="M184" s="40"/>
      <c r="W184" s="40"/>
      <c r="AG184" s="40"/>
      <c r="AQ184" s="40"/>
      <c r="BA184" s="40"/>
      <c r="BK184" s="40"/>
      <c r="BU184" s="40"/>
      <c r="CE184" s="40"/>
      <c r="CO184" s="40"/>
      <c r="CY184" s="40"/>
      <c r="DI184" s="40"/>
      <c r="DS184" s="40"/>
      <c r="EC184" s="40"/>
      <c r="EM184" s="40"/>
    </row>
    <row r="185" spans="2:147" x14ac:dyDescent="0.3">
      <c r="B185" s="28" t="s">
        <v>268</v>
      </c>
      <c r="C185" s="72">
        <f>C169</f>
        <v>6.0986896543665337</v>
      </c>
      <c r="D185" t="s">
        <v>338</v>
      </c>
      <c r="L185" s="28" t="s">
        <v>268</v>
      </c>
      <c r="M185" s="72">
        <f>M169</f>
        <v>6.0986896543665337</v>
      </c>
      <c r="V185" s="28" t="s">
        <v>268</v>
      </c>
      <c r="W185" s="72">
        <f>W169</f>
        <v>6.0986896543665337</v>
      </c>
      <c r="AF185" s="28" t="s">
        <v>268</v>
      </c>
      <c r="AG185" s="72">
        <f>AG169</f>
        <v>6.0986896543665337</v>
      </c>
      <c r="AP185" s="28" t="s">
        <v>268</v>
      </c>
      <c r="AQ185" s="72">
        <f>AQ169</f>
        <v>6.0986896543665337</v>
      </c>
      <c r="AZ185" s="28" t="s">
        <v>268</v>
      </c>
      <c r="BA185" s="72">
        <f>BA169</f>
        <v>6.0986896543665337</v>
      </c>
      <c r="BJ185" s="28" t="s">
        <v>268</v>
      </c>
      <c r="BK185" s="72">
        <f>BK169</f>
        <v>6.0986896543665337</v>
      </c>
      <c r="BT185" s="28" t="s">
        <v>268</v>
      </c>
      <c r="BU185" s="72">
        <f>BU169</f>
        <v>6.0986896543665337</v>
      </c>
      <c r="CD185" s="28" t="s">
        <v>268</v>
      </c>
      <c r="CE185" s="72">
        <f>CE169</f>
        <v>6.0986896543665337</v>
      </c>
      <c r="CN185" s="28" t="s">
        <v>268</v>
      </c>
      <c r="CO185" s="72">
        <f>CO169</f>
        <v>6.0986896543665337</v>
      </c>
      <c r="CX185" s="28" t="s">
        <v>268</v>
      </c>
      <c r="CY185" s="72">
        <f>CY169</f>
        <v>6.0986896543665337</v>
      </c>
      <c r="DH185" s="28" t="s">
        <v>268</v>
      </c>
      <c r="DI185" s="72">
        <f>DI169</f>
        <v>6.0986896543665337</v>
      </c>
      <c r="DR185" s="28" t="s">
        <v>268</v>
      </c>
      <c r="DS185" s="72">
        <f>DS169</f>
        <v>6.0986896543665337</v>
      </c>
      <c r="EB185" s="28" t="s">
        <v>268</v>
      </c>
      <c r="EC185" s="72">
        <f>EC169</f>
        <v>6.0986896543665337</v>
      </c>
      <c r="EL185" s="28" t="s">
        <v>268</v>
      </c>
      <c r="EM185" s="72">
        <f>EM169</f>
        <v>6.0986896543665337</v>
      </c>
    </row>
    <row r="186" spans="2:147" x14ac:dyDescent="0.3">
      <c r="B186" t="s">
        <v>269</v>
      </c>
      <c r="C186" s="72">
        <f>IF($C$82=3,C166,C167)</f>
        <v>11.453196887307534</v>
      </c>
      <c r="L186" t="s">
        <v>269</v>
      </c>
      <c r="M186" s="72">
        <f>IF($C$82=3,M166,M167)</f>
        <v>11.453196887307534</v>
      </c>
      <c r="V186" t="s">
        <v>269</v>
      </c>
      <c r="W186" s="72">
        <f>IF($C$82=3,W166,W167)</f>
        <v>11.453196887307534</v>
      </c>
      <c r="AF186" t="s">
        <v>269</v>
      </c>
      <c r="AG186" s="72">
        <f>IF($C$82=3,AG166,AG167)</f>
        <v>11.453196887307534</v>
      </c>
      <c r="AP186" t="s">
        <v>269</v>
      </c>
      <c r="AQ186" s="72">
        <f>IF($C$82=3,AQ166,AQ167)</f>
        <v>11.453196887307534</v>
      </c>
      <c r="AZ186" t="s">
        <v>269</v>
      </c>
      <c r="BA186" s="72">
        <f>IF($C$82=3,BA166,BA167)</f>
        <v>11.453196887307534</v>
      </c>
      <c r="BJ186" t="s">
        <v>269</v>
      </c>
      <c r="BK186" s="72">
        <f>IF($C$82=3,BK166,BK167)</f>
        <v>11.453196887307534</v>
      </c>
      <c r="BT186" t="s">
        <v>269</v>
      </c>
      <c r="BU186" s="72">
        <f>IF($C$82=3,BU166,BU167)</f>
        <v>11.453196887307534</v>
      </c>
      <c r="CD186" t="s">
        <v>269</v>
      </c>
      <c r="CE186" s="72">
        <f>IF($C$82=3,CE166,CE167)</f>
        <v>11.453196887307534</v>
      </c>
      <c r="CN186" t="s">
        <v>269</v>
      </c>
      <c r="CO186" s="72">
        <f>IF($C$82=3,CO166,CO167)</f>
        <v>11.453196887307534</v>
      </c>
      <c r="CX186" t="s">
        <v>269</v>
      </c>
      <c r="CY186" s="72">
        <f>IF($C$82=3,CY166,CY167)</f>
        <v>11.453196887307534</v>
      </c>
      <c r="DH186" t="s">
        <v>269</v>
      </c>
      <c r="DI186" s="72">
        <f>IF($C$82=3,DI166,DI167)</f>
        <v>11.453196887307534</v>
      </c>
      <c r="DR186" t="s">
        <v>269</v>
      </c>
      <c r="DS186" s="72">
        <f>IF($C$82=3,DS166,DS167)</f>
        <v>11.453196887307534</v>
      </c>
      <c r="EB186" t="s">
        <v>269</v>
      </c>
      <c r="EC186" s="72">
        <f>IF($C$82=3,EC166,EC167)</f>
        <v>11.453196887307534</v>
      </c>
      <c r="EL186" t="s">
        <v>269</v>
      </c>
      <c r="EM186" s="72">
        <f>IF($C$82=3,EM166,EM167)</f>
        <v>11.453196887307534</v>
      </c>
    </row>
    <row r="187" spans="2:147" x14ac:dyDescent="0.3">
      <c r="B187" t="s">
        <v>337</v>
      </c>
      <c r="C187" s="72">
        <f>C185*C4</f>
        <v>6.0986896543665337</v>
      </c>
      <c r="D187" t="str">
        <f>G3</f>
        <v>L/s/m²</v>
      </c>
    </row>
    <row r="189" spans="2:147" x14ac:dyDescent="0.3">
      <c r="B189" t="s">
        <v>283</v>
      </c>
      <c r="C189" s="32" t="str">
        <f>C202</f>
        <v>DN250 R1</v>
      </c>
      <c r="D189" s="32" t="str">
        <f t="shared" ref="D189:M189" si="267">D202</f>
        <v>DN250</v>
      </c>
      <c r="E189" s="32" t="str">
        <f t="shared" si="267"/>
        <v>DN355 R1</v>
      </c>
      <c r="F189" s="32" t="str">
        <f t="shared" si="267"/>
        <v>DN355</v>
      </c>
      <c r="G189" s="32" t="str">
        <f t="shared" si="267"/>
        <v>DN400</v>
      </c>
      <c r="H189" s="32" t="str">
        <f t="shared" si="267"/>
        <v>DN500 R1</v>
      </c>
      <c r="I189" s="32" t="str">
        <f t="shared" si="267"/>
        <v>DN500</v>
      </c>
      <c r="J189" s="32" t="str">
        <f t="shared" si="267"/>
        <v>DN630</v>
      </c>
      <c r="K189" s="32" t="str">
        <f t="shared" si="267"/>
        <v>DN710 R1</v>
      </c>
      <c r="L189" s="32" t="str">
        <f t="shared" si="267"/>
        <v>DN710</v>
      </c>
      <c r="M189" s="32" t="str">
        <f t="shared" si="267"/>
        <v>DN1000 R1</v>
      </c>
      <c r="N189" s="32" t="str">
        <f>N202</f>
        <v>DN1000</v>
      </c>
      <c r="O189" s="32" t="str">
        <f>O202</f>
        <v>DN1340</v>
      </c>
    </row>
    <row r="190" spans="2:147" x14ac:dyDescent="0.3">
      <c r="B190" t="str">
        <f>B216</f>
        <v>Cmax - Perimeter</v>
      </c>
      <c r="C190">
        <f t="shared" ref="C190:N190" si="268">C216</f>
        <v>55.597546012269937</v>
      </c>
      <c r="D190">
        <f t="shared" si="268"/>
        <v>52.084144427001576</v>
      </c>
      <c r="E190">
        <f t="shared" si="268"/>
        <v>31.41896455399662</v>
      </c>
      <c r="F190">
        <f t="shared" si="268"/>
        <v>23.600360859332124</v>
      </c>
      <c r="G190">
        <f t="shared" si="268"/>
        <v>20.760571092577678</v>
      </c>
      <c r="H190">
        <f t="shared" si="268"/>
        <v>19.073444312416111</v>
      </c>
      <c r="I190">
        <f t="shared" si="268"/>
        <v>18.066845748297627</v>
      </c>
      <c r="J190">
        <f t="shared" si="268"/>
        <v>16.422393417202915</v>
      </c>
      <c r="K190">
        <f t="shared" si="268"/>
        <v>16.253368957215919</v>
      </c>
      <c r="L190">
        <f t="shared" si="268"/>
        <v>15.92819572788961</v>
      </c>
      <c r="M190">
        <f t="shared" si="268"/>
        <v>15.265523861772204</v>
      </c>
      <c r="N190">
        <f t="shared" si="268"/>
        <v>15.127422118792863</v>
      </c>
      <c r="O190">
        <f t="shared" ref="O190" si="269">O216</f>
        <v>14.804154539576217</v>
      </c>
    </row>
    <row r="191" spans="2:147" x14ac:dyDescent="0.3">
      <c r="B191" t="str">
        <f>B217</f>
        <v>Cmin</v>
      </c>
      <c r="C191" t="str">
        <f t="shared" ref="C191:N191" si="270">C217</f>
        <v/>
      </c>
      <c r="D191" t="str">
        <f t="shared" si="270"/>
        <v/>
      </c>
      <c r="E191">
        <f t="shared" si="270"/>
        <v>10.438075812376272</v>
      </c>
      <c r="F191">
        <f t="shared" si="270"/>
        <v>8.4012243819607253</v>
      </c>
      <c r="G191">
        <f t="shared" si="270"/>
        <v>7.5560244542946098</v>
      </c>
      <c r="H191">
        <f t="shared" si="270"/>
        <v>7.0274995424673632</v>
      </c>
      <c r="I191">
        <f t="shared" si="270"/>
        <v>6.7030049041930875</v>
      </c>
      <c r="J191">
        <f t="shared" si="270"/>
        <v>6.1585692582603464</v>
      </c>
      <c r="K191">
        <f t="shared" si="270"/>
        <v>6.1016258267136223</v>
      </c>
      <c r="L191">
        <f t="shared" si="270"/>
        <v>5.9915712586871495</v>
      </c>
      <c r="M191">
        <f t="shared" si="270"/>
        <v>5.7652567868081244</v>
      </c>
      <c r="N191">
        <f t="shared" si="270"/>
        <v>5.7177532779857296</v>
      </c>
      <c r="O191">
        <f t="shared" ref="O191" si="271">O217</f>
        <v>5.6061059692948101</v>
      </c>
    </row>
    <row r="192" spans="2:147" x14ac:dyDescent="0.3">
      <c r="B192" t="s">
        <v>284</v>
      </c>
      <c r="C192" s="40" t="b">
        <f>NOT(C291)</f>
        <v>0</v>
      </c>
      <c r="D192" s="40" t="b">
        <f t="shared" ref="D192:O192" si="272">NOT(D291)</f>
        <v>0</v>
      </c>
      <c r="E192" s="40" t="b">
        <f t="shared" si="272"/>
        <v>0</v>
      </c>
      <c r="F192" s="40" t="b">
        <f t="shared" si="272"/>
        <v>0</v>
      </c>
      <c r="G192" s="40" t="b">
        <f t="shared" si="272"/>
        <v>0</v>
      </c>
      <c r="H192" s="40" t="b">
        <f t="shared" si="272"/>
        <v>0</v>
      </c>
      <c r="I192" s="40" t="b">
        <f t="shared" si="272"/>
        <v>1</v>
      </c>
      <c r="J192" s="40" t="b">
        <f t="shared" si="272"/>
        <v>1</v>
      </c>
      <c r="K192" s="40" t="b">
        <f t="shared" si="272"/>
        <v>1</v>
      </c>
      <c r="L192" s="40" t="b">
        <f t="shared" si="272"/>
        <v>1</v>
      </c>
      <c r="M192" s="40" t="b">
        <f t="shared" si="272"/>
        <v>0</v>
      </c>
      <c r="N192" s="40" t="b">
        <f t="shared" si="272"/>
        <v>0</v>
      </c>
      <c r="O192" s="40" t="b">
        <f t="shared" si="272"/>
        <v>0</v>
      </c>
    </row>
    <row r="193" spans="2:15" x14ac:dyDescent="0.3">
      <c r="B193" t="s">
        <v>42</v>
      </c>
      <c r="C193" s="72" t="str">
        <f t="shared" ref="C193:O193" si="273">IF(C192,C190,"")</f>
        <v/>
      </c>
      <c r="D193" s="72" t="str">
        <f t="shared" si="273"/>
        <v/>
      </c>
      <c r="E193" s="72" t="str">
        <f t="shared" si="273"/>
        <v/>
      </c>
      <c r="F193" s="72" t="str">
        <f t="shared" si="273"/>
        <v/>
      </c>
      <c r="G193" s="72" t="str">
        <f t="shared" si="273"/>
        <v/>
      </c>
      <c r="H193" s="72" t="str">
        <f t="shared" si="273"/>
        <v/>
      </c>
      <c r="I193" s="72">
        <f t="shared" si="273"/>
        <v>18.066845748297627</v>
      </c>
      <c r="J193" s="72">
        <f t="shared" si="273"/>
        <v>16.422393417202915</v>
      </c>
      <c r="K193" s="72">
        <f t="shared" si="273"/>
        <v>16.253368957215919</v>
      </c>
      <c r="L193" s="72">
        <f t="shared" si="273"/>
        <v>15.92819572788961</v>
      </c>
      <c r="M193" s="72" t="str">
        <f t="shared" si="273"/>
        <v/>
      </c>
      <c r="N193" s="72" t="str">
        <f t="shared" si="273"/>
        <v/>
      </c>
      <c r="O193" s="72" t="str">
        <f t="shared" si="273"/>
        <v/>
      </c>
    </row>
    <row r="194" spans="2:15" x14ac:dyDescent="0.3">
      <c r="B194" t="s">
        <v>43</v>
      </c>
      <c r="C194" s="72" t="str">
        <f t="shared" ref="C194:O194" si="274">IF(C192,C191,"")</f>
        <v/>
      </c>
      <c r="D194" s="72" t="str">
        <f t="shared" si="274"/>
        <v/>
      </c>
      <c r="E194" s="72" t="str">
        <f t="shared" si="274"/>
        <v/>
      </c>
      <c r="F194" s="72" t="str">
        <f t="shared" si="274"/>
        <v/>
      </c>
      <c r="G194" s="72" t="str">
        <f t="shared" si="274"/>
        <v/>
      </c>
      <c r="H194" s="72" t="str">
        <f t="shared" si="274"/>
        <v/>
      </c>
      <c r="I194" s="72">
        <f t="shared" si="274"/>
        <v>6.7030049041930875</v>
      </c>
      <c r="J194" s="72">
        <f t="shared" si="274"/>
        <v>6.1585692582603464</v>
      </c>
      <c r="K194" s="72">
        <f t="shared" si="274"/>
        <v>6.1016258267136223</v>
      </c>
      <c r="L194" s="72">
        <f t="shared" si="274"/>
        <v>5.9915712586871495</v>
      </c>
      <c r="M194" s="72" t="str">
        <f t="shared" si="274"/>
        <v/>
      </c>
      <c r="N194" s="72" t="str">
        <f t="shared" si="274"/>
        <v/>
      </c>
      <c r="O194" s="72" t="str">
        <f t="shared" si="274"/>
        <v/>
      </c>
    </row>
    <row r="195" spans="2:15" x14ac:dyDescent="0.3">
      <c r="B195" s="272" t="s">
        <v>351</v>
      </c>
      <c r="C195" s="72" t="b">
        <f>OR(C190="",C191="")</f>
        <v>1</v>
      </c>
      <c r="D195" s="72" t="b">
        <f t="shared" ref="D195:O195" si="275">OR(D190="",D191="")</f>
        <v>1</v>
      </c>
      <c r="E195" s="72" t="b">
        <f t="shared" si="275"/>
        <v>0</v>
      </c>
      <c r="F195" s="72" t="b">
        <f t="shared" si="275"/>
        <v>0</v>
      </c>
      <c r="G195" s="72" t="b">
        <f t="shared" si="275"/>
        <v>0</v>
      </c>
      <c r="H195" s="72" t="b">
        <f t="shared" si="275"/>
        <v>0</v>
      </c>
      <c r="I195" s="72" t="b">
        <f t="shared" si="275"/>
        <v>0</v>
      </c>
      <c r="J195" s="72" t="b">
        <f t="shared" si="275"/>
        <v>0</v>
      </c>
      <c r="K195" s="72" t="b">
        <f t="shared" si="275"/>
        <v>0</v>
      </c>
      <c r="L195" s="72" t="b">
        <f t="shared" si="275"/>
        <v>0</v>
      </c>
      <c r="M195" s="72" t="b">
        <f t="shared" si="275"/>
        <v>0</v>
      </c>
      <c r="N195" s="72" t="b">
        <f t="shared" si="275"/>
        <v>0</v>
      </c>
      <c r="O195" s="72" t="b">
        <f t="shared" si="275"/>
        <v>0</v>
      </c>
    </row>
    <row r="196" spans="2:15" x14ac:dyDescent="0.3">
      <c r="B196" s="272" t="s">
        <v>42</v>
      </c>
      <c r="C196" s="72" t="str">
        <f>IF(C$195,"",C190)</f>
        <v/>
      </c>
      <c r="D196" s="72" t="str">
        <f t="shared" ref="D196:O196" si="276">IF(D$195,"",D190)</f>
        <v/>
      </c>
      <c r="E196" s="72">
        <f t="shared" si="276"/>
        <v>31.41896455399662</v>
      </c>
      <c r="F196" s="72">
        <f t="shared" si="276"/>
        <v>23.600360859332124</v>
      </c>
      <c r="G196" s="72">
        <f t="shared" si="276"/>
        <v>20.760571092577678</v>
      </c>
      <c r="H196" s="72">
        <f t="shared" si="276"/>
        <v>19.073444312416111</v>
      </c>
      <c r="I196" s="72">
        <f t="shared" si="276"/>
        <v>18.066845748297627</v>
      </c>
      <c r="J196" s="72">
        <f t="shared" si="276"/>
        <v>16.422393417202915</v>
      </c>
      <c r="K196" s="72">
        <f t="shared" si="276"/>
        <v>16.253368957215919</v>
      </c>
      <c r="L196" s="72">
        <f>IF(L$195,"",L190)</f>
        <v>15.92819572788961</v>
      </c>
      <c r="M196" s="72">
        <f>IF(M$195,"",M190)</f>
        <v>15.265523861772204</v>
      </c>
      <c r="N196" s="72">
        <f t="shared" si="276"/>
        <v>15.127422118792863</v>
      </c>
      <c r="O196" s="72">
        <f t="shared" si="276"/>
        <v>14.804154539576217</v>
      </c>
    </row>
    <row r="197" spans="2:15" x14ac:dyDescent="0.3">
      <c r="B197" s="272" t="s">
        <v>43</v>
      </c>
      <c r="C197" s="72" t="str">
        <f>IF(C$195,"",C191)</f>
        <v/>
      </c>
      <c r="D197" s="72" t="str">
        <f t="shared" ref="D197:O197" si="277">IF(D$195,"",D191)</f>
        <v/>
      </c>
      <c r="E197" s="72">
        <f t="shared" si="277"/>
        <v>10.438075812376272</v>
      </c>
      <c r="F197" s="72">
        <f t="shared" si="277"/>
        <v>8.4012243819607253</v>
      </c>
      <c r="G197" s="72">
        <f t="shared" si="277"/>
        <v>7.5560244542946098</v>
      </c>
      <c r="H197" s="72">
        <f t="shared" si="277"/>
        <v>7.0274995424673632</v>
      </c>
      <c r="I197" s="72">
        <f t="shared" si="277"/>
        <v>6.7030049041930875</v>
      </c>
      <c r="J197" s="72">
        <f t="shared" si="277"/>
        <v>6.1585692582603464</v>
      </c>
      <c r="K197" s="72">
        <f t="shared" si="277"/>
        <v>6.1016258267136223</v>
      </c>
      <c r="L197" s="72">
        <f>IF(L$195,"",L191)</f>
        <v>5.9915712586871495</v>
      </c>
      <c r="M197" s="72">
        <f>IF(M$195,"",M191)</f>
        <v>5.7652567868081244</v>
      </c>
      <c r="N197" s="72">
        <f t="shared" si="277"/>
        <v>5.7177532779857296</v>
      </c>
      <c r="O197" s="72">
        <f t="shared" si="277"/>
        <v>5.6061059692948101</v>
      </c>
    </row>
    <row r="198" spans="2:15" x14ac:dyDescent="0.3">
      <c r="B198" t="s">
        <v>285</v>
      </c>
      <c r="C198" s="72">
        <f>IFERROR(AVERAGE(AVERAGE(C193:O193),AVERAGE(C194:O194)),AVERAGE(AVERAGE(C196:O196),AVERAGE(C197:O197)))</f>
        <v>11.453196887307534</v>
      </c>
      <c r="D198" t="s">
        <v>3</v>
      </c>
    </row>
    <row r="199" spans="2:15" x14ac:dyDescent="0.3">
      <c r="C199" s="40"/>
    </row>
    <row r="200" spans="2:15" x14ac:dyDescent="0.3">
      <c r="E200" s="45"/>
    </row>
    <row r="201" spans="2:15" ht="20.399999999999999" thickBot="1" x14ac:dyDescent="0.45">
      <c r="B201" s="24" t="s">
        <v>36</v>
      </c>
      <c r="C201">
        <v>1</v>
      </c>
      <c r="D201">
        <v>2</v>
      </c>
      <c r="E201">
        <v>3</v>
      </c>
      <c r="F201">
        <v>4</v>
      </c>
      <c r="G201">
        <v>5</v>
      </c>
      <c r="H201">
        <v>6</v>
      </c>
      <c r="I201">
        <v>7</v>
      </c>
      <c r="J201">
        <v>8</v>
      </c>
      <c r="K201">
        <v>9</v>
      </c>
      <c r="L201">
        <v>10</v>
      </c>
      <c r="M201">
        <v>11</v>
      </c>
      <c r="N201">
        <v>12</v>
      </c>
      <c r="O201">
        <v>13</v>
      </c>
    </row>
    <row r="202" spans="2:15" ht="15" thickTop="1" x14ac:dyDescent="0.3">
      <c r="C202" s="32" t="s">
        <v>48</v>
      </c>
      <c r="D202" s="32" t="s">
        <v>22</v>
      </c>
      <c r="E202" s="32" t="s">
        <v>49</v>
      </c>
      <c r="F202" s="32" t="s">
        <v>32</v>
      </c>
      <c r="G202" s="32" t="s">
        <v>342</v>
      </c>
      <c r="H202" s="32" t="s">
        <v>50</v>
      </c>
      <c r="I202" s="32" t="s">
        <v>34</v>
      </c>
      <c r="J202" s="32" t="s">
        <v>343</v>
      </c>
      <c r="K202" s="32" t="s">
        <v>51</v>
      </c>
      <c r="L202" s="32" t="s">
        <v>35</v>
      </c>
      <c r="M202" s="38" t="s">
        <v>52</v>
      </c>
      <c r="N202" s="38" t="s">
        <v>47</v>
      </c>
      <c r="O202" s="32" t="s">
        <v>231</v>
      </c>
    </row>
    <row r="203" spans="2:15" x14ac:dyDescent="0.3">
      <c r="B203" t="s">
        <v>37</v>
      </c>
      <c r="C203">
        <f>$C$11</f>
        <v>800</v>
      </c>
      <c r="D203">
        <f>$C$11</f>
        <v>800</v>
      </c>
      <c r="E203">
        <f t="shared" ref="E203:O203" si="278">$C$11</f>
        <v>800</v>
      </c>
      <c r="F203">
        <f t="shared" si="278"/>
        <v>800</v>
      </c>
      <c r="G203">
        <f t="shared" si="278"/>
        <v>800</v>
      </c>
      <c r="H203">
        <f t="shared" si="278"/>
        <v>800</v>
      </c>
      <c r="I203">
        <f t="shared" si="278"/>
        <v>800</v>
      </c>
      <c r="J203">
        <f t="shared" si="278"/>
        <v>800</v>
      </c>
      <c r="K203">
        <f t="shared" si="278"/>
        <v>800</v>
      </c>
      <c r="L203">
        <f t="shared" si="278"/>
        <v>800</v>
      </c>
      <c r="M203">
        <f t="shared" si="278"/>
        <v>800</v>
      </c>
      <c r="N203">
        <f t="shared" si="278"/>
        <v>800</v>
      </c>
      <c r="O203">
        <f t="shared" si="278"/>
        <v>800</v>
      </c>
    </row>
    <row r="204" spans="2:15" x14ac:dyDescent="0.3">
      <c r="B204" t="s">
        <v>341</v>
      </c>
      <c r="C204">
        <f>C97</f>
        <v>191.99447483568773</v>
      </c>
      <c r="D204">
        <f>M97</f>
        <v>218.62733702194814</v>
      </c>
      <c r="E204">
        <f>W97</f>
        <v>384.8617582152163</v>
      </c>
      <c r="F204">
        <f>AG97</f>
        <v>508.50150003810296</v>
      </c>
      <c r="G204">
        <f>BA97</f>
        <v>608.55171242225686</v>
      </c>
      <c r="H204">
        <f>BK97</f>
        <v>702.37239951130766</v>
      </c>
      <c r="I204">
        <f>BU97</f>
        <v>851.54936876686645</v>
      </c>
      <c r="J204">
        <f>CO97</f>
        <v>1351.3906322818736</v>
      </c>
      <c r="K204">
        <f>CY97</f>
        <v>1416.2637063746008</v>
      </c>
      <c r="L204">
        <f>DI97</f>
        <v>1717.0641471815095</v>
      </c>
      <c r="M204">
        <f>DS97</f>
        <v>2809.4895980452307</v>
      </c>
      <c r="N204">
        <f>EC97</f>
        <v>3406.1974750674653</v>
      </c>
      <c r="O204">
        <f>EM97</f>
        <v>6116.1681862311416</v>
      </c>
    </row>
    <row r="205" spans="2:15" x14ac:dyDescent="0.3">
      <c r="B205" t="s">
        <v>96</v>
      </c>
      <c r="C205">
        <f>$C$13</f>
        <v>800</v>
      </c>
      <c r="D205">
        <f t="shared" ref="D205:O205" si="279">$C$13</f>
        <v>800</v>
      </c>
      <c r="E205">
        <f t="shared" si="279"/>
        <v>800</v>
      </c>
      <c r="F205">
        <f t="shared" si="279"/>
        <v>800</v>
      </c>
      <c r="G205">
        <f t="shared" si="279"/>
        <v>800</v>
      </c>
      <c r="H205">
        <f t="shared" si="279"/>
        <v>800</v>
      </c>
      <c r="I205">
        <f t="shared" si="279"/>
        <v>800</v>
      </c>
      <c r="J205">
        <f t="shared" si="279"/>
        <v>800</v>
      </c>
      <c r="K205">
        <f t="shared" si="279"/>
        <v>800</v>
      </c>
      <c r="L205">
        <f t="shared" si="279"/>
        <v>800</v>
      </c>
      <c r="M205">
        <f t="shared" si="279"/>
        <v>800</v>
      </c>
      <c r="N205">
        <f t="shared" si="279"/>
        <v>800</v>
      </c>
      <c r="O205">
        <f t="shared" si="279"/>
        <v>800</v>
      </c>
    </row>
    <row r="206" spans="2:15" x14ac:dyDescent="0.3">
      <c r="B206" t="s">
        <v>291</v>
      </c>
      <c r="C206">
        <f>C98</f>
        <v>69.763999999999996</v>
      </c>
      <c r="D206">
        <f>M98</f>
        <v>77.896000000000001</v>
      </c>
      <c r="E206">
        <f>W98</f>
        <v>134.07</v>
      </c>
      <c r="F206">
        <f>AG98</f>
        <v>168.92</v>
      </c>
      <c r="G206">
        <f>BA98</f>
        <v>204.58999999999997</v>
      </c>
      <c r="H206">
        <f>BK98</f>
        <v>247.23</v>
      </c>
      <c r="I206">
        <f>BU98</f>
        <v>291.91999999999996</v>
      </c>
      <c r="J206">
        <f>CO98</f>
        <v>463.29999999999995</v>
      </c>
      <c r="K206">
        <f>CY98</f>
        <v>498.51457199999999</v>
      </c>
      <c r="L206">
        <f>DI98</f>
        <v>588.62748799999997</v>
      </c>
      <c r="M206">
        <f>DS98</f>
        <v>988.92</v>
      </c>
      <c r="N206">
        <f>EC98</f>
        <v>1167.6799999999998</v>
      </c>
      <c r="O206">
        <f>EM98</f>
        <v>1803.641385357515</v>
      </c>
    </row>
    <row r="207" spans="2:15" x14ac:dyDescent="0.3">
      <c r="B207" t="s">
        <v>230</v>
      </c>
      <c r="C207">
        <f>C96</f>
        <v>1041.726621124317</v>
      </c>
      <c r="D207">
        <f>M96</f>
        <v>803.3823653988203</v>
      </c>
      <c r="E207">
        <f>W96</f>
        <v>259.25175512229993</v>
      </c>
      <c r="F207">
        <f>AG96</f>
        <v>148.50693934316277</v>
      </c>
      <c r="G207">
        <f>BA96</f>
        <v>103.68985011389189</v>
      </c>
      <c r="H207">
        <f>BK96</f>
        <v>77.8388390774671</v>
      </c>
      <c r="I207">
        <f>BU96</f>
        <v>52.955559591370047</v>
      </c>
      <c r="J207">
        <f>CO96</f>
        <v>21.02661758347919</v>
      </c>
      <c r="K207">
        <f>CY96</f>
        <v>19.144453459579054</v>
      </c>
      <c r="L207">
        <f>DI96</f>
        <v>13.024413750749616</v>
      </c>
      <c r="M207">
        <f>DS96</f>
        <v>4.8649274423416937</v>
      </c>
      <c r="N207">
        <f>EC96</f>
        <v>3.3097224744606288</v>
      </c>
      <c r="O207">
        <f>EM96</f>
        <v>1.0265317480540623</v>
      </c>
    </row>
    <row r="208" spans="2:15" x14ac:dyDescent="0.3">
      <c r="B208" t="s">
        <v>38</v>
      </c>
      <c r="C208">
        <f>C92</f>
        <v>1204.4111558583313</v>
      </c>
      <c r="D208">
        <f>M92</f>
        <v>966.06690013283446</v>
      </c>
      <c r="E208">
        <f>W92</f>
        <v>299.26399760588799</v>
      </c>
      <c r="F208">
        <f>AG92</f>
        <v>188.51918182675087</v>
      </c>
      <c r="G208">
        <f>BA92</f>
        <v>128.51354010626463</v>
      </c>
      <c r="H208" s="31">
        <f>BK92</f>
        <v>88.006622498342992</v>
      </c>
      <c r="I208">
        <f>BU92</f>
        <v>63.12334301224594</v>
      </c>
      <c r="J208">
        <f>CO92</f>
        <v>25.060693867961469</v>
      </c>
      <c r="K208" s="31">
        <f>CY92</f>
        <v>21.645218614803312</v>
      </c>
      <c r="L208">
        <f>DI92</f>
        <v>15.525178905973872</v>
      </c>
      <c r="M208" s="31">
        <f>DS92</f>
        <v>5.500413906146437</v>
      </c>
      <c r="N208">
        <f>EC92</f>
        <v>3.9452089382653712</v>
      </c>
      <c r="O208">
        <f>EM92</f>
        <v>1.2236319688695514</v>
      </c>
    </row>
    <row r="209" spans="2:15" x14ac:dyDescent="0.3">
      <c r="B209" t="s">
        <v>39</v>
      </c>
      <c r="C209">
        <f t="shared" ref="C209:M209" si="280">$C$14</f>
        <v>60</v>
      </c>
      <c r="D209">
        <f>$C$14</f>
        <v>60</v>
      </c>
      <c r="E209">
        <f t="shared" si="280"/>
        <v>60</v>
      </c>
      <c r="F209">
        <f t="shared" si="280"/>
        <v>60</v>
      </c>
      <c r="G209">
        <f t="shared" si="280"/>
        <v>60</v>
      </c>
      <c r="H209">
        <f t="shared" si="280"/>
        <v>60</v>
      </c>
      <c r="I209">
        <f t="shared" si="280"/>
        <v>60</v>
      </c>
      <c r="J209">
        <f t="shared" si="280"/>
        <v>60</v>
      </c>
      <c r="K209">
        <f t="shared" si="280"/>
        <v>60</v>
      </c>
      <c r="L209">
        <f t="shared" si="280"/>
        <v>60</v>
      </c>
      <c r="M209">
        <f t="shared" si="280"/>
        <v>60</v>
      </c>
      <c r="N209">
        <f>$C$14</f>
        <v>60</v>
      </c>
      <c r="O209">
        <f>$C$14</f>
        <v>60</v>
      </c>
    </row>
    <row r="210" spans="2:15" x14ac:dyDescent="0.3">
      <c r="B210" t="s">
        <v>40</v>
      </c>
      <c r="C210" s="27">
        <f>C99</f>
        <v>94.469005791175348</v>
      </c>
      <c r="D210" s="27">
        <f>M99</f>
        <v>89.658924866876276</v>
      </c>
      <c r="E210" s="27">
        <f>W99</f>
        <v>79.33172723949319</v>
      </c>
      <c r="F210" s="27">
        <f>AG99</f>
        <v>69.386204611804871</v>
      </c>
      <c r="G210" s="27">
        <f>BA99</f>
        <v>64.067624542584298</v>
      </c>
      <c r="H210" s="27">
        <f>BK99</f>
        <v>59.773635027432277</v>
      </c>
      <c r="I210" s="27">
        <f>BU99</f>
        <v>54.203345216163292</v>
      </c>
      <c r="J210" s="27">
        <f>CO99</f>
        <v>42.967803826232235</v>
      </c>
      <c r="K210" s="27">
        <f>CY99</f>
        <v>41.191280362179533</v>
      </c>
      <c r="L210" s="27">
        <f>DI99</f>
        <v>37.315263848475162</v>
      </c>
      <c r="M210" s="27">
        <f>DS99</f>
        <v>24.611652310173188</v>
      </c>
      <c r="N210" s="27">
        <f>EC99</f>
        <v>20.729486227307099</v>
      </c>
      <c r="O210" s="27">
        <f>EM99</f>
        <v>6.1194308426193835</v>
      </c>
    </row>
    <row r="211" spans="2:15" x14ac:dyDescent="0.3">
      <c r="B211" t="s">
        <v>41</v>
      </c>
      <c r="C211" s="413">
        <f>C104</f>
        <v>144.01157362039007</v>
      </c>
      <c r="D211" s="413">
        <f>M104</f>
        <v>100.97118991781848</v>
      </c>
      <c r="E211" s="413">
        <f>W104</f>
        <v>50.184188561817557</v>
      </c>
      <c r="F211" s="413">
        <f>AG104</f>
        <v>35.264070508387043</v>
      </c>
      <c r="G211" s="413">
        <f>BA104</f>
        <v>24.6511694135299</v>
      </c>
      <c r="H211" s="413">
        <f>BK104</f>
        <v>18.001446702548758</v>
      </c>
      <c r="I211" s="413">
        <f>BU104</f>
        <v>12.62139873972731</v>
      </c>
      <c r="J211" s="413">
        <f>CO104</f>
        <v>6.3095131813855536</v>
      </c>
      <c r="K211" s="413">
        <f>CY104</f>
        <v>5.7027487002065405</v>
      </c>
      <c r="L211" s="413">
        <f>DI104</f>
        <v>4.4080088135483804</v>
      </c>
      <c r="M211" s="413">
        <f>DS104</f>
        <v>2.2421253054875363</v>
      </c>
      <c r="N211" s="413">
        <f>EC104</f>
        <v>1.5776748424659137</v>
      </c>
      <c r="O211" s="414">
        <f>EM104</f>
        <v>0.65569686200842248</v>
      </c>
    </row>
    <row r="212" spans="2:15" x14ac:dyDescent="0.3">
      <c r="B212" t="s">
        <v>211</v>
      </c>
      <c r="C212" s="415">
        <f>C338</f>
        <v>13.3</v>
      </c>
      <c r="D212" s="415">
        <f t="shared" ref="D212:F212" si="281">D338</f>
        <v>13.3</v>
      </c>
      <c r="E212" s="415">
        <f t="shared" si="281"/>
        <v>18.600000000000001</v>
      </c>
      <c r="F212" s="415">
        <f t="shared" si="281"/>
        <v>14.880000000000003</v>
      </c>
      <c r="G212" s="415">
        <f t="shared" ref="G212:O212" si="282">G338</f>
        <v>14.560000000000002</v>
      </c>
      <c r="H212" s="415">
        <f t="shared" si="282"/>
        <v>16.900000000000002</v>
      </c>
      <c r="I212" s="415">
        <f t="shared" si="282"/>
        <v>13</v>
      </c>
      <c r="J212" s="415">
        <f t="shared" si="282"/>
        <v>6.56</v>
      </c>
      <c r="K212" s="415">
        <f t="shared" si="282"/>
        <v>7.3000000000000007</v>
      </c>
      <c r="L212" s="415">
        <f t="shared" si="282"/>
        <v>1.8250000000000002</v>
      </c>
      <c r="M212" s="415">
        <f t="shared" si="282"/>
        <v>-15.300000000000002</v>
      </c>
      <c r="N212" s="415">
        <f t="shared" si="282"/>
        <v>-22.95</v>
      </c>
      <c r="O212" s="415">
        <f t="shared" si="282"/>
        <v>-47.81</v>
      </c>
    </row>
    <row r="213" spans="2:15" x14ac:dyDescent="0.3">
      <c r="B213" t="s">
        <v>29</v>
      </c>
      <c r="C213">
        <f t="shared" ref="C213:N213" si="283">$C$17</f>
        <v>16</v>
      </c>
      <c r="D213">
        <f>$C$17</f>
        <v>16</v>
      </c>
      <c r="E213">
        <f t="shared" si="283"/>
        <v>16</v>
      </c>
      <c r="F213">
        <f t="shared" si="283"/>
        <v>16</v>
      </c>
      <c r="G213">
        <f t="shared" si="283"/>
        <v>16</v>
      </c>
      <c r="H213">
        <f t="shared" si="283"/>
        <v>16</v>
      </c>
      <c r="I213">
        <f t="shared" si="283"/>
        <v>16</v>
      </c>
      <c r="J213">
        <f t="shared" si="283"/>
        <v>16</v>
      </c>
      <c r="K213">
        <f t="shared" si="283"/>
        <v>16</v>
      </c>
      <c r="L213">
        <f t="shared" si="283"/>
        <v>16</v>
      </c>
      <c r="M213">
        <f t="shared" si="283"/>
        <v>16</v>
      </c>
      <c r="N213">
        <f t="shared" si="283"/>
        <v>16</v>
      </c>
    </row>
    <row r="214" spans="2:15" x14ac:dyDescent="0.3">
      <c r="B214" t="s">
        <v>216</v>
      </c>
      <c r="C214" s="46">
        <f>C131</f>
        <v>6.4351673520765429</v>
      </c>
      <c r="D214" s="46">
        <f>M131</f>
        <v>5.2199252746708478</v>
      </c>
      <c r="E214" s="46">
        <f>W131</f>
        <v>4.452263820189005</v>
      </c>
      <c r="F214" s="46">
        <f>AG131</f>
        <v>3.8994140295697153</v>
      </c>
      <c r="G214" s="46">
        <f>BA131</f>
        <v>3.6804077706386762</v>
      </c>
      <c r="H214" s="46">
        <f>BK131</f>
        <v>3.6245375862192182</v>
      </c>
      <c r="I214" s="46">
        <f>BU131</f>
        <v>3.4994522582497338</v>
      </c>
      <c r="J214" s="46">
        <f>CO131</f>
        <v>3.4851330616130318</v>
      </c>
      <c r="K214" s="46">
        <f>CY131</f>
        <v>3.4816081592080304</v>
      </c>
      <c r="L214" s="46">
        <f>DI131</f>
        <v>3.511414662570052</v>
      </c>
      <c r="M214" s="46">
        <f>DS131</f>
        <v>3.583309563069105</v>
      </c>
      <c r="N214" s="46">
        <f>EC131</f>
        <v>3.7187587612438482</v>
      </c>
      <c r="O214" s="46">
        <f>EM131</f>
        <v>4.059432319725941</v>
      </c>
    </row>
    <row r="215" spans="2:15" x14ac:dyDescent="0.3">
      <c r="B215" t="s">
        <v>399</v>
      </c>
      <c r="C215">
        <f>C161</f>
        <v>55.597546012269937</v>
      </c>
      <c r="D215">
        <f>M161</f>
        <v>52.084144427001576</v>
      </c>
      <c r="E215">
        <f>W161</f>
        <v>34.553131679455923</v>
      </c>
      <c r="F215">
        <f>AG161</f>
        <v>26.12161461496677</v>
      </c>
      <c r="G215">
        <f>BA161</f>
        <v>23.02201361818231</v>
      </c>
      <c r="H215">
        <f>BK161</f>
        <v>21.172555053796241</v>
      </c>
      <c r="I215">
        <f>BU161</f>
        <v>20.066503732710743</v>
      </c>
      <c r="J215">
        <f>CO161</f>
        <v>18.255695441723088</v>
      </c>
      <c r="K215">
        <f>CY161</f>
        <v>18.069312870226518</v>
      </c>
      <c r="L215">
        <f>DI161</f>
        <v>17.710615261266096</v>
      </c>
      <c r="M215">
        <f>DS161</f>
        <v>16.979104750043131</v>
      </c>
      <c r="N215">
        <f>EC161</f>
        <v>16.826571235260836</v>
      </c>
      <c r="O215">
        <f>EM161</f>
        <v>16.469408990931644</v>
      </c>
    </row>
    <row r="216" spans="2:15" x14ac:dyDescent="0.3">
      <c r="B216" t="s">
        <v>396</v>
      </c>
      <c r="C216">
        <f>$C$153</f>
        <v>55.597546012269937</v>
      </c>
      <c r="D216">
        <f>$M$153</f>
        <v>52.084144427001576</v>
      </c>
      <c r="E216">
        <f>W153</f>
        <v>31.41896455399662</v>
      </c>
      <c r="F216">
        <f>AG153</f>
        <v>23.600360859332124</v>
      </c>
      <c r="G216">
        <f>BA153</f>
        <v>20.760571092577678</v>
      </c>
      <c r="H216">
        <f>$BK$153</f>
        <v>19.073444312416111</v>
      </c>
      <c r="I216">
        <f>$BU$153</f>
        <v>18.066845748297627</v>
      </c>
      <c r="J216">
        <f>CO153</f>
        <v>16.422393417202915</v>
      </c>
      <c r="K216">
        <f>$CY$153</f>
        <v>16.253368957215919</v>
      </c>
      <c r="L216">
        <f>$DI$153</f>
        <v>15.92819572788961</v>
      </c>
      <c r="M216">
        <f>$DS$153</f>
        <v>15.265523861772204</v>
      </c>
      <c r="N216">
        <f>$EC$153</f>
        <v>15.127422118792863</v>
      </c>
      <c r="O216">
        <f>$EM$153</f>
        <v>14.804154539576217</v>
      </c>
    </row>
    <row r="217" spans="2:15" x14ac:dyDescent="0.3">
      <c r="B217" t="s">
        <v>43</v>
      </c>
      <c r="C217" t="str">
        <f>$C$145</f>
        <v/>
      </c>
      <c r="D217" t="str">
        <f>$M$145</f>
        <v/>
      </c>
      <c r="E217">
        <f>W145</f>
        <v>10.438075812376272</v>
      </c>
      <c r="F217">
        <f>AG145</f>
        <v>8.4012243819607253</v>
      </c>
      <c r="G217">
        <f>BA145</f>
        <v>7.5560244542946098</v>
      </c>
      <c r="H217">
        <f>BK145</f>
        <v>7.0274995424673632</v>
      </c>
      <c r="I217">
        <f>BU145</f>
        <v>6.7030049041930875</v>
      </c>
      <c r="J217">
        <f>CO145</f>
        <v>6.1585692582603464</v>
      </c>
      <c r="K217">
        <f>$CY$145</f>
        <v>6.1016258267136223</v>
      </c>
      <c r="L217">
        <f>$DI$145</f>
        <v>5.9915712586871495</v>
      </c>
      <c r="M217">
        <f>$DS$145</f>
        <v>5.7652567868081244</v>
      </c>
      <c r="N217">
        <f>$EC$145</f>
        <v>5.7177532779857296</v>
      </c>
      <c r="O217">
        <f>$EM$145</f>
        <v>5.6061059692948101</v>
      </c>
    </row>
    <row r="218" spans="2:15" x14ac:dyDescent="0.3">
      <c r="B218" t="s">
        <v>77</v>
      </c>
      <c r="C218">
        <f>F179</f>
        <v>0.22370457492363735</v>
      </c>
      <c r="D218">
        <f>P179</f>
        <v>0.21598213431896571</v>
      </c>
      <c r="E218">
        <f>Z179</f>
        <v>0.18276119588916323</v>
      </c>
      <c r="F218">
        <f>AJ179</f>
        <v>0.17281705348942827</v>
      </c>
      <c r="G218">
        <f>BD179</f>
        <v>0.16572072048044159</v>
      </c>
      <c r="H218">
        <f>BN179</f>
        <v>0.15962664393105205</v>
      </c>
      <c r="I218">
        <f>BX179</f>
        <v>0.15495615876221955</v>
      </c>
      <c r="J218">
        <f>CR179</f>
        <v>0.14479867643196961</v>
      </c>
      <c r="K218">
        <f>$DB$179</f>
        <v>0.14351490864228708</v>
      </c>
      <c r="L218">
        <f>$DL$179</f>
        <v>0.14088426456482497</v>
      </c>
      <c r="M218">
        <f>$DV$179</f>
        <v>0.13475652524545606</v>
      </c>
      <c r="N218">
        <f>$EF$179</f>
        <v>0.13332778560313427</v>
      </c>
      <c r="O218">
        <f>$EP$179</f>
        <v>0.12974126070963143</v>
      </c>
    </row>
    <row r="219" spans="2:15" x14ac:dyDescent="0.3">
      <c r="B219" t="s">
        <v>44</v>
      </c>
      <c r="C219" s="43">
        <f>$C$180</f>
        <v>0.23971273505250174</v>
      </c>
      <c r="D219" s="43">
        <f>$M$180</f>
        <v>0.22891939910676684</v>
      </c>
      <c r="E219" s="43">
        <f>W180</f>
        <v>0.1838532614197825</v>
      </c>
      <c r="F219" s="43">
        <f>AG180</f>
        <v>0.17077805449994329</v>
      </c>
      <c r="G219" s="43">
        <f>BA180</f>
        <v>0.16155727532402697</v>
      </c>
      <c r="H219" s="43">
        <f>$BK$180</f>
        <v>0.15370879011083721</v>
      </c>
      <c r="I219" s="43">
        <f>$BU$180</f>
        <v>0.14773567274580973</v>
      </c>
      <c r="J219" s="43">
        <f>CO180</f>
        <v>0.13486286562845617</v>
      </c>
      <c r="K219" s="43">
        <f>$CY$180</f>
        <v>0.13324668056204764</v>
      </c>
      <c r="L219" s="43">
        <f>$DI$180</f>
        <v>0.12994190012131107</v>
      </c>
      <c r="M219" s="43">
        <f>$DS$180</f>
        <v>0.12227831462533473</v>
      </c>
      <c r="N219" s="43">
        <f>$EC$180</f>
        <v>0.12049791094973704</v>
      </c>
      <c r="O219" s="43">
        <f>$EM$180</f>
        <v>0.1160383032254559</v>
      </c>
    </row>
    <row r="220" spans="2:15" x14ac:dyDescent="0.3">
      <c r="B220" t="s">
        <v>45</v>
      </c>
      <c r="C220" s="43">
        <f>C181</f>
        <v>0.11865928143630088</v>
      </c>
      <c r="D220" s="43">
        <f>M181</f>
        <v>0.11343189542039331</v>
      </c>
      <c r="E220" s="43">
        <f>W181</f>
        <v>9.2864326222291071E-2</v>
      </c>
      <c r="F220" s="43">
        <f>AG181</f>
        <v>8.7277085574378632E-2</v>
      </c>
      <c r="G220" s="43">
        <f>BA181</f>
        <v>8.3439695436068467E-2</v>
      </c>
      <c r="H220" s="43">
        <f>BK181</f>
        <v>8.0240393606377997E-2</v>
      </c>
      <c r="I220" s="43">
        <f>BU181</f>
        <v>7.7846832687280931E-2</v>
      </c>
      <c r="J220" s="43">
        <f>CO181</f>
        <v>7.2809712669873558E-2</v>
      </c>
      <c r="K220" s="43">
        <f>CY181</f>
        <v>7.2189009080914093E-2</v>
      </c>
      <c r="L220" s="43">
        <f>DI181</f>
        <v>7.0927923733896156E-2</v>
      </c>
      <c r="M220" s="43">
        <f>DS181</f>
        <v>6.8045571770139854E-2</v>
      </c>
      <c r="N220" s="43">
        <f>EC181</f>
        <v>6.7384351009059637E-2</v>
      </c>
      <c r="O220" s="43">
        <f>EM181</f>
        <v>6.5742019714085401E-2</v>
      </c>
    </row>
    <row r="221" spans="2:15" x14ac:dyDescent="0.3">
      <c r="B221" t="s">
        <v>242</v>
      </c>
      <c r="C221" s="43" t="str">
        <f>C182</f>
        <v>C</v>
      </c>
      <c r="D221" s="43" t="str">
        <f>M182</f>
        <v>C</v>
      </c>
      <c r="E221" s="43" t="str">
        <f>W182</f>
        <v>B</v>
      </c>
      <c r="F221" s="43" t="str">
        <f>AG182</f>
        <v>B</v>
      </c>
      <c r="G221" s="43" t="str">
        <f>BA182</f>
        <v>B</v>
      </c>
      <c r="H221" s="43" t="str">
        <f>BK182</f>
        <v>B</v>
      </c>
      <c r="I221" s="43" t="str">
        <f>BU182</f>
        <v>B</v>
      </c>
      <c r="J221" s="43" t="str">
        <f>CO182</f>
        <v>B</v>
      </c>
      <c r="K221" s="43" t="str">
        <f>CY182</f>
        <v>B</v>
      </c>
      <c r="L221" s="43" t="str">
        <f>DI182</f>
        <v>B</v>
      </c>
      <c r="M221" s="43" t="str">
        <f>DS182</f>
        <v>B</v>
      </c>
      <c r="N221" s="43" t="str">
        <f>EC182</f>
        <v>B</v>
      </c>
      <c r="O221" s="43" t="str">
        <f>EM182</f>
        <v>B</v>
      </c>
    </row>
    <row r="222" spans="2:15" x14ac:dyDescent="0.3">
      <c r="B222" t="s">
        <v>82</v>
      </c>
      <c r="C222" s="43">
        <f>C183</f>
        <v>0.59210224775315912</v>
      </c>
      <c r="D222" s="43">
        <f>M183</f>
        <v>0.57124577181553793</v>
      </c>
      <c r="E222" s="43">
        <f>W183</f>
        <v>0.47199943388369103</v>
      </c>
      <c r="F222" s="43">
        <f>AG183</f>
        <v>0.4386023240827972</v>
      </c>
      <c r="G222" s="43">
        <f>BA183</f>
        <v>0.41347518305629372</v>
      </c>
      <c r="H222" s="43">
        <f>BK183</f>
        <v>0.39093077430209255</v>
      </c>
      <c r="I222" s="43">
        <f>BU183</f>
        <v>0.37298793875200231</v>
      </c>
      <c r="J222" s="43">
        <f>CO183</f>
        <v>0.33171698642249026</v>
      </c>
      <c r="K222" s="43">
        <f>CY183</f>
        <v>0.32625909913515627</v>
      </c>
      <c r="L222" s="43">
        <f>DI183</f>
        <v>0.31488966404705909</v>
      </c>
      <c r="M222" s="43">
        <f>DS183</f>
        <v>0.2873710657389823</v>
      </c>
      <c r="N222" s="43">
        <f>EC183</f>
        <v>0.28073118004737496</v>
      </c>
      <c r="O222" s="43">
        <f>EM183</f>
        <v>0.26365892168397798</v>
      </c>
    </row>
    <row r="223" spans="2:15" x14ac:dyDescent="0.3">
      <c r="B223" t="s">
        <v>427</v>
      </c>
      <c r="C223" t="str">
        <f>C110</f>
        <v/>
      </c>
      <c r="D223" t="str">
        <f>M110</f>
        <v/>
      </c>
      <c r="E223" t="str">
        <f>W110</f>
        <v/>
      </c>
      <c r="F223" t="str">
        <f>AG110</f>
        <v/>
      </c>
      <c r="G223" s="27" t="str">
        <f>BA110</f>
        <v/>
      </c>
      <c r="H223" t="str">
        <f>BK110</f>
        <v>‡</v>
      </c>
      <c r="I223" t="str">
        <f>BU110</f>
        <v>†</v>
      </c>
      <c r="J223" t="str">
        <f>CO110</f>
        <v/>
      </c>
      <c r="K223" t="str">
        <f>CY110</f>
        <v/>
      </c>
      <c r="L223" t="str">
        <f>DI110</f>
        <v/>
      </c>
      <c r="M223" t="str">
        <f>DS110</f>
        <v/>
      </c>
      <c r="N223" t="str">
        <f>EC110</f>
        <v/>
      </c>
    </row>
    <row r="224" spans="2:15" x14ac:dyDescent="0.3">
      <c r="B224" t="s">
        <v>31</v>
      </c>
      <c r="C224" t="str">
        <f>C108</f>
        <v>n.r.</v>
      </c>
      <c r="D224" t="str">
        <f>M108</f>
        <v>n.r.</v>
      </c>
      <c r="E224" t="str">
        <f>W108</f>
        <v>n.r.</v>
      </c>
      <c r="F224" s="27" t="str">
        <f>AG108</f>
        <v>n.r.</v>
      </c>
      <c r="G224" s="27" t="str">
        <f>BA108</f>
        <v>n.r.</v>
      </c>
      <c r="H224">
        <f>BK108</f>
        <v>30</v>
      </c>
      <c r="I224">
        <f>BU108</f>
        <v>30</v>
      </c>
      <c r="J224">
        <f>CO108</f>
        <v>26</v>
      </c>
      <c r="K224">
        <f>CY108</f>
        <v>26</v>
      </c>
      <c r="L224">
        <f>DI108</f>
        <v>24</v>
      </c>
      <c r="M224">
        <f>DS108</f>
        <v>22</v>
      </c>
      <c r="N224">
        <f>EC108</f>
        <v>22</v>
      </c>
      <c r="O224" t="s">
        <v>232</v>
      </c>
    </row>
    <row r="225" spans="2:27" x14ac:dyDescent="0.3">
      <c r="B225" t="s">
        <v>479</v>
      </c>
      <c r="C225" s="27" t="str">
        <f>C116</f>
        <v/>
      </c>
      <c r="D225" s="27" t="str">
        <f>M116</f>
        <v/>
      </c>
      <c r="E225" s="27" t="str">
        <f>W116</f>
        <v/>
      </c>
      <c r="F225" s="27" t="str">
        <f>AG116</f>
        <v/>
      </c>
      <c r="G225" s="27" t="str">
        <f>BA116</f>
        <v/>
      </c>
      <c r="H225" s="27">
        <f>BK116</f>
        <v>18.001446702548758</v>
      </c>
      <c r="I225" s="27">
        <f>BU116</f>
        <v>14</v>
      </c>
      <c r="J225" s="27">
        <f>CO116</f>
        <v>10.309513181385555</v>
      </c>
      <c r="K225" s="27">
        <f>CY116</f>
        <v>9.7027487002065413</v>
      </c>
      <c r="L225" s="27">
        <f>DI116</f>
        <v>8.4080088135483813</v>
      </c>
      <c r="M225" s="27">
        <f>DS116</f>
        <v>6.2421253054875372</v>
      </c>
      <c r="N225" s="27">
        <f>EC116</f>
        <v>6</v>
      </c>
      <c r="O225" s="27">
        <f>EM116</f>
        <v>6</v>
      </c>
    </row>
    <row r="226" spans="2:27" x14ac:dyDescent="0.3">
      <c r="B226" t="s">
        <v>462</v>
      </c>
      <c r="C226" s="27" t="str">
        <f>C117</f>
        <v/>
      </c>
      <c r="D226" s="27" t="str">
        <f>M117</f>
        <v/>
      </c>
      <c r="E226" s="27" t="str">
        <f>W117</f>
        <v/>
      </c>
      <c r="F226" s="27" t="str">
        <f>AG117</f>
        <v/>
      </c>
      <c r="G226" s="27" t="str">
        <f>BA117</f>
        <v/>
      </c>
      <c r="H226" s="27">
        <f>BK117</f>
        <v>1</v>
      </c>
      <c r="I226" s="27">
        <f>BU117</f>
        <v>1.0531986025115729</v>
      </c>
      <c r="J226" s="27">
        <f>CO117</f>
        <v>1.2782657517263751</v>
      </c>
      <c r="K226" s="27">
        <f>CY117</f>
        <v>1.3043834341888436</v>
      </c>
      <c r="L226" s="27">
        <f>DI117</f>
        <v>1.3811007211497028</v>
      </c>
      <c r="M226" s="27">
        <f>DS117</f>
        <v>1.6685387652662906</v>
      </c>
      <c r="N226" s="27">
        <f>EC117</f>
        <v>1.9501448705151523</v>
      </c>
      <c r="O226" s="27">
        <f>EM117</f>
        <v>3.0249909003581132</v>
      </c>
    </row>
    <row r="227" spans="2:27" x14ac:dyDescent="0.3">
      <c r="B227" t="s">
        <v>463</v>
      </c>
      <c r="C227" s="27" t="str">
        <f>C118</f>
        <v/>
      </c>
      <c r="D227" s="27" t="str">
        <f>M118</f>
        <v/>
      </c>
      <c r="E227" s="27" t="str">
        <f>W118</f>
        <v/>
      </c>
      <c r="F227" s="27" t="str">
        <f>AG118</f>
        <v/>
      </c>
      <c r="G227" s="27" t="str">
        <f>BA118</f>
        <v/>
      </c>
      <c r="H227" s="27">
        <f>BK118</f>
        <v>1</v>
      </c>
      <c r="I227" s="27">
        <f>BU118</f>
        <v>1.1092272963323302</v>
      </c>
      <c r="J227" s="27">
        <f>CO118</f>
        <v>1.6339633320365949</v>
      </c>
      <c r="K227" s="27">
        <f>CY118</f>
        <v>1.7014161433862813</v>
      </c>
      <c r="L227" s="27">
        <f>DI118</f>
        <v>1.9074392019602293</v>
      </c>
      <c r="M227" s="27">
        <f>DS118</f>
        <v>2.7840216111963576</v>
      </c>
      <c r="N227" s="27">
        <f>EC118</f>
        <v>3.8030650159965602</v>
      </c>
      <c r="O227" s="27">
        <f>EM118</f>
        <v>9.1505699472493891</v>
      </c>
    </row>
    <row r="228" spans="2:27" x14ac:dyDescent="0.3">
      <c r="B228" t="s">
        <v>482</v>
      </c>
      <c r="C228" s="27" t="str">
        <f>C119</f>
        <v/>
      </c>
      <c r="D228" s="27" t="str">
        <f>M119</f>
        <v/>
      </c>
      <c r="E228" s="27" t="str">
        <f>W119</f>
        <v/>
      </c>
      <c r="F228" s="27" t="str">
        <f>AG119</f>
        <v/>
      </c>
      <c r="G228" s="27" t="str">
        <f>BA119</f>
        <v/>
      </c>
      <c r="H228" s="27">
        <f>BK119</f>
        <v>1</v>
      </c>
      <c r="I228" s="27">
        <f>BU119</f>
        <v>0.94948853674443767</v>
      </c>
      <c r="J228" s="27">
        <f>CO119</f>
        <v>0.78230993723287945</v>
      </c>
      <c r="K228" s="27">
        <f>CY119</f>
        <v>0.76664573758702292</v>
      </c>
      <c r="L228" s="27">
        <f>DI119</f>
        <v>0.72406015338804974</v>
      </c>
      <c r="M228" s="27">
        <f>DS119</f>
        <v>0.59932680068143629</v>
      </c>
      <c r="N228" s="27">
        <f>EC119</f>
        <v>0.51278241689595039</v>
      </c>
      <c r="O228" s="27">
        <f>EM119</f>
        <v>0.33057950682814125</v>
      </c>
    </row>
    <row r="229" spans="2:27" x14ac:dyDescent="0.3">
      <c r="C229" s="13">
        <f>D229*SQRT(0.7)</f>
        <v>209.16500663351889</v>
      </c>
      <c r="D229" s="13">
        <v>250</v>
      </c>
      <c r="E229" s="13">
        <f>F229*SQRT(0.7)</f>
        <v>297.01430941959683</v>
      </c>
      <c r="F229" s="73">
        <v>355</v>
      </c>
      <c r="G229" s="73">
        <v>400</v>
      </c>
      <c r="H229" s="13">
        <f>I229*SQRT(0.7)</f>
        <v>418.33001326703777</v>
      </c>
      <c r="I229" s="74">
        <v>500</v>
      </c>
      <c r="J229" s="74">
        <v>630</v>
      </c>
      <c r="K229" s="13">
        <f>L229*SQRT(0.7)</f>
        <v>594.02861883919365</v>
      </c>
      <c r="L229" s="74">
        <v>710</v>
      </c>
      <c r="M229" s="13">
        <f>N229*SQRT(0.7)</f>
        <v>836.66002653407554</v>
      </c>
      <c r="N229" s="13">
        <v>1000</v>
      </c>
      <c r="O229" s="13">
        <v>1340</v>
      </c>
      <c r="R229">
        <f>C229</f>
        <v>209.16500663351889</v>
      </c>
      <c r="S229">
        <f>D229</f>
        <v>250</v>
      </c>
      <c r="T229">
        <f>E229</f>
        <v>297.01430941959683</v>
      </c>
      <c r="U229">
        <f>F229</f>
        <v>355</v>
      </c>
      <c r="V229">
        <f>H229</f>
        <v>418.33001326703777</v>
      </c>
      <c r="W229">
        <f>I229</f>
        <v>500</v>
      </c>
      <c r="X229">
        <f>K229</f>
        <v>594.02861883919365</v>
      </c>
      <c r="Y229">
        <f>L229</f>
        <v>710</v>
      </c>
      <c r="Z229">
        <f>M229</f>
        <v>836.66002653407554</v>
      </c>
      <c r="AA229">
        <f>N229</f>
        <v>1000</v>
      </c>
    </row>
    <row r="230" spans="2:27" x14ac:dyDescent="0.3">
      <c r="C230" s="13"/>
      <c r="D230" s="13"/>
      <c r="E230" s="13"/>
      <c r="F230" s="73"/>
      <c r="G230" s="73"/>
      <c r="H230" s="13"/>
      <c r="I230" s="74"/>
      <c r="J230" s="74"/>
      <c r="K230" s="13"/>
      <c r="L230" s="74"/>
      <c r="M230" s="13"/>
      <c r="N230" s="13"/>
    </row>
    <row r="231" spans="2:27" x14ac:dyDescent="0.3">
      <c r="B231" t="s">
        <v>209</v>
      </c>
      <c r="C231" s="13">
        <v>1</v>
      </c>
      <c r="D231" s="13">
        <v>2</v>
      </c>
      <c r="E231" s="13">
        <v>3</v>
      </c>
      <c r="F231" s="13">
        <v>4</v>
      </c>
      <c r="G231" s="13">
        <v>5</v>
      </c>
      <c r="H231" s="13">
        <v>6</v>
      </c>
      <c r="I231" s="13">
        <v>7</v>
      </c>
      <c r="J231" s="13">
        <v>8</v>
      </c>
      <c r="K231" s="13">
        <v>9</v>
      </c>
      <c r="L231" s="13">
        <v>10</v>
      </c>
      <c r="M231" s="13">
        <v>11</v>
      </c>
      <c r="N231" s="13">
        <v>12</v>
      </c>
      <c r="O231" s="13">
        <v>13</v>
      </c>
    </row>
    <row r="232" spans="2:27" x14ac:dyDescent="0.3">
      <c r="B232" s="188" t="str">
        <f>B211</f>
        <v>ΔT_max (heating)</v>
      </c>
      <c r="C232" s="375">
        <f t="shared" ref="C232:O232" si="284">IFERROR(IF(C211&lt;1,"&lt; +1 K",MIN(C211,20)),"n/a")</f>
        <v>20</v>
      </c>
      <c r="D232" s="189">
        <f t="shared" si="284"/>
        <v>20</v>
      </c>
      <c r="E232" s="189">
        <f t="shared" si="284"/>
        <v>20</v>
      </c>
      <c r="F232" s="189">
        <f t="shared" si="284"/>
        <v>20</v>
      </c>
      <c r="G232" s="189">
        <f t="shared" si="284"/>
        <v>20</v>
      </c>
      <c r="H232" s="189">
        <f t="shared" si="284"/>
        <v>18.001446702548758</v>
      </c>
      <c r="I232" s="189">
        <f>IFERROR(IF(I211&lt;1,"&lt; +1 K",MIN(I211,20)),"n/a")</f>
        <v>12.62139873972731</v>
      </c>
      <c r="J232" s="189">
        <f t="shared" si="284"/>
        <v>6.3095131813855536</v>
      </c>
      <c r="K232" s="189">
        <f t="shared" si="284"/>
        <v>5.7027487002065405</v>
      </c>
      <c r="L232" s="189">
        <f t="shared" si="284"/>
        <v>4.4080088135483804</v>
      </c>
      <c r="M232" s="189">
        <f t="shared" si="284"/>
        <v>2.2421253054875363</v>
      </c>
      <c r="N232" s="189">
        <f t="shared" si="284"/>
        <v>1.5776748424659137</v>
      </c>
      <c r="O232" s="189" t="str">
        <f t="shared" si="284"/>
        <v>&lt; +1 K</v>
      </c>
    </row>
    <row r="233" spans="2:27" x14ac:dyDescent="0.3">
      <c r="B233" s="190" t="s">
        <v>212</v>
      </c>
      <c r="C233" s="191">
        <f t="shared" ref="C233:O233" si="285">IF(C335&gt;=0,C212,C232)</f>
        <v>13.3</v>
      </c>
      <c r="D233" s="191">
        <f t="shared" si="285"/>
        <v>13.3</v>
      </c>
      <c r="E233" s="191">
        <f t="shared" si="285"/>
        <v>18.600000000000001</v>
      </c>
      <c r="F233" s="191">
        <f t="shared" si="285"/>
        <v>14.880000000000003</v>
      </c>
      <c r="G233" s="191">
        <f t="shared" si="285"/>
        <v>14.560000000000002</v>
      </c>
      <c r="H233" s="191">
        <f t="shared" si="285"/>
        <v>16.900000000000002</v>
      </c>
      <c r="I233" s="191">
        <f t="shared" si="285"/>
        <v>13</v>
      </c>
      <c r="J233" s="191">
        <f t="shared" si="285"/>
        <v>6.56</v>
      </c>
      <c r="K233" s="191">
        <f t="shared" si="285"/>
        <v>7.3000000000000007</v>
      </c>
      <c r="L233" s="191">
        <f t="shared" si="285"/>
        <v>1.8250000000000002</v>
      </c>
      <c r="M233" s="191">
        <f t="shared" si="285"/>
        <v>2.2421253054875363</v>
      </c>
      <c r="N233" s="191">
        <f t="shared" si="285"/>
        <v>1.5776748424659137</v>
      </c>
      <c r="O233" s="191" t="str">
        <f t="shared" si="285"/>
        <v>&lt; +1 K</v>
      </c>
      <c r="R233" s="41"/>
    </row>
    <row r="234" spans="2:27" x14ac:dyDescent="0.3">
      <c r="B234" s="188" t="str">
        <f>B213</f>
        <v>T n.s.</v>
      </c>
      <c r="C234" s="189" t="str">
        <f t="shared" ref="C234:O234" si="286">IFERROR(IF(C211&lt;1,"&lt; +1",IF(C211&gt;18,"+18",C211)),"n/a")</f>
        <v>+18</v>
      </c>
      <c r="D234" s="189" t="str">
        <f t="shared" si="286"/>
        <v>+18</v>
      </c>
      <c r="E234" s="189" t="str">
        <f t="shared" si="286"/>
        <v>+18</v>
      </c>
      <c r="F234" s="189" t="str">
        <f t="shared" si="286"/>
        <v>+18</v>
      </c>
      <c r="G234" s="189" t="str">
        <f t="shared" si="286"/>
        <v>+18</v>
      </c>
      <c r="H234" s="189" t="str">
        <f t="shared" si="286"/>
        <v>+18</v>
      </c>
      <c r="I234" s="189">
        <f t="shared" si="286"/>
        <v>12.62139873972731</v>
      </c>
      <c r="J234" s="189">
        <f t="shared" si="286"/>
        <v>6.3095131813855536</v>
      </c>
      <c r="K234" s="189">
        <f t="shared" si="286"/>
        <v>5.7027487002065405</v>
      </c>
      <c r="L234" s="189">
        <f t="shared" si="286"/>
        <v>4.4080088135483804</v>
      </c>
      <c r="M234" s="189">
        <f t="shared" si="286"/>
        <v>2.2421253054875363</v>
      </c>
      <c r="N234" s="189">
        <f t="shared" si="286"/>
        <v>1.5776748424659137</v>
      </c>
      <c r="O234" s="189" t="str">
        <f t="shared" si="286"/>
        <v>&lt; +1</v>
      </c>
      <c r="R234" s="41"/>
    </row>
    <row r="235" spans="2:27" x14ac:dyDescent="0.3">
      <c r="B235" s="190" t="s">
        <v>212</v>
      </c>
      <c r="C235" s="191">
        <f t="shared" ref="C235:O235" si="287">IF(C333&lt;=1,C212,C234)</f>
        <v>13.3</v>
      </c>
      <c r="D235" s="191">
        <f t="shared" si="287"/>
        <v>13.3</v>
      </c>
      <c r="E235" s="191">
        <f t="shared" si="287"/>
        <v>18.600000000000001</v>
      </c>
      <c r="F235" s="191">
        <f t="shared" si="287"/>
        <v>14.880000000000003</v>
      </c>
      <c r="G235" s="191">
        <f t="shared" si="287"/>
        <v>14.560000000000002</v>
      </c>
      <c r="H235" s="191">
        <f t="shared" si="287"/>
        <v>16.900000000000002</v>
      </c>
      <c r="I235" s="191">
        <f t="shared" si="287"/>
        <v>13</v>
      </c>
      <c r="J235" s="191">
        <f t="shared" si="287"/>
        <v>6.56</v>
      </c>
      <c r="K235" s="191">
        <f t="shared" si="287"/>
        <v>7.3000000000000007</v>
      </c>
      <c r="L235" s="191">
        <f t="shared" si="287"/>
        <v>1.8250000000000002</v>
      </c>
      <c r="M235" s="191">
        <f t="shared" si="287"/>
        <v>2.2421253054875363</v>
      </c>
      <c r="N235" s="191">
        <f t="shared" si="287"/>
        <v>1.5776748424659137</v>
      </c>
      <c r="O235" s="191" t="str">
        <f t="shared" si="287"/>
        <v>&lt; +1</v>
      </c>
      <c r="R235" s="41"/>
    </row>
    <row r="236" spans="2:27" x14ac:dyDescent="0.3">
      <c r="C236" s="27"/>
      <c r="D236" s="27"/>
      <c r="E236" s="27"/>
      <c r="F236" s="27"/>
      <c r="G236" s="27"/>
      <c r="H236" s="27"/>
      <c r="I236" s="27"/>
      <c r="J236" s="27"/>
      <c r="K236" s="27"/>
      <c r="L236" s="27"/>
      <c r="M236" s="27"/>
      <c r="N236" s="27"/>
      <c r="O236" s="27"/>
      <c r="R236" s="41"/>
    </row>
    <row r="237" spans="2:27" x14ac:dyDescent="0.3">
      <c r="B237" t="s">
        <v>567</v>
      </c>
      <c r="C237" s="27" t="b">
        <f>AND($C$24,C335&gt;=0)</f>
        <v>0</v>
      </c>
      <c r="D237" s="27" t="b">
        <f t="shared" ref="D237:N237" si="288">AND($C$24,D335&gt;=0)</f>
        <v>0</v>
      </c>
      <c r="E237" s="27" t="b">
        <f t="shared" si="288"/>
        <v>0</v>
      </c>
      <c r="F237" s="27" t="b">
        <f t="shared" si="288"/>
        <v>0</v>
      </c>
      <c r="G237" s="27" t="b">
        <f t="shared" si="288"/>
        <v>0</v>
      </c>
      <c r="H237" s="27" t="b">
        <f t="shared" si="288"/>
        <v>0</v>
      </c>
      <c r="I237" s="27" t="b">
        <f t="shared" si="288"/>
        <v>0</v>
      </c>
      <c r="J237" s="27" t="b">
        <f t="shared" si="288"/>
        <v>0</v>
      </c>
      <c r="K237" s="27" t="b">
        <f t="shared" si="288"/>
        <v>0</v>
      </c>
      <c r="L237" s="27" t="b">
        <f t="shared" si="288"/>
        <v>0</v>
      </c>
      <c r="M237" s="27" t="b">
        <f t="shared" si="288"/>
        <v>0</v>
      </c>
      <c r="N237" s="27" t="b">
        <f t="shared" si="288"/>
        <v>0</v>
      </c>
      <c r="O237" s="27" t="b">
        <f>AND($C$24,O335&gt;=0)</f>
        <v>0</v>
      </c>
      <c r="P237" t="s">
        <v>569</v>
      </c>
      <c r="R237" s="41"/>
    </row>
    <row r="238" spans="2:27" x14ac:dyDescent="0.3">
      <c r="B238" t="s">
        <v>41</v>
      </c>
      <c r="C238" s="27" t="str">
        <f>IF(C211&lt;1,"&lt; +1 K","+"&amp;ROUND(MIN(C211,20),1)&amp;" K")</f>
        <v>+20 K</v>
      </c>
      <c r="D238" s="27" t="str">
        <f t="shared" ref="D238:O238" si="289">IF(D211&lt;1,"&lt; +1 K","+"&amp;ROUND(MIN(D211,20),1)&amp;" K")</f>
        <v>+20 K</v>
      </c>
      <c r="E238" s="27" t="str">
        <f t="shared" si="289"/>
        <v>+20 K</v>
      </c>
      <c r="F238" s="27" t="str">
        <f t="shared" si="289"/>
        <v>+20 K</v>
      </c>
      <c r="G238" s="27" t="str">
        <f t="shared" si="289"/>
        <v>+20 K</v>
      </c>
      <c r="H238" s="27" t="str">
        <f t="shared" si="289"/>
        <v>+18 K</v>
      </c>
      <c r="I238" s="27" t="str">
        <f t="shared" si="289"/>
        <v>+12.6 K</v>
      </c>
      <c r="J238" s="27" t="str">
        <f t="shared" si="289"/>
        <v>+6.3 K</v>
      </c>
      <c r="K238" s="27" t="str">
        <f t="shared" si="289"/>
        <v>+5.7 K</v>
      </c>
      <c r="L238" s="27" t="str">
        <f t="shared" si="289"/>
        <v>+4.4 K</v>
      </c>
      <c r="M238" s="27" t="str">
        <f t="shared" si="289"/>
        <v>+2.2 K</v>
      </c>
      <c r="N238" s="27" t="str">
        <f t="shared" si="289"/>
        <v>+1.6 K</v>
      </c>
      <c r="O238" s="27" t="str">
        <f t="shared" si="289"/>
        <v>&lt; +1 K</v>
      </c>
      <c r="R238" s="41"/>
    </row>
    <row r="239" spans="2:27" x14ac:dyDescent="0.3">
      <c r="B239" t="s">
        <v>211</v>
      </c>
      <c r="C239" s="27" t="str">
        <f>ROUND(C212,0)&amp;" mm"</f>
        <v>13 mm</v>
      </c>
      <c r="D239" s="27" t="str">
        <f t="shared" ref="D239:O239" si="290">ROUND(D212,0)&amp;" mm"</f>
        <v>13 mm</v>
      </c>
      <c r="E239" s="27" t="str">
        <f t="shared" si="290"/>
        <v>19 mm</v>
      </c>
      <c r="F239" s="27" t="str">
        <f t="shared" si="290"/>
        <v>15 mm</v>
      </c>
      <c r="G239" s="27" t="str">
        <f t="shared" si="290"/>
        <v>15 mm</v>
      </c>
      <c r="H239" s="27" t="str">
        <f t="shared" si="290"/>
        <v>17 mm</v>
      </c>
      <c r="I239" s="27" t="str">
        <f t="shared" si="290"/>
        <v>13 mm</v>
      </c>
      <c r="J239" s="27" t="str">
        <f t="shared" si="290"/>
        <v>7 mm</v>
      </c>
      <c r="K239" s="27" t="str">
        <f t="shared" si="290"/>
        <v>7 mm</v>
      </c>
      <c r="L239" s="27" t="str">
        <f t="shared" si="290"/>
        <v>2 mm</v>
      </c>
      <c r="M239" s="27" t="str">
        <f t="shared" si="290"/>
        <v>-15 mm</v>
      </c>
      <c r="N239" s="27" t="str">
        <f t="shared" si="290"/>
        <v>-23 mm</v>
      </c>
      <c r="O239" s="27" t="str">
        <f t="shared" si="290"/>
        <v>-48 mm</v>
      </c>
      <c r="R239" s="41"/>
    </row>
    <row r="240" spans="2:27" x14ac:dyDescent="0.3">
      <c r="B240" t="s">
        <v>568</v>
      </c>
      <c r="C240" s="27" t="str">
        <f>IF(C237,C239,C238)</f>
        <v>+20 K</v>
      </c>
      <c r="D240" s="27" t="str">
        <f t="shared" ref="D240:O240" si="291">IF(D237,D239,D238)</f>
        <v>+20 K</v>
      </c>
      <c r="E240" s="27" t="str">
        <f t="shared" si="291"/>
        <v>+20 K</v>
      </c>
      <c r="F240" s="27" t="str">
        <f t="shared" si="291"/>
        <v>+20 K</v>
      </c>
      <c r="G240" s="27" t="str">
        <f t="shared" si="291"/>
        <v>+20 K</v>
      </c>
      <c r="H240" s="27" t="str">
        <f t="shared" si="291"/>
        <v>+18 K</v>
      </c>
      <c r="I240" s="27" t="str">
        <f t="shared" si="291"/>
        <v>+12.6 K</v>
      </c>
      <c r="J240" s="27" t="str">
        <f t="shared" si="291"/>
        <v>+6.3 K</v>
      </c>
      <c r="K240" s="27" t="str">
        <f t="shared" si="291"/>
        <v>+5.7 K</v>
      </c>
      <c r="L240" s="27" t="str">
        <f t="shared" si="291"/>
        <v>+4.4 K</v>
      </c>
      <c r="M240" s="27" t="str">
        <f t="shared" si="291"/>
        <v>+2.2 K</v>
      </c>
      <c r="N240" s="27" t="str">
        <f t="shared" si="291"/>
        <v>+1.6 K</v>
      </c>
      <c r="O240" s="27" t="str">
        <f t="shared" si="291"/>
        <v>&lt; +1 K</v>
      </c>
      <c r="R240" s="41"/>
    </row>
    <row r="241" spans="1:27" x14ac:dyDescent="0.3">
      <c r="C241" s="27"/>
      <c r="D241" s="27"/>
      <c r="E241" s="27"/>
      <c r="F241" s="27"/>
      <c r="G241" s="27"/>
      <c r="H241" s="27"/>
      <c r="I241" s="27"/>
      <c r="J241" s="27"/>
      <c r="K241" s="27"/>
      <c r="L241" s="27"/>
      <c r="M241" s="27"/>
      <c r="N241" s="27"/>
      <c r="O241" s="27"/>
      <c r="R241" s="41"/>
    </row>
    <row r="242" spans="1:27" x14ac:dyDescent="0.3">
      <c r="R242" s="46">
        <f>C211-$C$34</f>
        <v>140.01157362039007</v>
      </c>
      <c r="S242" s="46">
        <f>D211-$C$34</f>
        <v>96.971189917818478</v>
      </c>
      <c r="T242" s="46">
        <f>E211-$C$34</f>
        <v>46.184188561817557</v>
      </c>
      <c r="U242" s="46">
        <f>F211-$C$34</f>
        <v>31.264070508387043</v>
      </c>
      <c r="V242" s="46">
        <f>H211-$C$34</f>
        <v>14.001446702548758</v>
      </c>
      <c r="W242" s="46">
        <f>I211-$C$34</f>
        <v>8.6213987397273097</v>
      </c>
      <c r="X242" s="46">
        <f>K211-$C$34</f>
        <v>1.7027487002065405</v>
      </c>
      <c r="Y242" s="46">
        <f>L211-$C$34</f>
        <v>0.40800881354838037</v>
      </c>
      <c r="Z242" s="46">
        <f>M211-$C$34</f>
        <v>-1.7578746945124637</v>
      </c>
      <c r="AA242" s="46">
        <f>N211-$C$34</f>
        <v>-2.4223251575340861</v>
      </c>
    </row>
    <row r="243" spans="1:27" ht="20.399999999999999" thickBot="1" x14ac:dyDescent="0.45">
      <c r="A243">
        <v>1</v>
      </c>
      <c r="B243" s="24" t="s">
        <v>86</v>
      </c>
      <c r="C243">
        <v>1</v>
      </c>
      <c r="D243">
        <v>2</v>
      </c>
      <c r="E243">
        <v>3</v>
      </c>
      <c r="F243">
        <v>4</v>
      </c>
      <c r="G243">
        <v>5</v>
      </c>
      <c r="H243">
        <v>6</v>
      </c>
      <c r="I243">
        <v>7</v>
      </c>
      <c r="J243">
        <v>8</v>
      </c>
      <c r="K243">
        <v>9</v>
      </c>
      <c r="L243">
        <v>10</v>
      </c>
      <c r="M243">
        <v>11</v>
      </c>
      <c r="N243">
        <v>12</v>
      </c>
      <c r="O243">
        <v>13</v>
      </c>
      <c r="P243">
        <v>0</v>
      </c>
    </row>
    <row r="244" spans="1:27" ht="15" thickTop="1" x14ac:dyDescent="0.3">
      <c r="A244">
        <v>2</v>
      </c>
      <c r="C244" t="str">
        <f>C202</f>
        <v>DN250 R1</v>
      </c>
      <c r="D244" t="str">
        <f>D202</f>
        <v>DN250</v>
      </c>
      <c r="E244" t="str">
        <f>E202</f>
        <v>DN355 R1</v>
      </c>
      <c r="F244" t="str">
        <f>F202</f>
        <v>DN355</v>
      </c>
      <c r="G244" t="s">
        <v>342</v>
      </c>
      <c r="H244" t="s">
        <v>50</v>
      </c>
      <c r="I244" t="s">
        <v>34</v>
      </c>
      <c r="J244" t="s">
        <v>343</v>
      </c>
      <c r="K244" t="str">
        <f>K202</f>
        <v>DN710 R1</v>
      </c>
      <c r="L244" t="str">
        <f>L202</f>
        <v>DN710</v>
      </c>
      <c r="M244" t="str">
        <f>M202</f>
        <v>DN1000 R1</v>
      </c>
      <c r="N244" t="str">
        <f>N202</f>
        <v>DN1000</v>
      </c>
      <c r="O244" t="str">
        <f>O202</f>
        <v>DN1340</v>
      </c>
    </row>
    <row r="245" spans="1:27" x14ac:dyDescent="0.3">
      <c r="A245">
        <v>3</v>
      </c>
      <c r="B245" t="str">
        <f>"Max Airflow " &amp; D3</f>
        <v>Max Airflow [L/s]</v>
      </c>
      <c r="C245">
        <f t="shared" ref="C245:O245" si="292">C203*$C$4</f>
        <v>800</v>
      </c>
      <c r="D245">
        <f t="shared" si="292"/>
        <v>800</v>
      </c>
      <c r="E245">
        <f t="shared" si="292"/>
        <v>800</v>
      </c>
      <c r="F245">
        <f t="shared" si="292"/>
        <v>800</v>
      </c>
      <c r="G245">
        <f t="shared" si="292"/>
        <v>800</v>
      </c>
      <c r="H245">
        <f t="shared" si="292"/>
        <v>800</v>
      </c>
      <c r="I245">
        <f t="shared" si="292"/>
        <v>800</v>
      </c>
      <c r="J245">
        <f t="shared" si="292"/>
        <v>800</v>
      </c>
      <c r="K245">
        <f t="shared" si="292"/>
        <v>800</v>
      </c>
      <c r="L245">
        <f t="shared" si="292"/>
        <v>800</v>
      </c>
      <c r="M245">
        <f t="shared" si="292"/>
        <v>800</v>
      </c>
      <c r="N245">
        <f t="shared" si="292"/>
        <v>800</v>
      </c>
      <c r="O245">
        <f t="shared" si="292"/>
        <v>800</v>
      </c>
    </row>
    <row r="246" spans="1:27" x14ac:dyDescent="0.3">
      <c r="A246">
        <v>4</v>
      </c>
      <c r="B246" t="str">
        <f>"Airflow @ Max Pressure " &amp;D3</f>
        <v>Airflow @ Max Pressure [L/s]</v>
      </c>
      <c r="C246">
        <f t="shared" ref="C246:O246" si="293">C204*$C$4</f>
        <v>191.99447483568773</v>
      </c>
      <c r="D246">
        <f t="shared" si="293"/>
        <v>218.62733702194814</v>
      </c>
      <c r="E246">
        <f t="shared" si="293"/>
        <v>384.8617582152163</v>
      </c>
      <c r="F246">
        <f t="shared" si="293"/>
        <v>508.50150003810296</v>
      </c>
      <c r="G246">
        <f t="shared" si="293"/>
        <v>608.55171242225686</v>
      </c>
      <c r="H246">
        <f t="shared" si="293"/>
        <v>702.37239951130766</v>
      </c>
      <c r="I246">
        <f t="shared" si="293"/>
        <v>851.54936876686645</v>
      </c>
      <c r="J246">
        <f t="shared" si="293"/>
        <v>1351.3906322818736</v>
      </c>
      <c r="K246">
        <f t="shared" si="293"/>
        <v>1416.2637063746008</v>
      </c>
      <c r="L246">
        <f t="shared" si="293"/>
        <v>1717.0641471815095</v>
      </c>
      <c r="M246">
        <f t="shared" si="293"/>
        <v>2809.4895980452307</v>
      </c>
      <c r="N246">
        <f t="shared" si="293"/>
        <v>3406.1974750674653</v>
      </c>
      <c r="O246">
        <f t="shared" si="293"/>
        <v>6116.1681862311416</v>
      </c>
    </row>
    <row r="247" spans="1:27" x14ac:dyDescent="0.3">
      <c r="A247">
        <v>5</v>
      </c>
      <c r="B247" t="str">
        <f>"Min Airflow (Turndown To) " &amp;D3</f>
        <v>Min Airflow (Turndown To) [L/s]</v>
      </c>
      <c r="C247">
        <f t="shared" ref="C247:O247" si="294">C205*$C$4</f>
        <v>800</v>
      </c>
      <c r="D247">
        <f t="shared" si="294"/>
        <v>800</v>
      </c>
      <c r="E247">
        <f t="shared" si="294"/>
        <v>800</v>
      </c>
      <c r="F247">
        <f t="shared" si="294"/>
        <v>800</v>
      </c>
      <c r="G247">
        <f t="shared" si="294"/>
        <v>800</v>
      </c>
      <c r="H247">
        <f t="shared" si="294"/>
        <v>800</v>
      </c>
      <c r="I247">
        <f t="shared" si="294"/>
        <v>800</v>
      </c>
      <c r="J247">
        <f t="shared" si="294"/>
        <v>800</v>
      </c>
      <c r="K247">
        <f t="shared" si="294"/>
        <v>800</v>
      </c>
      <c r="L247">
        <f t="shared" si="294"/>
        <v>800</v>
      </c>
      <c r="M247">
        <f t="shared" si="294"/>
        <v>800</v>
      </c>
      <c r="N247">
        <f t="shared" si="294"/>
        <v>800</v>
      </c>
      <c r="O247">
        <f t="shared" si="294"/>
        <v>800</v>
      </c>
    </row>
    <row r="248" spans="1:27" x14ac:dyDescent="0.3">
      <c r="A248">
        <v>6</v>
      </c>
      <c r="B248" t="str">
        <f>"Min Permissible Airflow "&amp;D3</f>
        <v>Min Permissible Airflow [L/s]</v>
      </c>
      <c r="C248">
        <f t="shared" ref="C248:O248" si="295">C206*$C$4</f>
        <v>69.763999999999996</v>
      </c>
      <c r="D248">
        <f t="shared" si="295"/>
        <v>77.896000000000001</v>
      </c>
      <c r="E248">
        <f t="shared" si="295"/>
        <v>134.07</v>
      </c>
      <c r="F248">
        <f t="shared" si="295"/>
        <v>168.92</v>
      </c>
      <c r="G248">
        <f t="shared" si="295"/>
        <v>204.58999999999997</v>
      </c>
      <c r="H248">
        <f t="shared" si="295"/>
        <v>247.23</v>
      </c>
      <c r="I248">
        <f t="shared" si="295"/>
        <v>291.91999999999996</v>
      </c>
      <c r="J248">
        <f t="shared" si="295"/>
        <v>463.29999999999995</v>
      </c>
      <c r="K248">
        <f t="shared" si="295"/>
        <v>498.51457199999999</v>
      </c>
      <c r="L248">
        <f t="shared" si="295"/>
        <v>588.62748799999997</v>
      </c>
      <c r="M248">
        <f t="shared" si="295"/>
        <v>988.92</v>
      </c>
      <c r="N248">
        <f t="shared" si="295"/>
        <v>1167.6799999999998</v>
      </c>
      <c r="O248">
        <f t="shared" si="295"/>
        <v>1803.641385357515</v>
      </c>
    </row>
    <row r="249" spans="1:27" x14ac:dyDescent="0.3">
      <c r="A249">
        <v>7</v>
      </c>
      <c r="B249" t="s">
        <v>230</v>
      </c>
      <c r="C249">
        <f t="shared" ref="C249:O249" si="296">IF(C207&lt;4.5,"&lt; 5",C207)</f>
        <v>1041.726621124317</v>
      </c>
      <c r="D249">
        <f t="shared" si="296"/>
        <v>803.3823653988203</v>
      </c>
      <c r="E249">
        <f t="shared" si="296"/>
        <v>259.25175512229993</v>
      </c>
      <c r="F249">
        <f t="shared" si="296"/>
        <v>148.50693934316277</v>
      </c>
      <c r="G249">
        <f t="shared" si="296"/>
        <v>103.68985011389189</v>
      </c>
      <c r="H249">
        <f t="shared" si="296"/>
        <v>77.8388390774671</v>
      </c>
      <c r="I249">
        <f t="shared" si="296"/>
        <v>52.955559591370047</v>
      </c>
      <c r="J249">
        <f t="shared" si="296"/>
        <v>21.02661758347919</v>
      </c>
      <c r="K249">
        <f t="shared" si="296"/>
        <v>19.144453459579054</v>
      </c>
      <c r="L249">
        <f t="shared" si="296"/>
        <v>13.024413750749616</v>
      </c>
      <c r="M249">
        <f t="shared" si="296"/>
        <v>4.8649274423416937</v>
      </c>
      <c r="N249" t="str">
        <f t="shared" si="296"/>
        <v>&lt; 5</v>
      </c>
      <c r="O249" t="str">
        <f t="shared" si="296"/>
        <v>&lt; 5</v>
      </c>
    </row>
    <row r="250" spans="1:27" x14ac:dyDescent="0.3">
      <c r="A250">
        <v>8</v>
      </c>
      <c r="B250" t="str">
        <f>B208</f>
        <v>Total Pressure</v>
      </c>
      <c r="C250">
        <f t="shared" ref="C250:O250" si="297">IF(C208&lt;9.5,"&lt; 10",C208)</f>
        <v>1204.4111558583313</v>
      </c>
      <c r="D250">
        <f t="shared" si="297"/>
        <v>966.06690013283446</v>
      </c>
      <c r="E250">
        <f t="shared" si="297"/>
        <v>299.26399760588799</v>
      </c>
      <c r="F250">
        <f t="shared" si="297"/>
        <v>188.51918182675087</v>
      </c>
      <c r="G250">
        <f t="shared" si="297"/>
        <v>128.51354010626463</v>
      </c>
      <c r="H250">
        <f t="shared" si="297"/>
        <v>88.006622498342992</v>
      </c>
      <c r="I250">
        <f t="shared" si="297"/>
        <v>63.12334301224594</v>
      </c>
      <c r="J250">
        <f t="shared" si="297"/>
        <v>25.060693867961469</v>
      </c>
      <c r="K250">
        <f t="shared" si="297"/>
        <v>21.645218614803312</v>
      </c>
      <c r="L250">
        <f t="shared" si="297"/>
        <v>15.525178905973872</v>
      </c>
      <c r="M250" t="str">
        <f t="shared" si="297"/>
        <v>&lt; 10</v>
      </c>
      <c r="N250" t="str">
        <f t="shared" si="297"/>
        <v>&lt; 10</v>
      </c>
      <c r="O250" t="str">
        <f t="shared" si="297"/>
        <v>&lt; 10</v>
      </c>
    </row>
    <row r="251" spans="1:27" x14ac:dyDescent="0.3">
      <c r="A251">
        <v>9</v>
      </c>
      <c r="B251" t="str">
        <f>B209</f>
        <v>Max Permissible P</v>
      </c>
      <c r="C251">
        <f t="shared" ref="C251:O251" si="298">C209</f>
        <v>60</v>
      </c>
      <c r="D251">
        <f t="shared" si="298"/>
        <v>60</v>
      </c>
      <c r="E251">
        <f t="shared" si="298"/>
        <v>60</v>
      </c>
      <c r="F251">
        <f t="shared" si="298"/>
        <v>60</v>
      </c>
      <c r="G251">
        <f t="shared" si="298"/>
        <v>60</v>
      </c>
      <c r="H251">
        <f t="shared" si="298"/>
        <v>60</v>
      </c>
      <c r="I251">
        <f t="shared" si="298"/>
        <v>60</v>
      </c>
      <c r="J251">
        <f t="shared" si="298"/>
        <v>60</v>
      </c>
      <c r="K251">
        <f t="shared" si="298"/>
        <v>60</v>
      </c>
      <c r="L251">
        <f t="shared" si="298"/>
        <v>60</v>
      </c>
      <c r="M251">
        <f t="shared" si="298"/>
        <v>60</v>
      </c>
      <c r="N251">
        <f t="shared" si="298"/>
        <v>60</v>
      </c>
      <c r="O251">
        <f t="shared" si="298"/>
        <v>60</v>
      </c>
    </row>
    <row r="252" spans="1:27" x14ac:dyDescent="0.3">
      <c r="A252">
        <v>10</v>
      </c>
      <c r="B252" t="str">
        <f>B210</f>
        <v>Sound Power Level</v>
      </c>
      <c r="C252">
        <f t="shared" ref="C252:O252" si="299">IF(C210&lt;19.5,"&lt; 20",C210)</f>
        <v>94.469005791175348</v>
      </c>
      <c r="D252">
        <f t="shared" si="299"/>
        <v>89.658924866876276</v>
      </c>
      <c r="E252">
        <f t="shared" si="299"/>
        <v>79.33172723949319</v>
      </c>
      <c r="F252">
        <f t="shared" si="299"/>
        <v>69.386204611804871</v>
      </c>
      <c r="G252">
        <f t="shared" si="299"/>
        <v>64.067624542584298</v>
      </c>
      <c r="H252">
        <f t="shared" si="299"/>
        <v>59.773635027432277</v>
      </c>
      <c r="I252">
        <f t="shared" si="299"/>
        <v>54.203345216163292</v>
      </c>
      <c r="J252">
        <f t="shared" si="299"/>
        <v>42.967803826232235</v>
      </c>
      <c r="K252">
        <f t="shared" si="299"/>
        <v>41.191280362179533</v>
      </c>
      <c r="L252">
        <f t="shared" si="299"/>
        <v>37.315263848475162</v>
      </c>
      <c r="M252">
        <f t="shared" si="299"/>
        <v>24.611652310173188</v>
      </c>
      <c r="N252">
        <f t="shared" si="299"/>
        <v>20.729486227307099</v>
      </c>
      <c r="O252" t="str">
        <f t="shared" si="299"/>
        <v>&lt; 20</v>
      </c>
    </row>
    <row r="253" spans="1:27" x14ac:dyDescent="0.3">
      <c r="A253">
        <v>11</v>
      </c>
      <c r="B253" t="str">
        <f>IF($C$24,B233,B232)</f>
        <v>ΔT_max (heating)</v>
      </c>
      <c r="C253" s="27" t="str">
        <f>C240</f>
        <v>+20 K</v>
      </c>
      <c r="D253" s="27" t="str">
        <f t="shared" ref="D253:O253" si="300">D240</f>
        <v>+20 K</v>
      </c>
      <c r="E253" s="27" t="str">
        <f t="shared" si="300"/>
        <v>+20 K</v>
      </c>
      <c r="F253" s="27" t="str">
        <f t="shared" si="300"/>
        <v>+20 K</v>
      </c>
      <c r="G253" s="27" t="str">
        <f t="shared" si="300"/>
        <v>+20 K</v>
      </c>
      <c r="H253" s="27" t="str">
        <f t="shared" si="300"/>
        <v>+18 K</v>
      </c>
      <c r="I253" s="27" t="str">
        <f t="shared" si="300"/>
        <v>+12.6 K</v>
      </c>
      <c r="J253" s="27" t="str">
        <f t="shared" si="300"/>
        <v>+6.3 K</v>
      </c>
      <c r="K253" s="27" t="str">
        <f t="shared" si="300"/>
        <v>+5.7 K</v>
      </c>
      <c r="L253" s="27" t="str">
        <f t="shared" si="300"/>
        <v>+4.4 K</v>
      </c>
      <c r="M253" s="27" t="str">
        <f t="shared" si="300"/>
        <v>+2.2 K</v>
      </c>
      <c r="N253" s="27" t="str">
        <f t="shared" si="300"/>
        <v>+1.6 K</v>
      </c>
      <c r="O253" s="27" t="str">
        <f t="shared" si="300"/>
        <v>&lt; +1 K</v>
      </c>
      <c r="R253" s="41"/>
    </row>
    <row r="254" spans="1:27" x14ac:dyDescent="0.3">
      <c r="A254">
        <v>12</v>
      </c>
      <c r="B254" t="str">
        <f t="shared" ref="B254:N254" si="301">B213</f>
        <v>T n.s.</v>
      </c>
      <c r="C254">
        <f t="shared" si="301"/>
        <v>16</v>
      </c>
      <c r="D254">
        <f t="shared" si="301"/>
        <v>16</v>
      </c>
      <c r="E254">
        <f t="shared" si="301"/>
        <v>16</v>
      </c>
      <c r="F254">
        <f t="shared" si="301"/>
        <v>16</v>
      </c>
      <c r="G254">
        <f t="shared" si="301"/>
        <v>16</v>
      </c>
      <c r="H254">
        <f t="shared" si="301"/>
        <v>16</v>
      </c>
      <c r="I254">
        <f t="shared" si="301"/>
        <v>16</v>
      </c>
      <c r="J254">
        <f t="shared" si="301"/>
        <v>16</v>
      </c>
      <c r="K254">
        <f t="shared" si="301"/>
        <v>16</v>
      </c>
      <c r="L254">
        <f t="shared" si="301"/>
        <v>16</v>
      </c>
      <c r="M254">
        <f t="shared" si="301"/>
        <v>16</v>
      </c>
      <c r="N254">
        <f t="shared" si="301"/>
        <v>16</v>
      </c>
      <c r="O254" t="s">
        <v>232</v>
      </c>
    </row>
    <row r="255" spans="1:27" x14ac:dyDescent="0.3">
      <c r="A255">
        <v>13</v>
      </c>
      <c r="B255" t="s">
        <v>400</v>
      </c>
      <c r="C255" t="str">
        <f t="shared" ref="C255:O255" si="302">IF(OR(C$215="",C$217=""),"-",ROUND(C215,1))</f>
        <v>-</v>
      </c>
      <c r="D255" t="str">
        <f t="shared" si="302"/>
        <v>-</v>
      </c>
      <c r="E255">
        <f t="shared" si="302"/>
        <v>34.6</v>
      </c>
      <c r="F255">
        <f t="shared" si="302"/>
        <v>26.1</v>
      </c>
      <c r="G255">
        <f t="shared" si="302"/>
        <v>23</v>
      </c>
      <c r="H255">
        <f t="shared" si="302"/>
        <v>21.2</v>
      </c>
      <c r="I255">
        <f t="shared" si="302"/>
        <v>20.100000000000001</v>
      </c>
      <c r="J255">
        <f t="shared" si="302"/>
        <v>18.3</v>
      </c>
      <c r="K255">
        <f t="shared" si="302"/>
        <v>18.100000000000001</v>
      </c>
      <c r="L255">
        <f t="shared" si="302"/>
        <v>17.7</v>
      </c>
      <c r="M255">
        <f t="shared" si="302"/>
        <v>17</v>
      </c>
      <c r="N255">
        <f t="shared" si="302"/>
        <v>16.8</v>
      </c>
      <c r="O255">
        <f t="shared" si="302"/>
        <v>16.5</v>
      </c>
    </row>
    <row r="256" spans="1:27" x14ac:dyDescent="0.3">
      <c r="A256">
        <v>14</v>
      </c>
      <c r="B256" t="str">
        <f>B216</f>
        <v>Cmax - Perimeter</v>
      </c>
      <c r="C256" t="str">
        <f t="shared" ref="C256:O256" si="303">IF(OR(C$216="",C$217=""),"-",ROUND(C216,1))</f>
        <v>-</v>
      </c>
      <c r="D256" t="str">
        <f t="shared" si="303"/>
        <v>-</v>
      </c>
      <c r="E256">
        <f t="shared" si="303"/>
        <v>31.4</v>
      </c>
      <c r="F256">
        <f t="shared" si="303"/>
        <v>23.6</v>
      </c>
      <c r="G256">
        <f t="shared" si="303"/>
        <v>20.8</v>
      </c>
      <c r="H256">
        <f t="shared" si="303"/>
        <v>19.100000000000001</v>
      </c>
      <c r="I256">
        <f t="shared" si="303"/>
        <v>18.100000000000001</v>
      </c>
      <c r="J256">
        <f t="shared" si="303"/>
        <v>16.399999999999999</v>
      </c>
      <c r="K256">
        <f t="shared" si="303"/>
        <v>16.3</v>
      </c>
      <c r="L256">
        <f t="shared" si="303"/>
        <v>15.9</v>
      </c>
      <c r="M256">
        <f t="shared" si="303"/>
        <v>15.3</v>
      </c>
      <c r="N256">
        <f t="shared" si="303"/>
        <v>15.1</v>
      </c>
      <c r="O256">
        <f t="shared" si="303"/>
        <v>14.8</v>
      </c>
    </row>
    <row r="257" spans="1:17" x14ac:dyDescent="0.3">
      <c r="A257">
        <v>15</v>
      </c>
      <c r="B257" t="str">
        <f>B217</f>
        <v>Cmin</v>
      </c>
      <c r="C257" t="str">
        <f t="shared" ref="C257:O257" si="304">IF(OR(C$216="",C$217=""),"-",ROUND(C217,1))</f>
        <v>-</v>
      </c>
      <c r="D257" t="str">
        <f t="shared" si="304"/>
        <v>-</v>
      </c>
      <c r="E257">
        <f t="shared" si="304"/>
        <v>10.4</v>
      </c>
      <c r="F257">
        <f t="shared" si="304"/>
        <v>8.4</v>
      </c>
      <c r="G257">
        <f t="shared" si="304"/>
        <v>7.6</v>
      </c>
      <c r="H257">
        <f t="shared" si="304"/>
        <v>7</v>
      </c>
      <c r="I257">
        <f t="shared" si="304"/>
        <v>6.7</v>
      </c>
      <c r="J257">
        <f t="shared" si="304"/>
        <v>6.2</v>
      </c>
      <c r="K257">
        <f t="shared" si="304"/>
        <v>6.1</v>
      </c>
      <c r="L257">
        <f t="shared" si="304"/>
        <v>6</v>
      </c>
      <c r="M257">
        <f t="shared" si="304"/>
        <v>5.8</v>
      </c>
      <c r="N257">
        <f t="shared" si="304"/>
        <v>5.7</v>
      </c>
      <c r="O257">
        <f t="shared" si="304"/>
        <v>5.6</v>
      </c>
    </row>
    <row r="258" spans="1:17" x14ac:dyDescent="0.3">
      <c r="A258">
        <v>16</v>
      </c>
      <c r="B258" t="str">
        <f>B214</f>
        <v>Hmin</v>
      </c>
      <c r="C258" s="46">
        <f t="shared" ref="C258:O258" si="305">ROUND(C214,1)</f>
        <v>6.4</v>
      </c>
      <c r="D258" s="46">
        <f t="shared" si="305"/>
        <v>5.2</v>
      </c>
      <c r="E258" s="46">
        <f t="shared" si="305"/>
        <v>4.5</v>
      </c>
      <c r="F258" s="46">
        <f t="shared" si="305"/>
        <v>3.9</v>
      </c>
      <c r="G258" s="46">
        <f t="shared" si="305"/>
        <v>3.7</v>
      </c>
      <c r="H258" s="46">
        <f t="shared" si="305"/>
        <v>3.6</v>
      </c>
      <c r="I258" s="46">
        <f t="shared" si="305"/>
        <v>3.5</v>
      </c>
      <c r="J258" s="46">
        <f t="shared" si="305"/>
        <v>3.5</v>
      </c>
      <c r="K258" s="46">
        <f t="shared" si="305"/>
        <v>3.5</v>
      </c>
      <c r="L258" s="46">
        <f t="shared" si="305"/>
        <v>3.5</v>
      </c>
      <c r="M258" s="46">
        <f t="shared" si="305"/>
        <v>3.6</v>
      </c>
      <c r="N258" s="46">
        <f t="shared" si="305"/>
        <v>3.7</v>
      </c>
      <c r="O258" s="46">
        <f t="shared" si="305"/>
        <v>4.0999999999999996</v>
      </c>
    </row>
    <row r="259" spans="1:17" x14ac:dyDescent="0.3">
      <c r="A259">
        <v>17</v>
      </c>
      <c r="B259" t="str">
        <f>B218</f>
        <v>Mean Air Velocity</v>
      </c>
      <c r="C259" s="29" t="str">
        <f t="shared" ref="C259:O259" si="306">IF(OR(C$216="",C$217=""),"",C218)</f>
        <v/>
      </c>
      <c r="D259" s="29" t="str">
        <f t="shared" si="306"/>
        <v/>
      </c>
      <c r="E259" s="29">
        <f t="shared" si="306"/>
        <v>0.18276119588916323</v>
      </c>
      <c r="F259" s="29">
        <f t="shared" si="306"/>
        <v>0.17281705348942827</v>
      </c>
      <c r="G259" s="29">
        <f t="shared" si="306"/>
        <v>0.16572072048044159</v>
      </c>
      <c r="H259" s="29">
        <f t="shared" si="306"/>
        <v>0.15962664393105205</v>
      </c>
      <c r="I259" s="29">
        <f t="shared" si="306"/>
        <v>0.15495615876221955</v>
      </c>
      <c r="J259" s="29">
        <f t="shared" si="306"/>
        <v>0.14479867643196961</v>
      </c>
      <c r="K259" s="29">
        <f t="shared" si="306"/>
        <v>0.14351490864228708</v>
      </c>
      <c r="L259" s="29">
        <f t="shared" si="306"/>
        <v>0.14088426456482497</v>
      </c>
      <c r="M259" s="29">
        <f t="shared" si="306"/>
        <v>0.13475652524545606</v>
      </c>
      <c r="N259" s="29">
        <f t="shared" si="306"/>
        <v>0.13332778560313427</v>
      </c>
      <c r="O259" s="29">
        <f t="shared" si="306"/>
        <v>0.12974126070963143</v>
      </c>
    </row>
    <row r="260" spans="1:17" x14ac:dyDescent="0.3">
      <c r="A260">
        <v>18</v>
      </c>
      <c r="B260" t="str">
        <f>B219</f>
        <v>Draft Rating</v>
      </c>
      <c r="C260" s="29" t="str">
        <f t="shared" ref="C260:O260" si="307">IF(OR(C$216="",C$217=""),"",C219)</f>
        <v/>
      </c>
      <c r="D260" s="43" t="str">
        <f t="shared" si="307"/>
        <v/>
      </c>
      <c r="E260" s="43">
        <f t="shared" si="307"/>
        <v>0.1838532614197825</v>
      </c>
      <c r="F260" s="43">
        <f t="shared" si="307"/>
        <v>0.17077805449994329</v>
      </c>
      <c r="G260" s="43">
        <f t="shared" si="307"/>
        <v>0.16155727532402697</v>
      </c>
      <c r="H260" s="43">
        <f t="shared" si="307"/>
        <v>0.15370879011083721</v>
      </c>
      <c r="I260" s="43">
        <f t="shared" si="307"/>
        <v>0.14773567274580973</v>
      </c>
      <c r="J260" s="43">
        <f t="shared" si="307"/>
        <v>0.13486286562845617</v>
      </c>
      <c r="K260" s="43">
        <f t="shared" si="307"/>
        <v>0.13324668056204764</v>
      </c>
      <c r="L260" s="43">
        <f t="shared" si="307"/>
        <v>0.12994190012131107</v>
      </c>
      <c r="M260" s="43">
        <f t="shared" si="307"/>
        <v>0.12227831462533473</v>
      </c>
      <c r="N260" s="43">
        <f t="shared" si="307"/>
        <v>0.12049791094973704</v>
      </c>
      <c r="O260" s="43">
        <f t="shared" si="307"/>
        <v>0.1160383032254559</v>
      </c>
    </row>
    <row r="261" spans="1:17" x14ac:dyDescent="0.3">
      <c r="A261">
        <v>19</v>
      </c>
      <c r="B261" t="str">
        <f>B220</f>
        <v>PPD</v>
      </c>
      <c r="C261" s="29" t="str">
        <f t="shared" ref="C261:O261" si="308">IF(OR(C$216="",C$217=""),"",C220)</f>
        <v/>
      </c>
      <c r="D261" s="43" t="str">
        <f t="shared" si="308"/>
        <v/>
      </c>
      <c r="E261" s="43">
        <f t="shared" si="308"/>
        <v>9.2864326222291071E-2</v>
      </c>
      <c r="F261" s="43">
        <f t="shared" si="308"/>
        <v>8.7277085574378632E-2</v>
      </c>
      <c r="G261" s="43">
        <f t="shared" si="308"/>
        <v>8.3439695436068467E-2</v>
      </c>
      <c r="H261" s="43">
        <f t="shared" si="308"/>
        <v>8.0240393606377997E-2</v>
      </c>
      <c r="I261" s="43">
        <f t="shared" si="308"/>
        <v>7.7846832687280931E-2</v>
      </c>
      <c r="J261" s="43">
        <f t="shared" si="308"/>
        <v>7.2809712669873558E-2</v>
      </c>
      <c r="K261" s="43">
        <f t="shared" si="308"/>
        <v>7.2189009080914093E-2</v>
      </c>
      <c r="L261" s="43">
        <f t="shared" si="308"/>
        <v>7.0927923733896156E-2</v>
      </c>
      <c r="M261" s="43">
        <f t="shared" si="308"/>
        <v>6.8045571770139854E-2</v>
      </c>
      <c r="N261" s="43">
        <f t="shared" si="308"/>
        <v>6.7384351009059637E-2</v>
      </c>
      <c r="O261" s="43">
        <f t="shared" si="308"/>
        <v>6.5742019714085401E-2</v>
      </c>
    </row>
    <row r="262" spans="1:17" x14ac:dyDescent="0.3">
      <c r="A262">
        <v>20</v>
      </c>
      <c r="B262" t="str">
        <f>B222</f>
        <v>PPD Class</v>
      </c>
      <c r="C262" s="29" t="str">
        <f t="shared" ref="C262:O262" si="309">IF(OR(C$216="",C$217=""),"",C221)</f>
        <v/>
      </c>
      <c r="D262" s="29" t="str">
        <f t="shared" si="309"/>
        <v/>
      </c>
      <c r="E262" s="29" t="str">
        <f t="shared" si="309"/>
        <v>B</v>
      </c>
      <c r="F262" s="29" t="str">
        <f t="shared" si="309"/>
        <v>B</v>
      </c>
      <c r="G262" s="29" t="str">
        <f t="shared" si="309"/>
        <v>B</v>
      </c>
      <c r="H262" s="29" t="str">
        <f t="shared" si="309"/>
        <v>B</v>
      </c>
      <c r="I262" s="29" t="str">
        <f t="shared" si="309"/>
        <v>B</v>
      </c>
      <c r="J262" s="29" t="str">
        <f t="shared" si="309"/>
        <v>B</v>
      </c>
      <c r="K262" s="29" t="str">
        <f t="shared" si="309"/>
        <v>B</v>
      </c>
      <c r="L262" s="29" t="str">
        <f t="shared" si="309"/>
        <v>B</v>
      </c>
      <c r="M262" s="29" t="str">
        <f t="shared" si="309"/>
        <v>B</v>
      </c>
      <c r="N262" s="29" t="str">
        <f t="shared" si="309"/>
        <v>B</v>
      </c>
      <c r="O262" s="29" t="str">
        <f t="shared" si="309"/>
        <v>B</v>
      </c>
    </row>
    <row r="263" spans="1:17" x14ac:dyDescent="0.3">
      <c r="A263">
        <v>21</v>
      </c>
      <c r="B263" t="s">
        <v>242</v>
      </c>
      <c r="C263" s="29" t="str">
        <f t="shared" ref="C263:O263" si="310">IF(OR(C$216="",C$217=""),"","≤ "&amp;ROUND(C222,1))</f>
        <v/>
      </c>
      <c r="D263" s="29" t="str">
        <f t="shared" si="310"/>
        <v/>
      </c>
      <c r="E263" s="29" t="str">
        <f t="shared" si="310"/>
        <v>≤ 0.5</v>
      </c>
      <c r="F263" s="29" t="str">
        <f t="shared" si="310"/>
        <v>≤ 0.4</v>
      </c>
      <c r="G263" s="29" t="str">
        <f t="shared" si="310"/>
        <v>≤ 0.4</v>
      </c>
      <c r="H263" s="29" t="str">
        <f t="shared" si="310"/>
        <v>≤ 0.4</v>
      </c>
      <c r="I263" s="29" t="str">
        <f t="shared" si="310"/>
        <v>≤ 0.4</v>
      </c>
      <c r="J263" s="29" t="str">
        <f t="shared" si="310"/>
        <v>≤ 0.3</v>
      </c>
      <c r="K263" s="29" t="str">
        <f t="shared" si="310"/>
        <v>≤ 0.3</v>
      </c>
      <c r="L263" s="29" t="str">
        <f t="shared" si="310"/>
        <v>≤ 0.3</v>
      </c>
      <c r="M263" s="29" t="str">
        <f t="shared" si="310"/>
        <v>≤ 0.3</v>
      </c>
      <c r="N263" s="29" t="str">
        <f t="shared" si="310"/>
        <v>≤ 0.3</v>
      </c>
      <c r="O263" s="29" t="str">
        <f t="shared" si="310"/>
        <v>≤ 0.3</v>
      </c>
      <c r="Q263" s="296"/>
    </row>
    <row r="264" spans="1:17" x14ac:dyDescent="0.3">
      <c r="A264">
        <v>22</v>
      </c>
      <c r="B264" t="str">
        <f>B224</f>
        <v>T s.</v>
      </c>
      <c r="C264" t="str">
        <f t="shared" ref="C264:O264" si="311">IFERROR(ROUND(C224,0)&amp;C223,C224)</f>
        <v>n.r.</v>
      </c>
      <c r="D264" t="str">
        <f t="shared" si="311"/>
        <v>n.r.</v>
      </c>
      <c r="E264" t="str">
        <f t="shared" si="311"/>
        <v>n.r.</v>
      </c>
      <c r="F264" t="str">
        <f t="shared" si="311"/>
        <v>n.r.</v>
      </c>
      <c r="G264" t="str">
        <f t="shared" si="311"/>
        <v>n.r.</v>
      </c>
      <c r="H264" t="str">
        <f t="shared" si="311"/>
        <v>30‡</v>
      </c>
      <c r="I264" t="str">
        <f t="shared" si="311"/>
        <v>30†</v>
      </c>
      <c r="J264" t="str">
        <f t="shared" si="311"/>
        <v>26</v>
      </c>
      <c r="K264" t="str">
        <f t="shared" si="311"/>
        <v>26</v>
      </c>
      <c r="L264" t="str">
        <f t="shared" si="311"/>
        <v>24</v>
      </c>
      <c r="M264" t="str">
        <f t="shared" si="311"/>
        <v>22</v>
      </c>
      <c r="N264" t="str">
        <f t="shared" si="311"/>
        <v>22</v>
      </c>
      <c r="O264" t="str">
        <f t="shared" si="311"/>
        <v>-</v>
      </c>
    </row>
    <row r="265" spans="1:17" x14ac:dyDescent="0.3">
      <c r="A265">
        <v>23</v>
      </c>
      <c r="B265" t="s">
        <v>478</v>
      </c>
      <c r="C265" s="27" t="str">
        <f>IFERROR(ROUND(C225,1),C225)</f>
        <v/>
      </c>
      <c r="D265" s="27" t="str">
        <f t="shared" ref="D265:O265" si="312">IFERROR(ROUND(D225,1),D225)</f>
        <v/>
      </c>
      <c r="E265" s="27" t="str">
        <f t="shared" si="312"/>
        <v/>
      </c>
      <c r="F265" s="27" t="str">
        <f t="shared" si="312"/>
        <v/>
      </c>
      <c r="G265" s="27" t="str">
        <f t="shared" si="312"/>
        <v/>
      </c>
      <c r="H265" s="27">
        <f t="shared" si="312"/>
        <v>18</v>
      </c>
      <c r="I265" s="27">
        <f t="shared" si="312"/>
        <v>14</v>
      </c>
      <c r="J265" s="27">
        <f t="shared" si="312"/>
        <v>10.3</v>
      </c>
      <c r="K265" s="27">
        <f t="shared" si="312"/>
        <v>9.6999999999999993</v>
      </c>
      <c r="L265" s="27">
        <f t="shared" si="312"/>
        <v>8.4</v>
      </c>
      <c r="M265" s="27">
        <f t="shared" si="312"/>
        <v>6.2</v>
      </c>
      <c r="N265" s="27">
        <f t="shared" si="312"/>
        <v>6</v>
      </c>
      <c r="O265" s="27">
        <f t="shared" si="312"/>
        <v>6</v>
      </c>
    </row>
    <row r="266" spans="1:17" x14ac:dyDescent="0.3">
      <c r="A266">
        <v>24</v>
      </c>
      <c r="B266" t="s">
        <v>451</v>
      </c>
      <c r="C266" s="27" t="str">
        <f t="shared" ref="C266:O266" si="313">IFERROR(ROUND(C226,2),C226)</f>
        <v/>
      </c>
      <c r="D266" s="27" t="str">
        <f t="shared" si="313"/>
        <v/>
      </c>
      <c r="E266" s="27" t="str">
        <f t="shared" si="313"/>
        <v/>
      </c>
      <c r="F266" s="27" t="str">
        <f t="shared" si="313"/>
        <v/>
      </c>
      <c r="G266" s="27" t="str">
        <f t="shared" si="313"/>
        <v/>
      </c>
      <c r="H266" s="27">
        <f t="shared" si="313"/>
        <v>1</v>
      </c>
      <c r="I266" s="27">
        <f t="shared" si="313"/>
        <v>1.05</v>
      </c>
      <c r="J266" s="27">
        <f t="shared" si="313"/>
        <v>1.28</v>
      </c>
      <c r="K266" s="27">
        <f t="shared" si="313"/>
        <v>1.3</v>
      </c>
      <c r="L266" s="27">
        <f t="shared" si="313"/>
        <v>1.38</v>
      </c>
      <c r="M266" s="27">
        <f t="shared" si="313"/>
        <v>1.67</v>
      </c>
      <c r="N266" s="27">
        <f t="shared" si="313"/>
        <v>1.95</v>
      </c>
      <c r="O266" s="27">
        <f t="shared" si="313"/>
        <v>3.02</v>
      </c>
    </row>
    <row r="267" spans="1:17" x14ac:dyDescent="0.3">
      <c r="A267">
        <v>25</v>
      </c>
      <c r="B267" t="s">
        <v>452</v>
      </c>
      <c r="C267" s="27" t="str">
        <f t="shared" ref="C267:O267" si="314">IFERROR(ROUND(C227,2),C227)</f>
        <v/>
      </c>
      <c r="D267" s="27" t="str">
        <f t="shared" si="314"/>
        <v/>
      </c>
      <c r="E267" s="27" t="str">
        <f t="shared" si="314"/>
        <v/>
      </c>
      <c r="F267" s="27" t="str">
        <f t="shared" si="314"/>
        <v/>
      </c>
      <c r="G267" s="27" t="str">
        <f t="shared" si="314"/>
        <v/>
      </c>
      <c r="H267" s="27">
        <f t="shared" si="314"/>
        <v>1</v>
      </c>
      <c r="I267" s="27">
        <f t="shared" si="314"/>
        <v>1.1100000000000001</v>
      </c>
      <c r="J267" s="27">
        <f t="shared" si="314"/>
        <v>1.63</v>
      </c>
      <c r="K267" s="27">
        <f t="shared" si="314"/>
        <v>1.7</v>
      </c>
      <c r="L267" s="27">
        <f t="shared" si="314"/>
        <v>1.91</v>
      </c>
      <c r="M267" s="27">
        <f t="shared" si="314"/>
        <v>2.78</v>
      </c>
      <c r="N267" s="27">
        <f t="shared" si="314"/>
        <v>3.8</v>
      </c>
      <c r="O267" s="27">
        <f t="shared" si="314"/>
        <v>9.15</v>
      </c>
    </row>
    <row r="268" spans="1:17" x14ac:dyDescent="0.3">
      <c r="A268">
        <v>26</v>
      </c>
      <c r="B268" t="s">
        <v>482</v>
      </c>
      <c r="C268" s="27" t="str">
        <f t="shared" ref="C268:O268" si="315">IFERROR(ROUND(C228,2),C228)</f>
        <v/>
      </c>
      <c r="D268" s="27" t="str">
        <f t="shared" si="315"/>
        <v/>
      </c>
      <c r="E268" s="27" t="str">
        <f t="shared" si="315"/>
        <v/>
      </c>
      <c r="F268" s="27" t="str">
        <f t="shared" si="315"/>
        <v/>
      </c>
      <c r="G268" s="27" t="str">
        <f t="shared" si="315"/>
        <v/>
      </c>
      <c r="H268" s="27">
        <f t="shared" si="315"/>
        <v>1</v>
      </c>
      <c r="I268" s="27">
        <f t="shared" si="315"/>
        <v>0.95</v>
      </c>
      <c r="J268" s="27">
        <f t="shared" si="315"/>
        <v>0.78</v>
      </c>
      <c r="K268" s="27">
        <f t="shared" si="315"/>
        <v>0.77</v>
      </c>
      <c r="L268" s="27">
        <f t="shared" si="315"/>
        <v>0.72</v>
      </c>
      <c r="M268" s="27">
        <f t="shared" si="315"/>
        <v>0.6</v>
      </c>
      <c r="N268" s="27">
        <f t="shared" si="315"/>
        <v>0.51</v>
      </c>
      <c r="O268" s="27">
        <f t="shared" si="315"/>
        <v>0.33</v>
      </c>
    </row>
    <row r="269" spans="1:17" x14ac:dyDescent="0.3">
      <c r="A269">
        <v>27</v>
      </c>
      <c r="B269" t="str">
        <f>B253</f>
        <v>ΔT_max (heating)</v>
      </c>
      <c r="C269" t="str">
        <f t="shared" ref="C269:O269" si="316">IF($C$24,C235,C234)</f>
        <v>+18</v>
      </c>
      <c r="D269" t="str">
        <f t="shared" si="316"/>
        <v>+18</v>
      </c>
      <c r="E269" t="str">
        <f t="shared" si="316"/>
        <v>+18</v>
      </c>
      <c r="F269" t="str">
        <f t="shared" si="316"/>
        <v>+18</v>
      </c>
      <c r="G269" t="str">
        <f t="shared" si="316"/>
        <v>+18</v>
      </c>
      <c r="H269" t="str">
        <f t="shared" si="316"/>
        <v>+18</v>
      </c>
      <c r="I269">
        <f t="shared" si="316"/>
        <v>12.62139873972731</v>
      </c>
      <c r="J269">
        <f t="shared" si="316"/>
        <v>6.3095131813855536</v>
      </c>
      <c r="K269">
        <f t="shared" si="316"/>
        <v>5.7027487002065405</v>
      </c>
      <c r="L269">
        <f t="shared" si="316"/>
        <v>4.4080088135483804</v>
      </c>
      <c r="M269">
        <f t="shared" si="316"/>
        <v>2.2421253054875363</v>
      </c>
      <c r="N269">
        <f t="shared" si="316"/>
        <v>1.5776748424659137</v>
      </c>
      <c r="O269" t="str">
        <f t="shared" si="316"/>
        <v>&lt; +1</v>
      </c>
    </row>
    <row r="270" spans="1:17" x14ac:dyDescent="0.3">
      <c r="A270">
        <v>28</v>
      </c>
      <c r="B270" t="s">
        <v>387</v>
      </c>
      <c r="C270" t="s">
        <v>22</v>
      </c>
      <c r="D270" t="s">
        <v>22</v>
      </c>
      <c r="E270" t="s">
        <v>32</v>
      </c>
      <c r="F270" t="s">
        <v>32</v>
      </c>
      <c r="G270" t="s">
        <v>342</v>
      </c>
      <c r="H270" t="s">
        <v>34</v>
      </c>
      <c r="I270" t="s">
        <v>34</v>
      </c>
      <c r="J270" t="s">
        <v>343</v>
      </c>
      <c r="K270" t="s">
        <v>35</v>
      </c>
      <c r="L270" t="s">
        <v>35</v>
      </c>
      <c r="M270" t="s">
        <v>47</v>
      </c>
      <c r="N270" t="s">
        <v>47</v>
      </c>
    </row>
    <row r="271" spans="1:17" x14ac:dyDescent="0.3">
      <c r="A271">
        <v>29</v>
      </c>
      <c r="B271" t="s">
        <v>542</v>
      </c>
      <c r="C271" s="29" t="str">
        <f t="shared" ref="C271:O271" si="317">IFERROR(ROUND(C224,0),C224)</f>
        <v>n.r.</v>
      </c>
      <c r="D271" s="29" t="str">
        <f t="shared" si="317"/>
        <v>n.r.</v>
      </c>
      <c r="E271" s="29" t="str">
        <f t="shared" si="317"/>
        <v>n.r.</v>
      </c>
      <c r="F271" s="29" t="str">
        <f t="shared" si="317"/>
        <v>n.r.</v>
      </c>
      <c r="G271" s="29" t="str">
        <f t="shared" si="317"/>
        <v>n.r.</v>
      </c>
      <c r="H271" s="29">
        <f t="shared" si="317"/>
        <v>30</v>
      </c>
      <c r="I271" s="29">
        <f t="shared" si="317"/>
        <v>30</v>
      </c>
      <c r="J271" s="29">
        <f t="shared" si="317"/>
        <v>26</v>
      </c>
      <c r="K271" s="29">
        <f t="shared" si="317"/>
        <v>26</v>
      </c>
      <c r="L271" s="29">
        <f t="shared" si="317"/>
        <v>24</v>
      </c>
      <c r="M271" s="29">
        <f t="shared" si="317"/>
        <v>22</v>
      </c>
      <c r="N271" s="29">
        <f t="shared" si="317"/>
        <v>22</v>
      </c>
      <c r="O271" s="29" t="str">
        <f t="shared" si="317"/>
        <v>-</v>
      </c>
    </row>
    <row r="272" spans="1:17" x14ac:dyDescent="0.3">
      <c r="A272">
        <v>30</v>
      </c>
      <c r="B272" t="s">
        <v>543</v>
      </c>
      <c r="C272" s="29" t="str">
        <f t="shared" ref="C272:O272" si="318">C223</f>
        <v/>
      </c>
      <c r="D272" s="29" t="str">
        <f t="shared" si="318"/>
        <v/>
      </c>
      <c r="E272" s="29" t="str">
        <f t="shared" si="318"/>
        <v/>
      </c>
      <c r="F272" s="29" t="str">
        <f t="shared" si="318"/>
        <v/>
      </c>
      <c r="G272" s="29" t="str">
        <f t="shared" si="318"/>
        <v/>
      </c>
      <c r="H272" s="29" t="str">
        <f t="shared" si="318"/>
        <v>‡</v>
      </c>
      <c r="I272" s="29" t="str">
        <f t="shared" si="318"/>
        <v>†</v>
      </c>
      <c r="J272" s="29" t="str">
        <f t="shared" si="318"/>
        <v/>
      </c>
      <c r="K272" s="29" t="str">
        <f t="shared" si="318"/>
        <v/>
      </c>
      <c r="L272" s="29" t="str">
        <f t="shared" si="318"/>
        <v/>
      </c>
      <c r="M272" s="29" t="str">
        <f t="shared" si="318"/>
        <v/>
      </c>
      <c r="N272" s="29" t="str">
        <f t="shared" si="318"/>
        <v/>
      </c>
      <c r="O272" s="29">
        <f t="shared" si="318"/>
        <v>0</v>
      </c>
    </row>
    <row r="273" spans="1:17" x14ac:dyDescent="0.3">
      <c r="A273">
        <v>31</v>
      </c>
      <c r="B273" t="s">
        <v>551</v>
      </c>
      <c r="C273" t="str">
        <f>C109</f>
        <v/>
      </c>
      <c r="D273" t="str">
        <f>M109</f>
        <v/>
      </c>
      <c r="E273" t="str">
        <f>W109</f>
        <v/>
      </c>
      <c r="F273" t="str">
        <f>AG109</f>
        <v/>
      </c>
      <c r="G273" s="27" t="str">
        <f>BA109</f>
        <v/>
      </c>
      <c r="H273" t="str">
        <f>BK109</f>
        <v>high</v>
      </c>
      <c r="I273" t="str">
        <f>BU109</f>
        <v>mid</v>
      </c>
      <c r="J273" t="str">
        <f>CO109</f>
        <v/>
      </c>
      <c r="K273" t="str">
        <f>CY109</f>
        <v/>
      </c>
      <c r="L273" t="str">
        <f>DI109</f>
        <v/>
      </c>
      <c r="M273" t="str">
        <f>DS109</f>
        <v/>
      </c>
      <c r="N273" t="str">
        <f>EC109</f>
        <v/>
      </c>
    </row>
    <row r="274" spans="1:17" x14ac:dyDescent="0.3">
      <c r="C274" s="29"/>
      <c r="D274" s="29"/>
      <c r="E274" s="29"/>
      <c r="F274" s="29"/>
      <c r="G274" s="29"/>
      <c r="H274" s="29"/>
      <c r="I274" s="29"/>
      <c r="J274" s="29"/>
      <c r="K274" s="29"/>
      <c r="L274" s="29"/>
      <c r="M274" s="29"/>
      <c r="N274" s="29"/>
    </row>
    <row r="275" spans="1:17" ht="18" thickBot="1" x14ac:dyDescent="0.4">
      <c r="B275" s="25" t="s">
        <v>196</v>
      </c>
      <c r="C275" s="29"/>
      <c r="D275" s="29"/>
      <c r="E275" s="29"/>
      <c r="F275" s="29"/>
      <c r="G275" s="29"/>
      <c r="H275" s="29"/>
      <c r="I275" s="29"/>
      <c r="J275" s="29"/>
      <c r="K275" s="29"/>
      <c r="L275" s="29"/>
      <c r="M275" s="29"/>
      <c r="N275" s="29"/>
    </row>
    <row r="276" spans="1:17" ht="15" thickTop="1" x14ac:dyDescent="0.3">
      <c r="C276" s="32" t="s">
        <v>48</v>
      </c>
      <c r="D276" s="32" t="s">
        <v>22</v>
      </c>
      <c r="E276" s="32" t="s">
        <v>49</v>
      </c>
      <c r="F276" s="32" t="s">
        <v>32</v>
      </c>
      <c r="G276" s="32" t="s">
        <v>342</v>
      </c>
      <c r="H276" s="32" t="s">
        <v>50</v>
      </c>
      <c r="I276" s="32" t="s">
        <v>34</v>
      </c>
      <c r="J276" s="32" t="s">
        <v>343</v>
      </c>
      <c r="K276" s="32" t="s">
        <v>51</v>
      </c>
      <c r="L276" s="32" t="s">
        <v>35</v>
      </c>
      <c r="M276" s="38" t="s">
        <v>52</v>
      </c>
      <c r="N276" s="38" t="s">
        <v>47</v>
      </c>
      <c r="O276" s="32" t="s">
        <v>231</v>
      </c>
      <c r="P276" t="s">
        <v>409</v>
      </c>
    </row>
    <row r="277" spans="1:17" x14ac:dyDescent="0.3">
      <c r="B277" t="s">
        <v>37</v>
      </c>
      <c r="C277" s="29" t="b">
        <f t="shared" ref="C277:O277" si="319">C245&gt;C246</f>
        <v>1</v>
      </c>
      <c r="D277" s="29" t="b">
        <f t="shared" si="319"/>
        <v>1</v>
      </c>
      <c r="E277" s="29" t="b">
        <f t="shared" si="319"/>
        <v>1</v>
      </c>
      <c r="F277" s="29" t="b">
        <f t="shared" si="319"/>
        <v>1</v>
      </c>
      <c r="G277" s="29" t="b">
        <f t="shared" si="319"/>
        <v>1</v>
      </c>
      <c r="H277" s="29" t="b">
        <f t="shared" si="319"/>
        <v>1</v>
      </c>
      <c r="I277" s="29" t="b">
        <f t="shared" si="319"/>
        <v>0</v>
      </c>
      <c r="J277" s="29" t="b">
        <f t="shared" si="319"/>
        <v>0</v>
      </c>
      <c r="K277" s="29" t="b">
        <f t="shared" si="319"/>
        <v>0</v>
      </c>
      <c r="L277" s="29" t="b">
        <f t="shared" si="319"/>
        <v>0</v>
      </c>
      <c r="M277" s="29" t="b">
        <f t="shared" si="319"/>
        <v>0</v>
      </c>
      <c r="N277" s="29" t="b">
        <f t="shared" si="319"/>
        <v>0</v>
      </c>
      <c r="O277" s="307" t="b">
        <f t="shared" si="319"/>
        <v>0</v>
      </c>
      <c r="Q277" t="s">
        <v>348</v>
      </c>
    </row>
    <row r="278" spans="1:17" x14ac:dyDescent="0.3">
      <c r="B278" t="s">
        <v>96</v>
      </c>
      <c r="C278" s="29" t="b">
        <f t="shared" ref="C278:O278" si="320">C248&gt;C247</f>
        <v>0</v>
      </c>
      <c r="D278" s="29" t="b">
        <f t="shared" si="320"/>
        <v>0</v>
      </c>
      <c r="E278" s="29" t="b">
        <f t="shared" si="320"/>
        <v>0</v>
      </c>
      <c r="F278" s="29" t="b">
        <f t="shared" si="320"/>
        <v>0</v>
      </c>
      <c r="G278" s="29" t="b">
        <f t="shared" si="320"/>
        <v>0</v>
      </c>
      <c r="H278" s="29" t="b">
        <f t="shared" si="320"/>
        <v>0</v>
      </c>
      <c r="I278" s="29" t="b">
        <f t="shared" si="320"/>
        <v>0</v>
      </c>
      <c r="J278" s="29" t="b">
        <f t="shared" si="320"/>
        <v>0</v>
      </c>
      <c r="K278" s="29" t="b">
        <f t="shared" si="320"/>
        <v>0</v>
      </c>
      <c r="L278" s="29" t="b">
        <f t="shared" si="320"/>
        <v>0</v>
      </c>
      <c r="M278" s="29" t="b">
        <f t="shared" si="320"/>
        <v>1</v>
      </c>
      <c r="N278" s="29" t="b">
        <f t="shared" si="320"/>
        <v>1</v>
      </c>
      <c r="O278" s="307" t="b">
        <f t="shared" si="320"/>
        <v>1</v>
      </c>
      <c r="Q278" t="s">
        <v>348</v>
      </c>
    </row>
    <row r="279" spans="1:17" x14ac:dyDescent="0.3">
      <c r="B279" t="s">
        <v>349</v>
      </c>
      <c r="C279" s="29" t="b">
        <f t="shared" ref="C279:O279" si="321">NOT(ISNUMBER(C249))</f>
        <v>0</v>
      </c>
      <c r="D279" s="29" t="b">
        <f t="shared" si="321"/>
        <v>0</v>
      </c>
      <c r="E279" s="29" t="b">
        <f t="shared" si="321"/>
        <v>0</v>
      </c>
      <c r="F279" s="29" t="b">
        <f t="shared" si="321"/>
        <v>0</v>
      </c>
      <c r="G279" s="29" t="b">
        <f t="shared" si="321"/>
        <v>0</v>
      </c>
      <c r="H279" s="29" t="b">
        <f t="shared" si="321"/>
        <v>0</v>
      </c>
      <c r="I279" s="29" t="b">
        <f t="shared" si="321"/>
        <v>0</v>
      </c>
      <c r="J279" s="29" t="b">
        <f t="shared" si="321"/>
        <v>0</v>
      </c>
      <c r="K279" s="29" t="b">
        <f t="shared" si="321"/>
        <v>0</v>
      </c>
      <c r="L279" s="29" t="b">
        <f t="shared" si="321"/>
        <v>0</v>
      </c>
      <c r="M279" s="29" t="b">
        <f t="shared" si="321"/>
        <v>0</v>
      </c>
      <c r="N279" s="29" t="b">
        <f t="shared" si="321"/>
        <v>1</v>
      </c>
      <c r="O279" s="307" t="b">
        <f t="shared" si="321"/>
        <v>1</v>
      </c>
    </row>
    <row r="280" spans="1:17" x14ac:dyDescent="0.3">
      <c r="B280" t="s">
        <v>350</v>
      </c>
      <c r="C280" s="29" t="b">
        <f t="shared" ref="C280:O280" si="322">NOT(ISNUMBER(C250))</f>
        <v>0</v>
      </c>
      <c r="D280" s="29" t="b">
        <f t="shared" si="322"/>
        <v>0</v>
      </c>
      <c r="E280" s="29" t="b">
        <f t="shared" si="322"/>
        <v>0</v>
      </c>
      <c r="F280" s="29" t="b">
        <f t="shared" si="322"/>
        <v>0</v>
      </c>
      <c r="G280" s="29" t="b">
        <f t="shared" si="322"/>
        <v>0</v>
      </c>
      <c r="H280" s="29" t="b">
        <f t="shared" si="322"/>
        <v>0</v>
      </c>
      <c r="I280" s="29" t="b">
        <f t="shared" si="322"/>
        <v>0</v>
      </c>
      <c r="J280" s="29" t="b">
        <f t="shared" si="322"/>
        <v>0</v>
      </c>
      <c r="K280" s="29" t="b">
        <f t="shared" si="322"/>
        <v>0</v>
      </c>
      <c r="L280" s="29" t="b">
        <f t="shared" si="322"/>
        <v>0</v>
      </c>
      <c r="M280" s="29" t="b">
        <f t="shared" si="322"/>
        <v>1</v>
      </c>
      <c r="N280" s="29" t="b">
        <f t="shared" si="322"/>
        <v>1</v>
      </c>
      <c r="O280" s="307" t="b">
        <f t="shared" si="322"/>
        <v>1</v>
      </c>
    </row>
    <row r="281" spans="1:17" x14ac:dyDescent="0.3">
      <c r="C281" s="29"/>
      <c r="D281" s="29"/>
      <c r="E281" s="29"/>
      <c r="F281" s="29"/>
      <c r="G281" s="29"/>
      <c r="H281" s="29"/>
      <c r="I281" s="29"/>
      <c r="J281" s="29"/>
      <c r="K281" s="29"/>
      <c r="L281" s="29"/>
      <c r="M281" s="29"/>
      <c r="N281" s="29"/>
      <c r="O281" s="308"/>
    </row>
    <row r="282" spans="1:17" x14ac:dyDescent="0.3">
      <c r="B282" t="s">
        <v>197</v>
      </c>
      <c r="C282" s="29" t="b">
        <f>AND($C$24,C335&lt;0)</f>
        <v>0</v>
      </c>
      <c r="D282" s="29" t="b">
        <f t="shared" ref="D282:O282" si="323">AND($C$24,D335&lt;0)</f>
        <v>0</v>
      </c>
      <c r="E282" s="29" t="b">
        <f t="shared" si="323"/>
        <v>0</v>
      </c>
      <c r="F282" s="29" t="b">
        <f t="shared" si="323"/>
        <v>0</v>
      </c>
      <c r="G282" s="29" t="b">
        <f t="shared" si="323"/>
        <v>0</v>
      </c>
      <c r="H282" s="29" t="b">
        <f t="shared" si="323"/>
        <v>0</v>
      </c>
      <c r="I282" s="29" t="b">
        <f t="shared" si="323"/>
        <v>0</v>
      </c>
      <c r="J282" s="29" t="b">
        <f t="shared" si="323"/>
        <v>0</v>
      </c>
      <c r="K282" s="29" t="b">
        <f t="shared" si="323"/>
        <v>0</v>
      </c>
      <c r="L282" s="29" t="b">
        <f t="shared" si="323"/>
        <v>0</v>
      </c>
      <c r="M282" s="29" t="b">
        <f t="shared" si="323"/>
        <v>0</v>
      </c>
      <c r="N282" s="29" t="b">
        <f t="shared" si="323"/>
        <v>0</v>
      </c>
      <c r="O282" s="29" t="b">
        <f t="shared" si="323"/>
        <v>0</v>
      </c>
      <c r="P282" s="416" t="b">
        <f>OR(C282:N282)</f>
        <v>0</v>
      </c>
      <c r="Q282" t="s">
        <v>570</v>
      </c>
    </row>
    <row r="283" spans="1:17" x14ac:dyDescent="0.3">
      <c r="C283" s="44"/>
      <c r="D283" s="44"/>
      <c r="E283" s="44"/>
      <c r="F283" s="44"/>
      <c r="G283" s="44"/>
      <c r="H283" s="44"/>
      <c r="I283" s="44"/>
      <c r="J283" s="44"/>
      <c r="K283" s="44"/>
      <c r="L283" s="44"/>
      <c r="M283" s="44"/>
      <c r="N283" s="44"/>
      <c r="O283" s="308"/>
    </row>
    <row r="284" spans="1:17" x14ac:dyDescent="0.3">
      <c r="B284" t="s">
        <v>405</v>
      </c>
      <c r="C284" s="29" t="e">
        <f t="shared" ref="C284:O284" si="324">OR($C$186&gt;ROUND(C255,1),C257&gt;C255)</f>
        <v>#VALUE!</v>
      </c>
      <c r="D284" s="29" t="e">
        <f t="shared" si="324"/>
        <v>#VALUE!</v>
      </c>
      <c r="E284" s="29" t="b">
        <f t="shared" si="324"/>
        <v>0</v>
      </c>
      <c r="F284" s="29" t="b">
        <f t="shared" si="324"/>
        <v>0</v>
      </c>
      <c r="G284" s="29" t="b">
        <f t="shared" si="324"/>
        <v>0</v>
      </c>
      <c r="H284" s="29" t="b">
        <f t="shared" si="324"/>
        <v>0</v>
      </c>
      <c r="I284" s="29" t="b">
        <f t="shared" si="324"/>
        <v>0</v>
      </c>
      <c r="J284" s="29" t="b">
        <f t="shared" si="324"/>
        <v>0</v>
      </c>
      <c r="K284" s="29" t="b">
        <f t="shared" si="324"/>
        <v>0</v>
      </c>
      <c r="L284" s="29" t="b">
        <f t="shared" si="324"/>
        <v>0</v>
      </c>
      <c r="M284" s="29" t="b">
        <f t="shared" si="324"/>
        <v>0</v>
      </c>
      <c r="N284" s="29" t="b">
        <f t="shared" si="324"/>
        <v>0</v>
      </c>
      <c r="O284" s="307" t="b">
        <f t="shared" si="324"/>
        <v>0</v>
      </c>
    </row>
    <row r="285" spans="1:17" x14ac:dyDescent="0.3">
      <c r="B285" t="s">
        <v>404</v>
      </c>
      <c r="C285" s="29" t="e">
        <f t="shared" ref="C285:O285" si="325">OR($C$186&gt;ROUND(C256,1),C257&gt;C256)</f>
        <v>#VALUE!</v>
      </c>
      <c r="D285" s="29" t="e">
        <f t="shared" si="325"/>
        <v>#VALUE!</v>
      </c>
      <c r="E285" s="29" t="b">
        <f t="shared" si="325"/>
        <v>0</v>
      </c>
      <c r="F285" s="29" t="b">
        <f t="shared" si="325"/>
        <v>0</v>
      </c>
      <c r="G285" s="29" t="b">
        <f t="shared" si="325"/>
        <v>0</v>
      </c>
      <c r="H285" s="29" t="b">
        <f t="shared" si="325"/>
        <v>0</v>
      </c>
      <c r="I285" s="29" t="b">
        <f t="shared" si="325"/>
        <v>0</v>
      </c>
      <c r="J285" s="29" t="b">
        <f t="shared" si="325"/>
        <v>0</v>
      </c>
      <c r="K285" s="29" t="b">
        <f t="shared" si="325"/>
        <v>0</v>
      </c>
      <c r="L285" s="29" t="b">
        <f t="shared" si="325"/>
        <v>0</v>
      </c>
      <c r="M285" s="29" t="b">
        <f t="shared" si="325"/>
        <v>0</v>
      </c>
      <c r="N285" s="29" t="b">
        <f t="shared" si="325"/>
        <v>0</v>
      </c>
      <c r="O285" s="307" t="b">
        <f t="shared" si="325"/>
        <v>0</v>
      </c>
    </row>
    <row r="286" spans="1:17" x14ac:dyDescent="0.3">
      <c r="B286" t="s">
        <v>243</v>
      </c>
      <c r="C286" s="29" t="e">
        <f t="shared" ref="C286:O286" si="326">OR($C$186&lt;ROUND(C257,1),C257&gt;C256)</f>
        <v>#VALUE!</v>
      </c>
      <c r="D286" s="29" t="e">
        <f t="shared" si="326"/>
        <v>#VALUE!</v>
      </c>
      <c r="E286" s="29" t="b">
        <f t="shared" si="326"/>
        <v>0</v>
      </c>
      <c r="F286" s="29" t="b">
        <f t="shared" si="326"/>
        <v>0</v>
      </c>
      <c r="G286" s="29" t="b">
        <f t="shared" si="326"/>
        <v>0</v>
      </c>
      <c r="H286" s="29" t="b">
        <f t="shared" si="326"/>
        <v>0</v>
      </c>
      <c r="I286" s="29" t="b">
        <f t="shared" si="326"/>
        <v>0</v>
      </c>
      <c r="J286" s="29" t="b">
        <f t="shared" si="326"/>
        <v>0</v>
      </c>
      <c r="K286" s="29" t="b">
        <f t="shared" si="326"/>
        <v>0</v>
      </c>
      <c r="L286" s="29" t="b">
        <f t="shared" si="326"/>
        <v>0</v>
      </c>
      <c r="M286" s="29" t="b">
        <f t="shared" si="326"/>
        <v>0</v>
      </c>
      <c r="N286" s="29" t="b">
        <f t="shared" si="326"/>
        <v>0</v>
      </c>
      <c r="O286" s="307" t="b">
        <f t="shared" si="326"/>
        <v>0</v>
      </c>
    </row>
    <row r="287" spans="1:17" x14ac:dyDescent="0.3">
      <c r="B287" t="s">
        <v>280</v>
      </c>
      <c r="C287" s="29" t="b">
        <f t="shared" ref="C287:O287" si="327">$C$15&lt;C258</f>
        <v>1</v>
      </c>
      <c r="D287" s="29" t="b">
        <f t="shared" si="327"/>
        <v>0</v>
      </c>
      <c r="E287" s="29" t="b">
        <f t="shared" si="327"/>
        <v>0</v>
      </c>
      <c r="F287" s="29" t="b">
        <f t="shared" si="327"/>
        <v>0</v>
      </c>
      <c r="G287" s="29" t="b">
        <f t="shared" si="327"/>
        <v>0</v>
      </c>
      <c r="H287" s="29" t="b">
        <f t="shared" si="327"/>
        <v>0</v>
      </c>
      <c r="I287" s="29" t="b">
        <f t="shared" si="327"/>
        <v>0</v>
      </c>
      <c r="J287" s="29" t="b">
        <f t="shared" si="327"/>
        <v>0</v>
      </c>
      <c r="K287" s="29" t="b">
        <f t="shared" si="327"/>
        <v>0</v>
      </c>
      <c r="L287" s="29" t="b">
        <f t="shared" si="327"/>
        <v>0</v>
      </c>
      <c r="M287" s="29" t="b">
        <f t="shared" si="327"/>
        <v>0</v>
      </c>
      <c r="N287" s="29" t="b">
        <f t="shared" si="327"/>
        <v>0</v>
      </c>
      <c r="O287" s="307" t="b">
        <f t="shared" si="327"/>
        <v>0</v>
      </c>
    </row>
    <row r="288" spans="1:17" x14ac:dyDescent="0.3">
      <c r="C288" s="29"/>
      <c r="D288" s="29"/>
      <c r="E288" s="29"/>
      <c r="F288" s="29"/>
      <c r="G288" s="29"/>
      <c r="H288" s="29"/>
      <c r="I288" s="29"/>
      <c r="J288" s="29"/>
      <c r="K288" s="29"/>
      <c r="L288" s="29"/>
      <c r="M288" s="29"/>
      <c r="N288" s="29"/>
      <c r="O288" s="307"/>
    </row>
    <row r="289" spans="2:17" x14ac:dyDescent="0.3">
      <c r="B289" t="s">
        <v>582</v>
      </c>
      <c r="C289" s="29" t="b">
        <f>C271="n.r."</f>
        <v>1</v>
      </c>
      <c r="D289" s="29" t="b">
        <f t="shared" ref="D289:N289" si="328">D271="n.r."</f>
        <v>1</v>
      </c>
      <c r="E289" s="29" t="b">
        <f t="shared" si="328"/>
        <v>1</v>
      </c>
      <c r="F289" s="29" t="b">
        <f t="shared" si="328"/>
        <v>1</v>
      </c>
      <c r="G289" s="29" t="b">
        <f t="shared" si="328"/>
        <v>1</v>
      </c>
      <c r="H289" s="29" t="b">
        <f t="shared" si="328"/>
        <v>0</v>
      </c>
      <c r="I289" s="29" t="b">
        <f t="shared" si="328"/>
        <v>0</v>
      </c>
      <c r="J289" s="29" t="b">
        <f t="shared" si="328"/>
        <v>0</v>
      </c>
      <c r="K289" s="29" t="b">
        <f t="shared" si="328"/>
        <v>0</v>
      </c>
      <c r="L289" s="29" t="b">
        <f t="shared" si="328"/>
        <v>0</v>
      </c>
      <c r="M289" s="29" t="b">
        <f t="shared" si="328"/>
        <v>0</v>
      </c>
      <c r="N289" s="29" t="b">
        <f t="shared" si="328"/>
        <v>0</v>
      </c>
      <c r="O289" s="307"/>
      <c r="P289" s="29" t="b">
        <f>OR(C289:N289)</f>
        <v>1</v>
      </c>
      <c r="Q289" t="s">
        <v>570</v>
      </c>
    </row>
    <row r="290" spans="2:17" x14ac:dyDescent="0.3">
      <c r="C290" s="29"/>
      <c r="D290" s="29"/>
      <c r="E290" s="29"/>
      <c r="F290" s="29"/>
      <c r="G290" s="29"/>
      <c r="H290" s="29"/>
      <c r="I290" s="29"/>
      <c r="J290" s="29"/>
      <c r="K290" s="29"/>
      <c r="L290" s="29"/>
      <c r="M290" s="29"/>
      <c r="N290" s="29"/>
      <c r="O290" s="308"/>
    </row>
    <row r="291" spans="2:17" x14ac:dyDescent="0.3">
      <c r="B291" t="s">
        <v>347</v>
      </c>
      <c r="C291" s="29" t="b">
        <f>OR(C277,C278)</f>
        <v>1</v>
      </c>
      <c r="D291" s="29" t="b">
        <f t="shared" ref="D291:O291" si="329">OR(D277,D278)</f>
        <v>1</v>
      </c>
      <c r="E291" s="29" t="b">
        <f t="shared" si="329"/>
        <v>1</v>
      </c>
      <c r="F291" s="29" t="b">
        <f t="shared" si="329"/>
        <v>1</v>
      </c>
      <c r="G291" s="29" t="b">
        <f t="shared" si="329"/>
        <v>1</v>
      </c>
      <c r="H291" s="29" t="b">
        <f t="shared" si="329"/>
        <v>1</v>
      </c>
      <c r="I291" s="29" t="b">
        <f t="shared" si="329"/>
        <v>0</v>
      </c>
      <c r="J291" s="29" t="b">
        <f t="shared" si="329"/>
        <v>0</v>
      </c>
      <c r="K291" s="29" t="b">
        <f t="shared" si="329"/>
        <v>0</v>
      </c>
      <c r="L291" s="29" t="b">
        <f t="shared" si="329"/>
        <v>0</v>
      </c>
      <c r="M291" s="29" t="b">
        <f t="shared" si="329"/>
        <v>1</v>
      </c>
      <c r="N291" s="29" t="b">
        <f t="shared" si="329"/>
        <v>1</v>
      </c>
      <c r="O291" s="307" t="b">
        <f t="shared" si="329"/>
        <v>1</v>
      </c>
      <c r="Q291" t="s">
        <v>348</v>
      </c>
    </row>
    <row r="292" spans="2:17" x14ac:dyDescent="0.3">
      <c r="C292" s="29"/>
      <c r="D292" s="29"/>
      <c r="E292" s="29"/>
      <c r="F292" s="29"/>
      <c r="G292" s="29"/>
      <c r="H292" s="29"/>
      <c r="I292" s="29"/>
      <c r="J292" s="29"/>
      <c r="K292" s="29"/>
      <c r="L292" s="29"/>
      <c r="M292" s="29"/>
      <c r="N292" s="29"/>
    </row>
    <row r="293" spans="2:17" x14ac:dyDescent="0.3">
      <c r="B293" t="s">
        <v>537</v>
      </c>
      <c r="C293" s="29" t="str">
        <f>IF(NOT(C291),C322,"")</f>
        <v/>
      </c>
      <c r="D293" s="29" t="str">
        <f t="shared" ref="D293:O293" si="330">IF(NOT(D291),D322,"")</f>
        <v/>
      </c>
      <c r="E293" s="29" t="str">
        <f t="shared" si="330"/>
        <v/>
      </c>
      <c r="F293" s="29" t="str">
        <f t="shared" si="330"/>
        <v/>
      </c>
      <c r="G293" s="29" t="str">
        <f t="shared" si="330"/>
        <v/>
      </c>
      <c r="H293" s="29" t="str">
        <f t="shared" si="330"/>
        <v/>
      </c>
      <c r="I293" s="29">
        <f t="shared" si="330"/>
        <v>7</v>
      </c>
      <c r="J293" s="29">
        <f t="shared" si="330"/>
        <v>8</v>
      </c>
      <c r="K293" s="29">
        <f t="shared" si="330"/>
        <v>9</v>
      </c>
      <c r="L293" s="29">
        <f t="shared" si="330"/>
        <v>10</v>
      </c>
      <c r="M293" s="29" t="str">
        <f t="shared" si="330"/>
        <v/>
      </c>
      <c r="N293" s="29" t="str">
        <f t="shared" si="330"/>
        <v/>
      </c>
      <c r="O293" s="29" t="str">
        <f t="shared" si="330"/>
        <v/>
      </c>
    </row>
    <row r="294" spans="2:17" x14ac:dyDescent="0.3">
      <c r="D294" t="s">
        <v>33</v>
      </c>
      <c r="M294" t="s">
        <v>109</v>
      </c>
      <c r="P294" t="s">
        <v>208</v>
      </c>
    </row>
    <row r="295" spans="2:17" x14ac:dyDescent="0.3">
      <c r="B295" t="s">
        <v>108</v>
      </c>
      <c r="C295" s="82">
        <v>0</v>
      </c>
      <c r="M295">
        <v>1</v>
      </c>
      <c r="N295" t="s">
        <v>60</v>
      </c>
      <c r="O295" s="46">
        <f>IFERROR(C211,0)</f>
        <v>144.01157362039007</v>
      </c>
      <c r="P295">
        <v>13.3</v>
      </c>
    </row>
    <row r="296" spans="2:17" x14ac:dyDescent="0.3">
      <c r="B296" t="s">
        <v>536</v>
      </c>
      <c r="C296">
        <f>IF(C295=0,MIN(C293:O293),C295)</f>
        <v>7</v>
      </c>
      <c r="D296">
        <f>VLOOKUP(C296,M295:O306,3,0)</f>
        <v>12.62139873972731</v>
      </c>
      <c r="M296">
        <v>2</v>
      </c>
      <c r="N296" t="s">
        <v>59</v>
      </c>
      <c r="O296" s="46">
        <f>IFERROR(D211,0)</f>
        <v>100.97118991781848</v>
      </c>
      <c r="P296">
        <v>13.3</v>
      </c>
    </row>
    <row r="297" spans="2:17" x14ac:dyDescent="0.3">
      <c r="B297" t="s">
        <v>91</v>
      </c>
      <c r="C297" t="s">
        <v>110</v>
      </c>
      <c r="I297" t="s">
        <v>548</v>
      </c>
      <c r="M297">
        <v>3</v>
      </c>
      <c r="N297" t="s">
        <v>61</v>
      </c>
      <c r="O297" s="46">
        <f>IFERROR(E211,0)</f>
        <v>50.184188561817557</v>
      </c>
      <c r="P297">
        <v>18.600000000000001</v>
      </c>
    </row>
    <row r="298" spans="2:17" x14ac:dyDescent="0.3">
      <c r="C298" t="s">
        <v>79</v>
      </c>
      <c r="D298" s="40" t="s">
        <v>92</v>
      </c>
      <c r="G298" t="s">
        <v>207</v>
      </c>
      <c r="I298">
        <v>0</v>
      </c>
      <c r="J298" t="str">
        <f>ROUND($G$299*I298,0)&amp;" mm"</f>
        <v>0 mm</v>
      </c>
      <c r="M298">
        <v>4</v>
      </c>
      <c r="N298" t="s">
        <v>62</v>
      </c>
      <c r="O298" s="46">
        <f>IFERROR(F211,0)</f>
        <v>35.264070508387043</v>
      </c>
      <c r="P298">
        <v>18.600000000000001</v>
      </c>
    </row>
    <row r="299" spans="2:17" x14ac:dyDescent="0.3">
      <c r="C299">
        <v>10</v>
      </c>
      <c r="D299" s="72">
        <v>-6</v>
      </c>
      <c r="F299" s="40">
        <v>0</v>
      </c>
      <c r="G299">
        <f>VLOOKUP(C296,M295:P306,4,0)</f>
        <v>26</v>
      </c>
      <c r="H299" s="27"/>
      <c r="I299" s="40">
        <v>0.25</v>
      </c>
      <c r="J299" t="str">
        <f>ROUND($G$299*I299,0)&amp;" mm"</f>
        <v>7 mm</v>
      </c>
      <c r="M299">
        <v>5</v>
      </c>
      <c r="N299" t="s">
        <v>344</v>
      </c>
      <c r="O299" s="46">
        <f>IFERROR(G211,0)</f>
        <v>24.6511694135299</v>
      </c>
      <c r="P299">
        <v>20.8</v>
      </c>
    </row>
    <row r="300" spans="2:17" x14ac:dyDescent="0.3">
      <c r="C300">
        <v>2</v>
      </c>
      <c r="D300" s="72">
        <f>D296*2</f>
        <v>25.242797479454619</v>
      </c>
      <c r="F300" s="40">
        <v>1</v>
      </c>
      <c r="G300">
        <v>0</v>
      </c>
      <c r="H300" s="27"/>
      <c r="I300">
        <v>0.5</v>
      </c>
      <c r="J300" t="str">
        <f t="shared" ref="J300:J302" si="331">ROUND($G$299*I300,0)&amp;" mm"</f>
        <v>13 mm</v>
      </c>
      <c r="M300">
        <v>6</v>
      </c>
      <c r="N300" t="s">
        <v>63</v>
      </c>
      <c r="O300" s="46">
        <f>IFERROR(H211,0)</f>
        <v>18.001446702548758</v>
      </c>
      <c r="P300">
        <v>26</v>
      </c>
    </row>
    <row r="301" spans="2:17" x14ac:dyDescent="0.3">
      <c r="I301" s="40">
        <v>0.75</v>
      </c>
      <c r="J301" t="str">
        <f t="shared" si="331"/>
        <v>20 mm</v>
      </c>
      <c r="M301">
        <v>7</v>
      </c>
      <c r="N301" t="s">
        <v>64</v>
      </c>
      <c r="O301" s="46">
        <f>IFERROR(I211,0)</f>
        <v>12.62139873972731</v>
      </c>
      <c r="P301">
        <v>26</v>
      </c>
    </row>
    <row r="302" spans="2:17" x14ac:dyDescent="0.3">
      <c r="C302" t="s">
        <v>111</v>
      </c>
      <c r="D302" t="s">
        <v>79</v>
      </c>
      <c r="F302" t="s">
        <v>560</v>
      </c>
      <c r="G302" t="s">
        <v>207</v>
      </c>
      <c r="I302">
        <v>1</v>
      </c>
      <c r="J302" t="str">
        <f t="shared" si="331"/>
        <v>26 mm</v>
      </c>
      <c r="M302">
        <v>8</v>
      </c>
      <c r="N302" t="s">
        <v>345</v>
      </c>
      <c r="O302" s="46">
        <f>IFERROR(J211,0)</f>
        <v>6.3095131813855536</v>
      </c>
      <c r="P302">
        <v>32.799999999999997</v>
      </c>
    </row>
    <row r="303" spans="2:17" x14ac:dyDescent="0.3">
      <c r="C303">
        <v>-12</v>
      </c>
      <c r="D303">
        <v>10</v>
      </c>
      <c r="F303" s="40">
        <v>0</v>
      </c>
      <c r="G303">
        <f>G299</f>
        <v>26</v>
      </c>
      <c r="I303" s="40"/>
      <c r="M303">
        <v>9</v>
      </c>
      <c r="N303" t="s">
        <v>65</v>
      </c>
      <c r="O303" s="46">
        <f>IFERROR(K211,0)</f>
        <v>5.7027487002065405</v>
      </c>
      <c r="P303">
        <v>36.5</v>
      </c>
    </row>
    <row r="304" spans="2:17" x14ac:dyDescent="0.3">
      <c r="C304">
        <v>-6</v>
      </c>
      <c r="D304">
        <v>10</v>
      </c>
      <c r="F304" s="40">
        <f>INTERCEPT(F299:F300,D299:D300)</f>
        <v>0.19204426248787809</v>
      </c>
      <c r="G304">
        <f>(100%-F304)*G303</f>
        <v>21.006849175315171</v>
      </c>
      <c r="H304" t="s">
        <v>207</v>
      </c>
      <c r="M304">
        <v>10</v>
      </c>
      <c r="N304" t="s">
        <v>66</v>
      </c>
      <c r="O304" s="46">
        <f>IFERROR(L211,0)</f>
        <v>4.4080088135483804</v>
      </c>
      <c r="P304">
        <v>36.5</v>
      </c>
    </row>
    <row r="305" spans="2:16" x14ac:dyDescent="0.3">
      <c r="C305">
        <v>0</v>
      </c>
      <c r="D305" s="27">
        <f>INTERCEPT(C299:C300,D299:D300)</f>
        <v>8.4636459000969744</v>
      </c>
      <c r="E305" t="str">
        <f>ROUND(D305,1) &amp;" V"</f>
        <v>8.5 V</v>
      </c>
      <c r="F305" s="40">
        <f>(F306+F304)/2</f>
        <v>0.5960221312439391</v>
      </c>
      <c r="G305">
        <f>(100%-F305)*G303</f>
        <v>10.503424587657584</v>
      </c>
      <c r="H305" t="s">
        <v>207</v>
      </c>
      <c r="M305">
        <v>11</v>
      </c>
      <c r="N305" t="s">
        <v>67</v>
      </c>
      <c r="O305" s="46">
        <f>IFERROR(M211,0)</f>
        <v>2.2421253054875363</v>
      </c>
      <c r="P305">
        <v>51</v>
      </c>
    </row>
    <row r="306" spans="2:16" x14ac:dyDescent="0.3">
      <c r="B306" t="s">
        <v>112</v>
      </c>
      <c r="C306">
        <f>D296</f>
        <v>12.62139873972731</v>
      </c>
      <c r="D306">
        <v>2</v>
      </c>
      <c r="F306" s="40">
        <v>1</v>
      </c>
      <c r="G306">
        <v>0</v>
      </c>
      <c r="M306">
        <v>12</v>
      </c>
      <c r="N306" t="s">
        <v>68</v>
      </c>
      <c r="O306" s="46">
        <f>IFERROR(N211,0)</f>
        <v>1.5776748424659137</v>
      </c>
      <c r="P306">
        <v>51</v>
      </c>
    </row>
    <row r="307" spans="2:16" x14ac:dyDescent="0.3">
      <c r="C307" t="str">
        <f>"+ "&amp; ROUND(C306,1) &amp; "K"</f>
        <v>+ 12.6K</v>
      </c>
    </row>
    <row r="309" spans="2:16" x14ac:dyDescent="0.3">
      <c r="B309" t="s">
        <v>564</v>
      </c>
      <c r="C309" t="s">
        <v>79</v>
      </c>
      <c r="D309" t="s">
        <v>207</v>
      </c>
    </row>
    <row r="310" spans="2:16" x14ac:dyDescent="0.3">
      <c r="B310" t="s">
        <v>565</v>
      </c>
      <c r="C310" s="27">
        <f>D305</f>
        <v>8.4636459000969744</v>
      </c>
      <c r="D310">
        <f>G304</f>
        <v>21.006849175315171</v>
      </c>
    </row>
    <row r="311" spans="2:16" x14ac:dyDescent="0.3">
      <c r="B311" t="s">
        <v>3</v>
      </c>
      <c r="C311">
        <f>-(D305-2)/C306</f>
        <v>-0.51211803330100825</v>
      </c>
      <c r="D311">
        <f>-G304/C306</f>
        <v>-1.6643836082282772</v>
      </c>
    </row>
    <row r="312" spans="2:16" x14ac:dyDescent="0.3">
      <c r="B312" t="s">
        <v>566</v>
      </c>
      <c r="E312" t="s">
        <v>79</v>
      </c>
      <c r="F312" t="s">
        <v>207</v>
      </c>
    </row>
    <row r="313" spans="2:16" x14ac:dyDescent="0.3">
      <c r="B313" t="s">
        <v>203</v>
      </c>
      <c r="C313">
        <f>IF(C24,C25,C306)</f>
        <v>12.62139873972731</v>
      </c>
      <c r="D313" s="27">
        <f>IF(E313&lt;0,0,C313)</f>
        <v>12.62139873972731</v>
      </c>
      <c r="E313" s="27">
        <f>C311*C313+C310</f>
        <v>2.0000000000000009</v>
      </c>
      <c r="F313" s="27">
        <f>D311*C313+D310</f>
        <v>0</v>
      </c>
    </row>
    <row r="314" spans="2:16" x14ac:dyDescent="0.3">
      <c r="H314" s="41">
        <v>1</v>
      </c>
      <c r="I314">
        <v>10</v>
      </c>
      <c r="J314">
        <v>-6</v>
      </c>
    </row>
    <row r="315" spans="2:16" x14ac:dyDescent="0.3">
      <c r="C315" t="s">
        <v>111</v>
      </c>
      <c r="D315" t="s">
        <v>111</v>
      </c>
      <c r="E315" t="s">
        <v>207</v>
      </c>
      <c r="I315">
        <v>5.6</v>
      </c>
      <c r="J315">
        <v>0</v>
      </c>
    </row>
    <row r="316" spans="2:16" x14ac:dyDescent="0.3">
      <c r="H316" s="41">
        <v>0</v>
      </c>
      <c r="I316">
        <v>2</v>
      </c>
      <c r="J316">
        <v>2.4</v>
      </c>
    </row>
    <row r="320" spans="2:16" ht="18" thickBot="1" x14ac:dyDescent="0.4">
      <c r="B320" s="25" t="s">
        <v>198</v>
      </c>
    </row>
    <row r="321" spans="2:25" ht="15" thickTop="1" x14ac:dyDescent="0.3">
      <c r="T321" t="s">
        <v>561</v>
      </c>
      <c r="U321" t="s">
        <v>79</v>
      </c>
    </row>
    <row r="322" spans="2:25" x14ac:dyDescent="0.3">
      <c r="C322">
        <v>1</v>
      </c>
      <c r="D322">
        <v>2</v>
      </c>
      <c r="E322">
        <v>3</v>
      </c>
      <c r="F322">
        <v>4</v>
      </c>
      <c r="G322">
        <v>5</v>
      </c>
      <c r="H322">
        <v>6</v>
      </c>
      <c r="I322">
        <v>7</v>
      </c>
      <c r="J322">
        <v>8</v>
      </c>
      <c r="K322">
        <v>9</v>
      </c>
      <c r="L322">
        <v>10</v>
      </c>
      <c r="M322">
        <v>11</v>
      </c>
      <c r="N322">
        <v>12</v>
      </c>
      <c r="O322">
        <v>13</v>
      </c>
      <c r="R322">
        <v>-6</v>
      </c>
      <c r="S322">
        <v>10</v>
      </c>
      <c r="T322" t="s">
        <v>562</v>
      </c>
      <c r="U322">
        <f>SLOPE(S322:S323,R322:R323)</f>
        <v>-0.25605901665050418</v>
      </c>
    </row>
    <row r="323" spans="2:25" x14ac:dyDescent="0.3">
      <c r="B323" t="s">
        <v>109</v>
      </c>
      <c r="C323" t="s">
        <v>48</v>
      </c>
      <c r="D323" t="s">
        <v>22</v>
      </c>
      <c r="E323" t="s">
        <v>49</v>
      </c>
      <c r="F323" t="s">
        <v>32</v>
      </c>
      <c r="G323" s="32" t="s">
        <v>342</v>
      </c>
      <c r="H323" s="32" t="s">
        <v>50</v>
      </c>
      <c r="I323" s="32" t="s">
        <v>34</v>
      </c>
      <c r="J323" s="32" t="s">
        <v>343</v>
      </c>
      <c r="K323" t="s">
        <v>51</v>
      </c>
      <c r="L323" t="s">
        <v>35</v>
      </c>
      <c r="M323" t="s">
        <v>52</v>
      </c>
      <c r="N323" t="s">
        <v>47</v>
      </c>
      <c r="O323" t="s">
        <v>231</v>
      </c>
      <c r="R323">
        <f>D296*2</f>
        <v>25.242797479454619</v>
      </c>
      <c r="S323">
        <v>2</v>
      </c>
      <c r="T323" t="s">
        <v>563</v>
      </c>
      <c r="U323">
        <f>INTERCEPT(S322:S323,R322:R323)</f>
        <v>8.4636459000969744</v>
      </c>
    </row>
    <row r="324" spans="2:25" x14ac:dyDescent="0.3">
      <c r="C324" s="40">
        <v>0</v>
      </c>
      <c r="D324" s="40">
        <v>0</v>
      </c>
      <c r="E324" s="40">
        <v>0</v>
      </c>
      <c r="F324" s="40">
        <v>0</v>
      </c>
      <c r="G324" s="40">
        <v>0</v>
      </c>
      <c r="H324" s="40">
        <v>0</v>
      </c>
      <c r="I324" s="40">
        <v>0</v>
      </c>
      <c r="J324" s="40">
        <v>0</v>
      </c>
      <c r="K324" s="40">
        <v>0</v>
      </c>
      <c r="L324" s="40">
        <v>0</v>
      </c>
      <c r="M324" s="40">
        <v>0</v>
      </c>
      <c r="N324" s="40">
        <v>0</v>
      </c>
      <c r="O324" s="40">
        <v>0</v>
      </c>
      <c r="R324">
        <v>6.93</v>
      </c>
      <c r="S324">
        <f>U322*R324+U323</f>
        <v>6.6891569147089802</v>
      </c>
    </row>
    <row r="325" spans="2:25" x14ac:dyDescent="0.3">
      <c r="C325" s="40">
        <v>1</v>
      </c>
      <c r="D325" s="40">
        <v>1</v>
      </c>
      <c r="E325" s="40">
        <v>1</v>
      </c>
      <c r="F325" s="40">
        <v>1</v>
      </c>
      <c r="G325" s="40">
        <v>1</v>
      </c>
      <c r="H325" s="40">
        <v>1</v>
      </c>
      <c r="I325" s="40">
        <v>1</v>
      </c>
      <c r="J325" s="40">
        <v>1</v>
      </c>
      <c r="K325" s="40">
        <v>1</v>
      </c>
      <c r="L325" s="40">
        <v>1</v>
      </c>
      <c r="M325" s="40">
        <v>1</v>
      </c>
      <c r="N325" s="40">
        <v>1</v>
      </c>
      <c r="O325" s="40">
        <v>1</v>
      </c>
      <c r="T325" s="41"/>
      <c r="Y325" s="27"/>
    </row>
    <row r="326" spans="2:25" x14ac:dyDescent="0.3">
      <c r="C326" s="187">
        <v>-8</v>
      </c>
      <c r="D326" s="187">
        <v>-8</v>
      </c>
      <c r="E326" s="187">
        <v>-8</v>
      </c>
      <c r="F326" s="187">
        <v>-8</v>
      </c>
      <c r="G326" s="187">
        <v>-8</v>
      </c>
      <c r="H326" s="187">
        <v>-8</v>
      </c>
      <c r="I326" s="187">
        <v>-8</v>
      </c>
      <c r="J326" s="187">
        <v>-8</v>
      </c>
      <c r="K326" s="187">
        <v>-8</v>
      </c>
      <c r="L326" s="187">
        <v>-8</v>
      </c>
      <c r="M326" s="187">
        <v>-8</v>
      </c>
      <c r="N326" s="187">
        <v>-8</v>
      </c>
      <c r="O326" s="187">
        <v>-8</v>
      </c>
      <c r="T326" s="41"/>
    </row>
    <row r="327" spans="2:25" x14ac:dyDescent="0.3">
      <c r="B327" t="s">
        <v>200</v>
      </c>
      <c r="C327">
        <f t="shared" ref="C327:N327" si="332">2*C329</f>
        <v>288.02314724078013</v>
      </c>
      <c r="D327">
        <f t="shared" si="332"/>
        <v>201.94237983563696</v>
      </c>
      <c r="E327">
        <f t="shared" si="332"/>
        <v>100.36837712363511</v>
      </c>
      <c r="F327">
        <f t="shared" si="332"/>
        <v>70.528141016774086</v>
      </c>
      <c r="G327">
        <f t="shared" ref="G327:J327" si="333">2*G329</f>
        <v>49.302338827059799</v>
      </c>
      <c r="H327">
        <f t="shared" si="333"/>
        <v>36.002893405097517</v>
      </c>
      <c r="I327">
        <f t="shared" si="333"/>
        <v>25.242797479454619</v>
      </c>
      <c r="J327">
        <f t="shared" si="333"/>
        <v>12.619026362771107</v>
      </c>
      <c r="K327">
        <f t="shared" si="332"/>
        <v>11.405497400413081</v>
      </c>
      <c r="L327">
        <f t="shared" si="332"/>
        <v>8.8160176270967607</v>
      </c>
      <c r="M327">
        <f t="shared" si="332"/>
        <v>4.4842506109750726</v>
      </c>
      <c r="N327">
        <f t="shared" si="332"/>
        <v>3.1553496849318274</v>
      </c>
      <c r="O327">
        <f t="shared" ref="O327" si="334">2*O329</f>
        <v>1.311393724016845</v>
      </c>
      <c r="T327" s="41"/>
    </row>
    <row r="328" spans="2:25" x14ac:dyDescent="0.3">
      <c r="C328">
        <v>0</v>
      </c>
      <c r="D328">
        <v>0</v>
      </c>
      <c r="E328">
        <v>0</v>
      </c>
      <c r="F328">
        <v>0</v>
      </c>
      <c r="G328">
        <v>0</v>
      </c>
      <c r="H328">
        <v>0</v>
      </c>
      <c r="I328">
        <v>0</v>
      </c>
      <c r="J328">
        <v>0</v>
      </c>
      <c r="K328">
        <v>0</v>
      </c>
      <c r="L328">
        <v>0</v>
      </c>
      <c r="M328">
        <v>0</v>
      </c>
      <c r="N328">
        <v>0</v>
      </c>
      <c r="O328">
        <v>0</v>
      </c>
    </row>
    <row r="329" spans="2:25" x14ac:dyDescent="0.3">
      <c r="B329" t="s">
        <v>199</v>
      </c>
      <c r="C329" s="46">
        <f t="shared" ref="C329:O329" si="335">C211</f>
        <v>144.01157362039007</v>
      </c>
      <c r="D329" s="46">
        <f t="shared" si="335"/>
        <v>100.97118991781848</v>
      </c>
      <c r="E329" s="46">
        <f t="shared" si="335"/>
        <v>50.184188561817557</v>
      </c>
      <c r="F329" s="46">
        <f t="shared" si="335"/>
        <v>35.264070508387043</v>
      </c>
      <c r="G329" s="46">
        <f t="shared" si="335"/>
        <v>24.6511694135299</v>
      </c>
      <c r="H329" s="46">
        <f t="shared" si="335"/>
        <v>18.001446702548758</v>
      </c>
      <c r="I329" s="46">
        <f t="shared" si="335"/>
        <v>12.62139873972731</v>
      </c>
      <c r="J329" s="46">
        <f t="shared" si="335"/>
        <v>6.3095131813855536</v>
      </c>
      <c r="K329" s="46">
        <f t="shared" si="335"/>
        <v>5.7027487002065405</v>
      </c>
      <c r="L329" s="46">
        <f t="shared" si="335"/>
        <v>4.4080088135483804</v>
      </c>
      <c r="M329" s="46">
        <f t="shared" si="335"/>
        <v>2.2421253054875363</v>
      </c>
      <c r="N329" s="46">
        <f t="shared" si="335"/>
        <v>1.5776748424659137</v>
      </c>
      <c r="O329" s="46">
        <f t="shared" si="335"/>
        <v>0.65569686200842248</v>
      </c>
    </row>
    <row r="330" spans="2:25" x14ac:dyDescent="0.3">
      <c r="B330" t="s">
        <v>201</v>
      </c>
      <c r="C330" s="40">
        <f>INTERCEPT(C324:C325,C326:C327)</f>
        <v>2.7024913675054385E-2</v>
      </c>
      <c r="D330" s="40">
        <f t="shared" ref="D330:N330" si="336">INTERCEPT(D324:D325,D326:D327)</f>
        <v>3.8105693601564239E-2</v>
      </c>
      <c r="E330" s="40">
        <f t="shared" si="336"/>
        <v>7.3822273732797261E-2</v>
      </c>
      <c r="F330" s="40">
        <f t="shared" si="336"/>
        <v>0.1018743076866056</v>
      </c>
      <c r="G330" s="40">
        <f t="shared" ref="G330:J330" si="337">INTERCEPT(G324:G325,G326:G327)</f>
        <v>0.13961035733889049</v>
      </c>
      <c r="H330" s="40">
        <f t="shared" si="337"/>
        <v>0.18180622638495042</v>
      </c>
      <c r="I330" s="40">
        <f t="shared" si="337"/>
        <v>0.2406536334658454</v>
      </c>
      <c r="J330" s="40">
        <f t="shared" si="337"/>
        <v>0.3879911621066881</v>
      </c>
      <c r="K330" s="40">
        <f t="shared" si="336"/>
        <v>0.41225431303964954</v>
      </c>
      <c r="L330" s="40">
        <f t="shared" si="336"/>
        <v>0.47573689427567389</v>
      </c>
      <c r="M330" s="40">
        <f t="shared" si="336"/>
        <v>0.6408073859849539</v>
      </c>
      <c r="N330" s="40">
        <f t="shared" si="336"/>
        <v>0.71714470867785163</v>
      </c>
      <c r="O330" s="40">
        <f t="shared" ref="O330" si="338">INTERCEPT(O324:O325,O326:O327)</f>
        <v>0.8591624666633555</v>
      </c>
    </row>
    <row r="331" spans="2:25" x14ac:dyDescent="0.3">
      <c r="C331" s="41">
        <v>1</v>
      </c>
      <c r="D331" s="41">
        <v>1</v>
      </c>
      <c r="E331" s="41">
        <v>1</v>
      </c>
      <c r="F331" s="41">
        <v>1</v>
      </c>
      <c r="G331" s="41">
        <v>1</v>
      </c>
      <c r="H331" s="41">
        <v>1</v>
      </c>
      <c r="I331" s="41">
        <v>1</v>
      </c>
      <c r="J331" s="41">
        <v>1</v>
      </c>
      <c r="K331" s="41">
        <v>1</v>
      </c>
      <c r="L331" s="41">
        <v>1</v>
      </c>
      <c r="M331" s="41">
        <v>1</v>
      </c>
      <c r="N331" s="41">
        <v>1</v>
      </c>
      <c r="O331" s="41">
        <v>1</v>
      </c>
    </row>
    <row r="332" spans="2:25" x14ac:dyDescent="0.3">
      <c r="B332" t="s">
        <v>202</v>
      </c>
      <c r="C332" s="40">
        <f>ROUND(FORECAST($C$25,C330:C331,C328:C329),2)</f>
        <v>0.05</v>
      </c>
      <c r="D332" s="40">
        <f t="shared" ref="D332:M332" si="339">ROUND(FORECAST($C$25,D330:D331,D328:D329),2)</f>
        <v>0.08</v>
      </c>
      <c r="E332" s="40">
        <f t="shared" si="339"/>
        <v>0.15</v>
      </c>
      <c r="F332" s="40">
        <f t="shared" si="339"/>
        <v>0.2</v>
      </c>
      <c r="G332" s="40">
        <f t="shared" ref="G332:J332" si="340">ROUND(FORECAST($C$25,G330:G331,G328:G329),2)</f>
        <v>0.28000000000000003</v>
      </c>
      <c r="H332" s="40">
        <f t="shared" si="340"/>
        <v>0.36</v>
      </c>
      <c r="I332" s="40">
        <f t="shared" si="340"/>
        <v>0.48</v>
      </c>
      <c r="J332" s="40">
        <f t="shared" si="340"/>
        <v>0.78</v>
      </c>
      <c r="K332" s="40">
        <f t="shared" si="339"/>
        <v>0.82</v>
      </c>
      <c r="L332" s="40">
        <f t="shared" si="339"/>
        <v>0.95</v>
      </c>
      <c r="M332" s="40">
        <f t="shared" si="339"/>
        <v>1.28</v>
      </c>
      <c r="N332" s="40">
        <f>ROUND(FORECAST($C$25,N330:N331,N328:N329),2)</f>
        <v>1.43</v>
      </c>
      <c r="O332" s="40">
        <f t="shared" ref="O332" si="341">ROUND(FORECAST($C$25,O330:O331,O328:O329),2)</f>
        <v>1.72</v>
      </c>
    </row>
    <row r="333" spans="2:25" x14ac:dyDescent="0.3">
      <c r="B333" t="s">
        <v>214</v>
      </c>
      <c r="C333" s="40">
        <f>IF(C332&lt;20%,0,C332)</f>
        <v>0</v>
      </c>
      <c r="D333" s="40">
        <f t="shared" ref="D333:N333" si="342">IF(D332&lt;20%,0,D332)</f>
        <v>0</v>
      </c>
      <c r="E333" s="40">
        <f t="shared" si="342"/>
        <v>0</v>
      </c>
      <c r="F333" s="40">
        <f t="shared" si="342"/>
        <v>0.2</v>
      </c>
      <c r="G333" s="40">
        <f t="shared" ref="G333:J333" si="343">IF(G332&lt;20%,0,G332)</f>
        <v>0.28000000000000003</v>
      </c>
      <c r="H333" s="40">
        <f t="shared" si="343"/>
        <v>0.36</v>
      </c>
      <c r="I333" s="40">
        <f t="shared" si="343"/>
        <v>0.48</v>
      </c>
      <c r="J333" s="40">
        <f t="shared" si="343"/>
        <v>0.78</v>
      </c>
      <c r="K333" s="40">
        <f t="shared" si="342"/>
        <v>0.82</v>
      </c>
      <c r="L333" s="40">
        <f t="shared" si="342"/>
        <v>0.95</v>
      </c>
      <c r="M333" s="40">
        <f t="shared" si="342"/>
        <v>1.28</v>
      </c>
      <c r="N333" s="40">
        <f t="shared" si="342"/>
        <v>1.43</v>
      </c>
      <c r="O333" s="40">
        <f t="shared" ref="O333" si="344">IF(O332&lt;20%,0,O332)</f>
        <v>1.72</v>
      </c>
    </row>
    <row r="334" spans="2:25" x14ac:dyDescent="0.3">
      <c r="B334" t="s">
        <v>213</v>
      </c>
      <c r="C334" s="72">
        <f>100%-C333</f>
        <v>1</v>
      </c>
      <c r="D334" s="72">
        <f t="shared" ref="D334:N334" si="345">100%-D333</f>
        <v>1</v>
      </c>
      <c r="E334" s="72">
        <f t="shared" si="345"/>
        <v>1</v>
      </c>
      <c r="F334" s="72">
        <f t="shared" si="345"/>
        <v>0.8</v>
      </c>
      <c r="G334" s="72">
        <f t="shared" ref="G334:J334" si="346">100%-G333</f>
        <v>0.72</v>
      </c>
      <c r="H334" s="72">
        <f t="shared" si="346"/>
        <v>0.64</v>
      </c>
      <c r="I334" s="72">
        <f t="shared" si="346"/>
        <v>0.52</v>
      </c>
      <c r="J334" s="72">
        <f t="shared" si="346"/>
        <v>0.21999999999999997</v>
      </c>
      <c r="K334" s="72">
        <f t="shared" si="345"/>
        <v>0.18000000000000005</v>
      </c>
      <c r="L334" s="72">
        <f t="shared" si="345"/>
        <v>5.0000000000000044E-2</v>
      </c>
      <c r="M334" s="72">
        <f t="shared" si="345"/>
        <v>-0.28000000000000003</v>
      </c>
      <c r="N334" s="72">
        <f t="shared" si="345"/>
        <v>-0.42999999999999994</v>
      </c>
      <c r="O334" s="40">
        <f t="shared" ref="O334" si="347">100%-O333</f>
        <v>-0.72</v>
      </c>
    </row>
    <row r="335" spans="2:25" x14ac:dyDescent="0.3">
      <c r="B335" t="s">
        <v>215</v>
      </c>
      <c r="C335" s="40">
        <f t="shared" ref="C335:F335" si="348">IFERROR(MROUND(C334,0.05),MROUND(C334,-0.05))</f>
        <v>1</v>
      </c>
      <c r="D335" s="40">
        <f t="shared" si="348"/>
        <v>1</v>
      </c>
      <c r="E335" s="40">
        <f t="shared" si="348"/>
        <v>1</v>
      </c>
      <c r="F335" s="40">
        <f t="shared" si="348"/>
        <v>0.8</v>
      </c>
      <c r="G335" s="40">
        <f t="shared" ref="G335:J335" si="349">IFERROR(MROUND(G334,0.05),MROUND(G334,-0.05))</f>
        <v>0.70000000000000007</v>
      </c>
      <c r="H335" s="40">
        <f t="shared" si="349"/>
        <v>0.65</v>
      </c>
      <c r="I335" s="40">
        <f t="shared" si="349"/>
        <v>0.5</v>
      </c>
      <c r="J335" s="40">
        <f t="shared" si="349"/>
        <v>0.2</v>
      </c>
      <c r="K335" s="40">
        <f t="shared" ref="K335:N335" si="350">IFERROR(MROUND(K334,0.05),MROUND(K334,-0.05))</f>
        <v>0.2</v>
      </c>
      <c r="L335" s="40">
        <f t="shared" si="350"/>
        <v>0.05</v>
      </c>
      <c r="M335" s="40">
        <f t="shared" si="350"/>
        <v>-0.30000000000000004</v>
      </c>
      <c r="N335" s="40">
        <f t="shared" si="350"/>
        <v>-0.45</v>
      </c>
      <c r="O335" s="40">
        <f t="shared" ref="O335" si="351">IFERROR(MROUND(O334,0.05),MROUND(O334,-0.05))</f>
        <v>-0.70000000000000007</v>
      </c>
    </row>
    <row r="336" spans="2:25" x14ac:dyDescent="0.3">
      <c r="C336">
        <v>13.3</v>
      </c>
      <c r="D336">
        <v>13.3</v>
      </c>
      <c r="E336">
        <v>18.600000000000001</v>
      </c>
      <c r="F336">
        <v>18.600000000000001</v>
      </c>
      <c r="G336">
        <v>20.8</v>
      </c>
      <c r="H336">
        <v>26</v>
      </c>
      <c r="I336">
        <v>26</v>
      </c>
      <c r="J336">
        <v>32.799999999999997</v>
      </c>
      <c r="K336">
        <v>36.5</v>
      </c>
      <c r="L336">
        <v>36.5</v>
      </c>
      <c r="M336">
        <v>51</v>
      </c>
      <c r="N336">
        <v>51</v>
      </c>
      <c r="O336">
        <v>68.3</v>
      </c>
    </row>
    <row r="337" spans="2:18" x14ac:dyDescent="0.3">
      <c r="B337" t="s">
        <v>210</v>
      </c>
      <c r="C337">
        <f>C334*C336</f>
        <v>13.3</v>
      </c>
      <c r="D337">
        <f t="shared" ref="D337:N337" si="352">D334*D336</f>
        <v>13.3</v>
      </c>
      <c r="E337">
        <f t="shared" si="352"/>
        <v>18.600000000000001</v>
      </c>
      <c r="F337">
        <f t="shared" si="352"/>
        <v>14.880000000000003</v>
      </c>
      <c r="G337">
        <f t="shared" si="352"/>
        <v>14.975999999999999</v>
      </c>
      <c r="H337">
        <f>H334*H336</f>
        <v>16.64</v>
      </c>
      <c r="I337">
        <f t="shared" si="352"/>
        <v>13.52</v>
      </c>
      <c r="J337">
        <f t="shared" si="352"/>
        <v>7.2159999999999984</v>
      </c>
      <c r="K337">
        <f t="shared" si="352"/>
        <v>6.5700000000000021</v>
      </c>
      <c r="L337">
        <f t="shared" si="352"/>
        <v>1.8250000000000015</v>
      </c>
      <c r="M337">
        <f t="shared" si="352"/>
        <v>-14.280000000000001</v>
      </c>
      <c r="N337">
        <f t="shared" si="352"/>
        <v>-21.929999999999996</v>
      </c>
      <c r="O337">
        <f t="shared" ref="O337" si="353">O334*O336</f>
        <v>-49.175999999999995</v>
      </c>
    </row>
    <row r="338" spans="2:18" x14ac:dyDescent="0.3">
      <c r="B338" t="s">
        <v>217</v>
      </c>
      <c r="C338">
        <f>C335*C336</f>
        <v>13.3</v>
      </c>
      <c r="D338">
        <f t="shared" ref="D338:N338" si="354">D335*D336</f>
        <v>13.3</v>
      </c>
      <c r="E338">
        <f t="shared" si="354"/>
        <v>18.600000000000001</v>
      </c>
      <c r="F338">
        <f t="shared" si="354"/>
        <v>14.880000000000003</v>
      </c>
      <c r="G338">
        <f t="shared" si="354"/>
        <v>14.560000000000002</v>
      </c>
      <c r="H338">
        <f t="shared" si="354"/>
        <v>16.900000000000002</v>
      </c>
      <c r="I338">
        <f t="shared" si="354"/>
        <v>13</v>
      </c>
      <c r="J338">
        <f t="shared" si="354"/>
        <v>6.56</v>
      </c>
      <c r="K338">
        <f t="shared" si="354"/>
        <v>7.3000000000000007</v>
      </c>
      <c r="L338">
        <f t="shared" si="354"/>
        <v>1.8250000000000002</v>
      </c>
      <c r="M338">
        <f t="shared" si="354"/>
        <v>-15.300000000000002</v>
      </c>
      <c r="N338">
        <f t="shared" si="354"/>
        <v>-22.95</v>
      </c>
      <c r="O338">
        <f t="shared" ref="O338" si="355">O335*O336</f>
        <v>-47.81</v>
      </c>
    </row>
    <row r="341" spans="2:18" ht="20.399999999999999" thickBot="1" x14ac:dyDescent="0.45">
      <c r="B341" s="24" t="s">
        <v>323</v>
      </c>
    </row>
    <row r="342" spans="2:18" ht="15" thickTop="1" x14ac:dyDescent="0.3"/>
    <row r="343" spans="2:18" x14ac:dyDescent="0.3">
      <c r="B343" t="s">
        <v>324</v>
      </c>
      <c r="C343" t="str">
        <f t="shared" ref="C343:F344" si="356">C256</f>
        <v>-</v>
      </c>
      <c r="D343" t="str">
        <f t="shared" si="356"/>
        <v>-</v>
      </c>
      <c r="E343">
        <f t="shared" si="356"/>
        <v>31.4</v>
      </c>
      <c r="F343">
        <f t="shared" si="356"/>
        <v>23.6</v>
      </c>
      <c r="I343">
        <f>H256</f>
        <v>19.100000000000001</v>
      </c>
      <c r="J343">
        <f>I256</f>
        <v>18.100000000000001</v>
      </c>
      <c r="M343">
        <f t="shared" ref="M343:Q344" si="357">K256</f>
        <v>16.3</v>
      </c>
      <c r="N343">
        <f t="shared" si="357"/>
        <v>15.9</v>
      </c>
      <c r="O343">
        <f t="shared" si="357"/>
        <v>15.3</v>
      </c>
      <c r="P343">
        <f t="shared" si="357"/>
        <v>15.1</v>
      </c>
      <c r="Q343">
        <f t="shared" si="357"/>
        <v>14.8</v>
      </c>
    </row>
    <row r="344" spans="2:18" x14ac:dyDescent="0.3">
      <c r="B344" t="s">
        <v>325</v>
      </c>
      <c r="C344" t="str">
        <f t="shared" si="356"/>
        <v>-</v>
      </c>
      <c r="D344" t="str">
        <f t="shared" si="356"/>
        <v>-</v>
      </c>
      <c r="E344">
        <f t="shared" si="356"/>
        <v>10.4</v>
      </c>
      <c r="F344">
        <f t="shared" si="356"/>
        <v>8.4</v>
      </c>
      <c r="I344">
        <f>H257</f>
        <v>7</v>
      </c>
      <c r="J344">
        <f>I257</f>
        <v>6.7</v>
      </c>
      <c r="M344">
        <f t="shared" si="357"/>
        <v>6.1</v>
      </c>
      <c r="N344">
        <f t="shared" si="357"/>
        <v>6</v>
      </c>
      <c r="O344">
        <f t="shared" si="357"/>
        <v>5.8</v>
      </c>
      <c r="P344">
        <f t="shared" si="357"/>
        <v>5.7</v>
      </c>
      <c r="Q344">
        <f t="shared" si="357"/>
        <v>5.6</v>
      </c>
    </row>
    <row r="345" spans="2:18" x14ac:dyDescent="0.3">
      <c r="B345" t="s">
        <v>326</v>
      </c>
      <c r="C345" t="b">
        <f>C344&gt;C343</f>
        <v>0</v>
      </c>
      <c r="D345" t="b">
        <f t="shared" ref="D345:Q345" si="358">D344&gt;D343</f>
        <v>0</v>
      </c>
      <c r="E345" t="b">
        <f t="shared" si="358"/>
        <v>0</v>
      </c>
      <c r="F345" t="b">
        <f t="shared" si="358"/>
        <v>0</v>
      </c>
      <c r="I345" t="b">
        <f t="shared" si="358"/>
        <v>0</v>
      </c>
      <c r="J345" t="b">
        <f t="shared" si="358"/>
        <v>0</v>
      </c>
      <c r="M345" t="b">
        <f t="shared" si="358"/>
        <v>0</v>
      </c>
      <c r="N345" t="b">
        <f t="shared" si="358"/>
        <v>0</v>
      </c>
      <c r="O345" t="b">
        <f t="shared" si="358"/>
        <v>0</v>
      </c>
      <c r="P345" t="b">
        <f t="shared" si="358"/>
        <v>0</v>
      </c>
      <c r="Q345" t="b">
        <f t="shared" si="358"/>
        <v>0</v>
      </c>
      <c r="R345" t="b">
        <f>OR(C345:Q345)</f>
        <v>0</v>
      </c>
    </row>
  </sheetData>
  <phoneticPr fontId="73" type="noConversion"/>
  <conditionalFormatting sqref="AL100:AL101 BF100:BF101">
    <cfRule type="expression" priority="1049">
      <formula>OR(NOT($C$24),$O$282)</formula>
    </cfRule>
  </conditionalFormatting>
  <pageMargins left="0.7" right="0.7" top="0.75" bottom="0.75" header="0.3" footer="0.3"/>
  <pageSetup paperSize="9" orientation="portrait" horizontalDpi="4294967293" verticalDpi="4294967293"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86"/>
  <sheetViews>
    <sheetView zoomScaleNormal="100" workbookViewId="0">
      <selection activeCell="C35" sqref="C35"/>
    </sheetView>
  </sheetViews>
  <sheetFormatPr defaultRowHeight="14.4" x14ac:dyDescent="0.3"/>
  <cols>
    <col min="3" max="3" width="11.5546875" customWidth="1"/>
    <col min="4" max="12" width="10.5546875" customWidth="1"/>
  </cols>
  <sheetData>
    <row r="1" spans="2:20" x14ac:dyDescent="0.3">
      <c r="B1" s="127"/>
      <c r="C1" s="128"/>
      <c r="D1" s="128"/>
      <c r="E1" s="128"/>
      <c r="F1" s="128"/>
      <c r="G1" s="128"/>
      <c r="H1" s="128"/>
      <c r="I1" s="128"/>
      <c r="J1" s="128"/>
      <c r="K1" s="129"/>
      <c r="L1" s="128"/>
      <c r="M1" s="128"/>
      <c r="N1" s="128"/>
      <c r="O1" s="128"/>
      <c r="P1" s="128"/>
      <c r="Q1" s="128"/>
      <c r="R1" s="128"/>
      <c r="S1" s="128"/>
      <c r="T1" s="130"/>
    </row>
    <row r="2" spans="2:20" ht="21" x14ac:dyDescent="0.4">
      <c r="B2" s="131"/>
      <c r="C2" s="132" t="s">
        <v>132</v>
      </c>
      <c r="D2" s="129"/>
      <c r="E2" s="129"/>
      <c r="F2" s="129"/>
      <c r="G2" s="133"/>
      <c r="H2" s="133"/>
      <c r="I2" s="133"/>
      <c r="J2" s="133"/>
      <c r="K2" s="129"/>
      <c r="L2" s="133"/>
      <c r="M2" s="133"/>
      <c r="N2" s="133"/>
      <c r="O2" s="133"/>
      <c r="P2" s="133"/>
      <c r="Q2" s="133"/>
      <c r="R2" s="133"/>
      <c r="S2" s="133"/>
      <c r="T2" s="133"/>
    </row>
    <row r="3" spans="2:20" ht="21" x14ac:dyDescent="0.4">
      <c r="B3" s="131"/>
      <c r="C3" s="10" t="s">
        <v>133</v>
      </c>
      <c r="D3" s="129"/>
      <c r="E3" s="129"/>
      <c r="F3" s="129"/>
      <c r="G3" s="133"/>
      <c r="H3" s="133"/>
      <c r="I3" s="133"/>
      <c r="J3" s="133"/>
      <c r="K3" s="129"/>
      <c r="L3" s="133"/>
      <c r="M3" s="133"/>
      <c r="N3" s="133"/>
      <c r="O3" s="133"/>
      <c r="P3" s="133"/>
      <c r="Q3" s="133"/>
      <c r="R3" s="133"/>
      <c r="S3" s="133"/>
      <c r="T3" s="133"/>
    </row>
    <row r="4" spans="2:20" ht="23.4" x14ac:dyDescent="0.45">
      <c r="B4" s="131"/>
      <c r="C4" s="134"/>
      <c r="D4" s="129"/>
      <c r="E4" s="129"/>
      <c r="F4" s="129"/>
      <c r="G4" s="129"/>
      <c r="H4" s="129"/>
      <c r="I4" s="129"/>
      <c r="J4" s="129"/>
      <c r="K4" s="129"/>
      <c r="L4" s="129"/>
      <c r="M4" s="129"/>
      <c r="N4" s="129"/>
      <c r="O4" s="129"/>
      <c r="P4" s="129"/>
      <c r="Q4" s="129"/>
      <c r="R4" s="129"/>
      <c r="S4" s="129"/>
      <c r="T4" s="135"/>
    </row>
    <row r="5" spans="2:20" x14ac:dyDescent="0.3">
      <c r="B5" s="138"/>
      <c r="C5" s="139"/>
      <c r="D5" s="139"/>
      <c r="E5" s="139"/>
      <c r="F5" s="139"/>
      <c r="G5" s="139"/>
      <c r="H5" s="139"/>
      <c r="I5" s="139"/>
      <c r="J5" s="139"/>
      <c r="K5" s="139"/>
      <c r="L5" s="139"/>
      <c r="M5" s="139"/>
      <c r="N5" s="139"/>
      <c r="O5" s="139"/>
      <c r="P5" s="139"/>
      <c r="Q5" s="139"/>
      <c r="R5" s="139"/>
      <c r="S5" s="139"/>
      <c r="T5" s="140"/>
    </row>
    <row r="6" spans="2:20" ht="15.6" x14ac:dyDescent="0.3">
      <c r="B6" s="141"/>
      <c r="C6" s="137" t="s">
        <v>530</v>
      </c>
      <c r="D6" s="143"/>
      <c r="E6" s="387"/>
      <c r="F6" s="387"/>
      <c r="G6" s="49"/>
      <c r="H6" s="49"/>
      <c r="I6" s="49"/>
      <c r="J6" s="49"/>
      <c r="K6" s="49"/>
      <c r="L6" s="49"/>
      <c r="M6" s="49"/>
      <c r="N6" s="49"/>
      <c r="O6" s="49"/>
      <c r="P6" s="49"/>
      <c r="Q6" s="49"/>
      <c r="R6" s="49"/>
      <c r="S6" s="49"/>
      <c r="T6" s="142"/>
    </row>
    <row r="7" spans="2:20" x14ac:dyDescent="0.3">
      <c r="B7" s="141"/>
      <c r="C7" s="49" t="s">
        <v>152</v>
      </c>
      <c r="D7" s="49"/>
      <c r="E7" s="49"/>
      <c r="F7" s="49"/>
      <c r="G7" s="49"/>
      <c r="H7" s="49"/>
      <c r="I7" s="49"/>
      <c r="J7" s="49"/>
      <c r="K7" s="49"/>
      <c r="L7" s="49"/>
      <c r="M7" s="49"/>
      <c r="N7" s="49"/>
      <c r="O7" s="49"/>
      <c r="P7" s="49"/>
      <c r="Q7" s="49"/>
      <c r="R7" s="49"/>
      <c r="S7" s="49"/>
      <c r="T7" s="142"/>
    </row>
    <row r="8" spans="2:20" ht="15.6" x14ac:dyDescent="0.3">
      <c r="B8" s="141"/>
      <c r="C8" s="147"/>
      <c r="D8" s="49"/>
      <c r="E8" s="49"/>
      <c r="F8" s="49"/>
      <c r="G8" s="49"/>
      <c r="H8" s="49"/>
      <c r="I8" s="49"/>
      <c r="J8" s="49"/>
      <c r="K8" s="49"/>
      <c r="L8" s="49"/>
      <c r="M8" s="49"/>
      <c r="N8" s="49"/>
      <c r="O8" s="49"/>
      <c r="P8" s="49"/>
      <c r="Q8" s="49"/>
      <c r="R8" s="49"/>
      <c r="S8" s="49"/>
      <c r="T8" s="142"/>
    </row>
    <row r="9" spans="2:20" ht="15.6" x14ac:dyDescent="0.3">
      <c r="B9" s="141"/>
      <c r="C9" s="136" t="s">
        <v>531</v>
      </c>
      <c r="D9" s="143"/>
      <c r="E9" s="387"/>
      <c r="F9" s="387"/>
      <c r="G9" s="49"/>
      <c r="H9" s="49"/>
      <c r="I9" s="49"/>
      <c r="J9" s="49"/>
      <c r="K9" s="49"/>
      <c r="L9" s="49"/>
      <c r="M9" s="49"/>
      <c r="N9" s="49"/>
      <c r="O9" s="49"/>
      <c r="P9" s="49"/>
      <c r="Q9" s="49"/>
      <c r="R9" s="49"/>
      <c r="S9" s="49"/>
      <c r="T9" s="142"/>
    </row>
    <row r="10" spans="2:20" x14ac:dyDescent="0.3">
      <c r="B10" s="141"/>
      <c r="C10" s="49" t="s">
        <v>423</v>
      </c>
      <c r="D10" s="49"/>
      <c r="E10" s="49"/>
      <c r="F10" s="49"/>
      <c r="G10" s="49"/>
      <c r="H10" s="49"/>
      <c r="I10" s="49"/>
      <c r="J10" s="49"/>
      <c r="K10" s="49"/>
      <c r="L10" s="49"/>
      <c r="M10" s="49"/>
      <c r="N10" s="49"/>
      <c r="O10" s="49"/>
      <c r="P10" s="49"/>
      <c r="Q10" s="49"/>
      <c r="R10" s="49"/>
      <c r="S10" s="49"/>
      <c r="T10" s="142"/>
    </row>
    <row r="11" spans="2:20" x14ac:dyDescent="0.3">
      <c r="B11" s="141"/>
      <c r="C11" s="49"/>
      <c r="D11" s="49"/>
      <c r="E11" s="49"/>
      <c r="F11" s="49"/>
      <c r="G11" s="49"/>
      <c r="H11" s="49"/>
      <c r="I11" s="49"/>
      <c r="J11" s="49"/>
      <c r="K11" s="49"/>
      <c r="L11" s="49"/>
      <c r="M11" s="49"/>
      <c r="N11" s="49"/>
      <c r="O11" s="49"/>
      <c r="P11" s="49"/>
      <c r="Q11" s="49"/>
      <c r="R11" s="49"/>
      <c r="S11" s="49"/>
      <c r="T11" s="142"/>
    </row>
    <row r="12" spans="2:20" ht="15.6" x14ac:dyDescent="0.3">
      <c r="B12" s="141"/>
      <c r="C12" s="360" t="s">
        <v>532</v>
      </c>
      <c r="D12" s="136"/>
      <c r="E12" s="136"/>
      <c r="F12" s="136"/>
      <c r="G12" s="49"/>
      <c r="H12" s="49"/>
      <c r="I12" s="49"/>
      <c r="J12" s="49"/>
      <c r="K12" s="49"/>
      <c r="L12" s="49"/>
      <c r="M12" s="49"/>
      <c r="N12" s="49"/>
      <c r="O12" s="49"/>
      <c r="P12" s="49"/>
      <c r="Q12" s="49"/>
      <c r="R12" s="49"/>
      <c r="S12" s="49"/>
      <c r="T12" s="142"/>
    </row>
    <row r="13" spans="2:20" ht="15" customHeight="1" x14ac:dyDescent="0.3">
      <c r="B13" s="141"/>
      <c r="C13" s="448" t="s">
        <v>500</v>
      </c>
      <c r="D13" s="448"/>
      <c r="E13" s="448"/>
      <c r="F13" s="448"/>
      <c r="G13" s="448"/>
      <c r="H13" s="448"/>
      <c r="I13" s="448"/>
      <c r="J13" s="448"/>
      <c r="K13" s="448"/>
      <c r="L13" s="448"/>
      <c r="M13" s="448"/>
      <c r="N13" s="448"/>
      <c r="O13" s="448"/>
      <c r="P13" s="448"/>
      <c r="Q13" s="448"/>
      <c r="R13" s="448"/>
      <c r="S13" s="448"/>
      <c r="T13" s="449"/>
    </row>
    <row r="14" spans="2:20" x14ac:dyDescent="0.3">
      <c r="B14" s="141"/>
      <c r="C14" s="448"/>
      <c r="D14" s="448"/>
      <c r="E14" s="448"/>
      <c r="F14" s="448"/>
      <c r="G14" s="448"/>
      <c r="H14" s="448"/>
      <c r="I14" s="448"/>
      <c r="J14" s="448"/>
      <c r="K14" s="448"/>
      <c r="L14" s="448"/>
      <c r="M14" s="448"/>
      <c r="N14" s="448"/>
      <c r="O14" s="448"/>
      <c r="P14" s="448"/>
      <c r="Q14" s="448"/>
      <c r="R14" s="448"/>
      <c r="S14" s="448"/>
      <c r="T14" s="449"/>
    </row>
    <row r="15" spans="2:20" x14ac:dyDescent="0.3">
      <c r="B15" s="141"/>
      <c r="C15" s="362" t="s">
        <v>501</v>
      </c>
      <c r="D15" s="448" t="s">
        <v>503</v>
      </c>
      <c r="E15" s="448"/>
      <c r="F15" s="448"/>
      <c r="G15" s="448"/>
      <c r="H15" s="448"/>
      <c r="I15" s="448"/>
      <c r="J15" s="448"/>
      <c r="K15" s="448"/>
      <c r="L15" s="448"/>
      <c r="M15" s="448"/>
      <c r="N15" s="448"/>
      <c r="O15" s="448"/>
      <c r="P15" s="448"/>
      <c r="Q15" s="448"/>
      <c r="R15" s="448"/>
      <c r="S15" s="448"/>
      <c r="T15" s="449"/>
    </row>
    <row r="16" spans="2:20" ht="15" customHeight="1" x14ac:dyDescent="0.3">
      <c r="B16" s="141"/>
      <c r="C16" s="362" t="s">
        <v>502</v>
      </c>
      <c r="D16" s="448" t="s">
        <v>504</v>
      </c>
      <c r="E16" s="448"/>
      <c r="F16" s="448"/>
      <c r="G16" s="448"/>
      <c r="H16" s="448"/>
      <c r="I16" s="448"/>
      <c r="J16" s="448"/>
      <c r="K16" s="448"/>
      <c r="L16" s="448"/>
      <c r="M16" s="448"/>
      <c r="N16" s="448"/>
      <c r="O16" s="448"/>
      <c r="P16" s="448"/>
      <c r="Q16" s="448"/>
      <c r="R16" s="448"/>
      <c r="S16" s="448"/>
      <c r="T16" s="449"/>
    </row>
    <row r="17" spans="2:20" x14ac:dyDescent="0.3">
      <c r="B17" s="141"/>
      <c r="C17" s="361"/>
      <c r="D17" s="448"/>
      <c r="E17" s="448"/>
      <c r="F17" s="448"/>
      <c r="G17" s="448"/>
      <c r="H17" s="448"/>
      <c r="I17" s="448"/>
      <c r="J17" s="448"/>
      <c r="K17" s="448"/>
      <c r="L17" s="448"/>
      <c r="M17" s="448"/>
      <c r="N17" s="448"/>
      <c r="O17" s="448"/>
      <c r="P17" s="448"/>
      <c r="Q17" s="448"/>
      <c r="R17" s="448"/>
      <c r="S17" s="448"/>
      <c r="T17" s="449"/>
    </row>
    <row r="18" spans="2:20" x14ac:dyDescent="0.3">
      <c r="B18" s="141"/>
      <c r="C18" s="361"/>
      <c r="D18" s="448"/>
      <c r="E18" s="448"/>
      <c r="F18" s="448"/>
      <c r="G18" s="448"/>
      <c r="H18" s="448"/>
      <c r="I18" s="448"/>
      <c r="J18" s="448"/>
      <c r="K18" s="448"/>
      <c r="L18" s="448"/>
      <c r="M18" s="448"/>
      <c r="N18" s="448"/>
      <c r="O18" s="448"/>
      <c r="P18" s="448"/>
      <c r="Q18" s="448"/>
      <c r="R18" s="448"/>
      <c r="S18" s="448"/>
      <c r="T18" s="449"/>
    </row>
    <row r="19" spans="2:20" x14ac:dyDescent="0.3">
      <c r="B19" s="141"/>
      <c r="C19" s="448" t="s">
        <v>505</v>
      </c>
      <c r="D19" s="448"/>
      <c r="E19" s="448"/>
      <c r="F19" s="448"/>
      <c r="G19" s="448"/>
      <c r="H19" s="448"/>
      <c r="I19" s="448"/>
      <c r="J19" s="448"/>
      <c r="K19" s="448"/>
      <c r="L19" s="448"/>
      <c r="M19" s="448"/>
      <c r="N19" s="448"/>
      <c r="O19" s="448"/>
      <c r="P19" s="448"/>
      <c r="Q19" s="448"/>
      <c r="R19" s="448"/>
      <c r="S19" s="448"/>
      <c r="T19" s="449"/>
    </row>
    <row r="20" spans="2:20" x14ac:dyDescent="0.3">
      <c r="B20" s="141"/>
      <c r="C20" s="363" t="s">
        <v>506</v>
      </c>
      <c r="D20" s="352"/>
      <c r="E20" s="352"/>
      <c r="F20" s="352" t="s">
        <v>63</v>
      </c>
      <c r="G20" s="352"/>
      <c r="H20" s="352"/>
      <c r="I20" s="352"/>
      <c r="J20" s="352"/>
      <c r="K20" s="352"/>
      <c r="L20" s="352"/>
      <c r="M20" s="352"/>
      <c r="N20" s="352"/>
      <c r="O20" s="352"/>
      <c r="P20" s="352"/>
      <c r="Q20" s="352"/>
      <c r="R20" s="352"/>
      <c r="S20" s="352"/>
      <c r="T20" s="353"/>
    </row>
    <row r="21" spans="2:20" x14ac:dyDescent="0.3">
      <c r="B21" s="141"/>
      <c r="C21" s="352" t="s">
        <v>484</v>
      </c>
      <c r="D21" s="352"/>
      <c r="E21" s="49"/>
      <c r="F21" s="352" t="s">
        <v>485</v>
      </c>
      <c r="G21" s="352"/>
      <c r="H21" s="352"/>
      <c r="I21" s="352"/>
      <c r="J21" s="352"/>
      <c r="K21" s="352"/>
      <c r="L21" s="352"/>
      <c r="M21" s="352"/>
      <c r="N21" s="352"/>
      <c r="O21" s="352"/>
      <c r="P21" s="352"/>
      <c r="Q21" s="352"/>
      <c r="R21" s="352"/>
      <c r="S21" s="352"/>
      <c r="T21" s="353"/>
    </row>
    <row r="22" spans="2:20" x14ac:dyDescent="0.3">
      <c r="B22" s="141"/>
      <c r="C22" s="352" t="s">
        <v>494</v>
      </c>
      <c r="D22" s="352"/>
      <c r="E22" s="49"/>
      <c r="F22" s="352" t="s">
        <v>521</v>
      </c>
      <c r="G22" s="352"/>
      <c r="H22" s="352"/>
      <c r="I22" s="352"/>
      <c r="J22" s="352"/>
      <c r="K22" s="352"/>
      <c r="L22" s="352"/>
      <c r="M22" s="352"/>
      <c r="N22" s="352"/>
      <c r="O22" s="352"/>
      <c r="P22" s="352"/>
      <c r="Q22" s="352"/>
      <c r="R22" s="352"/>
      <c r="S22" s="352"/>
      <c r="T22" s="353"/>
    </row>
    <row r="23" spans="2:20" x14ac:dyDescent="0.3">
      <c r="B23" s="141"/>
      <c r="C23" s="352" t="s">
        <v>492</v>
      </c>
      <c r="D23" s="352"/>
      <c r="E23" s="352"/>
      <c r="F23" s="352" t="s">
        <v>493</v>
      </c>
      <c r="G23" s="352"/>
      <c r="H23" s="352"/>
      <c r="I23" s="352"/>
      <c r="J23" s="352"/>
      <c r="K23" s="352"/>
      <c r="L23" s="352"/>
      <c r="M23" s="352"/>
      <c r="N23" s="352"/>
      <c r="O23" s="352"/>
      <c r="P23" s="352"/>
      <c r="Q23" s="352"/>
      <c r="R23" s="352"/>
      <c r="S23" s="352"/>
      <c r="T23" s="353"/>
    </row>
    <row r="24" spans="2:20" x14ac:dyDescent="0.3">
      <c r="B24" s="141"/>
      <c r="C24" s="49" t="s">
        <v>491</v>
      </c>
      <c r="D24" s="352"/>
      <c r="E24" s="352"/>
      <c r="F24" s="352"/>
      <c r="G24" s="352"/>
      <c r="H24" s="352"/>
      <c r="I24" s="352" t="s">
        <v>507</v>
      </c>
      <c r="J24" s="352"/>
      <c r="K24" s="352"/>
      <c r="L24" s="352"/>
      <c r="M24" s="352"/>
      <c r="N24" s="352"/>
      <c r="O24" s="352"/>
      <c r="P24" s="352"/>
      <c r="Q24" s="352"/>
      <c r="R24" s="352"/>
      <c r="S24" s="352"/>
      <c r="T24" s="353"/>
    </row>
    <row r="25" spans="2:20" x14ac:dyDescent="0.3">
      <c r="B25" s="141"/>
      <c r="C25" s="364" t="s">
        <v>490</v>
      </c>
      <c r="D25" s="447" t="s">
        <v>372</v>
      </c>
      <c r="E25" s="447"/>
      <c r="F25" s="447"/>
      <c r="G25" s="447"/>
      <c r="H25" s="365" t="s">
        <v>522</v>
      </c>
      <c r="I25" s="352" t="s">
        <v>524</v>
      </c>
      <c r="J25" s="352"/>
      <c r="K25" s="352"/>
      <c r="L25" s="352"/>
      <c r="M25" s="352"/>
      <c r="N25" s="352"/>
      <c r="O25" s="352"/>
      <c r="P25" s="352"/>
      <c r="Q25" s="352"/>
      <c r="R25" s="352"/>
      <c r="S25" s="352"/>
      <c r="T25" s="353"/>
    </row>
    <row r="26" spans="2:20" x14ac:dyDescent="0.3">
      <c r="B26" s="141"/>
      <c r="C26" s="357" t="s">
        <v>486</v>
      </c>
      <c r="D26" s="447" t="s">
        <v>497</v>
      </c>
      <c r="E26" s="447"/>
      <c r="F26" s="447"/>
      <c r="G26" s="447"/>
      <c r="H26" s="376" t="s">
        <v>523</v>
      </c>
      <c r="I26" s="352"/>
      <c r="J26" s="352"/>
      <c r="K26" s="352"/>
      <c r="L26" s="352"/>
      <c r="M26" s="352"/>
      <c r="N26" s="352"/>
      <c r="O26" s="352"/>
      <c r="P26" s="352"/>
      <c r="Q26" s="352"/>
      <c r="R26" s="352"/>
      <c r="S26" s="352"/>
      <c r="T26" s="353"/>
    </row>
    <row r="27" spans="2:20" x14ac:dyDescent="0.3">
      <c r="B27" s="141"/>
      <c r="C27" s="357" t="s">
        <v>487</v>
      </c>
      <c r="D27" s="447" t="s">
        <v>480</v>
      </c>
      <c r="E27" s="447"/>
      <c r="F27" s="447"/>
      <c r="G27" s="447"/>
      <c r="H27" s="365">
        <v>1.25</v>
      </c>
      <c r="I27" s="352" t="s">
        <v>525</v>
      </c>
      <c r="J27" s="352"/>
      <c r="K27" s="352"/>
      <c r="L27" s="352"/>
      <c r="M27" s="352"/>
      <c r="N27" s="352"/>
      <c r="O27" s="352"/>
      <c r="P27" s="352"/>
      <c r="Q27" s="352"/>
      <c r="R27" s="352"/>
      <c r="S27" s="352"/>
      <c r="T27" s="353"/>
    </row>
    <row r="28" spans="2:20" x14ac:dyDescent="0.3">
      <c r="B28" s="141"/>
      <c r="C28" s="357" t="s">
        <v>488</v>
      </c>
      <c r="D28" s="447" t="s">
        <v>481</v>
      </c>
      <c r="E28" s="447"/>
      <c r="F28" s="447"/>
      <c r="G28" s="447"/>
      <c r="H28" s="365">
        <v>1.57</v>
      </c>
      <c r="I28" s="352" t="s">
        <v>526</v>
      </c>
      <c r="J28" s="352"/>
      <c r="K28" s="352"/>
      <c r="L28" s="352"/>
      <c r="M28" s="352"/>
      <c r="N28" s="352"/>
      <c r="O28" s="352"/>
      <c r="P28" s="352"/>
      <c r="Q28" s="352"/>
      <c r="R28" s="352"/>
      <c r="S28" s="352"/>
      <c r="T28" s="353"/>
    </row>
    <row r="29" spans="2:20" x14ac:dyDescent="0.3">
      <c r="B29" s="141"/>
      <c r="C29" s="357" t="s">
        <v>489</v>
      </c>
      <c r="D29" s="447" t="s">
        <v>498</v>
      </c>
      <c r="E29" s="447"/>
      <c r="F29" s="447"/>
      <c r="G29" s="447"/>
      <c r="H29" s="366">
        <v>0.8</v>
      </c>
      <c r="I29" s="448" t="s">
        <v>527</v>
      </c>
      <c r="J29" s="448"/>
      <c r="K29" s="448"/>
      <c r="L29" s="448"/>
      <c r="M29" s="448"/>
      <c r="N29" s="448"/>
      <c r="O29" s="448"/>
      <c r="P29" s="448"/>
      <c r="Q29" s="448"/>
      <c r="R29" s="448"/>
      <c r="S29" s="448"/>
      <c r="T29" s="449"/>
    </row>
    <row r="30" spans="2:20" x14ac:dyDescent="0.3">
      <c r="B30" s="141"/>
      <c r="C30" s="352"/>
      <c r="D30" s="352"/>
      <c r="E30" s="352"/>
      <c r="F30" s="352"/>
      <c r="G30" s="352"/>
      <c r="H30" s="352"/>
      <c r="I30" s="448"/>
      <c r="J30" s="448"/>
      <c r="K30" s="448"/>
      <c r="L30" s="448"/>
      <c r="M30" s="448"/>
      <c r="N30" s="448"/>
      <c r="O30" s="448"/>
      <c r="P30" s="448"/>
      <c r="Q30" s="448"/>
      <c r="R30" s="448"/>
      <c r="S30" s="448"/>
      <c r="T30" s="449"/>
    </row>
    <row r="31" spans="2:20" x14ac:dyDescent="0.3">
      <c r="B31" s="141"/>
      <c r="C31" s="352"/>
      <c r="D31" s="352"/>
      <c r="E31" s="352"/>
      <c r="F31" s="352"/>
      <c r="G31" s="352"/>
      <c r="H31" s="352"/>
      <c r="I31" s="358"/>
      <c r="J31" s="358"/>
      <c r="K31" s="358"/>
      <c r="L31" s="358"/>
      <c r="M31" s="358"/>
      <c r="N31" s="358"/>
      <c r="O31" s="358"/>
      <c r="P31" s="358"/>
      <c r="Q31" s="358"/>
      <c r="R31" s="358"/>
      <c r="S31" s="358"/>
      <c r="T31" s="359"/>
    </row>
    <row r="32" spans="2:20" ht="15.6" x14ac:dyDescent="0.3">
      <c r="B32" s="141"/>
      <c r="C32" s="386" t="s">
        <v>533</v>
      </c>
      <c r="D32" s="387"/>
      <c r="E32" s="387"/>
      <c r="F32" s="387"/>
      <c r="G32" s="49"/>
      <c r="H32" s="49"/>
      <c r="I32" s="49"/>
      <c r="J32" s="49"/>
      <c r="K32" s="49"/>
      <c r="L32" s="49"/>
      <c r="M32" s="49"/>
      <c r="N32" s="49"/>
      <c r="O32" s="49"/>
      <c r="P32" s="49"/>
      <c r="Q32" s="49"/>
      <c r="R32" s="49"/>
      <c r="S32" s="49"/>
      <c r="T32" s="142"/>
    </row>
    <row r="33" spans="2:21" ht="15.6" x14ac:dyDescent="0.3">
      <c r="B33" s="141"/>
      <c r="C33" s="147"/>
      <c r="D33" s="49"/>
      <c r="E33" s="49"/>
      <c r="F33" s="49"/>
      <c r="G33" s="49"/>
      <c r="H33" s="49"/>
      <c r="I33" s="49"/>
      <c r="J33" s="49"/>
      <c r="K33" s="49"/>
      <c r="L33" s="49"/>
      <c r="M33" s="49"/>
      <c r="N33" s="49"/>
      <c r="O33" s="49"/>
      <c r="P33" s="49"/>
      <c r="Q33" s="49"/>
      <c r="R33" s="49"/>
      <c r="S33" s="49"/>
      <c r="T33" s="142"/>
    </row>
    <row r="34" spans="2:21" ht="18" x14ac:dyDescent="0.3">
      <c r="B34" s="141"/>
      <c r="C34" s="149" t="s">
        <v>109</v>
      </c>
      <c r="D34" s="150" t="s">
        <v>146</v>
      </c>
      <c r="E34" s="150" t="s">
        <v>147</v>
      </c>
      <c r="F34" s="150" t="s">
        <v>136</v>
      </c>
      <c r="G34" s="150" t="s">
        <v>148</v>
      </c>
      <c r="H34" s="150" t="s">
        <v>138</v>
      </c>
      <c r="I34" s="150" t="s">
        <v>149</v>
      </c>
      <c r="J34" s="150" t="s">
        <v>150</v>
      </c>
      <c r="K34" s="150" t="s">
        <v>151</v>
      </c>
      <c r="L34" s="151" t="s">
        <v>142</v>
      </c>
      <c r="M34" s="198" t="s">
        <v>380</v>
      </c>
      <c r="N34" s="49"/>
      <c r="O34" s="49"/>
      <c r="P34" s="49"/>
      <c r="Q34" s="49"/>
      <c r="R34" s="49"/>
      <c r="S34" s="49"/>
      <c r="T34" s="142"/>
      <c r="U34" s="158"/>
    </row>
    <row r="35" spans="2:21" ht="31.2" customHeight="1" thickBot="1" x14ac:dyDescent="0.35">
      <c r="B35" s="141"/>
      <c r="C35" s="152" t="s">
        <v>32</v>
      </c>
      <c r="D35" s="153">
        <f>VLOOKUP($C$35,'HSC-AD data'!$C$76:$L$82,2,0)</f>
        <v>395</v>
      </c>
      <c r="E35" s="154">
        <f>VLOOKUP($C$35,'HSC-AD data'!$C$76:$L$82,3,0)</f>
        <v>530</v>
      </c>
      <c r="F35" s="157" t="str">
        <f>VLOOKUP($C$35,'HSC-AD data'!$C$76:$L$82,4,0)</f>
        <v>445, 595, 603</v>
      </c>
      <c r="G35" s="154">
        <f>VLOOKUP($C$35,'HSC-AD data'!$C$76:$L$82,5,0)</f>
        <v>354</v>
      </c>
      <c r="H35" s="154">
        <f>VLOOKUP($C$35,'HSC-AD data'!$C$76:$L$82,6,0)</f>
        <v>495</v>
      </c>
      <c r="I35" s="154">
        <f>VLOOKUP($C$35,'HSC-AD data'!$C$76:$L$82,7,0)</f>
        <v>550</v>
      </c>
      <c r="J35" s="154">
        <f>VLOOKUP($C$35,'HSC-AD data'!$C$76:$L$82,8,0)</f>
        <v>20</v>
      </c>
      <c r="K35" s="154">
        <f>VLOOKUP($C$35,'HSC-AD data'!$C$76:$L$82,9,0)</f>
        <v>80</v>
      </c>
      <c r="L35" s="155">
        <f>VLOOKUP($C$35,'HSC-AD data'!$C$76:$L$82,10,0)</f>
        <v>320</v>
      </c>
      <c r="M35" s="156" t="s">
        <v>143</v>
      </c>
      <c r="N35" s="49"/>
      <c r="O35" s="49"/>
      <c r="P35" s="49"/>
      <c r="Q35" s="49"/>
      <c r="R35" s="49"/>
      <c r="S35" s="49"/>
      <c r="T35" s="142"/>
    </row>
    <row r="36" spans="2:21" ht="16.2" thickTop="1" x14ac:dyDescent="0.3">
      <c r="B36" s="141"/>
      <c r="C36" s="159"/>
      <c r="D36" s="159"/>
      <c r="E36" s="159"/>
      <c r="F36" s="159"/>
      <c r="G36" s="159"/>
      <c r="H36" s="159"/>
      <c r="I36" s="159"/>
      <c r="J36" s="159"/>
      <c r="K36" s="159"/>
      <c r="L36" s="148"/>
      <c r="M36" s="148"/>
      <c r="N36" s="148"/>
      <c r="O36" s="148"/>
      <c r="P36" s="49"/>
      <c r="Q36" s="49"/>
      <c r="R36" s="49"/>
      <c r="S36" s="49"/>
      <c r="T36" s="142"/>
    </row>
    <row r="37" spans="2:21" x14ac:dyDescent="0.3">
      <c r="B37" s="163"/>
      <c r="C37" s="164" t="str">
        <f>"DN = "&amp;D38</f>
        <v>DN = 355</v>
      </c>
      <c r="D37" s="148" t="str">
        <f>D34&amp;" = "&amp;D35</f>
        <v>D2 = 395</v>
      </c>
      <c r="E37" s="148" t="str">
        <f t="shared" ref="E37:L37" si="0">E34&amp;" = "&amp;E35</f>
        <v>D4 = 530</v>
      </c>
      <c r="F37" s="148" t="str">
        <f t="shared" si="0"/>
        <v>E = 445, 595, 603</v>
      </c>
      <c r="G37" s="148" t="str">
        <f t="shared" si="0"/>
        <v>D5 = 354</v>
      </c>
      <c r="H37" s="148" t="str">
        <f t="shared" si="0"/>
        <v>L = 495</v>
      </c>
      <c r="I37" s="148" t="str">
        <f t="shared" si="0"/>
        <v>H1 = 550</v>
      </c>
      <c r="J37" s="148" t="str">
        <f t="shared" si="0"/>
        <v>H2 = 20</v>
      </c>
      <c r="K37" s="148" t="str">
        <f t="shared" si="0"/>
        <v>H3 = 80</v>
      </c>
      <c r="L37" s="148" t="str">
        <f t="shared" si="0"/>
        <v>F = 320</v>
      </c>
      <c r="M37" s="148"/>
      <c r="N37" s="148"/>
      <c r="O37" s="148"/>
      <c r="P37" s="49"/>
      <c r="Q37" s="49"/>
      <c r="R37" s="49"/>
      <c r="S37" s="49"/>
      <c r="T37" s="142"/>
    </row>
    <row r="38" spans="2:21" ht="15.6" x14ac:dyDescent="0.3">
      <c r="B38" s="163"/>
      <c r="C38" s="165" t="str">
        <f>"&gt; "&amp; VLOOKUP($C$35,'HSC-AD data'!$C$76:$M$82,11,0) &amp;"(1×DN)"</f>
        <v>&gt; 355(1×DN)</v>
      </c>
      <c r="D38" s="160">
        <f>VLOOKUP($C$35,'HSC-AD data'!$C$76:$M$82,11,0)</f>
        <v>355</v>
      </c>
      <c r="E38" s="148"/>
      <c r="F38" s="161"/>
      <c r="G38" s="148"/>
      <c r="H38" s="148"/>
      <c r="I38" s="148"/>
      <c r="J38" s="148"/>
      <c r="K38" s="148"/>
      <c r="L38" s="148"/>
      <c r="M38" s="148"/>
      <c r="N38" s="148"/>
      <c r="O38" s="148"/>
      <c r="P38" s="49"/>
      <c r="Q38" s="49"/>
      <c r="R38" s="49"/>
      <c r="S38" s="49"/>
      <c r="T38" s="142"/>
    </row>
    <row r="39" spans="2:21" x14ac:dyDescent="0.3">
      <c r="B39" s="163"/>
      <c r="C39" s="164" t="str">
        <f>"D4 = Ø"&amp;E35&amp;" OR       E = □"&amp;F35</f>
        <v>D4 = Ø530 OR       E = □445, 595, 603</v>
      </c>
      <c r="D39" s="148"/>
      <c r="E39" s="148"/>
      <c r="F39" s="148"/>
      <c r="G39" s="162"/>
      <c r="H39" s="148"/>
      <c r="I39" s="148"/>
      <c r="J39" s="148"/>
      <c r="K39" s="148"/>
      <c r="L39" s="148"/>
      <c r="M39" s="148"/>
      <c r="N39" s="148"/>
      <c r="O39" s="148"/>
      <c r="P39" s="49"/>
      <c r="Q39" s="49"/>
      <c r="R39" s="49"/>
      <c r="S39" s="49"/>
      <c r="T39" s="142"/>
    </row>
    <row r="40" spans="2:21" ht="15.6" x14ac:dyDescent="0.3">
      <c r="B40" s="141"/>
      <c r="C40" s="159"/>
      <c r="D40" s="148"/>
      <c r="E40" s="148"/>
      <c r="F40" s="148"/>
      <c r="G40" s="148"/>
      <c r="H40" s="148"/>
      <c r="I40" s="148"/>
      <c r="J40" s="148"/>
      <c r="K40" s="148"/>
      <c r="L40" s="148"/>
      <c r="M40" s="148"/>
      <c r="N40" s="148"/>
      <c r="O40" s="148"/>
      <c r="P40" s="49"/>
      <c r="Q40" s="49"/>
      <c r="R40" s="49"/>
      <c r="S40" s="49"/>
      <c r="T40" s="142"/>
    </row>
    <row r="41" spans="2:21" ht="15.6" x14ac:dyDescent="0.3">
      <c r="B41" s="141"/>
      <c r="C41" s="159"/>
      <c r="D41" s="148"/>
      <c r="E41" s="148"/>
      <c r="F41" s="148"/>
      <c r="G41" s="148"/>
      <c r="H41" s="148"/>
      <c r="I41" s="148"/>
      <c r="J41" s="148"/>
      <c r="K41" s="148"/>
      <c r="L41" s="148"/>
      <c r="M41" s="148"/>
      <c r="N41" s="148"/>
      <c r="O41" s="148"/>
      <c r="P41" s="49"/>
      <c r="Q41" s="49"/>
      <c r="R41" s="49"/>
      <c r="S41" s="49"/>
      <c r="T41" s="142"/>
    </row>
    <row r="42" spans="2:21" ht="15.6" x14ac:dyDescent="0.3">
      <c r="B42" s="141"/>
      <c r="C42" s="159"/>
      <c r="D42" s="148"/>
      <c r="E42" s="148"/>
      <c r="F42" s="148"/>
      <c r="G42" s="148"/>
      <c r="H42" s="148"/>
      <c r="I42" s="148"/>
      <c r="J42" s="148"/>
      <c r="K42" s="148"/>
      <c r="L42" s="148"/>
      <c r="M42" s="148"/>
      <c r="N42" s="148"/>
      <c r="O42" s="148"/>
      <c r="P42" s="49"/>
      <c r="Q42" s="49"/>
      <c r="R42" s="49"/>
      <c r="S42" s="49"/>
      <c r="T42" s="142"/>
    </row>
    <row r="43" spans="2:21" ht="15.6" x14ac:dyDescent="0.3">
      <c r="B43" s="141"/>
      <c r="C43" s="159"/>
      <c r="D43" s="148"/>
      <c r="E43" s="148"/>
      <c r="F43" s="148"/>
      <c r="G43" s="148"/>
      <c r="H43" s="148"/>
      <c r="I43" s="148"/>
      <c r="J43" s="148"/>
      <c r="K43" s="148"/>
      <c r="L43" s="148"/>
      <c r="M43" s="148"/>
      <c r="N43" s="148"/>
      <c r="O43" s="148"/>
      <c r="P43" s="49"/>
      <c r="Q43" s="49"/>
      <c r="R43" s="49"/>
      <c r="S43" s="49"/>
      <c r="T43" s="142"/>
    </row>
    <row r="44" spans="2:21" ht="15.6" x14ac:dyDescent="0.3">
      <c r="B44" s="141"/>
      <c r="C44" s="159"/>
      <c r="D44" s="148"/>
      <c r="E44" s="148"/>
      <c r="F44" s="148"/>
      <c r="G44" s="148"/>
      <c r="H44" s="148"/>
      <c r="I44" s="148"/>
      <c r="J44" s="148"/>
      <c r="K44" s="148"/>
      <c r="L44" s="148"/>
      <c r="M44" s="148"/>
      <c r="N44" s="148"/>
      <c r="O44" s="148"/>
      <c r="P44" s="49"/>
      <c r="Q44" s="49"/>
      <c r="R44" s="49"/>
      <c r="S44" s="49"/>
      <c r="T44" s="142"/>
    </row>
    <row r="45" spans="2:21" ht="15.6" x14ac:dyDescent="0.3">
      <c r="B45" s="141"/>
      <c r="C45" s="159"/>
      <c r="D45" s="148"/>
      <c r="E45" s="148"/>
      <c r="F45" s="148"/>
      <c r="G45" s="148"/>
      <c r="H45" s="148"/>
      <c r="I45" s="148"/>
      <c r="J45" s="148"/>
      <c r="K45" s="148"/>
      <c r="L45" s="148"/>
      <c r="M45" s="148"/>
      <c r="N45" s="148"/>
      <c r="O45" s="148"/>
      <c r="P45" s="49"/>
      <c r="Q45" s="49"/>
      <c r="R45" s="49"/>
      <c r="S45" s="49"/>
      <c r="T45" s="142"/>
    </row>
    <row r="46" spans="2:21" ht="15.6" x14ac:dyDescent="0.3">
      <c r="B46" s="141"/>
      <c r="C46" s="159"/>
      <c r="D46" s="148"/>
      <c r="E46" s="148"/>
      <c r="F46" s="148"/>
      <c r="G46" s="148"/>
      <c r="H46" s="148"/>
      <c r="I46" s="148"/>
      <c r="J46" s="148"/>
      <c r="K46" s="148"/>
      <c r="L46" s="148"/>
      <c r="M46" s="148"/>
      <c r="N46" s="148"/>
      <c r="O46" s="148"/>
      <c r="P46" s="49"/>
      <c r="Q46" s="49"/>
      <c r="R46" s="49"/>
      <c r="S46" s="49"/>
      <c r="T46" s="142"/>
    </row>
    <row r="47" spans="2:21" ht="15.6" x14ac:dyDescent="0.3">
      <c r="B47" s="141"/>
      <c r="C47" s="159"/>
      <c r="D47" s="148"/>
      <c r="E47" s="148"/>
      <c r="F47" s="148"/>
      <c r="G47" s="148"/>
      <c r="H47" s="148"/>
      <c r="I47" s="148"/>
      <c r="J47" s="148"/>
      <c r="K47" s="148"/>
      <c r="L47" s="148"/>
      <c r="M47" s="148"/>
      <c r="N47" s="148"/>
      <c r="O47" s="148"/>
      <c r="P47" s="49"/>
      <c r="Q47" s="49"/>
      <c r="R47" s="49"/>
      <c r="S47" s="49"/>
      <c r="T47" s="142"/>
    </row>
    <row r="48" spans="2:21" ht="15.6" x14ac:dyDescent="0.3">
      <c r="B48" s="141"/>
      <c r="C48" s="159"/>
      <c r="D48" s="148"/>
      <c r="E48" s="148"/>
      <c r="F48" s="148"/>
      <c r="G48" s="148"/>
      <c r="H48" s="148"/>
      <c r="I48" s="148"/>
      <c r="J48" s="148"/>
      <c r="K48" s="148"/>
      <c r="L48" s="148"/>
      <c r="M48" s="148"/>
      <c r="N48" s="148"/>
      <c r="O48" s="148"/>
      <c r="P48" s="49"/>
      <c r="Q48" s="49"/>
      <c r="R48" s="49"/>
      <c r="S48" s="49"/>
      <c r="T48" s="142"/>
    </row>
    <row r="49" spans="2:20" ht="15.6" x14ac:dyDescent="0.3">
      <c r="B49" s="141"/>
      <c r="C49" s="159"/>
      <c r="D49" s="148"/>
      <c r="E49" s="148"/>
      <c r="F49" s="148"/>
      <c r="G49" s="148"/>
      <c r="H49" s="148"/>
      <c r="I49" s="148"/>
      <c r="J49" s="148"/>
      <c r="K49" s="148"/>
      <c r="L49" s="148"/>
      <c r="M49" s="148"/>
      <c r="N49" s="148"/>
      <c r="O49" s="148"/>
      <c r="P49" s="49"/>
      <c r="Q49" s="49"/>
      <c r="R49" s="49"/>
      <c r="S49" s="49"/>
      <c r="T49" s="142"/>
    </row>
    <row r="50" spans="2:20" ht="15.6" x14ac:dyDescent="0.3">
      <c r="B50" s="141"/>
      <c r="C50" s="159"/>
      <c r="D50" s="148"/>
      <c r="E50" s="148"/>
      <c r="F50" s="148"/>
      <c r="G50" s="148"/>
      <c r="H50" s="148"/>
      <c r="I50" s="148"/>
      <c r="J50" s="148"/>
      <c r="K50" s="148"/>
      <c r="L50" s="148"/>
      <c r="M50" s="148"/>
      <c r="N50" s="148"/>
      <c r="O50" s="148"/>
      <c r="P50" s="49"/>
      <c r="Q50" s="49"/>
      <c r="R50" s="49"/>
      <c r="S50" s="49"/>
      <c r="T50" s="142"/>
    </row>
    <row r="51" spans="2:20" ht="15.6" x14ac:dyDescent="0.3">
      <c r="B51" s="141"/>
      <c r="C51" s="159"/>
      <c r="D51" s="148"/>
      <c r="E51" s="148"/>
      <c r="F51" s="148"/>
      <c r="G51" s="148"/>
      <c r="H51" s="148"/>
      <c r="I51" s="148"/>
      <c r="J51" s="148"/>
      <c r="K51" s="148"/>
      <c r="L51" s="148"/>
      <c r="M51" s="148"/>
      <c r="N51" s="148"/>
      <c r="O51" s="148"/>
      <c r="P51" s="49"/>
      <c r="Q51" s="49"/>
      <c r="R51" s="49"/>
      <c r="S51" s="49"/>
      <c r="T51" s="142"/>
    </row>
    <row r="52" spans="2:20" ht="15.6" x14ac:dyDescent="0.3">
      <c r="B52" s="141"/>
      <c r="C52" s="159"/>
      <c r="D52" s="148"/>
      <c r="E52" s="148"/>
      <c r="F52" s="148"/>
      <c r="G52" s="148"/>
      <c r="H52" s="148"/>
      <c r="I52" s="148"/>
      <c r="J52" s="148"/>
      <c r="K52" s="148"/>
      <c r="L52" s="148"/>
      <c r="M52" s="148"/>
      <c r="N52" s="148"/>
      <c r="O52" s="148"/>
      <c r="P52" s="49"/>
      <c r="Q52" s="49"/>
      <c r="R52" s="49"/>
      <c r="S52" s="49"/>
      <c r="T52" s="142"/>
    </row>
    <row r="53" spans="2:20" ht="15.6" x14ac:dyDescent="0.3">
      <c r="B53" s="141"/>
      <c r="C53" s="159"/>
      <c r="D53" s="148"/>
      <c r="E53" s="148"/>
      <c r="F53" s="148"/>
      <c r="G53" s="148"/>
      <c r="H53" s="148"/>
      <c r="I53" s="148"/>
      <c r="J53" s="148"/>
      <c r="K53" s="148"/>
      <c r="L53" s="148"/>
      <c r="M53" s="148"/>
      <c r="N53" s="148"/>
      <c r="O53" s="148"/>
      <c r="P53" s="49"/>
      <c r="Q53" s="49"/>
      <c r="R53" s="49"/>
      <c r="S53" s="49"/>
      <c r="T53" s="142"/>
    </row>
    <row r="54" spans="2:20" ht="15.6" x14ac:dyDescent="0.3">
      <c r="B54" s="141"/>
      <c r="C54" s="159"/>
      <c r="D54" s="148"/>
      <c r="E54" s="148"/>
      <c r="F54" s="148"/>
      <c r="G54" s="148"/>
      <c r="H54" s="148"/>
      <c r="I54" s="148"/>
      <c r="J54" s="148"/>
      <c r="K54" s="148"/>
      <c r="L54" s="148"/>
      <c r="M54" s="148"/>
      <c r="N54" s="148"/>
      <c r="O54" s="148"/>
      <c r="P54" s="49"/>
      <c r="Q54" s="49"/>
      <c r="R54" s="49"/>
      <c r="S54" s="49"/>
      <c r="T54" s="142"/>
    </row>
    <row r="55" spans="2:20" ht="15.6" x14ac:dyDescent="0.3">
      <c r="B55" s="141"/>
      <c r="C55" s="159"/>
      <c r="D55" s="148"/>
      <c r="E55" s="148"/>
      <c r="F55" s="148"/>
      <c r="G55" s="148"/>
      <c r="H55" s="148"/>
      <c r="I55" s="148"/>
      <c r="J55" s="148"/>
      <c r="K55" s="148"/>
      <c r="L55" s="148"/>
      <c r="M55" s="148"/>
      <c r="N55" s="148"/>
      <c r="O55" s="148"/>
      <c r="P55" s="49"/>
      <c r="Q55" s="49"/>
      <c r="R55" s="49"/>
      <c r="S55" s="49"/>
      <c r="T55" s="142"/>
    </row>
    <row r="56" spans="2:20" ht="15.6" x14ac:dyDescent="0.3">
      <c r="B56" s="141"/>
      <c r="C56" s="159"/>
      <c r="D56" s="148"/>
      <c r="E56" s="148"/>
      <c r="F56" s="148"/>
      <c r="G56" s="148"/>
      <c r="H56" s="148"/>
      <c r="I56" s="148"/>
      <c r="J56" s="148"/>
      <c r="K56" s="148"/>
      <c r="L56" s="148"/>
      <c r="M56" s="148"/>
      <c r="N56" s="148"/>
      <c r="O56" s="148"/>
      <c r="P56" s="49"/>
      <c r="Q56" s="49"/>
      <c r="R56" s="49"/>
      <c r="S56" s="49"/>
      <c r="T56" s="142"/>
    </row>
    <row r="57" spans="2:20" ht="15.6" x14ac:dyDescent="0.3">
      <c r="B57" s="141"/>
      <c r="C57" s="159"/>
      <c r="D57" s="148"/>
      <c r="E57" s="148"/>
      <c r="F57" s="148"/>
      <c r="G57" s="148"/>
      <c r="H57" s="148"/>
      <c r="I57" s="148"/>
      <c r="J57" s="148"/>
      <c r="K57" s="148"/>
      <c r="L57" s="148"/>
      <c r="M57" s="148"/>
      <c r="N57" s="148"/>
      <c r="O57" s="148"/>
      <c r="P57" s="49"/>
      <c r="Q57" s="49"/>
      <c r="R57" s="49"/>
      <c r="S57" s="49"/>
      <c r="T57" s="142"/>
    </row>
    <row r="58" spans="2:20" ht="15.6" x14ac:dyDescent="0.3">
      <c r="B58" s="141"/>
      <c r="C58" s="159"/>
      <c r="D58" s="148"/>
      <c r="E58" s="148"/>
      <c r="F58" s="148"/>
      <c r="G58" s="148"/>
      <c r="H58" s="148"/>
      <c r="I58" s="148"/>
      <c r="J58" s="148"/>
      <c r="K58" s="148"/>
      <c r="L58" s="148"/>
      <c r="M58" s="148"/>
      <c r="N58" s="148"/>
      <c r="O58" s="148"/>
      <c r="P58" s="49"/>
      <c r="Q58" s="49"/>
      <c r="R58" s="49"/>
      <c r="S58" s="49"/>
      <c r="T58" s="142"/>
    </row>
    <row r="59" spans="2:20" ht="15.6" x14ac:dyDescent="0.3">
      <c r="B59" s="141"/>
      <c r="C59" s="159"/>
      <c r="D59" s="148"/>
      <c r="E59" s="148"/>
      <c r="F59" s="148"/>
      <c r="G59" s="148"/>
      <c r="H59" s="148"/>
      <c r="I59" s="148"/>
      <c r="J59" s="148"/>
      <c r="K59" s="148"/>
      <c r="L59" s="148"/>
      <c r="M59" s="148"/>
      <c r="N59" s="148"/>
      <c r="O59" s="148"/>
      <c r="P59" s="49"/>
      <c r="Q59" s="49"/>
      <c r="R59" s="49"/>
      <c r="S59" s="49"/>
      <c r="T59" s="142"/>
    </row>
    <row r="60" spans="2:20" ht="15.6" x14ac:dyDescent="0.3">
      <c r="B60" s="141"/>
      <c r="C60" s="159"/>
      <c r="D60" s="148"/>
      <c r="E60" s="148"/>
      <c r="F60" s="148"/>
      <c r="G60" s="148"/>
      <c r="H60" s="148"/>
      <c r="I60" s="148"/>
      <c r="J60" s="148"/>
      <c r="K60" s="148"/>
      <c r="L60" s="148"/>
      <c r="M60" s="148"/>
      <c r="N60" s="148"/>
      <c r="O60" s="148"/>
      <c r="P60" s="49"/>
      <c r="Q60" s="49"/>
      <c r="R60" s="49"/>
      <c r="S60" s="49"/>
      <c r="T60" s="142"/>
    </row>
    <row r="61" spans="2:20" ht="15.6" x14ac:dyDescent="0.3">
      <c r="B61" s="141"/>
      <c r="C61" s="159"/>
      <c r="D61" s="148"/>
      <c r="E61" s="148"/>
      <c r="F61" s="148"/>
      <c r="G61" s="148"/>
      <c r="H61" s="148"/>
      <c r="I61" s="148"/>
      <c r="J61" s="148"/>
      <c r="K61" s="148"/>
      <c r="L61" s="148"/>
      <c r="M61" s="148"/>
      <c r="N61" s="148"/>
      <c r="O61" s="148"/>
      <c r="P61" s="49"/>
      <c r="Q61" s="49"/>
      <c r="R61" s="49"/>
      <c r="S61" s="49"/>
      <c r="T61" s="142"/>
    </row>
    <row r="62" spans="2:20" ht="15.6" x14ac:dyDescent="0.3">
      <c r="B62" s="141"/>
      <c r="C62" s="159"/>
      <c r="D62" s="148"/>
      <c r="E62" s="148"/>
      <c r="F62" s="148"/>
      <c r="G62" s="148"/>
      <c r="H62" s="148"/>
      <c r="I62" s="148"/>
      <c r="J62" s="148"/>
      <c r="K62" s="148"/>
      <c r="L62" s="148"/>
      <c r="M62" s="148"/>
      <c r="N62" s="148"/>
      <c r="O62" s="148"/>
      <c r="P62" s="49"/>
      <c r="Q62" s="49"/>
      <c r="R62" s="49"/>
      <c r="S62" s="49"/>
      <c r="T62" s="142"/>
    </row>
    <row r="63" spans="2:20" ht="15.6" x14ac:dyDescent="0.3">
      <c r="B63" s="141"/>
      <c r="C63" s="159"/>
      <c r="D63" s="148"/>
      <c r="E63" s="148"/>
      <c r="F63" s="148"/>
      <c r="G63" s="148"/>
      <c r="H63" s="148"/>
      <c r="I63" s="148"/>
      <c r="J63" s="148"/>
      <c r="K63" s="148"/>
      <c r="L63" s="148"/>
      <c r="M63" s="148"/>
      <c r="N63" s="148"/>
      <c r="O63" s="148"/>
      <c r="P63" s="49"/>
      <c r="Q63" s="49"/>
      <c r="R63" s="49"/>
      <c r="S63" s="49"/>
      <c r="T63" s="142"/>
    </row>
    <row r="64" spans="2:20" ht="15.6" x14ac:dyDescent="0.3">
      <c r="B64" s="141"/>
      <c r="C64" s="159"/>
      <c r="D64" s="148"/>
      <c r="E64" s="148"/>
      <c r="F64" s="148"/>
      <c r="G64" s="148"/>
      <c r="H64" s="148"/>
      <c r="I64" s="148"/>
      <c r="J64" s="148"/>
      <c r="K64" s="148"/>
      <c r="L64" s="148"/>
      <c r="M64" s="148"/>
      <c r="N64" s="148"/>
      <c r="O64" s="148"/>
      <c r="P64" s="49"/>
      <c r="Q64" s="49"/>
      <c r="R64" s="49"/>
      <c r="S64" s="49"/>
      <c r="T64" s="142"/>
    </row>
    <row r="65" spans="2:20" ht="15.6" x14ac:dyDescent="0.3">
      <c r="B65" s="141"/>
      <c r="C65" s="159"/>
      <c r="D65" s="148"/>
      <c r="E65" s="148"/>
      <c r="F65" s="148"/>
      <c r="G65" s="148"/>
      <c r="H65" s="148"/>
      <c r="I65" s="148"/>
      <c r="J65" s="148"/>
      <c r="K65" s="148"/>
      <c r="L65" s="148"/>
      <c r="M65" s="148"/>
      <c r="N65" s="148"/>
      <c r="O65" s="148"/>
      <c r="P65" s="49"/>
      <c r="Q65" s="49"/>
      <c r="R65" s="49"/>
      <c r="S65" s="49"/>
      <c r="T65" s="142"/>
    </row>
    <row r="66" spans="2:20" x14ac:dyDescent="0.3">
      <c r="B66" s="141"/>
      <c r="C66" s="148"/>
      <c r="D66" s="148"/>
      <c r="E66" s="148"/>
      <c r="F66" s="148"/>
      <c r="G66" s="148"/>
      <c r="H66" s="148"/>
      <c r="I66" s="148"/>
      <c r="J66" s="148"/>
      <c r="K66" s="148"/>
      <c r="L66" s="148"/>
      <c r="M66" s="148"/>
      <c r="N66" s="148"/>
      <c r="O66" s="148"/>
      <c r="P66" s="49"/>
      <c r="Q66" s="49"/>
      <c r="R66" s="49"/>
      <c r="S66" s="49"/>
      <c r="T66" s="142"/>
    </row>
    <row r="67" spans="2:20" ht="15.6" x14ac:dyDescent="0.3">
      <c r="B67" s="141"/>
      <c r="C67" s="159"/>
      <c r="D67" s="148"/>
      <c r="E67" s="148"/>
      <c r="F67" s="148"/>
      <c r="G67" s="148"/>
      <c r="H67" s="148"/>
      <c r="I67" s="148"/>
      <c r="J67" s="148"/>
      <c r="K67" s="148"/>
      <c r="L67" s="148"/>
      <c r="M67" s="148"/>
      <c r="N67" s="148"/>
      <c r="O67" s="148"/>
      <c r="P67" s="49"/>
      <c r="Q67" s="49"/>
      <c r="R67" s="49"/>
      <c r="S67" s="49"/>
      <c r="T67" s="142"/>
    </row>
    <row r="68" spans="2:20" x14ac:dyDescent="0.3">
      <c r="B68" s="141"/>
      <c r="C68" s="148"/>
      <c r="D68" s="148"/>
      <c r="E68" s="148"/>
      <c r="F68" s="148"/>
      <c r="G68" s="148"/>
      <c r="H68" s="148"/>
      <c r="I68" s="148"/>
      <c r="J68" s="148"/>
      <c r="K68" s="148"/>
      <c r="L68" s="148"/>
      <c r="M68" s="148"/>
      <c r="N68" s="148"/>
      <c r="O68" s="148"/>
      <c r="P68" s="49"/>
      <c r="Q68" s="49"/>
      <c r="R68" s="49"/>
      <c r="S68" s="49"/>
      <c r="T68" s="142"/>
    </row>
    <row r="69" spans="2:20" x14ac:dyDescent="0.3">
      <c r="B69" s="141"/>
      <c r="C69" s="148"/>
      <c r="D69" s="148"/>
      <c r="E69" s="148"/>
      <c r="F69" s="148"/>
      <c r="G69" s="148"/>
      <c r="H69" s="148"/>
      <c r="I69" s="148"/>
      <c r="J69" s="148"/>
      <c r="K69" s="148"/>
      <c r="L69" s="148"/>
      <c r="M69" s="148"/>
      <c r="N69" s="148"/>
      <c r="O69" s="148"/>
      <c r="P69" s="49"/>
      <c r="Q69" s="49"/>
      <c r="R69" s="49"/>
      <c r="S69" s="49"/>
      <c r="T69" s="142"/>
    </row>
    <row r="70" spans="2:20" x14ac:dyDescent="0.3">
      <c r="B70" s="141"/>
      <c r="C70" s="148"/>
      <c r="D70" s="148"/>
      <c r="E70" s="148"/>
      <c r="F70" s="148"/>
      <c r="G70" s="148"/>
      <c r="H70" s="148"/>
      <c r="I70" s="148"/>
      <c r="J70" s="148"/>
      <c r="K70" s="148"/>
      <c r="L70" s="148"/>
      <c r="M70" s="148"/>
      <c r="N70" s="148"/>
      <c r="O70" s="148"/>
      <c r="P70" s="49"/>
      <c r="Q70" s="49"/>
      <c r="R70" s="49"/>
      <c r="S70" s="49"/>
      <c r="T70" s="142"/>
    </row>
    <row r="71" spans="2:20" x14ac:dyDescent="0.3">
      <c r="B71" s="141"/>
      <c r="C71" s="148"/>
      <c r="D71" s="148"/>
      <c r="E71" s="148"/>
      <c r="F71" s="148"/>
      <c r="G71" s="148"/>
      <c r="H71" s="148"/>
      <c r="I71" s="148"/>
      <c r="J71" s="148"/>
      <c r="K71" s="148"/>
      <c r="L71" s="148"/>
      <c r="M71" s="148"/>
      <c r="N71" s="148"/>
      <c r="O71" s="148"/>
      <c r="P71" s="49"/>
      <c r="Q71" s="49"/>
      <c r="R71" s="49"/>
      <c r="S71" s="49"/>
      <c r="T71" s="142"/>
    </row>
    <row r="72" spans="2:20" x14ac:dyDescent="0.3">
      <c r="B72" s="141"/>
      <c r="C72" s="148"/>
      <c r="D72" s="148"/>
      <c r="E72" s="148"/>
      <c r="F72" s="148"/>
      <c r="G72" s="148"/>
      <c r="H72" s="148"/>
      <c r="I72" s="148"/>
      <c r="J72" s="148"/>
      <c r="K72" s="148"/>
      <c r="L72" s="148"/>
      <c r="M72" s="148"/>
      <c r="N72" s="148"/>
      <c r="O72" s="148"/>
      <c r="P72" s="49"/>
      <c r="Q72" s="49"/>
      <c r="R72" s="49"/>
      <c r="S72" s="49"/>
      <c r="T72" s="142"/>
    </row>
    <row r="73" spans="2:20" ht="15.6" x14ac:dyDescent="0.3">
      <c r="B73" s="141"/>
      <c r="C73" s="159"/>
      <c r="D73" s="159"/>
      <c r="E73" s="159"/>
      <c r="F73" s="159"/>
      <c r="G73" s="159"/>
      <c r="H73" s="159"/>
      <c r="I73" s="159"/>
      <c r="J73" s="159"/>
      <c r="K73" s="159"/>
      <c r="L73" s="148"/>
      <c r="M73" s="148"/>
      <c r="N73" s="148"/>
      <c r="O73" s="148"/>
      <c r="P73" s="49"/>
      <c r="Q73" s="49"/>
      <c r="R73" s="49"/>
      <c r="S73" s="49"/>
      <c r="T73" s="142"/>
    </row>
    <row r="74" spans="2:20" ht="15.6" x14ac:dyDescent="0.3">
      <c r="B74" s="141"/>
      <c r="C74" s="159"/>
      <c r="D74" s="148"/>
      <c r="E74" s="148"/>
      <c r="F74" s="148"/>
      <c r="G74" s="148"/>
      <c r="H74" s="148"/>
      <c r="I74" s="148"/>
      <c r="J74" s="148"/>
      <c r="K74" s="148"/>
      <c r="L74" s="148"/>
      <c r="M74" s="148"/>
      <c r="N74" s="148"/>
      <c r="O74" s="148"/>
      <c r="P74" s="49"/>
      <c r="Q74" s="49"/>
      <c r="R74" s="49"/>
      <c r="S74" s="49"/>
      <c r="T74" s="142"/>
    </row>
    <row r="75" spans="2:20" ht="15.6" x14ac:dyDescent="0.3">
      <c r="B75" s="141"/>
      <c r="C75" s="147"/>
      <c r="D75" s="49"/>
      <c r="E75" s="49"/>
      <c r="F75" s="49"/>
      <c r="G75" s="49"/>
      <c r="H75" s="49"/>
      <c r="I75" s="49"/>
      <c r="J75" s="49"/>
      <c r="K75" s="49"/>
      <c r="L75" s="49"/>
      <c r="M75" s="49"/>
      <c r="N75" s="49"/>
      <c r="O75" s="49"/>
      <c r="P75" s="49"/>
      <c r="Q75" s="49"/>
      <c r="R75" s="49"/>
      <c r="S75" s="49"/>
      <c r="T75" s="142"/>
    </row>
    <row r="76" spans="2:20" ht="15.6" x14ac:dyDescent="0.3">
      <c r="B76" s="141"/>
      <c r="C76" s="147"/>
      <c r="D76" s="49"/>
      <c r="E76" s="49"/>
      <c r="F76" s="49"/>
      <c r="G76" s="49"/>
      <c r="H76" s="49"/>
      <c r="I76" s="49"/>
      <c r="J76" s="49"/>
      <c r="K76" s="49"/>
      <c r="L76" s="49"/>
      <c r="M76" s="49"/>
      <c r="N76" s="49"/>
      <c r="O76" s="49"/>
      <c r="P76" s="49"/>
      <c r="Q76" s="49"/>
      <c r="R76" s="49"/>
      <c r="S76" s="49"/>
      <c r="T76" s="142"/>
    </row>
    <row r="77" spans="2:20" ht="15.6" x14ac:dyDescent="0.3">
      <c r="B77" s="141"/>
      <c r="C77" s="147"/>
      <c r="D77" s="49"/>
      <c r="E77" s="49"/>
      <c r="F77" s="49"/>
      <c r="G77" s="49"/>
      <c r="H77" s="49"/>
      <c r="I77" s="49"/>
      <c r="J77" s="49"/>
      <c r="K77" s="49"/>
      <c r="L77" s="49"/>
      <c r="M77" s="49"/>
      <c r="N77" s="49"/>
      <c r="O77" s="49"/>
      <c r="P77" s="49"/>
      <c r="Q77" s="49"/>
      <c r="R77" s="49"/>
      <c r="S77" s="49"/>
      <c r="T77" s="142"/>
    </row>
    <row r="78" spans="2:20" ht="15.6" x14ac:dyDescent="0.3">
      <c r="B78" s="141"/>
      <c r="C78" s="136" t="s">
        <v>156</v>
      </c>
      <c r="D78" s="143"/>
      <c r="E78" s="143"/>
      <c r="F78" s="143"/>
      <c r="G78" s="143"/>
      <c r="H78" s="143"/>
      <c r="I78" s="49"/>
      <c r="J78" s="49"/>
      <c r="K78" s="49"/>
      <c r="L78" s="49"/>
      <c r="M78" s="49"/>
      <c r="N78" s="49"/>
      <c r="O78" s="49"/>
      <c r="P78" s="49"/>
      <c r="Q78" s="49"/>
      <c r="R78" s="49"/>
      <c r="S78" s="49"/>
      <c r="T78" s="142"/>
    </row>
    <row r="79" spans="2:20" ht="6.75" customHeight="1" x14ac:dyDescent="0.3">
      <c r="B79" s="141"/>
      <c r="C79" s="147"/>
      <c r="D79" s="49"/>
      <c r="E79" s="49"/>
      <c r="F79" s="49"/>
      <c r="G79" s="49"/>
      <c r="H79" s="49"/>
      <c r="I79" s="49"/>
      <c r="J79" s="49"/>
      <c r="K79" s="49"/>
      <c r="L79" s="49"/>
      <c r="M79" s="49"/>
      <c r="N79" s="49"/>
      <c r="O79" s="49"/>
      <c r="P79" s="49"/>
      <c r="Q79" s="49"/>
      <c r="R79" s="49"/>
      <c r="S79" s="49"/>
      <c r="T79" s="142"/>
    </row>
    <row r="80" spans="2:20" s="174" customFormat="1" ht="17.25" customHeight="1" x14ac:dyDescent="0.3">
      <c r="B80" s="170"/>
      <c r="C80" s="169" t="s">
        <v>154</v>
      </c>
      <c r="D80" s="177" t="s">
        <v>155</v>
      </c>
      <c r="E80" s="178"/>
      <c r="F80" s="178"/>
      <c r="G80" s="171"/>
      <c r="H80" s="171"/>
      <c r="I80" s="171"/>
      <c r="J80" s="171"/>
      <c r="K80" s="171"/>
      <c r="L80" s="172"/>
      <c r="M80" s="172"/>
      <c r="N80" s="172"/>
      <c r="O80" s="172"/>
      <c r="P80" s="172"/>
      <c r="Q80" s="172"/>
      <c r="R80" s="172"/>
      <c r="S80" s="172"/>
      <c r="T80" s="173"/>
    </row>
    <row r="81" spans="2:20" s="174" customFormat="1" ht="17.25" customHeight="1" x14ac:dyDescent="0.3">
      <c r="B81" s="170"/>
      <c r="C81" s="175" t="s">
        <v>125</v>
      </c>
      <c r="D81" s="179" t="s">
        <v>334</v>
      </c>
      <c r="E81" s="176"/>
      <c r="F81" s="176"/>
      <c r="G81" s="172"/>
      <c r="H81" s="172"/>
      <c r="I81" s="172"/>
      <c r="J81" s="172"/>
      <c r="K81" s="172"/>
      <c r="L81" s="172"/>
      <c r="M81" s="172"/>
      <c r="N81" s="172"/>
      <c r="O81" s="172"/>
      <c r="P81" s="172"/>
      <c r="Q81" s="172"/>
      <c r="R81" s="172"/>
      <c r="S81" s="172"/>
      <c r="T81" s="173"/>
    </row>
    <row r="82" spans="2:20" s="174" customFormat="1" ht="17.25" customHeight="1" x14ac:dyDescent="0.3">
      <c r="B82" s="170"/>
      <c r="C82" s="175" t="s">
        <v>309</v>
      </c>
      <c r="D82" s="179" t="s">
        <v>377</v>
      </c>
      <c r="E82" s="176"/>
      <c r="F82" s="176"/>
      <c r="G82" s="172"/>
      <c r="H82" s="172"/>
      <c r="I82" s="172"/>
      <c r="J82" s="172"/>
      <c r="K82" s="172"/>
      <c r="L82" s="172"/>
      <c r="M82" s="172"/>
      <c r="N82" s="172"/>
      <c r="O82" s="172"/>
      <c r="P82" s="172"/>
      <c r="Q82" s="172"/>
      <c r="R82" s="172"/>
      <c r="S82" s="172"/>
      <c r="T82" s="173"/>
    </row>
    <row r="83" spans="2:20" s="174" customFormat="1" ht="17.25" customHeight="1" x14ac:dyDescent="0.3">
      <c r="B83" s="170"/>
      <c r="C83" s="175" t="s">
        <v>311</v>
      </c>
      <c r="D83" s="179" t="s">
        <v>434</v>
      </c>
      <c r="E83" s="176"/>
      <c r="F83" s="176"/>
      <c r="G83" s="172"/>
      <c r="H83" s="172"/>
      <c r="I83" s="172"/>
      <c r="J83" s="172"/>
      <c r="K83" s="172"/>
      <c r="L83" s="172"/>
      <c r="M83" s="172"/>
      <c r="N83" s="172"/>
      <c r="O83" s="172"/>
      <c r="P83" s="172"/>
      <c r="Q83" s="172"/>
      <c r="R83" s="172"/>
      <c r="S83" s="172"/>
      <c r="T83" s="173"/>
    </row>
    <row r="84" spans="2:20" s="174" customFormat="1" ht="17.25" customHeight="1" x14ac:dyDescent="0.3">
      <c r="B84" s="170"/>
      <c r="C84" s="175" t="s">
        <v>218</v>
      </c>
      <c r="D84" s="179" t="s">
        <v>435</v>
      </c>
      <c r="E84" s="176"/>
      <c r="F84" s="176"/>
      <c r="G84" s="172"/>
      <c r="H84" s="172"/>
      <c r="I84" s="172"/>
      <c r="J84" s="172"/>
      <c r="K84" s="172"/>
      <c r="L84" s="172"/>
      <c r="M84" s="172"/>
      <c r="N84" s="172"/>
      <c r="O84" s="172"/>
      <c r="P84" s="172"/>
      <c r="Q84" s="172"/>
      <c r="R84" s="172"/>
      <c r="S84" s="172"/>
      <c r="T84" s="173"/>
    </row>
    <row r="85" spans="2:20" s="174" customFormat="1" ht="17.25" customHeight="1" x14ac:dyDescent="0.3">
      <c r="B85" s="170"/>
      <c r="C85" s="175" t="s">
        <v>219</v>
      </c>
      <c r="D85" s="179" t="s">
        <v>585</v>
      </c>
      <c r="E85" s="176"/>
      <c r="F85" s="176"/>
      <c r="G85" s="172"/>
      <c r="H85" s="172"/>
      <c r="I85" s="172"/>
      <c r="J85" s="172"/>
      <c r="K85" s="172"/>
      <c r="L85" s="172"/>
      <c r="M85" s="172"/>
      <c r="N85" s="172"/>
      <c r="O85" s="172"/>
      <c r="P85" s="172"/>
      <c r="Q85" s="172"/>
      <c r="R85" s="172"/>
      <c r="S85" s="172"/>
      <c r="T85" s="173"/>
    </row>
    <row r="86" spans="2:20" x14ac:dyDescent="0.3">
      <c r="B86" s="144"/>
      <c r="C86" s="145"/>
      <c r="D86" s="145"/>
      <c r="E86" s="145"/>
      <c r="F86" s="145"/>
      <c r="G86" s="145"/>
      <c r="H86" s="145"/>
      <c r="I86" s="145"/>
      <c r="J86" s="145"/>
      <c r="K86" s="145"/>
      <c r="L86" s="145"/>
      <c r="M86" s="145"/>
      <c r="N86" s="145"/>
      <c r="O86" s="145"/>
      <c r="P86" s="145"/>
      <c r="Q86" s="145"/>
      <c r="R86" s="145"/>
      <c r="S86" s="145"/>
      <c r="T86" s="146"/>
    </row>
  </sheetData>
  <sheetProtection algorithmName="SHA-512" hashValue="n4ec5mS3VOwzW92YbxPRJyTWjv4iTlw+80aCzf1PZZIHrNH5Mo4cUaSA9Dnj1iI4xQc3qQW0YOHvPXOmnjeiJQ==" saltValue="3+8etyWKlqT5olnONQXM6w==" spinCount="100000" sheet="1" selectLockedCells="1"/>
  <mergeCells count="10">
    <mergeCell ref="D29:G29"/>
    <mergeCell ref="I29:T30"/>
    <mergeCell ref="C13:T14"/>
    <mergeCell ref="D15:T15"/>
    <mergeCell ref="D16:T18"/>
    <mergeCell ref="C19:T19"/>
    <mergeCell ref="D25:G25"/>
    <mergeCell ref="D26:G26"/>
    <mergeCell ref="D27:G27"/>
    <mergeCell ref="D28:G28"/>
  </mergeCells>
  <phoneticPr fontId="73" type="noConversion"/>
  <conditionalFormatting sqref="M34">
    <cfRule type="expression" dxfId="1" priority="1">
      <formula>OR($C$35="DN710",$C$35="DN1000")</formula>
    </cfRule>
  </conditionalFormatting>
  <dataValidations count="1">
    <dataValidation type="list" allowBlank="1" showInputMessage="1" showErrorMessage="1" sqref="C35" xr:uid="{00000000-0002-0000-0400-000000000000}">
      <formula1>size.</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
  <sheetViews>
    <sheetView workbookViewId="0"/>
  </sheetViews>
  <sheetFormatPr defaultRowHeight="14.4" x14ac:dyDescent="0.3"/>
  <sheetData>
    <row r="1" spans="1:22" x14ac:dyDescent="0.3">
      <c r="A1" s="237"/>
      <c r="B1" s="3"/>
      <c r="C1" s="4"/>
      <c r="D1" s="4"/>
      <c r="E1" s="4"/>
      <c r="F1" s="4"/>
      <c r="G1" s="4"/>
      <c r="H1" s="4"/>
      <c r="I1" s="4"/>
      <c r="J1" s="4"/>
      <c r="K1" s="4"/>
      <c r="L1" s="4"/>
      <c r="M1" s="4"/>
      <c r="N1" s="4"/>
      <c r="O1" s="4"/>
      <c r="P1" s="4"/>
      <c r="Q1" s="4"/>
      <c r="R1" s="4"/>
      <c r="S1" s="4"/>
      <c r="T1" s="4"/>
      <c r="U1" s="4"/>
      <c r="V1" s="238"/>
    </row>
    <row r="2" spans="1:22" x14ac:dyDescent="0.3">
      <c r="A2" s="237"/>
      <c r="B2" s="4"/>
      <c r="C2" s="4"/>
      <c r="D2" s="4"/>
      <c r="E2" s="4"/>
      <c r="F2" s="4"/>
      <c r="G2" s="4"/>
      <c r="H2" s="4"/>
      <c r="I2" s="4"/>
      <c r="J2" s="4"/>
      <c r="K2" s="4"/>
      <c r="L2" s="4"/>
      <c r="M2" s="4"/>
      <c r="N2" s="4"/>
      <c r="O2" s="4"/>
      <c r="P2" s="4"/>
      <c r="Q2" s="4"/>
      <c r="R2" s="4"/>
      <c r="S2" s="4"/>
      <c r="T2" s="4"/>
      <c r="U2" s="4"/>
      <c r="V2" s="239"/>
    </row>
    <row r="3" spans="1:22" x14ac:dyDescent="0.3">
      <c r="A3" s="237"/>
      <c r="B3" s="4"/>
      <c r="C3" s="4"/>
      <c r="D3" s="4"/>
      <c r="E3" s="4"/>
      <c r="F3" s="4"/>
      <c r="G3" s="4"/>
      <c r="H3" s="4"/>
      <c r="I3" s="4"/>
      <c r="J3" s="4"/>
      <c r="K3" s="4"/>
      <c r="L3" s="4"/>
      <c r="M3" s="4"/>
      <c r="N3" s="4"/>
      <c r="O3" s="4"/>
      <c r="P3" s="4"/>
      <c r="Q3" s="4"/>
      <c r="R3" s="4"/>
      <c r="S3" s="4"/>
      <c r="T3" s="4"/>
      <c r="U3" s="4"/>
      <c r="V3" s="239"/>
    </row>
    <row r="4" spans="1:22" x14ac:dyDescent="0.3">
      <c r="A4" s="237"/>
      <c r="B4" s="4"/>
      <c r="C4" s="4"/>
      <c r="D4" s="4"/>
      <c r="E4" s="4"/>
      <c r="F4" s="4"/>
      <c r="G4" s="4"/>
      <c r="H4" s="4"/>
      <c r="I4" s="4"/>
      <c r="J4" s="4"/>
      <c r="K4" s="4"/>
      <c r="L4" s="4"/>
      <c r="M4" s="4"/>
      <c r="N4" s="4"/>
      <c r="O4" s="4"/>
      <c r="P4" s="4"/>
      <c r="Q4" s="4"/>
      <c r="R4" s="4"/>
      <c r="S4" s="4"/>
      <c r="T4" s="4"/>
      <c r="U4" s="4"/>
      <c r="V4" s="239"/>
    </row>
    <row r="5" spans="1:22" ht="20.399999999999999" x14ac:dyDescent="0.35">
      <c r="B5" s="181"/>
      <c r="C5" s="236"/>
      <c r="D5" s="236"/>
      <c r="E5" s="236"/>
      <c r="F5" s="236"/>
      <c r="G5" s="236"/>
      <c r="H5" s="236"/>
      <c r="I5" s="236"/>
      <c r="J5" s="236"/>
      <c r="K5" s="236"/>
      <c r="L5" s="236"/>
      <c r="M5" s="236"/>
      <c r="N5" s="236"/>
      <c r="O5" s="236"/>
      <c r="P5" s="236"/>
      <c r="Q5" s="236"/>
      <c r="R5" s="236"/>
      <c r="S5" s="236"/>
      <c r="T5" s="236"/>
      <c r="U5" s="236"/>
      <c r="V5" s="240"/>
    </row>
    <row r="6" spans="1:22" ht="20.399999999999999" x14ac:dyDescent="0.35">
      <c r="B6" s="181"/>
      <c r="C6" s="236"/>
      <c r="D6" s="236"/>
      <c r="E6" s="236"/>
      <c r="F6" s="236"/>
      <c r="G6" s="236"/>
      <c r="H6" s="236"/>
      <c r="I6" s="236"/>
      <c r="J6" s="236"/>
      <c r="K6" s="236"/>
      <c r="L6" s="236"/>
      <c r="M6" s="236"/>
      <c r="N6" s="236"/>
      <c r="O6" s="236"/>
      <c r="P6" s="236"/>
      <c r="Q6" s="236"/>
      <c r="R6" s="236"/>
      <c r="S6" s="236"/>
      <c r="T6" s="236"/>
      <c r="U6" s="236"/>
      <c r="V6" s="240"/>
    </row>
    <row r="7" spans="1:22" x14ac:dyDescent="0.3">
      <c r="B7" s="12"/>
      <c r="C7" s="13"/>
      <c r="D7" s="13"/>
      <c r="E7" s="13"/>
      <c r="F7" s="13"/>
      <c r="G7" s="13"/>
      <c r="H7" s="13"/>
      <c r="I7" s="13"/>
      <c r="J7" s="13"/>
      <c r="K7" s="13"/>
      <c r="L7" s="13"/>
      <c r="M7" s="13"/>
      <c r="N7" s="13"/>
      <c r="O7" s="13"/>
      <c r="P7" s="13"/>
      <c r="Q7" s="13"/>
      <c r="R7" s="13"/>
      <c r="S7" s="13"/>
      <c r="T7" s="13"/>
      <c r="U7" s="13"/>
      <c r="V7" s="241"/>
    </row>
    <row r="8" spans="1:22" x14ac:dyDescent="0.3">
      <c r="B8" s="12"/>
      <c r="C8" s="13"/>
      <c r="D8" s="13"/>
      <c r="E8" s="13"/>
      <c r="F8" s="13"/>
      <c r="G8" s="13"/>
      <c r="H8" s="13"/>
      <c r="I8" s="13"/>
      <c r="J8" s="13"/>
      <c r="K8" s="13"/>
      <c r="L8" s="13"/>
      <c r="M8" s="13"/>
      <c r="N8" s="13"/>
      <c r="O8" s="13"/>
      <c r="P8" s="13"/>
      <c r="Q8" s="13"/>
      <c r="R8" s="13"/>
      <c r="S8" s="13"/>
      <c r="T8" s="13"/>
      <c r="U8" s="13"/>
      <c r="V8" s="241"/>
    </row>
    <row r="9" spans="1:22" x14ac:dyDescent="0.3">
      <c r="A9" s="237"/>
      <c r="B9" s="13"/>
      <c r="C9" s="13"/>
      <c r="D9" s="13"/>
      <c r="E9" s="13"/>
      <c r="F9" s="13"/>
      <c r="G9" s="13"/>
      <c r="H9" s="13"/>
      <c r="I9" s="13"/>
      <c r="J9" s="13"/>
      <c r="K9" s="13"/>
      <c r="L9" s="13"/>
      <c r="M9" s="13"/>
      <c r="N9" s="13"/>
      <c r="O9" s="13"/>
      <c r="P9" s="13"/>
      <c r="Q9" s="13"/>
      <c r="R9" s="13"/>
      <c r="S9" s="13"/>
      <c r="T9" s="13"/>
      <c r="U9" s="13"/>
      <c r="V9" s="241"/>
    </row>
    <row r="10" spans="1:22" x14ac:dyDescent="0.3">
      <c r="B10" s="12"/>
      <c r="C10" s="13"/>
      <c r="D10" s="13"/>
      <c r="E10" s="13"/>
      <c r="F10" s="13"/>
      <c r="G10" s="13"/>
      <c r="H10" s="13"/>
      <c r="I10" s="13"/>
      <c r="J10" s="13"/>
      <c r="K10" s="13"/>
      <c r="L10" s="13"/>
      <c r="M10" s="13"/>
      <c r="N10" s="13"/>
      <c r="O10" s="13"/>
      <c r="P10" s="13"/>
      <c r="Q10" s="13"/>
      <c r="R10" s="13"/>
      <c r="S10" s="13"/>
      <c r="T10" s="13"/>
      <c r="U10" s="13"/>
      <c r="V10" s="241"/>
    </row>
    <row r="11" spans="1:22" x14ac:dyDescent="0.3">
      <c r="B11" s="12"/>
      <c r="C11" s="13"/>
      <c r="D11" s="13"/>
      <c r="E11" s="13"/>
      <c r="F11" s="13"/>
      <c r="G11" s="13"/>
      <c r="H11" s="13"/>
      <c r="I11" s="13"/>
      <c r="J11" s="13"/>
      <c r="K11" s="13"/>
      <c r="L11" s="13"/>
      <c r="M11" s="13"/>
      <c r="N11" s="13"/>
      <c r="O11" s="13"/>
      <c r="P11" s="13"/>
      <c r="Q11" s="13"/>
      <c r="R11" s="13"/>
      <c r="S11" s="13"/>
      <c r="T11" s="13"/>
      <c r="U11" s="13"/>
      <c r="V11" s="24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
  <sheetViews>
    <sheetView workbookViewId="0"/>
  </sheetViews>
  <sheetFormatPr defaultRowHeight="14.4" x14ac:dyDescent="0.3"/>
  <sheetData>
    <row r="1" spans="1:13" x14ac:dyDescent="0.3">
      <c r="A1" t="s">
        <v>417</v>
      </c>
    </row>
    <row r="2" spans="1:13" x14ac:dyDescent="0.3">
      <c r="A2" t="s">
        <v>418</v>
      </c>
      <c r="B2">
        <v>4.6420000000000003</v>
      </c>
    </row>
    <row r="4" spans="1:13" x14ac:dyDescent="0.3">
      <c r="B4" t="s">
        <v>205</v>
      </c>
      <c r="I4" t="s">
        <v>205</v>
      </c>
    </row>
    <row r="5" spans="1:13" x14ac:dyDescent="0.3">
      <c r="A5" t="s">
        <v>48</v>
      </c>
      <c r="B5">
        <v>0.20899999999999999</v>
      </c>
      <c r="H5" t="s">
        <v>22</v>
      </c>
      <c r="I5">
        <v>0.25</v>
      </c>
    </row>
    <row r="6" spans="1:13" x14ac:dyDescent="0.3">
      <c r="A6" t="s">
        <v>49</v>
      </c>
      <c r="B6">
        <v>0.29699999999999999</v>
      </c>
      <c r="H6" t="s">
        <v>32</v>
      </c>
      <c r="I6">
        <v>0.35499999999999998</v>
      </c>
    </row>
    <row r="7" spans="1:13" x14ac:dyDescent="0.3">
      <c r="A7" t="s">
        <v>50</v>
      </c>
      <c r="B7">
        <v>0.41799999999999998</v>
      </c>
      <c r="H7" t="s">
        <v>342</v>
      </c>
      <c r="I7">
        <v>0.4</v>
      </c>
    </row>
    <row r="8" spans="1:13" x14ac:dyDescent="0.3">
      <c r="A8" t="s">
        <v>51</v>
      </c>
      <c r="B8">
        <v>0.59399999999999997</v>
      </c>
      <c r="H8" t="s">
        <v>34</v>
      </c>
      <c r="I8">
        <v>0.5</v>
      </c>
    </row>
    <row r="9" spans="1:13" x14ac:dyDescent="0.3">
      <c r="A9" t="s">
        <v>52</v>
      </c>
      <c r="B9">
        <v>0.83699999999999997</v>
      </c>
      <c r="H9" t="s">
        <v>343</v>
      </c>
      <c r="I9">
        <v>0.63</v>
      </c>
    </row>
    <row r="10" spans="1:13" x14ac:dyDescent="0.3">
      <c r="H10" t="s">
        <v>35</v>
      </c>
      <c r="I10">
        <v>0.71</v>
      </c>
    </row>
    <row r="11" spans="1:13" x14ac:dyDescent="0.3">
      <c r="H11" t="s">
        <v>47</v>
      </c>
      <c r="I11">
        <v>1</v>
      </c>
    </row>
    <row r="14" spans="1:13" x14ac:dyDescent="0.3">
      <c r="A14" t="s">
        <v>419</v>
      </c>
      <c r="H14" t="s">
        <v>420</v>
      </c>
    </row>
    <row r="15" spans="1:13" x14ac:dyDescent="0.3">
      <c r="A15" t="s">
        <v>205</v>
      </c>
      <c r="B15" t="s">
        <v>111</v>
      </c>
      <c r="C15" t="s">
        <v>94</v>
      </c>
      <c r="D15" t="s">
        <v>27</v>
      </c>
      <c r="E15" t="s">
        <v>421</v>
      </c>
      <c r="F15" t="s">
        <v>422</v>
      </c>
      <c r="H15" t="s">
        <v>205</v>
      </c>
      <c r="I15" t="s">
        <v>111</v>
      </c>
      <c r="J15" t="s">
        <v>94</v>
      </c>
      <c r="K15" t="s">
        <v>27</v>
      </c>
      <c r="L15" t="s">
        <v>421</v>
      </c>
      <c r="M15" t="s">
        <v>422</v>
      </c>
    </row>
    <row r="16" spans="1:13" x14ac:dyDescent="0.3">
      <c r="A16" s="315">
        <v>0.83699999999999997</v>
      </c>
      <c r="B16" s="315">
        <v>4</v>
      </c>
      <c r="C16">
        <f>PI()*A16^2/4</f>
        <v>0.55022560593318692</v>
      </c>
      <c r="D16">
        <v>2.5</v>
      </c>
      <c r="E16">
        <f t="shared" ref="E16:E29" si="0">D16*SQRT($B$16)/(SQRT($B$2*SQRT($C$16))*3.33)</f>
        <v>0.80916670313123373</v>
      </c>
      <c r="F16">
        <f t="shared" ref="F16:F29" si="1">E16*$C$16*1000</f>
        <v>445.22423953134228</v>
      </c>
      <c r="H16" s="315">
        <v>1</v>
      </c>
      <c r="I16" s="315">
        <v>4</v>
      </c>
      <c r="J16">
        <f>PI()*H16^2/4</f>
        <v>0.78539816339744828</v>
      </c>
      <c r="K16">
        <v>2.5</v>
      </c>
      <c r="L16">
        <f t="shared" ref="L16:L30" si="2">K16*SQRT($I$16/1.2)/(SQRT($B$2*SQRT($J$16))*3.33)</f>
        <v>0.67578742999241148</v>
      </c>
      <c r="M16">
        <f t="shared" ref="M16:M30" si="3">L16*$J$16*1000</f>
        <v>530.76220636312166</v>
      </c>
    </row>
    <row r="17" spans="4:13" x14ac:dyDescent="0.3">
      <c r="D17">
        <v>3</v>
      </c>
      <c r="E17">
        <f t="shared" si="0"/>
        <v>0.97100004375748039</v>
      </c>
      <c r="F17">
        <f t="shared" si="1"/>
        <v>534.26908743761066</v>
      </c>
      <c r="K17">
        <v>3</v>
      </c>
      <c r="L17">
        <f t="shared" si="2"/>
        <v>0.8109449159908938</v>
      </c>
      <c r="M17">
        <f t="shared" si="3"/>
        <v>636.91464763574606</v>
      </c>
    </row>
    <row r="18" spans="4:13" x14ac:dyDescent="0.3">
      <c r="D18">
        <v>4</v>
      </c>
      <c r="E18">
        <f t="shared" si="0"/>
        <v>1.2946667250099739</v>
      </c>
      <c r="F18">
        <f t="shared" si="1"/>
        <v>712.35878325014755</v>
      </c>
      <c r="K18">
        <v>4</v>
      </c>
      <c r="L18">
        <f t="shared" si="2"/>
        <v>1.0812598879878583</v>
      </c>
      <c r="M18">
        <f t="shared" si="3"/>
        <v>849.21953018099464</v>
      </c>
    </row>
    <row r="19" spans="4:13" x14ac:dyDescent="0.3">
      <c r="D19">
        <v>5</v>
      </c>
      <c r="E19">
        <f t="shared" si="0"/>
        <v>1.6183334062624675</v>
      </c>
      <c r="F19">
        <f t="shared" si="1"/>
        <v>890.44847906268456</v>
      </c>
      <c r="K19">
        <v>5</v>
      </c>
      <c r="L19">
        <f t="shared" si="2"/>
        <v>1.351574859984823</v>
      </c>
      <c r="M19">
        <f t="shared" si="3"/>
        <v>1061.5244127262433</v>
      </c>
    </row>
    <row r="20" spans="4:13" x14ac:dyDescent="0.3">
      <c r="D20">
        <v>6</v>
      </c>
      <c r="E20">
        <f t="shared" si="0"/>
        <v>1.9420000875149608</v>
      </c>
      <c r="F20">
        <f t="shared" si="1"/>
        <v>1068.5381748752213</v>
      </c>
      <c r="K20">
        <v>6</v>
      </c>
      <c r="L20">
        <f t="shared" si="2"/>
        <v>1.6218898319817876</v>
      </c>
      <c r="M20">
        <f t="shared" si="3"/>
        <v>1273.8292952714921</v>
      </c>
    </row>
    <row r="21" spans="4:13" x14ac:dyDescent="0.3">
      <c r="D21">
        <v>7</v>
      </c>
      <c r="E21">
        <f t="shared" si="0"/>
        <v>2.2656667687674545</v>
      </c>
      <c r="F21">
        <f t="shared" si="1"/>
        <v>1246.6278706877586</v>
      </c>
      <c r="K21">
        <v>7</v>
      </c>
      <c r="L21">
        <f t="shared" si="2"/>
        <v>1.892204803978752</v>
      </c>
      <c r="M21">
        <f t="shared" si="3"/>
        <v>1486.1341778167405</v>
      </c>
    </row>
    <row r="22" spans="4:13" x14ac:dyDescent="0.3">
      <c r="D22">
        <v>8</v>
      </c>
      <c r="E22">
        <f t="shared" si="0"/>
        <v>2.5893334500199479</v>
      </c>
      <c r="F22">
        <f t="shared" si="1"/>
        <v>1424.7175665002951</v>
      </c>
      <c r="K22">
        <v>8</v>
      </c>
      <c r="L22">
        <f t="shared" si="2"/>
        <v>2.1625197759757167</v>
      </c>
      <c r="M22">
        <f t="shared" si="3"/>
        <v>1698.4390603619893</v>
      </c>
    </row>
    <row r="23" spans="4:13" x14ac:dyDescent="0.3">
      <c r="D23">
        <v>9</v>
      </c>
      <c r="E23">
        <f t="shared" si="0"/>
        <v>2.9130001312724412</v>
      </c>
      <c r="F23">
        <f t="shared" si="1"/>
        <v>1602.8072623128319</v>
      </c>
      <c r="K23">
        <v>9</v>
      </c>
      <c r="L23">
        <f t="shared" si="2"/>
        <v>2.4328347479726813</v>
      </c>
      <c r="M23">
        <f t="shared" si="3"/>
        <v>1910.7439429072379</v>
      </c>
    </row>
    <row r="24" spans="4:13" x14ac:dyDescent="0.3">
      <c r="D24">
        <v>10</v>
      </c>
      <c r="E24">
        <f t="shared" si="0"/>
        <v>3.2366668125249349</v>
      </c>
      <c r="F24">
        <f t="shared" si="1"/>
        <v>1780.8969581253691</v>
      </c>
      <c r="K24">
        <v>10</v>
      </c>
      <c r="L24">
        <f t="shared" si="2"/>
        <v>2.7031497199696459</v>
      </c>
      <c r="M24">
        <f t="shared" si="3"/>
        <v>2123.0488254524867</v>
      </c>
    </row>
    <row r="25" spans="4:13" x14ac:dyDescent="0.3">
      <c r="D25">
        <v>11</v>
      </c>
      <c r="E25">
        <f t="shared" si="0"/>
        <v>3.5603334937774282</v>
      </c>
      <c r="F25">
        <f t="shared" si="1"/>
        <v>1958.9866539379059</v>
      </c>
      <c r="K25">
        <v>11</v>
      </c>
      <c r="L25">
        <f t="shared" si="2"/>
        <v>2.9734646919666106</v>
      </c>
      <c r="M25">
        <f t="shared" si="3"/>
        <v>2335.353707997735</v>
      </c>
    </row>
    <row r="26" spans="4:13" x14ac:dyDescent="0.3">
      <c r="D26">
        <v>12</v>
      </c>
      <c r="E26">
        <f t="shared" si="0"/>
        <v>3.8840001750299216</v>
      </c>
      <c r="F26">
        <f t="shared" si="1"/>
        <v>2137.0763497504427</v>
      </c>
      <c r="K26">
        <v>12</v>
      </c>
      <c r="L26">
        <f t="shared" si="2"/>
        <v>3.2437796639635752</v>
      </c>
      <c r="M26">
        <f t="shared" si="3"/>
        <v>2547.6585905429843</v>
      </c>
    </row>
    <row r="27" spans="4:13" x14ac:dyDescent="0.3">
      <c r="D27">
        <v>13</v>
      </c>
      <c r="E27">
        <f t="shared" si="0"/>
        <v>4.2076668562824153</v>
      </c>
      <c r="F27">
        <f t="shared" si="1"/>
        <v>2315.1660455629799</v>
      </c>
      <c r="K27">
        <v>13</v>
      </c>
      <c r="L27">
        <f t="shared" si="2"/>
        <v>3.5140946359605394</v>
      </c>
      <c r="M27">
        <f t="shared" si="3"/>
        <v>2759.9634730882321</v>
      </c>
    </row>
    <row r="28" spans="4:13" x14ac:dyDescent="0.3">
      <c r="D28">
        <v>14</v>
      </c>
      <c r="E28">
        <f t="shared" si="0"/>
        <v>4.5313335375349091</v>
      </c>
      <c r="F28">
        <f t="shared" si="1"/>
        <v>2493.2557413755171</v>
      </c>
      <c r="K28">
        <v>14</v>
      </c>
      <c r="L28">
        <f t="shared" si="2"/>
        <v>3.784409607957504</v>
      </c>
      <c r="M28">
        <f t="shared" si="3"/>
        <v>2972.268355633481</v>
      </c>
    </row>
    <row r="29" spans="4:13" x14ac:dyDescent="0.3">
      <c r="D29">
        <v>15</v>
      </c>
      <c r="E29">
        <f t="shared" si="0"/>
        <v>4.855000218787402</v>
      </c>
      <c r="F29">
        <f t="shared" si="1"/>
        <v>2671.3454371880534</v>
      </c>
      <c r="K29">
        <v>15</v>
      </c>
      <c r="L29">
        <f t="shared" si="2"/>
        <v>4.0547245799544687</v>
      </c>
      <c r="M29">
        <f t="shared" si="3"/>
        <v>3184.5732381787293</v>
      </c>
    </row>
    <row r="30" spans="4:13" x14ac:dyDescent="0.3">
      <c r="K30">
        <v>16</v>
      </c>
      <c r="L30">
        <f t="shared" si="2"/>
        <v>4.3250395519514333</v>
      </c>
      <c r="M30">
        <f t="shared" si="3"/>
        <v>3396.8781207239786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M191"/>
  <sheetViews>
    <sheetView topLeftCell="A20" workbookViewId="0">
      <selection activeCell="B75" sqref="B75"/>
    </sheetView>
  </sheetViews>
  <sheetFormatPr defaultRowHeight="14.4" x14ac:dyDescent="0.3"/>
  <cols>
    <col min="1" max="1" width="22.33203125" customWidth="1"/>
    <col min="2" max="2" width="42.33203125" customWidth="1"/>
    <col min="3" max="3" width="36" customWidth="1"/>
    <col min="4" max="4" width="28.109375" customWidth="1"/>
    <col min="5" max="5" width="16.109375" customWidth="1"/>
    <col min="6" max="6" width="29.6640625" customWidth="1"/>
    <col min="8" max="8" width="11" customWidth="1"/>
    <col min="10" max="10" width="14.5546875" customWidth="1"/>
    <col min="11" max="11" width="12.44140625" bestFit="1" customWidth="1"/>
    <col min="16" max="17" width="9" customWidth="1"/>
  </cols>
  <sheetData>
    <row r="2" spans="2:5" x14ac:dyDescent="0.3">
      <c r="B2" s="40">
        <v>0.95</v>
      </c>
      <c r="C2">
        <v>0.2</v>
      </c>
    </row>
    <row r="3" spans="2:5" x14ac:dyDescent="0.3">
      <c r="B3" s="40">
        <v>0.9</v>
      </c>
      <c r="C3">
        <v>0.25</v>
      </c>
    </row>
    <row r="4" spans="2:5" x14ac:dyDescent="0.3">
      <c r="B4" s="40">
        <v>0.8</v>
      </c>
      <c r="C4">
        <v>0.28999999999999998</v>
      </c>
    </row>
    <row r="5" spans="2:5" x14ac:dyDescent="0.3">
      <c r="B5" s="40">
        <v>0.7</v>
      </c>
      <c r="C5">
        <v>0.33</v>
      </c>
    </row>
    <row r="7" spans="2:5" x14ac:dyDescent="0.3">
      <c r="C7" t="s">
        <v>120</v>
      </c>
    </row>
    <row r="8" spans="2:5" x14ac:dyDescent="0.3">
      <c r="D8" t="s">
        <v>121</v>
      </c>
      <c r="E8" t="s">
        <v>122</v>
      </c>
    </row>
    <row r="9" spans="2:5" x14ac:dyDescent="0.3">
      <c r="C9">
        <v>1</v>
      </c>
      <c r="D9">
        <v>250</v>
      </c>
      <c r="E9">
        <v>1</v>
      </c>
    </row>
    <row r="10" spans="2:5" x14ac:dyDescent="0.3">
      <c r="C10">
        <v>2</v>
      </c>
      <c r="D10">
        <v>250</v>
      </c>
      <c r="E10">
        <v>0</v>
      </c>
    </row>
    <row r="11" spans="2:5" x14ac:dyDescent="0.3">
      <c r="C11">
        <v>3</v>
      </c>
      <c r="D11">
        <v>355</v>
      </c>
      <c r="E11">
        <v>1</v>
      </c>
    </row>
    <row r="12" spans="2:5" x14ac:dyDescent="0.3">
      <c r="C12">
        <v>4</v>
      </c>
      <c r="D12">
        <v>355</v>
      </c>
      <c r="E12">
        <v>0</v>
      </c>
    </row>
    <row r="13" spans="2:5" x14ac:dyDescent="0.3">
      <c r="C13">
        <v>5</v>
      </c>
      <c r="D13">
        <v>400</v>
      </c>
      <c r="E13">
        <v>0</v>
      </c>
    </row>
    <row r="14" spans="2:5" x14ac:dyDescent="0.3">
      <c r="C14">
        <v>6</v>
      </c>
      <c r="D14">
        <v>500</v>
      </c>
      <c r="E14">
        <v>1</v>
      </c>
    </row>
    <row r="15" spans="2:5" x14ac:dyDescent="0.3">
      <c r="C15">
        <v>7</v>
      </c>
      <c r="D15">
        <v>500</v>
      </c>
      <c r="E15">
        <v>0</v>
      </c>
    </row>
    <row r="16" spans="2:5" x14ac:dyDescent="0.3">
      <c r="C16">
        <v>8</v>
      </c>
      <c r="D16">
        <v>630</v>
      </c>
      <c r="E16">
        <v>0</v>
      </c>
    </row>
    <row r="17" spans="2:8" x14ac:dyDescent="0.3">
      <c r="C17">
        <v>9</v>
      </c>
      <c r="D17">
        <v>710</v>
      </c>
      <c r="E17">
        <v>1</v>
      </c>
    </row>
    <row r="18" spans="2:8" x14ac:dyDescent="0.3">
      <c r="C18">
        <v>10</v>
      </c>
      <c r="D18">
        <v>710</v>
      </c>
      <c r="E18">
        <v>0</v>
      </c>
    </row>
    <row r="19" spans="2:8" x14ac:dyDescent="0.3">
      <c r="C19">
        <v>11</v>
      </c>
      <c r="D19">
        <v>1000</v>
      </c>
      <c r="E19">
        <v>1</v>
      </c>
    </row>
    <row r="20" spans="2:8" x14ac:dyDescent="0.3">
      <c r="C20">
        <v>12</v>
      </c>
      <c r="D20">
        <v>1000</v>
      </c>
      <c r="E20">
        <v>0</v>
      </c>
    </row>
    <row r="21" spans="2:8" x14ac:dyDescent="0.3">
      <c r="C21">
        <v>13</v>
      </c>
      <c r="H21" s="195" t="s">
        <v>225</v>
      </c>
    </row>
    <row r="22" spans="2:8" x14ac:dyDescent="0.3">
      <c r="C22" s="269">
        <v>14</v>
      </c>
      <c r="D22" s="269"/>
      <c r="E22" s="269"/>
      <c r="H22" s="195" t="s">
        <v>224</v>
      </c>
    </row>
    <row r="23" spans="2:8" x14ac:dyDescent="0.3">
      <c r="B23" t="s">
        <v>109</v>
      </c>
      <c r="C23">
        <f>'Equations HSC-AD'!C295</f>
        <v>0</v>
      </c>
      <c r="D23" t="e">
        <f>VLOOKUP(C23,C9:E22,2,0)</f>
        <v>#N/A</v>
      </c>
      <c r="E23" t="e">
        <f>VLOOKUP(C23,C9:E22,3,0)</f>
        <v>#N/A</v>
      </c>
      <c r="G23" t="s">
        <v>220</v>
      </c>
    </row>
    <row r="24" spans="2:8" x14ac:dyDescent="0.3">
      <c r="B24" t="s">
        <v>322</v>
      </c>
      <c r="C24" t="e">
        <f>"DN"&amp;D23&amp;"-R"&amp;E23</f>
        <v>#N/A</v>
      </c>
    </row>
    <row r="26" spans="2:8" x14ac:dyDescent="0.3">
      <c r="B26" t="s">
        <v>123</v>
      </c>
    </row>
    <row r="27" spans="2:8" x14ac:dyDescent="0.3">
      <c r="B27" t="s">
        <v>544</v>
      </c>
      <c r="C27" t="str">
        <f ca="1">OFFSET('Equations HSC-AD'!B271,0,'HSC-AD data'!C23)</f>
        <v>T-setting Number</v>
      </c>
      <c r="F27" t="s">
        <v>546</v>
      </c>
    </row>
    <row r="28" spans="2:8" x14ac:dyDescent="0.3">
      <c r="B28" t="s">
        <v>545</v>
      </c>
      <c r="C28" t="str">
        <f ca="1">OFFSET('Equations HSC-AD'!B272,0,'HSC-AD data'!C23)</f>
        <v>T-Setting Note</v>
      </c>
      <c r="F28" t="s">
        <v>547</v>
      </c>
    </row>
    <row r="29" spans="2:8" x14ac:dyDescent="0.3">
      <c r="C29">
        <v>0</v>
      </c>
    </row>
    <row r="30" spans="2:8" x14ac:dyDescent="0.3">
      <c r="C30">
        <v>1</v>
      </c>
      <c r="D30" t="s">
        <v>125</v>
      </c>
      <c r="E30" t="s">
        <v>125</v>
      </c>
      <c r="F30" t="s">
        <v>334</v>
      </c>
      <c r="G30" t="s">
        <v>179</v>
      </c>
    </row>
    <row r="31" spans="2:8" x14ac:dyDescent="0.3">
      <c r="C31">
        <v>2</v>
      </c>
      <c r="D31" t="s">
        <v>436</v>
      </c>
      <c r="E31" t="s">
        <v>309</v>
      </c>
      <c r="F31" t="s">
        <v>539</v>
      </c>
      <c r="G31" t="s">
        <v>180</v>
      </c>
    </row>
    <row r="32" spans="2:8" x14ac:dyDescent="0.3">
      <c r="C32">
        <v>3</v>
      </c>
      <c r="D32" t="s">
        <v>437</v>
      </c>
      <c r="E32" t="s">
        <v>311</v>
      </c>
      <c r="F32" t="s">
        <v>540</v>
      </c>
      <c r="G32" t="s">
        <v>180</v>
      </c>
    </row>
    <row r="33" spans="2:11" x14ac:dyDescent="0.3">
      <c r="C33">
        <v>4</v>
      </c>
      <c r="D33" t="s">
        <v>438</v>
      </c>
      <c r="E33" t="s">
        <v>218</v>
      </c>
      <c r="F33" t="s">
        <v>541</v>
      </c>
      <c r="G33" t="s">
        <v>180</v>
      </c>
    </row>
    <row r="34" spans="2:11" x14ac:dyDescent="0.3">
      <c r="C34">
        <v>5</v>
      </c>
      <c r="D34" t="e">
        <f>F34</f>
        <v>#N/A</v>
      </c>
      <c r="E34" t="e">
        <f>"T"&amp;E36</f>
        <v>#N/A</v>
      </c>
      <c r="F34" t="e">
        <f>IF($C$23&lt;=$C$20,IF(E36="&lt;n.r.&gt;","Thermal actuator not recommended","Thermal actuator "&amp;"set to "&amp;C27&amp;"°C"&amp;C28),"Thermal actuator N/A")</f>
        <v>#N/A</v>
      </c>
      <c r="G34" t="s">
        <v>181</v>
      </c>
      <c r="I34" t="s">
        <v>378</v>
      </c>
      <c r="J34" t="b">
        <f>IF(C23&gt;=C21,TRUE,FALSE)</f>
        <v>0</v>
      </c>
    </row>
    <row r="35" spans="2:11" x14ac:dyDescent="0.3">
      <c r="E35" s="27"/>
      <c r="J35" t="s">
        <v>453</v>
      </c>
    </row>
    <row r="36" spans="2:11" x14ac:dyDescent="0.3">
      <c r="C36">
        <v>1</v>
      </c>
      <c r="D36" t="str">
        <f>VLOOKUP(C36,C29:E34,3,0)</f>
        <v>M</v>
      </c>
      <c r="E36" t="e">
        <f>IF(HLOOKUP(C23,'Equations HSC-AD'!C243:O269,'Equations HSC-AD'!A264,0)="n.r.","&lt;n.r.&gt;",HLOOKUP(C23,'Equations HSC-AD'!C243:O269,'Equations HSC-AD'!A264,0))</f>
        <v>#N/A</v>
      </c>
      <c r="F36" t="str">
        <f>VLOOKUP(C36,C29:F34,4,0)</f>
        <v>Manual adjustment</v>
      </c>
      <c r="G36" t="str">
        <f ca="1">IF(OR(C28="",C36&lt;5,),"","Note: "&amp;C28)</f>
        <v/>
      </c>
    </row>
    <row r="37" spans="2:11" x14ac:dyDescent="0.3">
      <c r="J37" t="s">
        <v>432</v>
      </c>
    </row>
    <row r="38" spans="2:11" x14ac:dyDescent="0.3">
      <c r="C38">
        <v>1</v>
      </c>
      <c r="D38">
        <v>2</v>
      </c>
      <c r="E38">
        <v>3</v>
      </c>
      <c r="F38">
        <v>4</v>
      </c>
      <c r="G38">
        <v>5</v>
      </c>
      <c r="J38" t="s">
        <v>259</v>
      </c>
      <c r="K38" t="s">
        <v>433</v>
      </c>
    </row>
    <row r="39" spans="2:11" x14ac:dyDescent="0.3">
      <c r="B39" t="s">
        <v>312</v>
      </c>
      <c r="C39">
        <v>250</v>
      </c>
      <c r="D39" t="str">
        <f t="shared" ref="D39:D45" si="0">IF($B$141=1,J39,K39)</f>
        <v>C375</v>
      </c>
      <c r="E39" t="str">
        <f>IF($B$141=1,K39,J39)</f>
        <v>S295</v>
      </c>
      <c r="F39" t="s">
        <v>385</v>
      </c>
      <c r="G39">
        <v>375</v>
      </c>
      <c r="J39" t="s">
        <v>386</v>
      </c>
      <c r="K39" t="s">
        <v>313</v>
      </c>
    </row>
    <row r="40" spans="2:11" x14ac:dyDescent="0.3">
      <c r="C40">
        <v>355</v>
      </c>
      <c r="D40" t="str">
        <f t="shared" si="0"/>
        <v>C530</v>
      </c>
      <c r="E40" t="str">
        <f>IF($B$141=1,K40,J40)</f>
        <v>S595</v>
      </c>
      <c r="F40" t="s">
        <v>385</v>
      </c>
      <c r="G40">
        <v>530</v>
      </c>
      <c r="J40" t="s">
        <v>316</v>
      </c>
      <c r="K40" t="s">
        <v>314</v>
      </c>
    </row>
    <row r="41" spans="2:11" x14ac:dyDescent="0.3">
      <c r="C41">
        <v>400</v>
      </c>
      <c r="D41" t="str">
        <f t="shared" si="0"/>
        <v>C600</v>
      </c>
      <c r="E41" t="str">
        <f>IF($B$141=1,K41,J41)</f>
        <v>S595</v>
      </c>
      <c r="F41" t="s">
        <v>385</v>
      </c>
      <c r="G41">
        <v>600</v>
      </c>
      <c r="J41" t="s">
        <v>316</v>
      </c>
      <c r="K41" t="s">
        <v>346</v>
      </c>
    </row>
    <row r="42" spans="2:11" x14ac:dyDescent="0.3">
      <c r="C42">
        <v>500</v>
      </c>
      <c r="D42" t="str">
        <f t="shared" si="0"/>
        <v>C750</v>
      </c>
      <c r="E42" t="str">
        <f>IF($B$141=1,K42,"&lt;face&gt;")</f>
        <v>&lt;face&gt;</v>
      </c>
      <c r="F42" t="s">
        <v>385</v>
      </c>
      <c r="G42">
        <v>750</v>
      </c>
      <c r="J42" t="s">
        <v>316</v>
      </c>
      <c r="K42" t="s">
        <v>315</v>
      </c>
    </row>
    <row r="43" spans="2:11" x14ac:dyDescent="0.3">
      <c r="C43">
        <v>630</v>
      </c>
      <c r="D43" t="str">
        <f t="shared" si="0"/>
        <v>C900</v>
      </c>
      <c r="E43" t="s">
        <v>385</v>
      </c>
      <c r="F43" t="s">
        <v>385</v>
      </c>
      <c r="G43">
        <v>900</v>
      </c>
      <c r="J43" t="s">
        <v>429</v>
      </c>
      <c r="K43" t="s">
        <v>429</v>
      </c>
    </row>
    <row r="44" spans="2:11" x14ac:dyDescent="0.3">
      <c r="C44">
        <v>710</v>
      </c>
      <c r="D44" t="str">
        <f t="shared" si="0"/>
        <v>C1000</v>
      </c>
      <c r="E44" t="s">
        <v>385</v>
      </c>
      <c r="F44" t="s">
        <v>385</v>
      </c>
      <c r="G44">
        <v>1000</v>
      </c>
      <c r="J44" t="s">
        <v>430</v>
      </c>
      <c r="K44" t="s">
        <v>430</v>
      </c>
    </row>
    <row r="45" spans="2:11" x14ac:dyDescent="0.3">
      <c r="C45">
        <v>1000</v>
      </c>
      <c r="D45" t="str">
        <f t="shared" si="0"/>
        <v>C1420</v>
      </c>
      <c r="E45" t="s">
        <v>385</v>
      </c>
      <c r="F45" t="s">
        <v>385</v>
      </c>
      <c r="G45">
        <v>1420</v>
      </c>
      <c r="J45" t="s">
        <v>431</v>
      </c>
      <c r="K45" t="s">
        <v>431</v>
      </c>
    </row>
    <row r="46" spans="2:11" x14ac:dyDescent="0.3">
      <c r="D46">
        <v>1</v>
      </c>
      <c r="E46">
        <v>2</v>
      </c>
      <c r="F46">
        <v>3</v>
      </c>
      <c r="G46">
        <v>4</v>
      </c>
      <c r="H46">
        <v>5</v>
      </c>
    </row>
    <row r="47" spans="2:11" x14ac:dyDescent="0.3">
      <c r="C47" t="s">
        <v>320</v>
      </c>
      <c r="D47" t="e">
        <f>VLOOKUP($D$23,$C$39:$F$45,D38,0)</f>
        <v>#N/A</v>
      </c>
      <c r="E47" t="e">
        <f>VLOOKUP($D$23,$C$39:$F$45,E38,0)</f>
        <v>#N/A</v>
      </c>
      <c r="F47" t="e">
        <f>VLOOKUP($D$23,$C$39:$F$45,F38,0)</f>
        <v>#N/A</v>
      </c>
      <c r="G47" t="str">
        <f>IFERROR(VLOOKUP($D$23,$C$39:$F$45,#REF!,0),"")</f>
        <v/>
      </c>
      <c r="H47" t="str">
        <f>IFERROR(VLOOKUP($D$23,$C$39:$F$45,#REF!,0),"")</f>
        <v/>
      </c>
    </row>
    <row r="49" spans="2:10" x14ac:dyDescent="0.3">
      <c r="D49" t="e">
        <f>IF(C23=0,D47,IF(LEFT(D47,1)="C","ø" &amp;RIGHT(D47,LEN(D47)-1)&amp;" mm diameter circular face",IF(LEFT(D47,1)="S","□"&amp;RIGHT(D47,LEN(D47)-1)&amp;" mm square face","")))</f>
        <v>#N/A</v>
      </c>
      <c r="E49" t="e">
        <f>IF(C23=0,E47,IF(LEFT(E47,1)="C","ø" &amp;RIGHT(E47,LEN(E47)-1)&amp;" mm diameter circular face",IF(LEFT(E47,1)="S","□"&amp;RIGHT(E47,LEN(E47)-1)&amp;" mm square face",E47)))</f>
        <v>#N/A</v>
      </c>
      <c r="F49" t="str">
        <f>IFERROR(IF(F47="&lt;face&gt;", "custom", "N/A"),"")</f>
        <v/>
      </c>
      <c r="I49" s="296" t="s">
        <v>384</v>
      </c>
      <c r="J49" s="296" t="s">
        <v>383</v>
      </c>
    </row>
    <row r="50" spans="2:10" x14ac:dyDescent="0.3">
      <c r="C50" t="s">
        <v>317</v>
      </c>
    </row>
    <row r="51" spans="2:10" x14ac:dyDescent="0.3">
      <c r="C51">
        <v>1</v>
      </c>
      <c r="D51" t="e">
        <f>HLOOKUP(C51,D46:H47,2,0)</f>
        <v>#N/A</v>
      </c>
    </row>
    <row r="52" spans="2:10" x14ac:dyDescent="0.3">
      <c r="C52" t="s">
        <v>318</v>
      </c>
      <c r="D52" t="e">
        <f>RIGHT(D51,LEN(D51)-1)</f>
        <v>#N/A</v>
      </c>
    </row>
    <row r="53" spans="2:10" x14ac:dyDescent="0.3">
      <c r="C53" t="s">
        <v>319</v>
      </c>
      <c r="D53" t="e">
        <f>IF(OR(D51="custom",D51="N/A"),"",LEFT(D51,1))</f>
        <v>#N/A</v>
      </c>
      <c r="E53" t="e">
        <f>IF(D53="C"," mm diameter circular face",IF(D53="S"," mm square face",""))</f>
        <v>#N/A</v>
      </c>
    </row>
    <row r="54" spans="2:10" x14ac:dyDescent="0.3">
      <c r="C54" t="s">
        <v>155</v>
      </c>
      <c r="D54" t="e">
        <f>IF(D51="&lt;face&gt;","Custom face size - please contact Smartair",IF(D51="N/A","please select a valid face shape",D52&amp;E53))</f>
        <v>#N/A</v>
      </c>
    </row>
    <row r="55" spans="2:10" x14ac:dyDescent="0.3">
      <c r="C55" t="s">
        <v>321</v>
      </c>
      <c r="D55" t="e">
        <f>IF(OR(D51="custom",D51="N/A"),"&lt;face&gt;",D51)</f>
        <v>#N/A</v>
      </c>
    </row>
    <row r="58" spans="2:10" x14ac:dyDescent="0.3">
      <c r="B58" t="s">
        <v>118</v>
      </c>
      <c r="C58">
        <v>1</v>
      </c>
      <c r="D58" t="s">
        <v>126</v>
      </c>
      <c r="E58" t="s">
        <v>185</v>
      </c>
    </row>
    <row r="59" spans="2:10" x14ac:dyDescent="0.3">
      <c r="C59">
        <v>2</v>
      </c>
      <c r="D59" t="s">
        <v>124</v>
      </c>
      <c r="E59" t="s">
        <v>130</v>
      </c>
    </row>
    <row r="60" spans="2:10" x14ac:dyDescent="0.3">
      <c r="C60">
        <v>3</v>
      </c>
      <c r="D60" t="s">
        <v>439</v>
      </c>
      <c r="E60" t="s">
        <v>440</v>
      </c>
    </row>
    <row r="61" spans="2:10" x14ac:dyDescent="0.3">
      <c r="C61">
        <v>4</v>
      </c>
      <c r="D61" t="s">
        <v>127</v>
      </c>
      <c r="E61" t="s">
        <v>184</v>
      </c>
    </row>
    <row r="63" spans="2:10" x14ac:dyDescent="0.3">
      <c r="C63">
        <v>1</v>
      </c>
      <c r="D63" t="str">
        <f>VLOOKUP(C63,C58:D61,2,0)</f>
        <v>RAL9003</v>
      </c>
    </row>
    <row r="65" spans="2:13" x14ac:dyDescent="0.3">
      <c r="B65" t="s">
        <v>444</v>
      </c>
      <c r="C65">
        <v>1</v>
      </c>
      <c r="D65">
        <v>0</v>
      </c>
      <c r="E65" t="s">
        <v>445</v>
      </c>
    </row>
    <row r="66" spans="2:13" x14ac:dyDescent="0.3">
      <c r="C66">
        <v>2</v>
      </c>
      <c r="D66" t="s">
        <v>4</v>
      </c>
      <c r="E66" t="s">
        <v>446</v>
      </c>
    </row>
    <row r="67" spans="2:13" x14ac:dyDescent="0.3">
      <c r="C67">
        <v>3</v>
      </c>
      <c r="D67" t="s">
        <v>449</v>
      </c>
      <c r="E67" t="s">
        <v>447</v>
      </c>
    </row>
    <row r="69" spans="2:13" x14ac:dyDescent="0.3">
      <c r="C69">
        <v>1</v>
      </c>
      <c r="D69">
        <f>VLOOKUP(C69,C65:E67,2,0)</f>
        <v>0</v>
      </c>
      <c r="E69" t="str">
        <f>VLOOKUP(C69,C65:E67,3,0)</f>
        <v>Diffuser only</v>
      </c>
    </row>
    <row r="72" spans="2:13" x14ac:dyDescent="0.3">
      <c r="B72" t="s">
        <v>128</v>
      </c>
      <c r="D72" t="str">
        <f>IF(C23=0,"select size to generate order code",CONCATENATE("SMARTEMP HSC-AD-",C24,"-",D55,"-",D36,"-",D63,"-",D69))</f>
        <v>select size to generate order code</v>
      </c>
    </row>
    <row r="75" spans="2:13" x14ac:dyDescent="0.3">
      <c r="B75" s="28" t="s">
        <v>18</v>
      </c>
      <c r="D75" t="s">
        <v>134</v>
      </c>
      <c r="E75" t="s">
        <v>135</v>
      </c>
      <c r="F75" t="s">
        <v>136</v>
      </c>
      <c r="G75" t="s">
        <v>137</v>
      </c>
      <c r="H75" t="s">
        <v>138</v>
      </c>
      <c r="I75" t="s">
        <v>139</v>
      </c>
      <c r="J75" t="s">
        <v>140</v>
      </c>
      <c r="K75" t="s">
        <v>141</v>
      </c>
      <c r="L75" t="s">
        <v>142</v>
      </c>
    </row>
    <row r="76" spans="2:13" x14ac:dyDescent="0.3">
      <c r="B76">
        <v>1</v>
      </c>
      <c r="C76" t="s">
        <v>22</v>
      </c>
      <c r="D76">
        <v>270</v>
      </c>
      <c r="E76">
        <v>375</v>
      </c>
      <c r="F76">
        <v>295</v>
      </c>
      <c r="G76">
        <v>249</v>
      </c>
      <c r="H76">
        <v>425</v>
      </c>
      <c r="I76">
        <v>400</v>
      </c>
      <c r="J76">
        <v>14</v>
      </c>
      <c r="K76">
        <v>60</v>
      </c>
      <c r="L76">
        <v>215</v>
      </c>
      <c r="M76">
        <v>250</v>
      </c>
    </row>
    <row r="77" spans="2:13" x14ac:dyDescent="0.3">
      <c r="B77">
        <v>2</v>
      </c>
      <c r="C77" t="s">
        <v>32</v>
      </c>
      <c r="D77">
        <v>395</v>
      </c>
      <c r="E77">
        <v>530</v>
      </c>
      <c r="F77" t="s">
        <v>144</v>
      </c>
      <c r="G77">
        <v>354</v>
      </c>
      <c r="H77">
        <v>495</v>
      </c>
      <c r="I77">
        <v>550</v>
      </c>
      <c r="J77">
        <v>20</v>
      </c>
      <c r="K77">
        <v>80</v>
      </c>
      <c r="L77">
        <v>320</v>
      </c>
      <c r="M77">
        <v>355</v>
      </c>
    </row>
    <row r="78" spans="2:13" x14ac:dyDescent="0.3">
      <c r="B78">
        <v>3</v>
      </c>
      <c r="C78" t="s">
        <v>342</v>
      </c>
      <c r="D78">
        <v>447</v>
      </c>
      <c r="E78">
        <v>600</v>
      </c>
      <c r="F78" t="s">
        <v>145</v>
      </c>
      <c r="G78">
        <v>399</v>
      </c>
      <c r="H78">
        <v>555</v>
      </c>
      <c r="I78">
        <v>550</v>
      </c>
      <c r="J78">
        <v>19</v>
      </c>
      <c r="K78">
        <v>84</v>
      </c>
      <c r="L78">
        <v>365</v>
      </c>
      <c r="M78">
        <v>400</v>
      </c>
    </row>
    <row r="79" spans="2:13" x14ac:dyDescent="0.3">
      <c r="B79">
        <v>4</v>
      </c>
      <c r="C79" t="s">
        <v>34</v>
      </c>
      <c r="D79">
        <v>560</v>
      </c>
      <c r="E79">
        <v>750</v>
      </c>
      <c r="F79" t="s">
        <v>145</v>
      </c>
      <c r="G79">
        <v>499</v>
      </c>
      <c r="H79">
        <v>695</v>
      </c>
      <c r="I79">
        <v>690</v>
      </c>
      <c r="J79">
        <v>28</v>
      </c>
      <c r="K79">
        <v>100</v>
      </c>
      <c r="L79">
        <v>465</v>
      </c>
      <c r="M79">
        <v>500</v>
      </c>
    </row>
    <row r="80" spans="2:13" x14ac:dyDescent="0.3">
      <c r="B80">
        <v>5</v>
      </c>
      <c r="C80" t="s">
        <v>343</v>
      </c>
      <c r="D80">
        <v>703</v>
      </c>
      <c r="E80">
        <v>900</v>
      </c>
      <c r="J80">
        <v>33</v>
      </c>
      <c r="K80">
        <v>217</v>
      </c>
      <c r="L80">
        <v>390</v>
      </c>
      <c r="M80">
        <v>630</v>
      </c>
    </row>
    <row r="81" spans="1:13" x14ac:dyDescent="0.3">
      <c r="B81">
        <v>6</v>
      </c>
      <c r="C81" t="s">
        <v>35</v>
      </c>
      <c r="D81">
        <v>790</v>
      </c>
      <c r="E81">
        <v>1000</v>
      </c>
      <c r="J81">
        <v>32.200000000000003</v>
      </c>
      <c r="K81">
        <v>240</v>
      </c>
      <c r="L81">
        <v>440</v>
      </c>
      <c r="M81">
        <v>710</v>
      </c>
    </row>
    <row r="82" spans="1:13" x14ac:dyDescent="0.3">
      <c r="B82">
        <v>7</v>
      </c>
      <c r="C82" t="s">
        <v>47</v>
      </c>
      <c r="D82">
        <v>1110</v>
      </c>
      <c r="E82">
        <v>1420</v>
      </c>
      <c r="J82">
        <v>44</v>
      </c>
      <c r="K82">
        <v>295</v>
      </c>
      <c r="L82">
        <v>640</v>
      </c>
      <c r="M82">
        <v>1000</v>
      </c>
    </row>
    <row r="84" spans="1:13" x14ac:dyDescent="0.3">
      <c r="B84" s="28" t="s">
        <v>183</v>
      </c>
    </row>
    <row r="85" spans="1:13" x14ac:dyDescent="0.3">
      <c r="B85" t="s">
        <v>18</v>
      </c>
      <c r="C85" t="e">
        <f>"HSC-AD-" &amp;C24&amp;" (neck diameter " &amp;D23&amp;" mm" &amp;D85&amp;")"</f>
        <v>#N/A</v>
      </c>
      <c r="D85" t="e">
        <f>IF(E23=0," without reducer", " with reducer")</f>
        <v>#N/A</v>
      </c>
    </row>
    <row r="86" spans="1:13" x14ac:dyDescent="0.3">
      <c r="C86" t="e">
        <f>D54</f>
        <v>#N/A</v>
      </c>
    </row>
    <row r="87" spans="1:13" x14ac:dyDescent="0.3">
      <c r="C87" t="str">
        <f>F36</f>
        <v>Manual adjustment</v>
      </c>
    </row>
    <row r="88" spans="1:13" x14ac:dyDescent="0.3">
      <c r="B88" t="s">
        <v>118</v>
      </c>
      <c r="C88" t="str">
        <f>"Powder coated to " &amp; VLOOKUP(C63,C58:E61,3,0)</f>
        <v>Powder coated to RAL9003 (signal white)</v>
      </c>
    </row>
    <row r="89" spans="1:13" x14ac:dyDescent="0.3">
      <c r="B89" t="s">
        <v>450</v>
      </c>
      <c r="C89" t="str">
        <f>E69</f>
        <v>Diffuser only</v>
      </c>
    </row>
    <row r="91" spans="1:13" x14ac:dyDescent="0.3">
      <c r="A91" s="28" t="s">
        <v>182</v>
      </c>
      <c r="C91" s="255"/>
      <c r="D91" s="27"/>
    </row>
    <row r="92" spans="1:13" x14ac:dyDescent="0.3">
      <c r="C92" s="255" t="str">
        <f>IF(C23=0,"please select valid size from 'HSC-AD' worksheet","DN"&amp;D23&amp;"-R"&amp;E23)</f>
        <v>please select valid size from 'HSC-AD' worksheet</v>
      </c>
      <c r="D92" t="s">
        <v>290</v>
      </c>
    </row>
    <row r="93" spans="1:13" x14ac:dyDescent="0.3">
      <c r="A93">
        <v>2</v>
      </c>
      <c r="C93" s="255">
        <f>VLOOKUP(A93,'Equations HSC-AD'!$A$244:$O$273,$C$23+2,0)</f>
        <v>0</v>
      </c>
    </row>
    <row r="94" spans="1:13" x14ac:dyDescent="0.3">
      <c r="A94">
        <v>3</v>
      </c>
      <c r="B94" t="str">
        <f>'Equations HSC-AD'!B245</f>
        <v>Max Airflow [L/s]</v>
      </c>
      <c r="C94" s="255" t="str">
        <f>VLOOKUP(A94,'Equations HSC-AD'!$A$244:$O$273,$C$23+2,0)</f>
        <v>Max Airflow [L/s]</v>
      </c>
      <c r="D94" s="44" t="e">
        <f>ROUND(C94,0)</f>
        <v>#VALUE!</v>
      </c>
    </row>
    <row r="95" spans="1:13" x14ac:dyDescent="0.3">
      <c r="A95">
        <v>4</v>
      </c>
      <c r="B95" t="str">
        <f>'Equations HSC-AD'!B246</f>
        <v>Airflow @ Max Pressure [L/s]</v>
      </c>
      <c r="C95" s="255" t="str">
        <f>VLOOKUP(A95,'Equations HSC-AD'!$A$244:$O$273,$C$23+2,0)</f>
        <v>Airflow @ Max Pressure [L/s]</v>
      </c>
      <c r="D95" s="44" t="e">
        <f>ROUND(C95,1)</f>
        <v>#VALUE!</v>
      </c>
    </row>
    <row r="96" spans="1:13" x14ac:dyDescent="0.3">
      <c r="A96">
        <v>5</v>
      </c>
      <c r="B96" t="str">
        <f>'Equations HSC-AD'!B247</f>
        <v>Min Airflow (Turndown To) [L/s]</v>
      </c>
      <c r="C96" s="255" t="str">
        <f>VLOOKUP(A96,'Equations HSC-AD'!$A$244:$O$273,$C$23+2,0)</f>
        <v>Min Airflow (Turndown To) [L/s]</v>
      </c>
      <c r="D96" s="44" t="e">
        <f>ROUND(C96,0)</f>
        <v>#VALUE!</v>
      </c>
    </row>
    <row r="97" spans="1:4" x14ac:dyDescent="0.3">
      <c r="A97">
        <v>6</v>
      </c>
      <c r="B97" t="str">
        <f>'Equations HSC-AD'!B248</f>
        <v>Min Permissible Airflow [L/s]</v>
      </c>
      <c r="C97" s="255" t="str">
        <f>VLOOKUP(A97,'Equations HSC-AD'!$A$244:$O$273,$C$23+2,0)</f>
        <v>Min Permissible Airflow [L/s]</v>
      </c>
      <c r="D97" s="44" t="e">
        <f>ROUND(C97,0)</f>
        <v>#VALUE!</v>
      </c>
    </row>
    <row r="98" spans="1:4" x14ac:dyDescent="0.3">
      <c r="A98">
        <v>7</v>
      </c>
      <c r="B98" t="str">
        <f>'Equations HSC-AD'!B249</f>
        <v>Static Pressure</v>
      </c>
      <c r="C98" s="255" t="str">
        <f>VLOOKUP(A98,'Equations HSC-AD'!$A$244:$O$273,$C$23+2,0)</f>
        <v>Static Pressure</v>
      </c>
      <c r="D98" s="27" t="e">
        <f>ROUND(C98,1)</f>
        <v>#VALUE!</v>
      </c>
    </row>
    <row r="99" spans="1:4" x14ac:dyDescent="0.3">
      <c r="A99">
        <v>8</v>
      </c>
      <c r="B99" t="str">
        <f>'Equations HSC-AD'!B250</f>
        <v>Total Pressure</v>
      </c>
      <c r="C99" s="255" t="str">
        <f>VLOOKUP(A99,'Equations HSC-AD'!$A$244:$O$273,$C$23+2,0)</f>
        <v>Total Pressure</v>
      </c>
      <c r="D99" s="27"/>
    </row>
    <row r="100" spans="1:4" x14ac:dyDescent="0.3">
      <c r="A100">
        <v>9</v>
      </c>
      <c r="B100" t="str">
        <f>'Equations HSC-AD'!B251</f>
        <v>Max Permissible P</v>
      </c>
      <c r="C100" s="255" t="str">
        <f>VLOOKUP(A100,'Equations HSC-AD'!$A$244:$O$273,$C$23+2,0)</f>
        <v>Max Permissible P</v>
      </c>
    </row>
    <row r="101" spans="1:4" x14ac:dyDescent="0.3">
      <c r="A101">
        <v>10</v>
      </c>
      <c r="B101" t="str">
        <f>'Equations HSC-AD'!B252</f>
        <v>Sound Power Level</v>
      </c>
      <c r="C101" s="255" t="str">
        <f>VLOOKUP(A101,'Equations HSC-AD'!$A$244:$O$273,$C$23+2,0)</f>
        <v>Sound Power Level</v>
      </c>
      <c r="D101" s="27" t="e">
        <f>ROUND(C101,1)</f>
        <v>#VALUE!</v>
      </c>
    </row>
    <row r="102" spans="1:4" x14ac:dyDescent="0.3">
      <c r="A102">
        <v>11</v>
      </c>
      <c r="B102" t="str">
        <f>'Equations HSC-AD'!B253</f>
        <v>ΔT_max (heating)</v>
      </c>
      <c r="C102" s="255" t="str">
        <f>VLOOKUP(A102,'Equations HSC-AD'!$A$244:$O$273,$C$23+2,0)</f>
        <v>ΔT_max (heating)</v>
      </c>
      <c r="D102" s="27" t="e">
        <f>ROUND(C102,1)</f>
        <v>#VALUE!</v>
      </c>
    </row>
    <row r="103" spans="1:4" x14ac:dyDescent="0.3">
      <c r="A103">
        <v>12</v>
      </c>
      <c r="B103" t="str">
        <f>'Equations HSC-AD'!B254</f>
        <v>T n.s.</v>
      </c>
      <c r="C103" s="255" t="str">
        <f>VLOOKUP(A103,'Equations HSC-AD'!$A$244:$O$273,$C$23+2,0)</f>
        <v>T n.s.</v>
      </c>
    </row>
    <row r="104" spans="1:4" x14ac:dyDescent="0.3">
      <c r="A104">
        <v>13</v>
      </c>
      <c r="B104" t="str">
        <f>'Equations HSC-AD'!B255</f>
        <v>Cmax  - Centre</v>
      </c>
      <c r="C104" s="255" t="str">
        <f>VLOOKUP(A104,'Equations HSC-AD'!$A$244:$O$273,$C$23+2,0)</f>
        <v>Cmax  - Centre</v>
      </c>
    </row>
    <row r="105" spans="1:4" x14ac:dyDescent="0.3">
      <c r="A105">
        <v>14</v>
      </c>
      <c r="B105" t="str">
        <f>'Equations HSC-AD'!B256</f>
        <v>Cmax - Perimeter</v>
      </c>
      <c r="C105" s="255" t="str">
        <f>VLOOKUP(A105,'Equations HSC-AD'!$A$244:$O$273,$C$23+2,0)</f>
        <v>Cmax - Perimeter</v>
      </c>
      <c r="D105" s="27" t="e">
        <f>ROUND(C105,1)</f>
        <v>#VALUE!</v>
      </c>
    </row>
    <row r="106" spans="1:4" x14ac:dyDescent="0.3">
      <c r="A106">
        <v>15</v>
      </c>
      <c r="B106" t="str">
        <f>'Equations HSC-AD'!B257</f>
        <v>Cmin</v>
      </c>
      <c r="C106" s="255" t="str">
        <f>VLOOKUP(A106,'Equations HSC-AD'!$A$244:$O$273,$C$23+2,0)</f>
        <v>Cmin</v>
      </c>
      <c r="D106" s="27" t="e">
        <f>ROUND(C106,1)</f>
        <v>#VALUE!</v>
      </c>
    </row>
    <row r="107" spans="1:4" x14ac:dyDescent="0.3">
      <c r="A107">
        <v>16</v>
      </c>
      <c r="B107" t="str">
        <f>'Equations HSC-AD'!B258</f>
        <v>Hmin</v>
      </c>
      <c r="C107" s="255" t="str">
        <f>VLOOKUP(A107,'Equations HSC-AD'!$A$244:$O$273,$C$23+2,0)</f>
        <v>Hmin</v>
      </c>
      <c r="D107" s="27" t="e">
        <f>ROUND(C107,2)</f>
        <v>#VALUE!</v>
      </c>
    </row>
    <row r="108" spans="1:4" x14ac:dyDescent="0.3">
      <c r="A108">
        <v>17</v>
      </c>
      <c r="B108" t="str">
        <f>'Equations HSC-AD'!B259</f>
        <v>Mean Air Velocity</v>
      </c>
      <c r="C108" s="255" t="str">
        <f>VLOOKUP(A108,'Equations HSC-AD'!$A$244:$O$273,$C$23+2,0)</f>
        <v>Mean Air Velocity</v>
      </c>
      <c r="D108" s="27" t="e">
        <f>ROUND(C108,2)</f>
        <v>#VALUE!</v>
      </c>
    </row>
    <row r="109" spans="1:4" x14ac:dyDescent="0.3">
      <c r="A109">
        <v>18</v>
      </c>
      <c r="B109" t="str">
        <f>'Equations HSC-AD'!B260</f>
        <v>Draft Rating</v>
      </c>
      <c r="C109" s="255" t="str">
        <f>VLOOKUP(A109,'Equations HSC-AD'!$A$244:$O$273,$C$23+2,0)</f>
        <v>Draft Rating</v>
      </c>
      <c r="D109" s="27" t="e">
        <f>ROUND(C109,3)*100</f>
        <v>#VALUE!</v>
      </c>
    </row>
    <row r="110" spans="1:4" x14ac:dyDescent="0.3">
      <c r="A110">
        <v>19</v>
      </c>
      <c r="B110" t="str">
        <f>'Equations HSC-AD'!B261</f>
        <v>PPD</v>
      </c>
      <c r="C110" s="255" t="str">
        <f>VLOOKUP(A110,'Equations HSC-AD'!$A$244:$O$273,$C$23+2,0)</f>
        <v>PPD</v>
      </c>
      <c r="D110" s="27" t="e">
        <f>ROUND(C110,3)</f>
        <v>#VALUE!</v>
      </c>
    </row>
    <row r="111" spans="1:4" x14ac:dyDescent="0.3">
      <c r="A111">
        <v>20</v>
      </c>
      <c r="B111" t="str">
        <f>'Equations HSC-AD'!B262</f>
        <v>PPD Class</v>
      </c>
      <c r="C111" s="255" t="str">
        <f>VLOOKUP(A111,'Equations HSC-AD'!$A$244:$O$273,$C$23+2,0)</f>
        <v>PPD Class</v>
      </c>
    </row>
    <row r="112" spans="1:4" x14ac:dyDescent="0.3">
      <c r="A112">
        <v>21</v>
      </c>
      <c r="B112" t="str">
        <f>'Equations HSC-AD'!B263</f>
        <v>PMV</v>
      </c>
      <c r="C112" s="255" t="str">
        <f>VLOOKUP(A112,'Equations HSC-AD'!$A$244:$O$273,$C$23+2,0)</f>
        <v>PMV</v>
      </c>
      <c r="D112" s="27" t="str">
        <f>RIGHT(C112,3)</f>
        <v>PMV</v>
      </c>
    </row>
    <row r="113" spans="1:6" x14ac:dyDescent="0.3">
      <c r="A113">
        <v>22</v>
      </c>
      <c r="B113" t="str">
        <f>'Equations HSC-AD'!B264</f>
        <v>T s.</v>
      </c>
      <c r="C113" s="255" t="str">
        <f>VLOOKUP(A113,'Equations HSC-AD'!$A$244:$O$273,$C$23+2,0)</f>
        <v>T s.</v>
      </c>
      <c r="D113" s="27" t="str">
        <f>IFERROR(ROUND(C113,1),C113)</f>
        <v>T s.</v>
      </c>
    </row>
    <row r="114" spans="1:6" x14ac:dyDescent="0.3">
      <c r="A114">
        <v>23</v>
      </c>
      <c r="B114" t="str">
        <f>'Equations HSC-AD'!B265</f>
        <v>Warm-up DT</v>
      </c>
      <c r="C114" s="255" t="str">
        <f>VLOOKUP(A114,'Equations HSC-AD'!$A$244:$O$273,$C$23+2,0)</f>
        <v>Warm-up DT</v>
      </c>
      <c r="D114" s="27"/>
    </row>
    <row r="115" spans="1:6" x14ac:dyDescent="0.3">
      <c r="A115">
        <v>24</v>
      </c>
      <c r="B115" t="str">
        <f>'Equations HSC-AD'!B266</f>
        <v>Warm-Up Airflow Boost</v>
      </c>
      <c r="C115" s="255" t="str">
        <f>VLOOKUP(A115,'Equations HSC-AD'!$A$244:$O$273,$C$23+2,0)</f>
        <v>Warm-Up Airflow Boost</v>
      </c>
      <c r="D115" s="27"/>
    </row>
    <row r="116" spans="1:6" x14ac:dyDescent="0.3">
      <c r="A116">
        <v>25</v>
      </c>
      <c r="B116" t="str">
        <f>'Equations HSC-AD'!B267</f>
        <v>Warm-Up Pressure Boost</v>
      </c>
      <c r="C116" s="255" t="str">
        <f>VLOOKUP(A116,'Equations HSC-AD'!$A$244:$O$273,$C$23+2,0)</f>
        <v>Warm-Up Pressure Boost</v>
      </c>
      <c r="D116" s="27"/>
    </row>
    <row r="117" spans="1:6" x14ac:dyDescent="0.3">
      <c r="A117">
        <v>26</v>
      </c>
      <c r="B117" t="str">
        <f>'Equations HSC-AD'!B268</f>
        <v>Diffuser shut off %</v>
      </c>
      <c r="C117" s="255" t="str">
        <f>VLOOKUP(A117,'Equations HSC-AD'!$A$244:$O$273,$C$23+2,0)</f>
        <v>Diffuser shut off %</v>
      </c>
      <c r="D117" s="27"/>
    </row>
    <row r="118" spans="1:6" x14ac:dyDescent="0.3">
      <c r="A118">
        <v>27</v>
      </c>
      <c r="B118" t="str">
        <f>'Equations HSC-AD'!B269</f>
        <v>ΔT_max (heating)</v>
      </c>
      <c r="C118" s="255" t="str">
        <f>VLOOKUP(A118,'Equations HSC-AD'!$A$244:$O$273,$C$23+2,0)</f>
        <v>ΔT_max (heating)</v>
      </c>
      <c r="D118" s="27"/>
    </row>
    <row r="119" spans="1:6" x14ac:dyDescent="0.3">
      <c r="A119">
        <v>28</v>
      </c>
      <c r="B119" t="str">
        <f>'Equations HSC-AD'!B270</f>
        <v>Recommended Spigot Dia.</v>
      </c>
      <c r="C119" s="255" t="str">
        <f>VLOOKUP(A119,'Equations HSC-AD'!$A$244:$O$273,$C$23+2,0)</f>
        <v>Recommended Spigot Dia.</v>
      </c>
      <c r="D119" s="27"/>
    </row>
    <row r="120" spans="1:6" x14ac:dyDescent="0.3">
      <c r="A120">
        <v>29</v>
      </c>
      <c r="B120" t="str">
        <f>'Equations HSC-AD'!B271</f>
        <v>T-setting Number</v>
      </c>
      <c r="C120" s="255" t="str">
        <f>VLOOKUP(A120,'Equations HSC-AD'!$A$244:$O$273,$C$23+2,0)</f>
        <v>T-setting Number</v>
      </c>
      <c r="D120" s="27"/>
    </row>
    <row r="121" spans="1:6" x14ac:dyDescent="0.3">
      <c r="A121">
        <v>30</v>
      </c>
      <c r="B121" t="str">
        <f>'Equations HSC-AD'!B272</f>
        <v>T-Setting Note</v>
      </c>
      <c r="C121" s="255" t="str">
        <f>VLOOKUP(A121,'Equations HSC-AD'!$A$244:$O$273,$C$23+2,0)</f>
        <v>T-Setting Note</v>
      </c>
      <c r="D121" s="27"/>
    </row>
    <row r="122" spans="1:6" x14ac:dyDescent="0.3">
      <c r="A122">
        <v>31</v>
      </c>
      <c r="B122" t="str">
        <f>'Equations HSC-AD'!B273</f>
        <v>T-setting Category</v>
      </c>
      <c r="C122" s="255" t="str">
        <f>VLOOKUP(A122,'Equations HSC-AD'!$A$244:$O$273,$C$23+2,0)</f>
        <v>T-setting Category</v>
      </c>
      <c r="D122" s="27" t="e">
        <f>VLOOKUP(C122,E124:F125,2,0)</f>
        <v>#N/A</v>
      </c>
    </row>
    <row r="123" spans="1:6" x14ac:dyDescent="0.3">
      <c r="C123" s="255"/>
      <c r="D123" s="27"/>
    </row>
    <row r="124" spans="1:6" x14ac:dyDescent="0.3">
      <c r="A124" t="s">
        <v>328</v>
      </c>
      <c r="B124" t="e">
        <f>HLOOKUP(C23,'Equations HSC-AD'!C231:O233,2,0)</f>
        <v>#N/A</v>
      </c>
      <c r="C124" t="e">
        <f>ROUND(B124,1)</f>
        <v>#N/A</v>
      </c>
      <c r="E124" t="s">
        <v>552</v>
      </c>
      <c r="F124" t="s">
        <v>555</v>
      </c>
    </row>
    <row r="125" spans="1:6" x14ac:dyDescent="0.3">
      <c r="A125" t="s">
        <v>329</v>
      </c>
      <c r="B125" t="e">
        <f>IF(B124&gt;'HSC-AD'!M21,HLOOKUP(C23,'Equations HSC-AD'!C231:O233,3,0),"selected heating ΔT")</f>
        <v>#N/A</v>
      </c>
      <c r="C125" t="str">
        <f>IFERROR(ROUND(B125,0),"selected heating ΔT")</f>
        <v>selected heating ΔT</v>
      </c>
      <c r="E125" t="s">
        <v>553</v>
      </c>
      <c r="F125" t="s">
        <v>554</v>
      </c>
    </row>
    <row r="126" spans="1:6" x14ac:dyDescent="0.3">
      <c r="C126" s="255"/>
      <c r="D126" s="27"/>
    </row>
    <row r="127" spans="1:6" x14ac:dyDescent="0.3">
      <c r="A127" t="s">
        <v>354</v>
      </c>
      <c r="B127" s="255">
        <f>'HSC-AD'!E11</f>
        <v>100</v>
      </c>
      <c r="D127" s="27"/>
    </row>
    <row r="128" spans="1:6" x14ac:dyDescent="0.3">
      <c r="A128" t="s">
        <v>111</v>
      </c>
      <c r="B128">
        <f>'HSC-AD'!E18</f>
        <v>-12</v>
      </c>
    </row>
    <row r="129" spans="1:4" x14ac:dyDescent="0.3">
      <c r="A129" s="28" t="s">
        <v>177</v>
      </c>
      <c r="B129">
        <f>IF('Equations HSC-AD'!C82=1,'Equations HSC-AD'!C198,IF('Equations HSC-AD'!C82=2,'Equations HSC-AD'!C83,IF('Equations HSC-AD'!C82=3,'Equations HSC-AD'!C85)))</f>
        <v>11.453196887307534</v>
      </c>
    </row>
    <row r="130" spans="1:4" x14ac:dyDescent="0.3">
      <c r="A130" t="s">
        <v>304</v>
      </c>
      <c r="B130" s="27">
        <f>ROUND('Equations HSC-AD'!C187,1)</f>
        <v>6.1</v>
      </c>
      <c r="C130" t="str">
        <f>'Equations HSC-AD'!G3</f>
        <v>L/s/m²</v>
      </c>
    </row>
    <row r="131" spans="1:4" x14ac:dyDescent="0.3">
      <c r="A131" t="s">
        <v>305</v>
      </c>
      <c r="B131" s="27">
        <f>'HSC-AD'!E15</f>
        <v>6</v>
      </c>
    </row>
    <row r="132" spans="1:4" x14ac:dyDescent="0.3">
      <c r="A132" t="s">
        <v>327</v>
      </c>
      <c r="B132">
        <f>'HSC-AD'!M23</f>
        <v>23</v>
      </c>
    </row>
    <row r="133" spans="1:4" x14ac:dyDescent="0.3">
      <c r="A133" t="s">
        <v>331</v>
      </c>
      <c r="B133">
        <f>'HSC-AD'!M21</f>
        <v>4</v>
      </c>
    </row>
    <row r="135" spans="1:4" x14ac:dyDescent="0.3">
      <c r="A135" t="s">
        <v>289</v>
      </c>
      <c r="B135" s="46" t="e">
        <f>D94 &amp; " " &amp; 'Equations HSC-AD'!E3 &amp;" @ " &amp;D98 &amp;" Pa static"</f>
        <v>#VALUE!</v>
      </c>
    </row>
    <row r="136" spans="1:4" x14ac:dyDescent="0.3">
      <c r="A136" t="s">
        <v>96</v>
      </c>
      <c r="B136" s="46" t="e">
        <f>D96 &amp; " " &amp; 'Equations HSC-AD'!E3 &amp;" @ " &amp;B127 &amp;" % turndown to"</f>
        <v>#VALUE!</v>
      </c>
    </row>
    <row r="137" spans="1:4" x14ac:dyDescent="0.3">
      <c r="A137" t="s">
        <v>291</v>
      </c>
      <c r="B137" s="27" t="e">
        <f>D97 &amp; " " &amp; 'Equations HSC-AD'!E3 &amp;" @ ΔT = " &amp;B128&amp; " K"</f>
        <v>#VALUE!</v>
      </c>
    </row>
    <row r="138" spans="1:4" x14ac:dyDescent="0.3">
      <c r="A138" t="s">
        <v>292</v>
      </c>
      <c r="B138" s="27" t="e">
        <f>C138&amp;" for "&amp; 'Equations HSC-AD'!C15&amp;" m discharge"</f>
        <v>#N/A</v>
      </c>
      <c r="C138" t="e">
        <f>"+"&amp;C124&amp;" K"</f>
        <v>#N/A</v>
      </c>
    </row>
    <row r="139" spans="1:4" x14ac:dyDescent="0.3">
      <c r="A139" t="s">
        <v>293</v>
      </c>
      <c r="B139" t="str">
        <f>"T"&amp;D113</f>
        <v>TT s.</v>
      </c>
    </row>
    <row r="140" spans="1:4" x14ac:dyDescent="0.3">
      <c r="A140" t="s">
        <v>330</v>
      </c>
      <c r="B140" t="str">
        <f>C125</f>
        <v>selected heating ΔT</v>
      </c>
      <c r="D140" s="196"/>
    </row>
    <row r="141" spans="1:4" x14ac:dyDescent="0.3">
      <c r="A141" t="s">
        <v>381</v>
      </c>
      <c r="B141">
        <f>'Equations HSC-AD'!C45</f>
        <v>2</v>
      </c>
      <c r="C141" s="196" t="s">
        <v>382</v>
      </c>
    </row>
    <row r="142" spans="1:4" x14ac:dyDescent="0.3">
      <c r="D142" s="196"/>
    </row>
    <row r="143" spans="1:4" x14ac:dyDescent="0.3">
      <c r="A143" t="s">
        <v>123</v>
      </c>
      <c r="D143" s="196"/>
    </row>
    <row r="144" spans="1:4" x14ac:dyDescent="0.3">
      <c r="A144" t="s">
        <v>333</v>
      </c>
      <c r="B144" t="str">
        <f>IF('Equations HSC-AD'!C24,"Manually set guide ring","Manual Adjustment selected")</f>
        <v>Manual Adjustment selected</v>
      </c>
      <c r="D144" s="196"/>
    </row>
    <row r="145" spans="1:4" x14ac:dyDescent="0.3">
      <c r="B145" t="str">
        <f>IF(ISNUMBER(B140),B140&amp;" mm recessed from face",B140)</f>
        <v>selected heating ΔT</v>
      </c>
      <c r="D145" s="196"/>
    </row>
    <row r="146" spans="1:4" x14ac:dyDescent="0.3">
      <c r="B146" t="str">
        <f>IF(ISNUMBER(B140),"for heating at ΔT = +" &amp;B133&amp; " K","not recommended")</f>
        <v>not recommended</v>
      </c>
      <c r="D146" s="196"/>
    </row>
    <row r="147" spans="1:4" x14ac:dyDescent="0.3">
      <c r="A147" t="s">
        <v>332</v>
      </c>
      <c r="B147" t="str">
        <f>F36</f>
        <v>Manual adjustment</v>
      </c>
      <c r="D147" s="196" t="str">
        <f>IF(C36=4,D36,IF(C36=1,C148,""))</f>
        <v/>
      </c>
    </row>
    <row r="148" spans="1:4" x14ac:dyDescent="0.3">
      <c r="C148" t="str">
        <f>IF('Equations HSC-AD'!C24,IF(C36=1,B145,B139),"")</f>
        <v/>
      </c>
      <c r="D148" s="196"/>
    </row>
    <row r="149" spans="1:4" x14ac:dyDescent="0.3">
      <c r="C149" t="str">
        <f>IF('Equations HSC-AD'!C24,IF(C36=1,B146,""),"")</f>
        <v/>
      </c>
      <c r="D149" s="196"/>
    </row>
    <row r="150" spans="1:4" x14ac:dyDescent="0.3">
      <c r="D150" s="196"/>
    </row>
    <row r="151" spans="1:4" x14ac:dyDescent="0.3">
      <c r="B151" t="s">
        <v>297</v>
      </c>
      <c r="C151" t="e">
        <f>D101 &amp; " dB(A)"</f>
        <v>#VALUE!</v>
      </c>
    </row>
    <row r="153" spans="1:4" x14ac:dyDescent="0.3">
      <c r="A153" s="28" t="s">
        <v>176</v>
      </c>
    </row>
    <row r="154" spans="1:4" x14ac:dyDescent="0.3">
      <c r="A154" s="28"/>
      <c r="B154" t="e">
        <f>"Min Recommended Diffuser Height = "&amp;D107&amp; " m"</f>
        <v>#VALUE!</v>
      </c>
    </row>
    <row r="155" spans="1:4" x14ac:dyDescent="0.3">
      <c r="A155" s="28"/>
      <c r="B155" t="str">
        <f>"Selected Diffuser Height = "&amp;B131&amp; " m"</f>
        <v>Selected Diffuser Height = 6 m</v>
      </c>
    </row>
    <row r="156" spans="1:4" x14ac:dyDescent="0.3">
      <c r="B156" t="s">
        <v>298</v>
      </c>
      <c r="C156" t="s">
        <v>42</v>
      </c>
    </row>
    <row r="157" spans="1:4" x14ac:dyDescent="0.3">
      <c r="B157" s="27" t="e">
        <f>ROUND(D106,1)</f>
        <v>#VALUE!</v>
      </c>
      <c r="C157" s="27" t="e">
        <f>ROUND(D105,1)</f>
        <v>#VALUE!</v>
      </c>
    </row>
    <row r="159" spans="1:4" x14ac:dyDescent="0.3">
      <c r="B159" t="e">
        <f>"C Max = "&amp;C157&amp;" m"</f>
        <v>#VALUE!</v>
      </c>
    </row>
    <row r="160" spans="1:4" x14ac:dyDescent="0.3">
      <c r="B160" t="e">
        <f>"C Min = "&amp;B157&amp;" m"</f>
        <v>#VALUE!</v>
      </c>
    </row>
    <row r="161" spans="1:6" x14ac:dyDescent="0.3">
      <c r="B161" t="str">
        <f>IF('Equations HSC-AD'!C82=1,"Average",IF('Equations HSC-AD'!C82=2,"Selected",IF('Equations HSC-AD'!C82=3,"Nominal")))</f>
        <v>Average</v>
      </c>
    </row>
    <row r="162" spans="1:6" x14ac:dyDescent="0.3">
      <c r="A162" t="s">
        <v>299</v>
      </c>
      <c r="B162">
        <f>ROUND(B129,1)</f>
        <v>11.5</v>
      </c>
    </row>
    <row r="163" spans="1:6" x14ac:dyDescent="0.3">
      <c r="B163" t="str">
        <f>B161&amp; " C = "&amp;B162 &amp; " m"</f>
        <v>Average C = 11.5 m</v>
      </c>
    </row>
    <row r="165" spans="1:6" x14ac:dyDescent="0.3">
      <c r="A165" t="s">
        <v>300</v>
      </c>
      <c r="B165" t="e">
        <f>IF('Equations HSC-AD'!$C$82=3,"",B159)</f>
        <v>#VALUE!</v>
      </c>
      <c r="C165">
        <v>1</v>
      </c>
      <c r="D165" t="str">
        <f>"Specific Airflow Rate = "&amp;$B$130&amp;" "&amp;$C$130 &amp;" @ Average C = "&amp;B162&amp;" m"</f>
        <v>Specific Airflow Rate = 6.1 L/s/m² @ Average C = 11.5 m</v>
      </c>
    </row>
    <row r="166" spans="1:6" x14ac:dyDescent="0.3">
      <c r="A166" t="s">
        <v>301</v>
      </c>
      <c r="B166" t="e">
        <f>IF('Equations HSC-AD'!$C$82=3,B159,B160)</f>
        <v>#VALUE!</v>
      </c>
      <c r="C166">
        <v>2</v>
      </c>
      <c r="D166" t="str">
        <f>"Specific Airflow Rate = "&amp;$B$130&amp;" "&amp;$C$130&amp; " @ Selected C = "&amp;B162&amp;" m"</f>
        <v>Specific Airflow Rate = 6.1 L/s/m² @ Selected C = 11.5 m</v>
      </c>
    </row>
    <row r="167" spans="1:6" x14ac:dyDescent="0.3">
      <c r="A167" t="s">
        <v>302</v>
      </c>
      <c r="B167" t="str">
        <f>IF('Equations HSC-AD'!$C$82=3,B160,B163)</f>
        <v>Average C = 11.5 m</v>
      </c>
      <c r="C167">
        <v>3</v>
      </c>
      <c r="D167" t="str">
        <f>"Selected Specific Airflow Rate: "&amp;B130&amp;" "&amp;C130</f>
        <v>Selected Specific Airflow Rate: 6.1 L/s/m²</v>
      </c>
    </row>
    <row r="168" spans="1:6" x14ac:dyDescent="0.3">
      <c r="A168" t="s">
        <v>303</v>
      </c>
      <c r="B168" t="str">
        <f>VLOOKUP('Equations HSC-AD'!$C$82,C165:D167,2,0)</f>
        <v>Specific Airflow Rate = 6.1 L/s/m² @ Average C = 11.5 m</v>
      </c>
    </row>
    <row r="169" spans="1:6" x14ac:dyDescent="0.3">
      <c r="A169" t="s">
        <v>583</v>
      </c>
      <c r="B169" t="str">
        <f>"Recommended distances for "&amp;B172&amp;" ADPI (selected)"</f>
        <v>Recommended distances for ≥ 90% ADPI (selected)</v>
      </c>
      <c r="C169" s="296"/>
    </row>
    <row r="171" spans="1:6" x14ac:dyDescent="0.3">
      <c r="A171" s="252" t="s">
        <v>172</v>
      </c>
      <c r="B171" s="196"/>
      <c r="C171" s="196"/>
      <c r="D171" s="252"/>
      <c r="E171" s="196"/>
      <c r="F171" s="196"/>
    </row>
    <row r="172" spans="1:6" x14ac:dyDescent="0.3">
      <c r="A172" s="196" t="s">
        <v>73</v>
      </c>
      <c r="B172" s="253" t="str">
        <f>"≥ " &amp; 'HSC-AD'!M9*100  &amp; "%"</f>
        <v>≥ 90%</v>
      </c>
      <c r="D172" s="196"/>
      <c r="E172" s="196"/>
      <c r="F172" s="196"/>
    </row>
    <row r="173" spans="1:6" x14ac:dyDescent="0.3">
      <c r="A173" s="196" t="s">
        <v>529</v>
      </c>
      <c r="B173" s="253" t="str">
        <f>IF(B141=1, "Closed Ceiling", "Freely Suspended")</f>
        <v>Freely Suspended</v>
      </c>
      <c r="D173" s="196"/>
      <c r="E173" s="196"/>
      <c r="F173" s="196"/>
    </row>
    <row r="174" spans="1:6" x14ac:dyDescent="0.3">
      <c r="A174" s="196" t="s">
        <v>173</v>
      </c>
      <c r="B174" s="196" t="e">
        <f>'HSC-AD data'!D108 &amp; " m/s"</f>
        <v>#VALUE!</v>
      </c>
      <c r="D174" s="196"/>
      <c r="E174" s="196"/>
      <c r="F174" s="196"/>
    </row>
    <row r="175" spans="1:6" x14ac:dyDescent="0.3">
      <c r="A175" s="196" t="str">
        <f>"Mean Draught Rating @ "&amp;'HSC-AD'!M23&amp;" °C"</f>
        <v>Mean Draught Rating @ 23 °C</v>
      </c>
      <c r="B175" s="251" t="e">
        <f>'HSC-AD data'!D109&amp;"% @ room temp. of " &amp;B132&amp;"ºC"</f>
        <v>#VALUE!</v>
      </c>
      <c r="D175" s="196"/>
      <c r="E175" s="196"/>
      <c r="F175" s="196"/>
    </row>
    <row r="176" spans="1:6" x14ac:dyDescent="0.3">
      <c r="A176" s="196" t="s">
        <v>76</v>
      </c>
      <c r="B176" s="254" t="e">
        <f>"&lt; " &amp; 'HSC-AD data'!D110*100 &amp;" %"</f>
        <v>#VALUE!</v>
      </c>
      <c r="D176" s="196"/>
      <c r="E176" s="196"/>
      <c r="F176" s="196"/>
    </row>
    <row r="177" spans="1:6" x14ac:dyDescent="0.3">
      <c r="A177" s="196" t="s">
        <v>174</v>
      </c>
      <c r="B177" s="197" t="str">
        <f>"Category " &amp;$C$111</f>
        <v>Category PPD Class</v>
      </c>
      <c r="D177" s="196"/>
      <c r="E177" s="196"/>
      <c r="F177" s="196"/>
    </row>
    <row r="178" spans="1:6" ht="14.85" customHeight="1" x14ac:dyDescent="0.3">
      <c r="A178" s="196" t="s">
        <v>288</v>
      </c>
      <c r="B178" s="263" t="str">
        <f>"-"&amp;D112&amp;" ≤ PMV ≤ "&amp;D112</f>
        <v>-PMV ≤ PMV ≤ PMV</v>
      </c>
      <c r="D178" s="196"/>
      <c r="E178" s="196"/>
      <c r="F178" s="196"/>
    </row>
    <row r="179" spans="1:6" ht="14.85" customHeight="1" x14ac:dyDescent="0.3"/>
    <row r="180" spans="1:6" ht="14.85" customHeight="1" x14ac:dyDescent="0.3"/>
    <row r="181" spans="1:6" ht="14.85" customHeight="1" x14ac:dyDescent="0.3"/>
    <row r="182" spans="1:6" ht="14.85" customHeight="1" x14ac:dyDescent="0.3">
      <c r="A182" s="28" t="s">
        <v>123</v>
      </c>
      <c r="B182" t="str">
        <f>LEFT(F36,1)</f>
        <v>M</v>
      </c>
    </row>
    <row r="183" spans="1:6" ht="14.85" customHeight="1" x14ac:dyDescent="0.3">
      <c r="A183" t="s">
        <v>556</v>
      </c>
      <c r="B183" s="27" t="str">
        <f>IF(B182="T",IF(C122="","",C121 &amp;" : "&amp;D122),"")</f>
        <v/>
      </c>
    </row>
    <row r="186" spans="1:6" x14ac:dyDescent="0.3">
      <c r="A186" s="28" t="s">
        <v>571</v>
      </c>
    </row>
    <row r="187" spans="1:6" x14ac:dyDescent="0.3">
      <c r="A187" t="s">
        <v>575</v>
      </c>
      <c r="B187" t="str">
        <f>"Comfort criteria valid for " &amp;LOWER(B161)&amp;" diffuser spacing of "&amp;ROUND('Equations HSC-AD'!C186,1) &amp; " m "&amp; "&amp; room temperature of "&amp; 'Equations HSC-AD'!C21&amp;" °C (see cells K14 &amp; L23)"</f>
        <v>Comfort criteria valid for average diffuser spacing of 11.5 m &amp; room temperature of 23 °C (see cells K14 &amp; L23)</v>
      </c>
    </row>
    <row r="188" spans="1:6" x14ac:dyDescent="0.3">
      <c r="A188" t="s">
        <v>573</v>
      </c>
      <c r="B188" t="str">
        <f>IF('Equations HSC-AD'!C24,'HSC-AD data'!C188,"")</f>
        <v/>
      </c>
      <c r="C188" t="s">
        <v>572</v>
      </c>
    </row>
    <row r="189" spans="1:6" x14ac:dyDescent="0.3">
      <c r="A189" t="s">
        <v>574</v>
      </c>
      <c r="B189" t="str">
        <f>IF('Equations HSC-AD'!P282,'HSC-AD data'!C189,"")</f>
        <v/>
      </c>
      <c r="C189" t="s">
        <v>576</v>
      </c>
    </row>
    <row r="190" spans="1:6" x14ac:dyDescent="0.3">
      <c r="A190" t="s">
        <v>577</v>
      </c>
      <c r="B190" t="str">
        <f>IF('Equations HSC-AD'!R345,C190,"")</f>
        <v/>
      </c>
      <c r="C190" t="s">
        <v>578</v>
      </c>
    </row>
    <row r="191" spans="1:6" ht="43.5" customHeight="1" x14ac:dyDescent="0.3">
      <c r="A191" t="s">
        <v>581</v>
      </c>
      <c r="B191" s="424" t="str">
        <f>IF('Equations HSC-AD'!P289,'HSC-AD data'!C191&amp;'HSC-AD data'!D191,'HSC-AD data'!D191)</f>
        <v>'n.r.' - thermal element not recommended; consider electric actuator
‡ moderately elevated air velocities in heating 
† slightly elevated air velocities in heating</v>
      </c>
      <c r="C191" s="425" t="str">
        <f>"'n.r.' - thermal element not recommended; consider electric actuator"&amp;CHAR(10)</f>
        <v xml:space="preserve">'n.r.' - thermal element not recommended; consider electric actuator
</v>
      </c>
      <c r="D191" s="424" t="s">
        <v>580</v>
      </c>
    </row>
  </sheetData>
  <phoneticPr fontId="73" type="noConversion"/>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
  <sheetViews>
    <sheetView zoomScale="115" zoomScaleNormal="115" workbookViewId="0">
      <selection activeCell="B4" sqref="B4"/>
    </sheetView>
  </sheetViews>
  <sheetFormatPr defaultRowHeight="14.4" x14ac:dyDescent="0.3"/>
  <cols>
    <col min="2" max="2" width="101.109375" customWidth="1"/>
  </cols>
  <sheetData>
    <row r="1" spans="1:3" ht="279" customHeight="1" x14ac:dyDescent="0.3">
      <c r="A1" s="32" t="s">
        <v>535</v>
      </c>
      <c r="B1" s="388"/>
      <c r="C1" s="148"/>
    </row>
    <row r="2" spans="1:3" x14ac:dyDescent="0.3">
      <c r="B2" s="148"/>
      <c r="C2" s="148"/>
    </row>
    <row r="3" spans="1:3" x14ac:dyDescent="0.3">
      <c r="A3" t="s">
        <v>538</v>
      </c>
      <c r="B3" t="str">
        <f>VLOOKUP('Equations HSC-AD'!$C$296,'Equations HSC-AD'!M295:N306,2,0)&amp;" Recommended Actuator Control (V) &amp; Guide Ring Position (mm) for " &amp;'Equations HSC-AD'!C15&amp;" m discharge"</f>
        <v>DN500-R0 Recommended Actuator Control (V) &amp; Guide Ring Position (mm) for 6 m discharge</v>
      </c>
    </row>
  </sheetData>
  <pageMargins left="0.7" right="0.7" top="0.75" bottom="0.75" header="0.3" footer="0.3"/>
  <drawing r:id="rId1"/>
  <legacyDrawing r:id="rId2"/>
  <oleObjects>
    <mc:AlternateContent xmlns:mc="http://schemas.openxmlformats.org/markup-compatibility/2006">
      <mc:Choice Requires="x14">
        <oleObject progId="Visio.Drawing.15" shapeId="135176" r:id="rId3">
          <objectPr defaultSize="0" r:id="rId4">
            <anchor moveWithCells="1">
              <from>
                <xdr:col>1</xdr:col>
                <xdr:colOff>5394960</xdr:colOff>
                <xdr:row>0</xdr:row>
                <xdr:rowOff>60960</xdr:rowOff>
              </from>
              <to>
                <xdr:col>1</xdr:col>
                <xdr:colOff>6675120</xdr:colOff>
                <xdr:row>0</xdr:row>
                <xdr:rowOff>601980</xdr:rowOff>
              </to>
            </anchor>
          </objectPr>
        </oleObject>
      </mc:Choice>
      <mc:Fallback>
        <oleObject progId="Visio.Drawing.15" shapeId="135176" r:id="rId3"/>
      </mc:Fallback>
    </mc:AlternateContent>
    <mc:AlternateContent xmlns:mc="http://schemas.openxmlformats.org/markup-compatibility/2006">
      <mc:Choice Requires="x14">
        <oleObject progId="Visio.Drawing.15" shapeId="135177" r:id="rId5">
          <objectPr defaultSize="0" r:id="rId6">
            <anchor moveWithCells="1">
              <from>
                <xdr:col>1</xdr:col>
                <xdr:colOff>5448300</xdr:colOff>
                <xdr:row>0</xdr:row>
                <xdr:rowOff>2849880</xdr:rowOff>
              </from>
              <to>
                <xdr:col>1</xdr:col>
                <xdr:colOff>6652260</xdr:colOff>
                <xdr:row>0</xdr:row>
                <xdr:rowOff>3451860</xdr:rowOff>
              </to>
            </anchor>
          </objectPr>
        </oleObject>
      </mc:Choice>
      <mc:Fallback>
        <oleObject progId="Visio.Drawing.15" shapeId="135177" r:id="rId5"/>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2"/>
  <sheetViews>
    <sheetView view="pageLayout" zoomScaleNormal="100" workbookViewId="0">
      <selection activeCell="B3" sqref="B3:F3"/>
    </sheetView>
  </sheetViews>
  <sheetFormatPr defaultColWidth="8.88671875" defaultRowHeight="14.4" x14ac:dyDescent="0.3"/>
  <cols>
    <col min="1" max="1" width="24.88671875" style="391" customWidth="1"/>
    <col min="2" max="3" width="10" style="391" customWidth="1"/>
    <col min="4" max="4" width="20.109375" style="391" customWidth="1"/>
    <col min="5" max="5" width="9.109375" style="391" customWidth="1"/>
    <col min="6" max="6" width="12.6640625" style="391" customWidth="1"/>
    <col min="7" max="7" width="23.5546875" style="391" customWidth="1"/>
    <col min="8" max="9" width="10" style="391" customWidth="1"/>
    <col min="10" max="10" width="20.5546875" style="391" customWidth="1"/>
    <col min="11" max="11" width="9" style="391" customWidth="1"/>
    <col min="12" max="12" width="12.6640625" style="391" customWidth="1"/>
    <col min="13" max="13" width="8.88671875" style="391"/>
    <col min="14" max="14" width="15" style="391" customWidth="1"/>
    <col min="15" max="16384" width="8.88671875" style="391"/>
  </cols>
  <sheetData>
    <row r="1" spans="1:12" ht="33" customHeight="1" x14ac:dyDescent="0.3">
      <c r="A1" s="389"/>
      <c r="B1" s="256" t="s">
        <v>190</v>
      </c>
      <c r="C1" s="390"/>
      <c r="D1" s="390"/>
      <c r="E1" s="390"/>
      <c r="F1" s="390"/>
      <c r="G1" s="389"/>
      <c r="H1" s="256" t="s">
        <v>190</v>
      </c>
      <c r="I1" s="390"/>
      <c r="J1" s="390"/>
      <c r="K1" s="390"/>
      <c r="L1" s="390"/>
    </row>
    <row r="2" spans="1:12" ht="14.25" customHeight="1" x14ac:dyDescent="0.3">
      <c r="A2" s="392"/>
      <c r="B2" s="392"/>
      <c r="C2" s="392"/>
      <c r="D2" s="392"/>
      <c r="E2" s="392"/>
    </row>
    <row r="3" spans="1:12" ht="14.25" customHeight="1" x14ac:dyDescent="0.3">
      <c r="A3" s="393" t="s">
        <v>165</v>
      </c>
      <c r="B3" s="451" t="str">
        <f>'HSC-AD'!D5</f>
        <v>&lt;Name&gt;</v>
      </c>
      <c r="C3" s="451"/>
      <c r="D3" s="451"/>
      <c r="E3" s="451"/>
      <c r="F3" s="451"/>
      <c r="G3" s="394" t="s">
        <v>306</v>
      </c>
      <c r="H3" s="395" t="str">
        <f>'HSC-AD data'!B147</f>
        <v>Manual adjustment</v>
      </c>
    </row>
    <row r="4" spans="1:12" ht="14.25" customHeight="1" x14ac:dyDescent="0.3">
      <c r="A4" s="393" t="s">
        <v>166</v>
      </c>
      <c r="B4" s="452" t="s">
        <v>168</v>
      </c>
      <c r="C4" s="452"/>
      <c r="D4" s="452"/>
      <c r="E4" s="452"/>
      <c r="F4" s="452"/>
      <c r="G4" s="394"/>
      <c r="H4" s="409" t="str">
        <f>'HSC-AD data'!B183</f>
        <v/>
      </c>
    </row>
    <row r="5" spans="1:12" ht="14.25" customHeight="1" x14ac:dyDescent="0.3">
      <c r="A5" s="393" t="s">
        <v>167</v>
      </c>
      <c r="B5" s="452" t="s">
        <v>168</v>
      </c>
      <c r="C5" s="452"/>
      <c r="D5" s="452"/>
      <c r="E5" s="452"/>
      <c r="F5" s="452"/>
    </row>
    <row r="6" spans="1:12" ht="14.25" customHeight="1" x14ac:dyDescent="0.3">
      <c r="A6" s="395"/>
      <c r="B6" s="395"/>
      <c r="C6" s="395"/>
      <c r="D6" s="395"/>
      <c r="E6" s="395"/>
      <c r="F6" s="395"/>
      <c r="G6" s="393" t="s">
        <v>155</v>
      </c>
      <c r="H6" s="396" t="e">
        <f>'HSC-AD data'!C85</f>
        <v>#N/A</v>
      </c>
    </row>
    <row r="7" spans="1:12" ht="14.25" customHeight="1" x14ac:dyDescent="0.3">
      <c r="A7" s="393" t="s">
        <v>169</v>
      </c>
      <c r="B7" s="395" t="s">
        <v>191</v>
      </c>
      <c r="C7" s="395"/>
      <c r="D7" s="395"/>
      <c r="E7" s="395"/>
      <c r="H7" s="396" t="e">
        <f>'HSC-AD data'!C86</f>
        <v>#N/A</v>
      </c>
    </row>
    <row r="8" spans="1:12" ht="14.25" customHeight="1" x14ac:dyDescent="0.3">
      <c r="A8" s="393"/>
      <c r="B8" s="396" t="s">
        <v>192</v>
      </c>
      <c r="C8" s="395"/>
      <c r="D8" s="395"/>
      <c r="E8" s="395"/>
      <c r="F8" s="395"/>
      <c r="H8" s="396" t="str">
        <f>'HSC-AD data'!C87</f>
        <v>Manual adjustment</v>
      </c>
    </row>
    <row r="9" spans="1:12" ht="14.25" customHeight="1" x14ac:dyDescent="0.3">
      <c r="A9" s="395" t="s">
        <v>18</v>
      </c>
      <c r="B9" s="397" t="str">
        <f>'HSC-AD data'!$C$92</f>
        <v>please select valid size from 'HSC-AD' worksheet</v>
      </c>
      <c r="C9" s="395"/>
      <c r="D9" s="395"/>
      <c r="E9" s="395"/>
      <c r="F9" s="395"/>
      <c r="H9" s="396" t="str">
        <f>'HSC-AD data'!C88</f>
        <v>Powder coated to RAL9003 (signal white)</v>
      </c>
    </row>
    <row r="10" spans="1:12" ht="14.25" customHeight="1" x14ac:dyDescent="0.3">
      <c r="A10" s="395" t="s">
        <v>178</v>
      </c>
      <c r="B10" s="398" t="str">
        <f>VLOOKUP('HSC-AD data'!C36,'HSC-AD data'!C29:G34,4,0)</f>
        <v>Manual adjustment</v>
      </c>
      <c r="C10" s="399"/>
      <c r="D10" s="399"/>
      <c r="E10" s="395"/>
      <c r="F10" s="392"/>
      <c r="H10" s="453" t="str">
        <f>'HSC-AD data'!C89</f>
        <v>Diffuser only</v>
      </c>
      <c r="I10" s="453"/>
      <c r="J10" s="453"/>
    </row>
    <row r="11" spans="1:12" ht="14.25" customHeight="1" x14ac:dyDescent="0.3">
      <c r="A11" s="395"/>
      <c r="B11" s="395"/>
      <c r="C11" s="395"/>
      <c r="E11" s="395"/>
      <c r="F11" s="395"/>
    </row>
    <row r="12" spans="1:12" ht="14.25" customHeight="1" x14ac:dyDescent="0.3">
      <c r="A12" s="394" t="s">
        <v>170</v>
      </c>
      <c r="B12" s="400"/>
      <c r="C12" s="395"/>
      <c r="F12" s="395"/>
      <c r="G12" s="393" t="s">
        <v>549</v>
      </c>
      <c r="H12" s="451" t="str">
        <f>_productcode</f>
        <v>select size to generate order code</v>
      </c>
      <c r="I12" s="451"/>
      <c r="J12" s="451"/>
      <c r="K12" s="451"/>
      <c r="L12" s="451"/>
    </row>
    <row r="13" spans="1:12" ht="14.25" customHeight="1" x14ac:dyDescent="0.3">
      <c r="A13" s="395" t="s">
        <v>189</v>
      </c>
      <c r="B13" s="397" t="e">
        <f>'HSC-AD data'!B135</f>
        <v>#VALUE!</v>
      </c>
      <c r="C13" s="395"/>
      <c r="F13" s="401"/>
    </row>
    <row r="14" spans="1:12" ht="14.25" customHeight="1" x14ac:dyDescent="0.3">
      <c r="A14" s="395" t="s">
        <v>353</v>
      </c>
      <c r="B14" s="397" t="e">
        <f>'HSC-AD data'!B136</f>
        <v>#VALUE!</v>
      </c>
      <c r="D14" s="395"/>
      <c r="F14" s="401"/>
      <c r="G14" s="393" t="s">
        <v>534</v>
      </c>
      <c r="H14" s="395" t="s">
        <v>557</v>
      </c>
    </row>
    <row r="15" spans="1:12" ht="14.25" customHeight="1" x14ac:dyDescent="0.3">
      <c r="A15" s="395" t="s">
        <v>291</v>
      </c>
      <c r="B15" s="397" t="e">
        <f>'HSC-AD data'!B137</f>
        <v>#VALUE!</v>
      </c>
      <c r="C15" s="395"/>
      <c r="E15" s="401"/>
      <c r="F15" s="401"/>
      <c r="H15" s="450" t="s">
        <v>558</v>
      </c>
      <c r="I15" s="450"/>
      <c r="J15" s="450"/>
      <c r="K15" s="450"/>
      <c r="L15" s="450"/>
    </row>
    <row r="16" spans="1:12" ht="14.25" customHeight="1" x14ac:dyDescent="0.3">
      <c r="A16" s="395" t="s">
        <v>352</v>
      </c>
      <c r="B16" s="397" t="e">
        <f>'HSC-AD data'!B138</f>
        <v>#N/A</v>
      </c>
      <c r="C16" s="395"/>
      <c r="F16" s="397"/>
      <c r="H16" s="450"/>
      <c r="I16" s="450"/>
      <c r="J16" s="450"/>
      <c r="K16" s="450"/>
      <c r="L16" s="450"/>
    </row>
    <row r="17" spans="1:6" ht="14.25" customHeight="1" x14ac:dyDescent="0.3">
      <c r="C17" s="395"/>
      <c r="D17" s="395"/>
      <c r="E17" s="395"/>
      <c r="F17" s="397"/>
    </row>
    <row r="18" spans="1:6" ht="14.25" customHeight="1" x14ac:dyDescent="0.3">
      <c r="A18" s="394" t="s">
        <v>171</v>
      </c>
      <c r="B18" s="395"/>
      <c r="C18" s="395"/>
      <c r="D18" s="396"/>
    </row>
    <row r="19" spans="1:6" ht="14.25" customHeight="1" x14ac:dyDescent="0.3">
      <c r="A19" s="395" t="s">
        <v>40</v>
      </c>
      <c r="B19" s="397" t="e">
        <f>'HSC-AD data'!C151</f>
        <v>#VALUE!</v>
      </c>
      <c r="C19" s="395"/>
      <c r="D19" s="395"/>
      <c r="E19" s="395"/>
      <c r="F19" s="402"/>
    </row>
    <row r="20" spans="1:6" ht="14.25" customHeight="1" x14ac:dyDescent="0.3">
      <c r="A20" s="395"/>
      <c r="B20" s="397"/>
      <c r="C20" s="395"/>
      <c r="D20" s="395"/>
      <c r="E20" s="395"/>
      <c r="F20" s="402"/>
    </row>
    <row r="21" spans="1:6" ht="14.25" customHeight="1" x14ac:dyDescent="0.3">
      <c r="A21" s="394" t="s">
        <v>307</v>
      </c>
      <c r="D21" s="395"/>
      <c r="E21" s="395"/>
      <c r="F21" s="395"/>
    </row>
    <row r="22" spans="1:6" ht="14.25" customHeight="1" x14ac:dyDescent="0.3">
      <c r="A22" s="395" t="s">
        <v>73</v>
      </c>
      <c r="B22" s="403" t="str">
        <f>'HSC-AD data'!B172</f>
        <v>≥ 90%</v>
      </c>
      <c r="C22" s="403" t="s">
        <v>375</v>
      </c>
      <c r="D22" s="395"/>
      <c r="E22" s="395"/>
      <c r="F22" s="395"/>
    </row>
    <row r="23" spans="1:6" ht="14.25" customHeight="1" x14ac:dyDescent="0.3">
      <c r="A23" s="395" t="s">
        <v>528</v>
      </c>
      <c r="B23" s="404" t="str">
        <f>'HSC-AD data'!B173</f>
        <v>Freely Suspended</v>
      </c>
      <c r="D23" s="395"/>
      <c r="E23" s="395"/>
      <c r="F23" s="395"/>
    </row>
    <row r="24" spans="1:6" ht="14.25" customHeight="1" x14ac:dyDescent="0.3">
      <c r="A24" s="395" t="s">
        <v>173</v>
      </c>
      <c r="B24" s="403" t="e">
        <f>'HSC-AD data'!B174</f>
        <v>#VALUE!</v>
      </c>
      <c r="D24" s="395"/>
      <c r="E24" s="395"/>
      <c r="F24" s="395"/>
    </row>
    <row r="25" spans="1:6" ht="14.25" customHeight="1" x14ac:dyDescent="0.3">
      <c r="A25" s="395" t="s">
        <v>294</v>
      </c>
      <c r="B25" s="403" t="e">
        <f>'HSC-AD data'!B175</f>
        <v>#VALUE!</v>
      </c>
      <c r="D25" s="395"/>
      <c r="E25" s="395"/>
      <c r="F25" s="395"/>
    </row>
    <row r="26" spans="1:6" ht="14.25" customHeight="1" x14ac:dyDescent="0.3">
      <c r="A26" s="395" t="s">
        <v>76</v>
      </c>
      <c r="B26" s="403" t="e">
        <f>'HSC-AD data'!B176</f>
        <v>#VALUE!</v>
      </c>
      <c r="D26" s="395"/>
      <c r="E26" s="395"/>
      <c r="F26" s="395"/>
    </row>
    <row r="27" spans="1:6" ht="14.25" customHeight="1" x14ac:dyDescent="0.3">
      <c r="A27" s="395" t="s">
        <v>174</v>
      </c>
      <c r="B27" s="403" t="str">
        <f>'HSC-AD data'!B177</f>
        <v>Category PPD Class</v>
      </c>
      <c r="D27" s="395"/>
      <c r="E27" s="395"/>
      <c r="F27" s="395"/>
    </row>
    <row r="28" spans="1:6" ht="14.25" customHeight="1" x14ac:dyDescent="0.3">
      <c r="A28" s="395" t="s">
        <v>295</v>
      </c>
      <c r="B28" s="405" t="str">
        <f>'HSC-AD data'!B178</f>
        <v>-PMV ≤ PMV ≤ PMV</v>
      </c>
      <c r="D28" s="395"/>
      <c r="E28" s="395"/>
      <c r="F28" s="395"/>
    </row>
    <row r="29" spans="1:6" ht="14.25" customHeight="1" x14ac:dyDescent="0.3">
      <c r="A29" s="406" t="s">
        <v>296</v>
      </c>
      <c r="B29" s="395"/>
      <c r="C29" s="395"/>
      <c r="D29" s="395"/>
      <c r="E29" s="395"/>
      <c r="F29" s="395"/>
    </row>
    <row r="30" spans="1:6" ht="14.25" customHeight="1" x14ac:dyDescent="0.3">
      <c r="A30" s="395"/>
      <c r="B30" s="395"/>
      <c r="C30" s="395"/>
      <c r="D30" s="395"/>
      <c r="E30" s="395"/>
      <c r="F30" s="395"/>
    </row>
    <row r="31" spans="1:6" ht="14.25" customHeight="1" x14ac:dyDescent="0.3">
      <c r="A31" s="395"/>
      <c r="B31" s="395"/>
      <c r="C31" s="395"/>
      <c r="D31" s="395"/>
      <c r="E31" s="395"/>
      <c r="F31" s="395"/>
    </row>
    <row r="32" spans="1:6" ht="14.25" customHeight="1" x14ac:dyDescent="0.3">
      <c r="C32" s="395"/>
      <c r="D32" s="395"/>
      <c r="E32" s="395"/>
      <c r="F32" s="395"/>
    </row>
    <row r="33" spans="3:6" ht="14.25" customHeight="1" x14ac:dyDescent="0.3">
      <c r="C33" s="407"/>
      <c r="D33" s="407"/>
      <c r="E33" s="407"/>
      <c r="F33" s="407"/>
    </row>
    <row r="34" spans="3:6" ht="14.25" customHeight="1" x14ac:dyDescent="0.3">
      <c r="C34" s="395"/>
      <c r="D34" s="395"/>
      <c r="E34" s="395"/>
      <c r="F34" s="395"/>
    </row>
    <row r="35" spans="3:6" ht="14.25" customHeight="1" x14ac:dyDescent="0.3">
      <c r="E35" s="395"/>
      <c r="F35" s="395"/>
    </row>
    <row r="36" spans="3:6" ht="14.25" customHeight="1" x14ac:dyDescent="0.3">
      <c r="C36" s="392"/>
      <c r="D36" s="392"/>
      <c r="E36" s="392"/>
      <c r="F36" s="392"/>
    </row>
    <row r="37" spans="3:6" ht="14.25" customHeight="1" x14ac:dyDescent="0.3">
      <c r="C37" s="392"/>
      <c r="D37" s="392"/>
      <c r="E37" s="392"/>
      <c r="F37" s="392"/>
    </row>
    <row r="38" spans="3:6" ht="14.25" customHeight="1" x14ac:dyDescent="0.3">
      <c r="C38" s="392"/>
      <c r="D38" s="392"/>
      <c r="E38" s="392"/>
      <c r="F38" s="392"/>
    </row>
    <row r="39" spans="3:6" ht="14.25" customHeight="1" x14ac:dyDescent="0.3">
      <c r="C39" s="392"/>
      <c r="D39" s="392"/>
      <c r="E39" s="392"/>
      <c r="F39" s="392"/>
    </row>
    <row r="40" spans="3:6" ht="14.25" customHeight="1" x14ac:dyDescent="0.3"/>
    <row r="41" spans="3:6" ht="14.25" customHeight="1" x14ac:dyDescent="0.3"/>
    <row r="42" spans="3:6" ht="14.25" customHeight="1" x14ac:dyDescent="0.3"/>
    <row r="43" spans="3:6" ht="14.25" customHeight="1" x14ac:dyDescent="0.3"/>
    <row r="44" spans="3:6" ht="14.25" customHeight="1" x14ac:dyDescent="0.3"/>
    <row r="45" spans="3:6" ht="14.25" customHeight="1" x14ac:dyDescent="0.3"/>
    <row r="46" spans="3:6" ht="14.25" customHeight="1" x14ac:dyDescent="0.3"/>
    <row r="47" spans="3:6" ht="14.25" customHeight="1" x14ac:dyDescent="0.3"/>
    <row r="48" spans="3:6" ht="14.25" customHeight="1" x14ac:dyDescent="0.3"/>
    <row r="49" spans="1:12" ht="14.25" customHeight="1" x14ac:dyDescent="0.3"/>
    <row r="50" spans="1:12" ht="14.25" customHeight="1" x14ac:dyDescent="0.3">
      <c r="C50" s="392"/>
      <c r="D50" s="392"/>
      <c r="E50" s="392"/>
      <c r="F50" s="408" t="str">
        <f>'HSC-AD'!$AA$7</f>
        <v>v 8.2 [03/26]</v>
      </c>
      <c r="L50" s="408" t="str">
        <f>'HSC-AD'!$AA$7</f>
        <v>v 8.2 [03/26]</v>
      </c>
    </row>
    <row r="51" spans="1:12" ht="15.6" x14ac:dyDescent="0.3">
      <c r="A51" s="392"/>
      <c r="E51" s="392"/>
      <c r="F51" s="392"/>
    </row>
    <row r="52" spans="1:12" ht="15.6" x14ac:dyDescent="0.3">
      <c r="F52" s="392"/>
    </row>
  </sheetData>
  <sheetProtection algorithmName="SHA-512" hashValue="3sZNKv9KonpYfq02v1aGgL9zI6n3B11Ll9p81uXVqx98w74hjapjk9pzvlu0zL1PWEhBwxhbjIktfihX+4G7iw==" saltValue="f9QauIUh70KOfZg4KF7ZLg==" spinCount="100000" sheet="1" selectLockedCells="1"/>
  <mergeCells count="6">
    <mergeCell ref="H15:L16"/>
    <mergeCell ref="B3:F3"/>
    <mergeCell ref="B4:F4"/>
    <mergeCell ref="B5:F5"/>
    <mergeCell ref="H10:J10"/>
    <mergeCell ref="H12:L12"/>
  </mergeCells>
  <conditionalFormatting sqref="B9">
    <cfRule type="expression" dxfId="0" priority="1">
      <formula>LEFT($B$9,1)="p"</formula>
    </cfRule>
  </conditionalFormatting>
  <pageMargins left="0.7" right="0.7" top="0.75" bottom="0.75" header="0.3" footer="0.3"/>
  <pageSetup paperSize="9" orientation="portrait" horizontalDpi="1200" verticalDpi="1200" r:id="rId1"/>
  <headerFooter>
    <oddFooter>&amp;R&amp;10&amp;K01+023© 2025 SMARTAIR DIFFUSION</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bbb3e3-3c65-4cbd-bb41-bc965094d10a">
      <Terms xmlns="http://schemas.microsoft.com/office/infopath/2007/PartnerControls"/>
    </lcf76f155ced4ddcb4097134ff3c332f>
    <TaxCatchAll xmlns="376dd4ba-df4a-4846-a89c-1b53ce3cc7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4504A946ECCA4C952722432686889E" ma:contentTypeVersion="16" ma:contentTypeDescription="Create a new document." ma:contentTypeScope="" ma:versionID="500d7c744ff6b37d1f06374982362126">
  <xsd:schema xmlns:xsd="http://www.w3.org/2001/XMLSchema" xmlns:xs="http://www.w3.org/2001/XMLSchema" xmlns:p="http://schemas.microsoft.com/office/2006/metadata/properties" xmlns:ns2="14bbb3e3-3c65-4cbd-bb41-bc965094d10a" xmlns:ns3="376dd4ba-df4a-4846-a89c-1b53ce3cc703" targetNamespace="http://schemas.microsoft.com/office/2006/metadata/properties" ma:root="true" ma:fieldsID="7467a0775a9a388eaff1adb49d006af6" ns2:_="" ns3:_="">
    <xsd:import namespace="14bbb3e3-3c65-4cbd-bb41-bc965094d10a"/>
    <xsd:import namespace="376dd4ba-df4a-4846-a89c-1b53ce3cc70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bbb3e3-3c65-4cbd-bb41-bc965094d1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5099de3-f43e-464c-81e1-892210f719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76dd4ba-df4a-4846-a89c-1b53ce3cc7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a1b3306-80d9-4625-86be-7037c69e3b39}" ma:internalName="TaxCatchAll" ma:showField="CatchAllData" ma:web="376dd4ba-df4a-4846-a89c-1b53ce3cc7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0769C4-87EF-4D06-ADCF-44FF8023F8CB}">
  <ds:schemaRefs>
    <ds:schemaRef ds:uri="http://www.w3.org/XML/1998/namespace"/>
    <ds:schemaRef ds:uri="http://purl.org/dc/terms/"/>
    <ds:schemaRef ds:uri="http://purl.org/dc/elements/1.1/"/>
    <ds:schemaRef ds:uri="http://schemas.microsoft.com/office/2006/metadata/properties"/>
    <ds:schemaRef ds:uri="http://schemas.openxmlformats.org/package/2006/metadata/core-properties"/>
    <ds:schemaRef ds:uri="14bbb3e3-3c65-4cbd-bb41-bc965094d10a"/>
    <ds:schemaRef ds:uri="http://schemas.microsoft.com/office/2006/documentManagement/types"/>
    <ds:schemaRef ds:uri="http://schemas.microsoft.com/office/infopath/2007/PartnerControls"/>
    <ds:schemaRef ds:uri="http://purl.org/dc/dcmitype/"/>
    <ds:schemaRef ds:uri="376dd4ba-df4a-4846-a89c-1b53ce3cc703"/>
  </ds:schemaRefs>
</ds:datastoreItem>
</file>

<file path=customXml/itemProps2.xml><?xml version="1.0" encoding="utf-8"?>
<ds:datastoreItem xmlns:ds="http://schemas.openxmlformats.org/officeDocument/2006/customXml" ds:itemID="{5490CD3D-963F-4978-A961-465331856FD3}">
  <ds:schemaRefs>
    <ds:schemaRef ds:uri="http://schemas.microsoft.com/sharepoint/v3/contenttype/forms"/>
  </ds:schemaRefs>
</ds:datastoreItem>
</file>

<file path=customXml/itemProps3.xml><?xml version="1.0" encoding="utf-8"?>
<ds:datastoreItem xmlns:ds="http://schemas.openxmlformats.org/officeDocument/2006/customXml" ds:itemID="{1D5868AF-77BA-48D6-B3D6-7B34321AB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bbb3e3-3c65-4cbd-bb41-bc965094d10a"/>
    <ds:schemaRef ds:uri="376dd4ba-df4a-4846-a89c-1b53ce3cc7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HSC-AD</vt:lpstr>
      <vt:lpstr>Equations HSC-AD</vt:lpstr>
      <vt:lpstr>Notes &amp; Drawings</vt:lpstr>
      <vt:lpstr>Acoustic_Tool</vt:lpstr>
      <vt:lpstr>Heating </vt:lpstr>
      <vt:lpstr>HSC-AD data</vt:lpstr>
      <vt:lpstr>Charts</vt:lpstr>
      <vt:lpstr>Selection Summary &amp; Print</vt:lpstr>
      <vt:lpstr>Tender Text</vt:lpstr>
      <vt:lpstr>_productcode</vt:lpstr>
      <vt:lpstr>adpi.</vt:lpstr>
      <vt:lpstr>face250</vt:lpstr>
      <vt:lpstr>face355</vt:lpstr>
      <vt:lpstr>face500</vt:lpstr>
      <vt:lpstr>size.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Tran</dc:creator>
  <cp:lastModifiedBy>Peter Tran</cp:lastModifiedBy>
  <cp:lastPrinted>2023-09-05T05:22:52Z</cp:lastPrinted>
  <dcterms:created xsi:type="dcterms:W3CDTF">2017-04-03T05:28:18Z</dcterms:created>
  <dcterms:modified xsi:type="dcterms:W3CDTF">2026-03-02T09:23:39Z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0x010100E34504A946ECCA4C952722432686889E</vt:lpwstr>
  </property>
  <property fmtid="{D5CDD505-2E9C-101B-9397-08002B2CF9AE}" pid="3" name="MediaServiceImageTags">
    <vt:lpwstr/>
  </property>
</Properties>
</file>