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vsdx" ContentType="application/vnd.ms-visio.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88369f42e4cf940/Documents/Work/Smartair/CNW-AD/"/>
    </mc:Choice>
  </mc:AlternateContent>
  <xr:revisionPtr revIDLastSave="736" documentId="8_{770E242F-03EF-4E44-997E-4332A191009A}" xr6:coauthVersionLast="47" xr6:coauthVersionMax="47" xr10:uidLastSave="{4FEECF9B-879C-4FD1-AD48-DA33551264B1}"/>
  <workbookProtection workbookAlgorithmName="SHA-512" workbookHashValue="5LiTaG7V0QCdhF5w84vLoeLyBaLNLyabKqQ9Dw/jsxSMySEnr+0tAPFd0RlL1cVZ3SzxbO2AA/Ra96gopuO49A==" workbookSaltValue="rQuHc2e+esIvk+nZ43KPfA==" workbookSpinCount="100000" lockStructure="1"/>
  <bookViews>
    <workbookView xWindow="7560" yWindow="3435" windowWidth="42420" windowHeight="17685" xr2:uid="{D55DA2ED-909F-49D4-A8ED-6E703B4BA2AC}"/>
  </bookViews>
  <sheets>
    <sheet name="CNW-AD" sheetId="1" r:id="rId1"/>
    <sheet name="CNW-ADequations" sheetId="5" state="hidden" r:id="rId2"/>
    <sheet name="Notes" sheetId="6" r:id="rId3"/>
    <sheet name="CNW-AD Data" sheetId="8" state="hidden" r:id="rId4"/>
    <sheet name="CNW-ADsizing" sheetId="7" state="hidden" r:id="rId5"/>
    <sheet name="Selection Summary" sheetId="9" r:id="rId6"/>
  </sheets>
  <definedNames>
    <definedName name="_DN200size">'CNW-ADsizing'!$B$10:$B$15</definedName>
    <definedName name="_DN250size">'CNW-ADsizing'!$C$10:$C$15</definedName>
    <definedName name="_DN315size">'CNW-ADsizing'!$D$10:$D$15</definedName>
    <definedName name="_DN400size">'CNW-ADsizing'!$E$10:$E$15</definedName>
    <definedName name="_DN500size">'CNW-ADsizing'!$F$10:$F$15</definedName>
    <definedName name="_DN630size">'CNW-ADsizing'!$G$10:$G$15</definedName>
    <definedName name="_order_code">'CNW-AD Data'!$C$58</definedName>
    <definedName name="_sizes">'CNW-ADsizing'!$A$1:$A$6</definedName>
    <definedName name="solver_eng" localSheetId="0" hidden="1">1</definedName>
    <definedName name="solver_neg" localSheetId="0" hidden="1">1</definedName>
    <definedName name="solver_num" localSheetId="0" hidden="1">0</definedName>
    <definedName name="solver_opt" localSheetId="0" hidden="1">'CNW-AD'!$K$11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5" l="1"/>
  <c r="B14" i="5"/>
  <c r="B25" i="5"/>
  <c r="B6" i="5"/>
  <c r="B12" i="5"/>
  <c r="B35" i="5"/>
  <c r="B43" i="5"/>
  <c r="B44" i="5"/>
  <c r="C101" i="5"/>
  <c r="C122" i="5"/>
  <c r="C141" i="5"/>
  <c r="C160" i="5"/>
  <c r="C178" i="5"/>
  <c r="C180" i="5"/>
  <c r="K189" i="5"/>
  <c r="J189" i="5"/>
  <c r="B19" i="5"/>
  <c r="F35" i="5"/>
  <c r="F45" i="5"/>
  <c r="D102" i="5"/>
  <c r="D123" i="5"/>
  <c r="D142" i="5"/>
  <c r="D161" i="5"/>
  <c r="D189" i="5"/>
  <c r="J35" i="5"/>
  <c r="J45" i="5"/>
  <c r="E102" i="5"/>
  <c r="E123" i="5"/>
  <c r="E142" i="5"/>
  <c r="E161" i="5"/>
  <c r="E189" i="5"/>
  <c r="N35" i="5"/>
  <c r="N45" i="5"/>
  <c r="F102" i="5"/>
  <c r="F123" i="5"/>
  <c r="F142" i="5"/>
  <c r="F161" i="5"/>
  <c r="F189" i="5"/>
  <c r="R35" i="5"/>
  <c r="R45" i="5"/>
  <c r="G102" i="5"/>
  <c r="G123" i="5"/>
  <c r="G142" i="5"/>
  <c r="G161" i="5"/>
  <c r="G189" i="5"/>
  <c r="V35" i="5"/>
  <c r="V45" i="5"/>
  <c r="H102" i="5"/>
  <c r="H123" i="5"/>
  <c r="H142" i="5"/>
  <c r="H161" i="5"/>
  <c r="H189" i="5"/>
  <c r="B45" i="5"/>
  <c r="C102" i="5"/>
  <c r="C123" i="5"/>
  <c r="C142" i="5"/>
  <c r="C161" i="5"/>
  <c r="C189" i="5"/>
  <c r="B47" i="8"/>
  <c r="D47" i="8"/>
  <c r="D49" i="8"/>
  <c r="D56" i="8"/>
  <c r="C34" i="8"/>
  <c r="C58" i="8"/>
  <c r="B48" i="9"/>
  <c r="G49" i="1"/>
  <c r="C10" i="8"/>
  <c r="C5" i="8"/>
  <c r="D3" i="5"/>
  <c r="C24" i="8"/>
  <c r="D63" i="8"/>
  <c r="B29" i="5"/>
  <c r="F33" i="5"/>
  <c r="F90" i="5"/>
  <c r="D109" i="5"/>
  <c r="D130" i="5"/>
  <c r="J90" i="5"/>
  <c r="E109" i="5"/>
  <c r="E130" i="5"/>
  <c r="N33" i="5"/>
  <c r="N90" i="5"/>
  <c r="F109" i="5"/>
  <c r="F130" i="5"/>
  <c r="R33" i="5"/>
  <c r="R90" i="5"/>
  <c r="G109" i="5"/>
  <c r="G130" i="5"/>
  <c r="V33" i="5"/>
  <c r="V90" i="5"/>
  <c r="H109" i="5"/>
  <c r="H130" i="5"/>
  <c r="Z33" i="5"/>
  <c r="Z90" i="5"/>
  <c r="I109" i="5"/>
  <c r="I130" i="5"/>
  <c r="AD90" i="5"/>
  <c r="J109" i="5"/>
  <c r="J130" i="5"/>
  <c r="AH90" i="5"/>
  <c r="K109" i="5"/>
  <c r="K130" i="5"/>
  <c r="AL32" i="5"/>
  <c r="AL33" i="5"/>
  <c r="AL90" i="5"/>
  <c r="L109" i="5"/>
  <c r="L130" i="5"/>
  <c r="AP32" i="5"/>
  <c r="AP33" i="5"/>
  <c r="AP90" i="5"/>
  <c r="M109" i="5"/>
  <c r="M130" i="5"/>
  <c r="B90" i="5"/>
  <c r="C109" i="5"/>
  <c r="C130" i="5"/>
  <c r="AT90" i="5"/>
  <c r="J32" i="5"/>
  <c r="AD32" i="5"/>
  <c r="B32" i="5"/>
  <c r="C77" i="8"/>
  <c r="I46" i="1"/>
  <c r="B7" i="5"/>
  <c r="D10" i="1"/>
  <c r="B4" i="5"/>
  <c r="N38" i="5"/>
  <c r="AH38" i="5"/>
  <c r="AH49" i="5"/>
  <c r="R38" i="5"/>
  <c r="AL38" i="5"/>
  <c r="V38" i="5"/>
  <c r="AP38" i="5"/>
  <c r="J38" i="5"/>
  <c r="AD38" i="5"/>
  <c r="F38" i="5"/>
  <c r="Z38" i="5"/>
  <c r="Z49" i="5"/>
  <c r="R49" i="5"/>
  <c r="V49" i="5"/>
  <c r="F49" i="5"/>
  <c r="J49" i="5"/>
  <c r="N49" i="5"/>
  <c r="B38" i="5"/>
  <c r="B49" i="5"/>
  <c r="V34" i="5"/>
  <c r="B22" i="5"/>
  <c r="V59" i="5"/>
  <c r="V60" i="5"/>
  <c r="V63" i="5"/>
  <c r="V64" i="5"/>
  <c r="V65" i="5"/>
  <c r="V67" i="5"/>
  <c r="V79" i="5"/>
  <c r="V82" i="5"/>
  <c r="H104" i="5"/>
  <c r="H125" i="5"/>
  <c r="AP34" i="5"/>
  <c r="AP35" i="5"/>
  <c r="AP59" i="5"/>
  <c r="AP60" i="5"/>
  <c r="AP63" i="5"/>
  <c r="AP64" i="5"/>
  <c r="AP65" i="5"/>
  <c r="AP67" i="5"/>
  <c r="AP79" i="5"/>
  <c r="AP82" i="5"/>
  <c r="M104" i="5"/>
  <c r="M125" i="5"/>
  <c r="H144" i="5"/>
  <c r="H163" i="5"/>
  <c r="F34" i="5"/>
  <c r="F59" i="5"/>
  <c r="F60" i="5"/>
  <c r="F63" i="5"/>
  <c r="F64" i="5"/>
  <c r="F65" i="5"/>
  <c r="F67" i="5"/>
  <c r="F73" i="5"/>
  <c r="F70" i="5"/>
  <c r="F71" i="5"/>
  <c r="F72" i="5"/>
  <c r="F74" i="5"/>
  <c r="F76" i="5"/>
  <c r="B21" i="5"/>
  <c r="F53" i="5"/>
  <c r="F54" i="5"/>
  <c r="F55" i="5"/>
  <c r="F77" i="5"/>
  <c r="F89" i="5"/>
  <c r="D108" i="5"/>
  <c r="D129" i="5"/>
  <c r="Z34" i="5"/>
  <c r="Z35" i="5"/>
  <c r="Z59" i="5"/>
  <c r="Z60" i="5"/>
  <c r="Z63" i="5"/>
  <c r="Z64" i="5"/>
  <c r="Z65" i="5"/>
  <c r="Z67" i="5"/>
  <c r="Z76" i="5"/>
  <c r="Z53" i="5"/>
  <c r="Z54" i="5"/>
  <c r="Z55" i="5"/>
  <c r="Z77" i="5"/>
  <c r="Z89" i="5"/>
  <c r="I108" i="5"/>
  <c r="I129" i="5"/>
  <c r="D148" i="5"/>
  <c r="D167" i="5"/>
  <c r="R34" i="5"/>
  <c r="R59" i="5"/>
  <c r="R60" i="5"/>
  <c r="R63" i="5"/>
  <c r="R64" i="5"/>
  <c r="R65" i="5"/>
  <c r="R67" i="5"/>
  <c r="R73" i="5"/>
  <c r="R70" i="5"/>
  <c r="R71" i="5"/>
  <c r="R72" i="5"/>
  <c r="R74" i="5"/>
  <c r="R76" i="5"/>
  <c r="R53" i="5"/>
  <c r="R54" i="5"/>
  <c r="R55" i="5"/>
  <c r="R77" i="5"/>
  <c r="R89" i="5"/>
  <c r="G108" i="5"/>
  <c r="G129" i="5"/>
  <c r="AL34" i="5"/>
  <c r="AL35" i="5"/>
  <c r="AL59" i="5"/>
  <c r="AL60" i="5"/>
  <c r="AL63" i="5"/>
  <c r="AL64" i="5"/>
  <c r="AL65" i="5"/>
  <c r="AL67" i="5"/>
  <c r="AL76" i="5"/>
  <c r="AL53" i="5"/>
  <c r="AL54" i="5"/>
  <c r="AL55" i="5"/>
  <c r="AL77" i="5"/>
  <c r="AL89" i="5"/>
  <c r="L108" i="5"/>
  <c r="L129" i="5"/>
  <c r="G148" i="5"/>
  <c r="G167" i="5"/>
  <c r="N34" i="5"/>
  <c r="N59" i="5"/>
  <c r="N60" i="5"/>
  <c r="N63" i="5"/>
  <c r="N64" i="5"/>
  <c r="N65" i="5"/>
  <c r="N67" i="5"/>
  <c r="N73" i="5"/>
  <c r="N70" i="5"/>
  <c r="N71" i="5"/>
  <c r="N72" i="5"/>
  <c r="N74" i="5"/>
  <c r="N76" i="5"/>
  <c r="N53" i="5"/>
  <c r="N54" i="5"/>
  <c r="N55" i="5"/>
  <c r="N77" i="5"/>
  <c r="N89" i="5"/>
  <c r="F108" i="5"/>
  <c r="F129" i="5"/>
  <c r="AH34" i="5"/>
  <c r="AH35" i="5"/>
  <c r="AH59" i="5"/>
  <c r="AH60" i="5"/>
  <c r="AH63" i="5"/>
  <c r="AH64" i="5"/>
  <c r="AH65" i="5"/>
  <c r="AH67" i="5"/>
  <c r="AH76" i="5"/>
  <c r="AH53" i="5"/>
  <c r="AH54" i="5"/>
  <c r="AH55" i="5"/>
  <c r="AH77" i="5"/>
  <c r="AH89" i="5"/>
  <c r="K108" i="5"/>
  <c r="K129" i="5"/>
  <c r="F148" i="5"/>
  <c r="F167" i="5"/>
  <c r="B167" i="5"/>
  <c r="V73" i="5"/>
  <c r="V70" i="5"/>
  <c r="V71" i="5"/>
  <c r="V72" i="5"/>
  <c r="V74" i="5"/>
  <c r="V76" i="5"/>
  <c r="V53" i="5"/>
  <c r="V54" i="5"/>
  <c r="V55" i="5"/>
  <c r="V77" i="5"/>
  <c r="V89" i="5"/>
  <c r="H108" i="5"/>
  <c r="H129" i="5"/>
  <c r="AP76" i="5"/>
  <c r="AP53" i="5"/>
  <c r="AP54" i="5"/>
  <c r="AP55" i="5"/>
  <c r="AP77" i="5"/>
  <c r="AP89" i="5"/>
  <c r="M108" i="5"/>
  <c r="M129" i="5"/>
  <c r="H148" i="5"/>
  <c r="H167" i="5"/>
  <c r="J34" i="5"/>
  <c r="J59" i="5"/>
  <c r="J60" i="5"/>
  <c r="J63" i="5"/>
  <c r="J64" i="5"/>
  <c r="J65" i="5"/>
  <c r="J67" i="5"/>
  <c r="J76" i="5"/>
  <c r="J53" i="5"/>
  <c r="J54" i="5"/>
  <c r="J55" i="5"/>
  <c r="J77" i="5"/>
  <c r="J89" i="5"/>
  <c r="E108" i="5"/>
  <c r="E129" i="5"/>
  <c r="AD34" i="5"/>
  <c r="AD35" i="5"/>
  <c r="AD59" i="5"/>
  <c r="AD60" i="5"/>
  <c r="AD63" i="5"/>
  <c r="AD64" i="5"/>
  <c r="AD65" i="5"/>
  <c r="AD67" i="5"/>
  <c r="AD76" i="5"/>
  <c r="AD53" i="5"/>
  <c r="AD54" i="5"/>
  <c r="AD55" i="5"/>
  <c r="AD77" i="5"/>
  <c r="AD89" i="5"/>
  <c r="J108" i="5"/>
  <c r="J129" i="5"/>
  <c r="E148" i="5"/>
  <c r="E167" i="5"/>
  <c r="C17" i="8"/>
  <c r="D17" i="8"/>
  <c r="C73" i="8"/>
  <c r="D106" i="5"/>
  <c r="D127" i="5"/>
  <c r="I106" i="5"/>
  <c r="I127" i="5"/>
  <c r="D146" i="5"/>
  <c r="D165" i="5"/>
  <c r="G106" i="5"/>
  <c r="G127" i="5"/>
  <c r="L106" i="5"/>
  <c r="L127" i="5"/>
  <c r="G146" i="5"/>
  <c r="G165" i="5"/>
  <c r="F106" i="5"/>
  <c r="F127" i="5"/>
  <c r="K106" i="5"/>
  <c r="K127" i="5"/>
  <c r="F146" i="5"/>
  <c r="F165" i="5"/>
  <c r="H106" i="5"/>
  <c r="H127" i="5"/>
  <c r="M106" i="5"/>
  <c r="M127" i="5"/>
  <c r="H146" i="5"/>
  <c r="H165" i="5"/>
  <c r="E106" i="5"/>
  <c r="E127" i="5"/>
  <c r="J106" i="5"/>
  <c r="J127" i="5"/>
  <c r="E146" i="5"/>
  <c r="E165" i="5"/>
  <c r="C15" i="8"/>
  <c r="D15" i="8"/>
  <c r="D105" i="5"/>
  <c r="D126" i="5"/>
  <c r="I105" i="5"/>
  <c r="I126" i="5"/>
  <c r="D145" i="5"/>
  <c r="D164" i="5"/>
  <c r="G105" i="5"/>
  <c r="G126" i="5"/>
  <c r="L105" i="5"/>
  <c r="L126" i="5"/>
  <c r="G145" i="5"/>
  <c r="G164" i="5"/>
  <c r="F105" i="5"/>
  <c r="F126" i="5"/>
  <c r="K105" i="5"/>
  <c r="K126" i="5"/>
  <c r="F145" i="5"/>
  <c r="F164" i="5"/>
  <c r="H105" i="5"/>
  <c r="H126" i="5"/>
  <c r="M105" i="5"/>
  <c r="M126" i="5"/>
  <c r="H145" i="5"/>
  <c r="H164" i="5"/>
  <c r="E105" i="5"/>
  <c r="E126" i="5"/>
  <c r="J105" i="5"/>
  <c r="J126" i="5"/>
  <c r="E145" i="5"/>
  <c r="E164" i="5"/>
  <c r="C14" i="8"/>
  <c r="D14" i="8"/>
  <c r="F47" i="8"/>
  <c r="E47" i="8"/>
  <c r="C50" i="8"/>
  <c r="Z70" i="5"/>
  <c r="Z71" i="5"/>
  <c r="Z72" i="5"/>
  <c r="F85" i="5"/>
  <c r="D107" i="5"/>
  <c r="D128" i="5"/>
  <c r="Z85" i="5"/>
  <c r="I107" i="5"/>
  <c r="I128" i="5"/>
  <c r="D147" i="5"/>
  <c r="D166" i="5"/>
  <c r="D186" i="5"/>
  <c r="AD70" i="5"/>
  <c r="AD71" i="5"/>
  <c r="AD72" i="5"/>
  <c r="J70" i="5"/>
  <c r="J72" i="5"/>
  <c r="N85" i="5"/>
  <c r="F107" i="5"/>
  <c r="F128" i="5"/>
  <c r="AH85" i="5"/>
  <c r="K107" i="5"/>
  <c r="K128" i="5"/>
  <c r="F147" i="5"/>
  <c r="F166" i="5"/>
  <c r="F186" i="5"/>
  <c r="AL49" i="5"/>
  <c r="AL73" i="5"/>
  <c r="AL70" i="5"/>
  <c r="AL71" i="5"/>
  <c r="AL72" i="5"/>
  <c r="AL74" i="5"/>
  <c r="AL85" i="5"/>
  <c r="L107" i="5"/>
  <c r="L128" i="5"/>
  <c r="R85" i="5"/>
  <c r="G107" i="5"/>
  <c r="G128" i="5"/>
  <c r="G147" i="5"/>
  <c r="G166" i="5"/>
  <c r="G186" i="5"/>
  <c r="AP49" i="5"/>
  <c r="V85" i="5"/>
  <c r="H107" i="5"/>
  <c r="H128" i="5"/>
  <c r="AP85" i="5"/>
  <c r="M107" i="5"/>
  <c r="M128" i="5"/>
  <c r="H147" i="5"/>
  <c r="H166" i="5"/>
  <c r="H186" i="5"/>
  <c r="B34" i="5"/>
  <c r="B60" i="5"/>
  <c r="B70" i="5"/>
  <c r="B72" i="5"/>
  <c r="C195" i="5"/>
  <c r="I113" i="5"/>
  <c r="E113" i="5"/>
  <c r="J113" i="5"/>
  <c r="F113" i="5"/>
  <c r="C213" i="5"/>
  <c r="C205" i="5"/>
  <c r="Q218" i="5"/>
  <c r="Q219" i="5"/>
  <c r="P218" i="5"/>
  <c r="P219" i="5"/>
  <c r="D217" i="5"/>
  <c r="D218" i="5"/>
  <c r="D219" i="5"/>
  <c r="D220" i="5"/>
  <c r="G218" i="5"/>
  <c r="G219" i="5"/>
  <c r="G220" i="5"/>
  <c r="H218" i="5"/>
  <c r="H219" i="5"/>
  <c r="H220" i="5"/>
  <c r="I218" i="5"/>
  <c r="I219" i="5"/>
  <c r="I220" i="5"/>
  <c r="J218" i="5"/>
  <c r="J219" i="5"/>
  <c r="J220" i="5"/>
  <c r="K218" i="5"/>
  <c r="K219" i="5"/>
  <c r="K220" i="5"/>
  <c r="L218" i="5"/>
  <c r="L219" i="5"/>
  <c r="L220" i="5"/>
  <c r="M218" i="5"/>
  <c r="M219" i="5"/>
  <c r="M220" i="5"/>
  <c r="N218" i="5"/>
  <c r="N219" i="5"/>
  <c r="N220" i="5"/>
  <c r="O218" i="5"/>
  <c r="O219" i="5"/>
  <c r="O220" i="5"/>
  <c r="P220" i="5"/>
  <c r="Q220" i="5"/>
  <c r="R218" i="5"/>
  <c r="R219" i="5"/>
  <c r="R220" i="5"/>
  <c r="S218" i="5"/>
  <c r="S219" i="5"/>
  <c r="S220" i="5"/>
  <c r="T218" i="5"/>
  <c r="T219" i="5"/>
  <c r="T220" i="5"/>
  <c r="U218" i="5"/>
  <c r="U219" i="5"/>
  <c r="U220" i="5"/>
  <c r="V218" i="5"/>
  <c r="V219" i="5"/>
  <c r="V220" i="5"/>
  <c r="W218" i="5"/>
  <c r="W219" i="5"/>
  <c r="W220" i="5"/>
  <c r="X218" i="5"/>
  <c r="X219" i="5"/>
  <c r="X220" i="5"/>
  <c r="Y218" i="5"/>
  <c r="Y219" i="5"/>
  <c r="Y220" i="5"/>
  <c r="Z218" i="5"/>
  <c r="Z219" i="5"/>
  <c r="Z220" i="5"/>
  <c r="AA218" i="5"/>
  <c r="AA219" i="5"/>
  <c r="AA220" i="5"/>
  <c r="AB218" i="5"/>
  <c r="AB219" i="5"/>
  <c r="AB220" i="5"/>
  <c r="AC218" i="5"/>
  <c r="AC219" i="5"/>
  <c r="AC220" i="5"/>
  <c r="AD218" i="5"/>
  <c r="AD219" i="5"/>
  <c r="AD220" i="5"/>
  <c r="AE218" i="5"/>
  <c r="AE219" i="5"/>
  <c r="AE220" i="5"/>
  <c r="AF218" i="5"/>
  <c r="AF219" i="5"/>
  <c r="AF220" i="5"/>
  <c r="AG218" i="5"/>
  <c r="AG219" i="5"/>
  <c r="AG220" i="5"/>
  <c r="AH218" i="5"/>
  <c r="AH219" i="5"/>
  <c r="AH220" i="5"/>
  <c r="AI218" i="5"/>
  <c r="AI219" i="5"/>
  <c r="AI220" i="5"/>
  <c r="AJ218" i="5"/>
  <c r="AJ219" i="5"/>
  <c r="AJ220" i="5"/>
  <c r="F218" i="5"/>
  <c r="F219" i="5"/>
  <c r="F220" i="5"/>
  <c r="R80" i="5"/>
  <c r="G112" i="5"/>
  <c r="J80" i="5"/>
  <c r="E112" i="5"/>
  <c r="AD80" i="5"/>
  <c r="J112" i="5"/>
  <c r="N80" i="5"/>
  <c r="F112" i="5"/>
  <c r="C212" i="5"/>
  <c r="D223" i="5"/>
  <c r="C206" i="5"/>
  <c r="D224" i="5"/>
  <c r="D225" i="5"/>
  <c r="G224" i="5"/>
  <c r="G225" i="5"/>
  <c r="H224" i="5"/>
  <c r="H225" i="5"/>
  <c r="I224" i="5"/>
  <c r="I225" i="5"/>
  <c r="J224" i="5"/>
  <c r="J225" i="5"/>
  <c r="K224" i="5"/>
  <c r="K225" i="5"/>
  <c r="L224" i="5"/>
  <c r="L225" i="5"/>
  <c r="M224" i="5"/>
  <c r="M225" i="5"/>
  <c r="N224" i="5"/>
  <c r="N225" i="5"/>
  <c r="O224" i="5"/>
  <c r="O225" i="5"/>
  <c r="P224" i="5"/>
  <c r="P225" i="5"/>
  <c r="Q224" i="5"/>
  <c r="Q225" i="5"/>
  <c r="R224" i="5"/>
  <c r="R225" i="5"/>
  <c r="S224" i="5"/>
  <c r="S225" i="5"/>
  <c r="T224" i="5"/>
  <c r="T225" i="5"/>
  <c r="U224" i="5"/>
  <c r="U225" i="5"/>
  <c r="V224" i="5"/>
  <c r="V225" i="5"/>
  <c r="W224" i="5"/>
  <c r="W225" i="5"/>
  <c r="X224" i="5"/>
  <c r="X225" i="5"/>
  <c r="Y224" i="5"/>
  <c r="Y225" i="5"/>
  <c r="Z224" i="5"/>
  <c r="Z225" i="5"/>
  <c r="AA224" i="5"/>
  <c r="AA225" i="5"/>
  <c r="AB224" i="5"/>
  <c r="AB225" i="5"/>
  <c r="AC224" i="5"/>
  <c r="AC225" i="5"/>
  <c r="AD224" i="5"/>
  <c r="AD225" i="5"/>
  <c r="AE224" i="5"/>
  <c r="AE225" i="5"/>
  <c r="AF224" i="5"/>
  <c r="AF225" i="5"/>
  <c r="AG224" i="5"/>
  <c r="AG225" i="5"/>
  <c r="AH224" i="5"/>
  <c r="AH225" i="5"/>
  <c r="AI224" i="5"/>
  <c r="AI225" i="5"/>
  <c r="AJ224" i="5"/>
  <c r="AJ225" i="5"/>
  <c r="F224" i="5"/>
  <c r="F225" i="5"/>
  <c r="I114" i="5"/>
  <c r="E114" i="5"/>
  <c r="J114" i="5"/>
  <c r="F114" i="5"/>
  <c r="C214" i="5"/>
  <c r="D226" i="5"/>
  <c r="D113" i="5"/>
  <c r="G113" i="5"/>
  <c r="H113" i="5"/>
  <c r="K113" i="5"/>
  <c r="L113" i="5"/>
  <c r="M113" i="5"/>
  <c r="G114" i="5"/>
  <c r="G226" i="5"/>
  <c r="H226" i="5"/>
  <c r="I226" i="5"/>
  <c r="J226" i="5"/>
  <c r="K226" i="5"/>
  <c r="L226" i="5"/>
  <c r="M226" i="5"/>
  <c r="N226" i="5"/>
  <c r="O226" i="5"/>
  <c r="P226" i="5"/>
  <c r="Q226" i="5"/>
  <c r="R226" i="5"/>
  <c r="S226" i="5"/>
  <c r="T226" i="5"/>
  <c r="U226" i="5"/>
  <c r="V226" i="5"/>
  <c r="W226" i="5"/>
  <c r="X226" i="5"/>
  <c r="Y226" i="5"/>
  <c r="Z226" i="5"/>
  <c r="AA226" i="5"/>
  <c r="AB226" i="5"/>
  <c r="AC226" i="5"/>
  <c r="AD226" i="5"/>
  <c r="AE226" i="5"/>
  <c r="AF226" i="5"/>
  <c r="AG226" i="5"/>
  <c r="AH226" i="5"/>
  <c r="AI226" i="5"/>
  <c r="AJ226" i="5"/>
  <c r="F226" i="5"/>
  <c r="G111" i="5"/>
  <c r="I111" i="5"/>
  <c r="E111" i="5"/>
  <c r="J111" i="5"/>
  <c r="C211" i="5"/>
  <c r="G110" i="5"/>
  <c r="I110" i="5"/>
  <c r="J110" i="5"/>
  <c r="C210" i="5"/>
  <c r="AT34" i="5"/>
  <c r="AT35" i="5"/>
  <c r="AT59" i="5"/>
  <c r="D114" i="5"/>
  <c r="H114" i="5"/>
  <c r="K114" i="5"/>
  <c r="L114" i="5"/>
  <c r="M114" i="5"/>
  <c r="L110" i="5"/>
  <c r="L111" i="5"/>
  <c r="C96" i="5"/>
  <c r="C117" i="5"/>
  <c r="C136" i="5"/>
  <c r="B39" i="5"/>
  <c r="B40" i="5"/>
  <c r="B41" i="5"/>
  <c r="B42" i="5"/>
  <c r="C97" i="5"/>
  <c r="C118" i="5"/>
  <c r="C137" i="5"/>
  <c r="C98" i="5"/>
  <c r="C119" i="5"/>
  <c r="C138" i="5"/>
  <c r="B13" i="5"/>
  <c r="C99" i="5"/>
  <c r="C120" i="5"/>
  <c r="C139" i="5"/>
  <c r="C100" i="5"/>
  <c r="C121" i="5"/>
  <c r="C140" i="5"/>
  <c r="B52" i="5"/>
  <c r="C103" i="5"/>
  <c r="C124" i="5"/>
  <c r="C143" i="5"/>
  <c r="C149" i="5"/>
  <c r="C150" i="5"/>
  <c r="C151" i="5"/>
  <c r="C116" i="5"/>
  <c r="C135" i="5"/>
  <c r="I96" i="5"/>
  <c r="I117" i="5"/>
  <c r="D96" i="5"/>
  <c r="D117" i="5"/>
  <c r="D136" i="5"/>
  <c r="J96" i="5"/>
  <c r="J117" i="5"/>
  <c r="E96" i="5"/>
  <c r="E117" i="5"/>
  <c r="E136" i="5"/>
  <c r="K96" i="5"/>
  <c r="K117" i="5"/>
  <c r="F96" i="5"/>
  <c r="F117" i="5"/>
  <c r="F136" i="5"/>
  <c r="L96" i="5"/>
  <c r="L117" i="5"/>
  <c r="G96" i="5"/>
  <c r="G117" i="5"/>
  <c r="G136" i="5"/>
  <c r="M96" i="5"/>
  <c r="M117" i="5"/>
  <c r="H96" i="5"/>
  <c r="H117" i="5"/>
  <c r="H136" i="5"/>
  <c r="Z39" i="5"/>
  <c r="Z40" i="5"/>
  <c r="Z41" i="5"/>
  <c r="Z42" i="5"/>
  <c r="I97" i="5"/>
  <c r="I118" i="5"/>
  <c r="F39" i="5"/>
  <c r="F40" i="5"/>
  <c r="F41" i="5"/>
  <c r="F42" i="5"/>
  <c r="D97" i="5"/>
  <c r="D118" i="5"/>
  <c r="D137" i="5"/>
  <c r="AD39" i="5"/>
  <c r="AD40" i="5"/>
  <c r="AD41" i="5"/>
  <c r="AD42" i="5"/>
  <c r="J97" i="5"/>
  <c r="J118" i="5"/>
  <c r="J39" i="5"/>
  <c r="J40" i="5"/>
  <c r="J41" i="5"/>
  <c r="J42" i="5"/>
  <c r="E97" i="5"/>
  <c r="E118" i="5"/>
  <c r="E137" i="5"/>
  <c r="AH39" i="5"/>
  <c r="AH40" i="5"/>
  <c r="AH41" i="5"/>
  <c r="AH42" i="5"/>
  <c r="K97" i="5"/>
  <c r="K118" i="5"/>
  <c r="N39" i="5"/>
  <c r="N40" i="5"/>
  <c r="N41" i="5"/>
  <c r="N42" i="5"/>
  <c r="F97" i="5"/>
  <c r="F118" i="5"/>
  <c r="F137" i="5"/>
  <c r="AL39" i="5"/>
  <c r="AL40" i="5"/>
  <c r="AL41" i="5"/>
  <c r="AL42" i="5"/>
  <c r="L97" i="5"/>
  <c r="L118" i="5"/>
  <c r="R39" i="5"/>
  <c r="R40" i="5"/>
  <c r="R41" i="5"/>
  <c r="R42" i="5"/>
  <c r="G97" i="5"/>
  <c r="G118" i="5"/>
  <c r="G137" i="5"/>
  <c r="AP39" i="5"/>
  <c r="AP40" i="5"/>
  <c r="AP41" i="5"/>
  <c r="AP42" i="5"/>
  <c r="M97" i="5"/>
  <c r="M118" i="5"/>
  <c r="V39" i="5"/>
  <c r="V40" i="5"/>
  <c r="V41" i="5"/>
  <c r="V42" i="5"/>
  <c r="H97" i="5"/>
  <c r="H118" i="5"/>
  <c r="H137" i="5"/>
  <c r="I98" i="5"/>
  <c r="I119" i="5"/>
  <c r="D98" i="5"/>
  <c r="D119" i="5"/>
  <c r="D138" i="5"/>
  <c r="J98" i="5"/>
  <c r="J119" i="5"/>
  <c r="E98" i="5"/>
  <c r="E119" i="5"/>
  <c r="E138" i="5"/>
  <c r="K98" i="5"/>
  <c r="K119" i="5"/>
  <c r="F98" i="5"/>
  <c r="F119" i="5"/>
  <c r="F138" i="5"/>
  <c r="L98" i="5"/>
  <c r="L119" i="5"/>
  <c r="G98" i="5"/>
  <c r="G119" i="5"/>
  <c r="G138" i="5"/>
  <c r="M98" i="5"/>
  <c r="M119" i="5"/>
  <c r="H98" i="5"/>
  <c r="H119" i="5"/>
  <c r="H138" i="5"/>
  <c r="I99" i="5"/>
  <c r="I120" i="5"/>
  <c r="D99" i="5"/>
  <c r="D120" i="5"/>
  <c r="D139" i="5"/>
  <c r="J99" i="5"/>
  <c r="J120" i="5"/>
  <c r="E99" i="5"/>
  <c r="E120" i="5"/>
  <c r="E139" i="5"/>
  <c r="K99" i="5"/>
  <c r="K120" i="5"/>
  <c r="F99" i="5"/>
  <c r="F120" i="5"/>
  <c r="F139" i="5"/>
  <c r="L99" i="5"/>
  <c r="L120" i="5"/>
  <c r="G99" i="5"/>
  <c r="G120" i="5"/>
  <c r="G139" i="5"/>
  <c r="M99" i="5"/>
  <c r="M120" i="5"/>
  <c r="H99" i="5"/>
  <c r="H120" i="5"/>
  <c r="H139" i="5"/>
  <c r="I100" i="5"/>
  <c r="I121" i="5"/>
  <c r="D100" i="5"/>
  <c r="D121" i="5"/>
  <c r="D140" i="5"/>
  <c r="AD49" i="5"/>
  <c r="J100" i="5"/>
  <c r="J121" i="5"/>
  <c r="E100" i="5"/>
  <c r="E121" i="5"/>
  <c r="E140" i="5"/>
  <c r="K100" i="5"/>
  <c r="K121" i="5"/>
  <c r="F100" i="5"/>
  <c r="F121" i="5"/>
  <c r="F140" i="5"/>
  <c r="L100" i="5"/>
  <c r="L121" i="5"/>
  <c r="G100" i="5"/>
  <c r="G121" i="5"/>
  <c r="G140" i="5"/>
  <c r="M100" i="5"/>
  <c r="M121" i="5"/>
  <c r="H100" i="5"/>
  <c r="H121" i="5"/>
  <c r="H140" i="5"/>
  <c r="Z43" i="5"/>
  <c r="Z44" i="5"/>
  <c r="I101" i="5"/>
  <c r="I122" i="5"/>
  <c r="F43" i="5"/>
  <c r="F44" i="5"/>
  <c r="D101" i="5"/>
  <c r="D122" i="5"/>
  <c r="D141" i="5"/>
  <c r="AD43" i="5"/>
  <c r="AD44" i="5"/>
  <c r="J101" i="5"/>
  <c r="J122" i="5"/>
  <c r="J43" i="5"/>
  <c r="J44" i="5"/>
  <c r="E101" i="5"/>
  <c r="E122" i="5"/>
  <c r="E141" i="5"/>
  <c r="AH43" i="5"/>
  <c r="AH44" i="5"/>
  <c r="K101" i="5"/>
  <c r="K122" i="5"/>
  <c r="N43" i="5"/>
  <c r="N44" i="5"/>
  <c r="F101" i="5"/>
  <c r="F122" i="5"/>
  <c r="F141" i="5"/>
  <c r="AL43" i="5"/>
  <c r="AL44" i="5"/>
  <c r="L101" i="5"/>
  <c r="L122" i="5"/>
  <c r="R43" i="5"/>
  <c r="R44" i="5"/>
  <c r="G101" i="5"/>
  <c r="G122" i="5"/>
  <c r="G141" i="5"/>
  <c r="AP43" i="5"/>
  <c r="AP44" i="5"/>
  <c r="M101" i="5"/>
  <c r="M122" i="5"/>
  <c r="V43" i="5"/>
  <c r="V44" i="5"/>
  <c r="H101" i="5"/>
  <c r="H122" i="5"/>
  <c r="H141" i="5"/>
  <c r="Z45" i="5"/>
  <c r="I102" i="5"/>
  <c r="I123" i="5"/>
  <c r="AD45" i="5"/>
  <c r="J102" i="5"/>
  <c r="J123" i="5"/>
  <c r="AH45" i="5"/>
  <c r="K102" i="5"/>
  <c r="K123" i="5"/>
  <c r="AL45" i="5"/>
  <c r="L102" i="5"/>
  <c r="L123" i="5"/>
  <c r="AP45" i="5"/>
  <c r="M102" i="5"/>
  <c r="M123" i="5"/>
  <c r="Z52" i="5"/>
  <c r="I103" i="5"/>
  <c r="I124" i="5"/>
  <c r="F52" i="5"/>
  <c r="D103" i="5"/>
  <c r="D124" i="5"/>
  <c r="D143" i="5"/>
  <c r="AD52" i="5"/>
  <c r="J103" i="5"/>
  <c r="J124" i="5"/>
  <c r="J52" i="5"/>
  <c r="E103" i="5"/>
  <c r="E124" i="5"/>
  <c r="E143" i="5"/>
  <c r="AH52" i="5"/>
  <c r="K103" i="5"/>
  <c r="K124" i="5"/>
  <c r="N52" i="5"/>
  <c r="F103" i="5"/>
  <c r="F124" i="5"/>
  <c r="F143" i="5"/>
  <c r="AL52" i="5"/>
  <c r="L103" i="5"/>
  <c r="L124" i="5"/>
  <c r="R52" i="5"/>
  <c r="G103" i="5"/>
  <c r="G124" i="5"/>
  <c r="G143" i="5"/>
  <c r="AP52" i="5"/>
  <c r="M103" i="5"/>
  <c r="M124" i="5"/>
  <c r="V52" i="5"/>
  <c r="H103" i="5"/>
  <c r="H124" i="5"/>
  <c r="H143" i="5"/>
  <c r="F79" i="5"/>
  <c r="F82" i="5"/>
  <c r="D104" i="5"/>
  <c r="D125" i="5"/>
  <c r="Z79" i="5"/>
  <c r="Z82" i="5"/>
  <c r="I104" i="5"/>
  <c r="I125" i="5"/>
  <c r="D144" i="5"/>
  <c r="N79" i="5"/>
  <c r="N82" i="5"/>
  <c r="F104" i="5"/>
  <c r="F125" i="5"/>
  <c r="AH79" i="5"/>
  <c r="AH82" i="5"/>
  <c r="K104" i="5"/>
  <c r="K125" i="5"/>
  <c r="F144" i="5"/>
  <c r="AL79" i="5"/>
  <c r="AL82" i="5"/>
  <c r="L104" i="5"/>
  <c r="L125" i="5"/>
  <c r="R79" i="5"/>
  <c r="R82" i="5"/>
  <c r="G104" i="5"/>
  <c r="G125" i="5"/>
  <c r="G144" i="5"/>
  <c r="D149" i="5"/>
  <c r="E149" i="5"/>
  <c r="F149" i="5"/>
  <c r="G149" i="5"/>
  <c r="H149" i="5"/>
  <c r="D150" i="5"/>
  <c r="E150" i="5"/>
  <c r="F150" i="5"/>
  <c r="G150" i="5"/>
  <c r="H150" i="5"/>
  <c r="D151" i="5"/>
  <c r="E151" i="5"/>
  <c r="F151" i="5"/>
  <c r="G151" i="5"/>
  <c r="H151" i="5"/>
  <c r="J116" i="5"/>
  <c r="E116" i="5"/>
  <c r="E135" i="5"/>
  <c r="K116" i="5"/>
  <c r="F116" i="5"/>
  <c r="F135" i="5"/>
  <c r="L116" i="5"/>
  <c r="G116" i="5"/>
  <c r="G135" i="5"/>
  <c r="M116" i="5"/>
  <c r="H116" i="5"/>
  <c r="H135" i="5"/>
  <c r="I116" i="5"/>
  <c r="D116" i="5"/>
  <c r="D135" i="5"/>
  <c r="C32" i="8"/>
  <c r="D32" i="8"/>
  <c r="E32" i="8"/>
  <c r="F32" i="8"/>
  <c r="G32" i="8"/>
  <c r="H32" i="8"/>
  <c r="I32" i="8"/>
  <c r="AT60" i="5"/>
  <c r="AT63" i="5"/>
  <c r="AT64" i="5"/>
  <c r="AT65" i="5"/>
  <c r="AT67" i="5"/>
  <c r="AP80" i="5"/>
  <c r="M112" i="5"/>
  <c r="AL80" i="5"/>
  <c r="L112" i="5"/>
  <c r="G237" i="5"/>
  <c r="H237" i="5"/>
  <c r="I237" i="5"/>
  <c r="J237" i="5"/>
  <c r="K237" i="5"/>
  <c r="L237" i="5"/>
  <c r="M237" i="5"/>
  <c r="N237" i="5"/>
  <c r="O237" i="5"/>
  <c r="P237" i="5"/>
  <c r="Q237" i="5"/>
  <c r="R237" i="5"/>
  <c r="S237" i="5"/>
  <c r="T237" i="5"/>
  <c r="U237" i="5"/>
  <c r="V237" i="5"/>
  <c r="W237" i="5"/>
  <c r="X237" i="5"/>
  <c r="Y237" i="5"/>
  <c r="Z237" i="5"/>
  <c r="AA237" i="5"/>
  <c r="AB237" i="5"/>
  <c r="AC237" i="5"/>
  <c r="AD237" i="5"/>
  <c r="AE237" i="5"/>
  <c r="AF237" i="5"/>
  <c r="AG237" i="5"/>
  <c r="AH237" i="5"/>
  <c r="AI237" i="5"/>
  <c r="AJ237" i="5"/>
  <c r="F237" i="5"/>
  <c r="AH70" i="5"/>
  <c r="AH71" i="5"/>
  <c r="AP70" i="5"/>
  <c r="AH72" i="5"/>
  <c r="AP73" i="5"/>
  <c r="AP71" i="5"/>
  <c r="AP72" i="5"/>
  <c r="AP74" i="5"/>
  <c r="C110" i="5"/>
  <c r="D110" i="5"/>
  <c r="E110" i="5"/>
  <c r="F110" i="5"/>
  <c r="H110" i="5"/>
  <c r="K110" i="5"/>
  <c r="M110" i="5"/>
  <c r="C111" i="5"/>
  <c r="D111" i="5"/>
  <c r="F111" i="5"/>
  <c r="H111" i="5"/>
  <c r="K111" i="5"/>
  <c r="M111" i="5"/>
  <c r="F80" i="5"/>
  <c r="D112" i="5"/>
  <c r="V80" i="5"/>
  <c r="H112" i="5"/>
  <c r="D237" i="5"/>
  <c r="D160" i="5"/>
  <c r="D178" i="5"/>
  <c r="E160" i="5"/>
  <c r="E178" i="5"/>
  <c r="F160" i="5"/>
  <c r="F178" i="5"/>
  <c r="G160" i="5"/>
  <c r="G178" i="5"/>
  <c r="H160" i="5"/>
  <c r="H178" i="5"/>
  <c r="D180" i="5"/>
  <c r="E180" i="5"/>
  <c r="F180" i="5"/>
  <c r="G180" i="5"/>
  <c r="H180" i="5"/>
  <c r="D233" i="5"/>
  <c r="C181" i="5"/>
  <c r="D181" i="5"/>
  <c r="D155" i="5"/>
  <c r="E155" i="5"/>
  <c r="F155" i="5"/>
  <c r="G155" i="5"/>
  <c r="H155" i="5"/>
  <c r="C155" i="5"/>
  <c r="S44" i="5"/>
  <c r="O44" i="5"/>
  <c r="K44" i="5"/>
  <c r="G44" i="5"/>
  <c r="C44" i="5"/>
  <c r="AQ44" i="5"/>
  <c r="AM44" i="5"/>
  <c r="AI44" i="5"/>
  <c r="AE44" i="5"/>
  <c r="AA44" i="5"/>
  <c r="AT43" i="5"/>
  <c r="AT44" i="5"/>
  <c r="AU44" i="5"/>
  <c r="W44" i="5"/>
  <c r="D163" i="5"/>
  <c r="F163" i="5"/>
  <c r="G163" i="5"/>
  <c r="N117" i="5"/>
  <c r="N118" i="5"/>
  <c r="H156" i="5"/>
  <c r="G156" i="5"/>
  <c r="F156" i="5"/>
  <c r="C156" i="5"/>
  <c r="D156" i="5"/>
  <c r="E156" i="5"/>
  <c r="C6" i="8"/>
  <c r="N119" i="5"/>
  <c r="H157" i="5"/>
  <c r="G157" i="5"/>
  <c r="F157" i="5"/>
  <c r="C157" i="5"/>
  <c r="D157" i="5"/>
  <c r="E157" i="5"/>
  <c r="C7" i="8"/>
  <c r="N120" i="5"/>
  <c r="H158" i="5"/>
  <c r="G158" i="5"/>
  <c r="F158" i="5"/>
  <c r="C158" i="5"/>
  <c r="D158" i="5"/>
  <c r="E158" i="5"/>
  <c r="C8" i="8"/>
  <c r="N121" i="5"/>
  <c r="H159" i="5"/>
  <c r="G159" i="5"/>
  <c r="F159" i="5"/>
  <c r="C159" i="5"/>
  <c r="D159" i="5"/>
  <c r="E159" i="5"/>
  <c r="C9" i="8"/>
  <c r="N122" i="5"/>
  <c r="N123" i="5"/>
  <c r="B161" i="5"/>
  <c r="C11" i="8"/>
  <c r="N124" i="5"/>
  <c r="H162" i="5"/>
  <c r="G162" i="5"/>
  <c r="F162" i="5"/>
  <c r="C162" i="5"/>
  <c r="B162" i="5"/>
  <c r="D162" i="5"/>
  <c r="E162" i="5"/>
  <c r="C12" i="8"/>
  <c r="N125" i="5"/>
  <c r="J79" i="5"/>
  <c r="J82" i="5"/>
  <c r="E104" i="5"/>
  <c r="E125" i="5"/>
  <c r="AD79" i="5"/>
  <c r="AD82" i="5"/>
  <c r="J104" i="5"/>
  <c r="J125" i="5"/>
  <c r="E144" i="5"/>
  <c r="E163" i="5"/>
  <c r="C13" i="8"/>
  <c r="N126" i="5"/>
  <c r="N127" i="5"/>
  <c r="N128" i="5"/>
  <c r="B166" i="5"/>
  <c r="J85" i="5"/>
  <c r="E107" i="5"/>
  <c r="E128" i="5"/>
  <c r="AD85" i="5"/>
  <c r="J107" i="5"/>
  <c r="J128" i="5"/>
  <c r="E147" i="5"/>
  <c r="E166" i="5"/>
  <c r="C16" i="8"/>
  <c r="N129" i="5"/>
  <c r="N130" i="5"/>
  <c r="H168" i="5"/>
  <c r="G168" i="5"/>
  <c r="F168" i="5"/>
  <c r="C168" i="5"/>
  <c r="B149" i="5"/>
  <c r="B168" i="5"/>
  <c r="D168" i="5"/>
  <c r="E168" i="5"/>
  <c r="C18" i="8"/>
  <c r="N131" i="5"/>
  <c r="H169" i="5"/>
  <c r="G169" i="5"/>
  <c r="F169" i="5"/>
  <c r="C169" i="5"/>
  <c r="B150" i="5"/>
  <c r="B169" i="5"/>
  <c r="D169" i="5"/>
  <c r="E169" i="5"/>
  <c r="C19" i="8"/>
  <c r="N132" i="5"/>
  <c r="H170" i="5"/>
  <c r="G170" i="5"/>
  <c r="F170" i="5"/>
  <c r="C170" i="5"/>
  <c r="B151" i="5"/>
  <c r="B170" i="5"/>
  <c r="D170" i="5"/>
  <c r="E170" i="5"/>
  <c r="C20" i="8"/>
  <c r="N116" i="5"/>
  <c r="H154" i="5"/>
  <c r="G154" i="5"/>
  <c r="F154" i="5"/>
  <c r="C154" i="5"/>
  <c r="D154" i="5"/>
  <c r="E154" i="5"/>
  <c r="C4" i="8"/>
  <c r="C63" i="8"/>
  <c r="B12" i="9"/>
  <c r="D64" i="8"/>
  <c r="C64" i="8"/>
  <c r="B13" i="9"/>
  <c r="D12" i="8"/>
  <c r="D65" i="8"/>
  <c r="C65" i="8"/>
  <c r="B14" i="9"/>
  <c r="D13" i="8"/>
  <c r="D66" i="8"/>
  <c r="C66" i="8"/>
  <c r="B15" i="9"/>
  <c r="D62" i="8"/>
  <c r="C62" i="8"/>
  <c r="B11" i="9"/>
  <c r="C3" i="8"/>
  <c r="C61" i="8"/>
  <c r="C196" i="5"/>
  <c r="C207" i="5"/>
  <c r="D184" i="5"/>
  <c r="F184" i="5"/>
  <c r="G184" i="5"/>
  <c r="H184" i="5"/>
  <c r="D183" i="5"/>
  <c r="F183" i="5"/>
  <c r="G183" i="5"/>
  <c r="H183" i="5"/>
  <c r="D175" i="5"/>
  <c r="E175" i="5"/>
  <c r="F175" i="5"/>
  <c r="G175" i="5"/>
  <c r="H175" i="5"/>
  <c r="C175" i="5"/>
  <c r="E48" i="8"/>
  <c r="D48" i="8"/>
  <c r="F48" i="8"/>
  <c r="E49" i="8"/>
  <c r="C78" i="8"/>
  <c r="B45" i="9"/>
  <c r="B46" i="9"/>
  <c r="E56" i="8"/>
  <c r="C79" i="8"/>
  <c r="B47" i="9"/>
  <c r="C26" i="8"/>
  <c r="D26" i="8"/>
  <c r="C72" i="8"/>
  <c r="C25" i="8"/>
  <c r="C71" i="8"/>
  <c r="C35" i="8"/>
  <c r="D34" i="8"/>
  <c r="C76" i="8"/>
  <c r="B44" i="9"/>
  <c r="C68" i="8"/>
  <c r="B18" i="9"/>
  <c r="B8" i="9"/>
  <c r="B3" i="9"/>
  <c r="M48" i="1"/>
  <c r="C51" i="8"/>
  <c r="C197" i="5"/>
  <c r="C198" i="5"/>
  <c r="C199" i="5"/>
  <c r="C200" i="5"/>
  <c r="C201" i="5"/>
  <c r="C202" i="5"/>
  <c r="C203" i="5"/>
  <c r="C204" i="5"/>
  <c r="C208" i="5"/>
  <c r="C209" i="5"/>
  <c r="H38" i="1"/>
  <c r="J38" i="1"/>
  <c r="K38" i="1"/>
  <c r="L38" i="1"/>
  <c r="H40" i="1"/>
  <c r="J40" i="1"/>
  <c r="K40" i="1"/>
  <c r="L40" i="1"/>
  <c r="H41" i="1"/>
  <c r="J41" i="1"/>
  <c r="K41" i="1"/>
  <c r="L41" i="1"/>
  <c r="AT54" i="5"/>
  <c r="AT55" i="5"/>
  <c r="AT76" i="5"/>
  <c r="AT77" i="5"/>
  <c r="AT85" i="5"/>
  <c r="R86" i="5"/>
  <c r="N86" i="5"/>
  <c r="F86" i="5"/>
  <c r="AL86" i="5"/>
  <c r="AT86" i="5"/>
  <c r="R87" i="5"/>
  <c r="N87" i="5"/>
  <c r="F87" i="5"/>
  <c r="AL87" i="5"/>
  <c r="AT87" i="5"/>
  <c r="V87" i="5"/>
  <c r="V86" i="5"/>
  <c r="AT89" i="5"/>
  <c r="AT38" i="5"/>
  <c r="AT49" i="5"/>
  <c r="C46" i="8"/>
  <c r="C44" i="8"/>
  <c r="C43" i="8"/>
  <c r="C42" i="8"/>
  <c r="C45" i="8"/>
  <c r="C41" i="8"/>
  <c r="C47" i="8"/>
  <c r="K47" i="1"/>
  <c r="I47" i="1"/>
  <c r="G47" i="1"/>
  <c r="B142" i="5"/>
  <c r="B143" i="5"/>
  <c r="B144" i="5"/>
  <c r="D174" i="5"/>
  <c r="D187" i="5"/>
  <c r="E174" i="5"/>
  <c r="E187" i="5"/>
  <c r="F174" i="5"/>
  <c r="F187" i="5"/>
  <c r="G174" i="5"/>
  <c r="G187" i="5"/>
  <c r="H174" i="5"/>
  <c r="H187" i="5"/>
  <c r="C174" i="5"/>
  <c r="C187" i="5"/>
  <c r="H45" i="1"/>
  <c r="I45" i="1"/>
  <c r="J45" i="1"/>
  <c r="K45" i="1"/>
  <c r="L45" i="1"/>
  <c r="G45" i="1"/>
  <c r="I18" i="6"/>
  <c r="J18" i="6"/>
  <c r="D7" i="5"/>
  <c r="E10" i="1"/>
  <c r="C3" i="5"/>
  <c r="F29" i="1"/>
  <c r="AL83" i="5"/>
  <c r="AP83" i="5"/>
  <c r="K13" i="5"/>
  <c r="K12" i="5"/>
  <c r="L12" i="5"/>
  <c r="K14" i="5"/>
  <c r="L13" i="5"/>
  <c r="K15" i="5"/>
  <c r="L14" i="5"/>
  <c r="K16" i="5"/>
  <c r="L15" i="5"/>
  <c r="K17" i="5"/>
  <c r="L16" i="5"/>
  <c r="AT45" i="5"/>
  <c r="G238" i="5"/>
  <c r="H238" i="5"/>
  <c r="I238" i="5"/>
  <c r="J238" i="5"/>
  <c r="K238" i="5"/>
  <c r="L238" i="5"/>
  <c r="M238" i="5"/>
  <c r="N238" i="5"/>
  <c r="O238" i="5"/>
  <c r="P238" i="5"/>
  <c r="Q238" i="5"/>
  <c r="R238" i="5"/>
  <c r="S238" i="5"/>
  <c r="T238" i="5"/>
  <c r="U238" i="5"/>
  <c r="V238" i="5"/>
  <c r="W238" i="5"/>
  <c r="X238" i="5"/>
  <c r="Y238" i="5"/>
  <c r="Z238" i="5"/>
  <c r="AA238" i="5"/>
  <c r="AB238" i="5"/>
  <c r="AC238" i="5"/>
  <c r="AD238" i="5"/>
  <c r="AE238" i="5"/>
  <c r="AF238" i="5"/>
  <c r="AG238" i="5"/>
  <c r="AH238" i="5"/>
  <c r="AI238" i="5"/>
  <c r="AJ238" i="5"/>
  <c r="F233" i="5"/>
  <c r="E226" i="5"/>
  <c r="E220" i="5"/>
  <c r="E234" i="5"/>
  <c r="E238" i="5"/>
  <c r="E230" i="5"/>
  <c r="F238" i="5"/>
  <c r="G233" i="5"/>
  <c r="H233" i="5"/>
  <c r="I233" i="5"/>
  <c r="J233" i="5"/>
  <c r="K233" i="5"/>
  <c r="L233" i="5"/>
  <c r="M233" i="5"/>
  <c r="N233" i="5"/>
  <c r="O233" i="5"/>
  <c r="P233" i="5"/>
  <c r="Q233" i="5"/>
  <c r="R233" i="5"/>
  <c r="S233" i="5"/>
  <c r="T233" i="5"/>
  <c r="U233" i="5"/>
  <c r="V233" i="5"/>
  <c r="W233" i="5"/>
  <c r="X233" i="5"/>
  <c r="Y233" i="5"/>
  <c r="Z233" i="5"/>
  <c r="AA233" i="5"/>
  <c r="AB233" i="5"/>
  <c r="AC233" i="5"/>
  <c r="AD233" i="5"/>
  <c r="AE233" i="5"/>
  <c r="AF233" i="5"/>
  <c r="AG233" i="5"/>
  <c r="AH233" i="5"/>
  <c r="AI233" i="5"/>
  <c r="AJ233" i="5"/>
  <c r="G234" i="5"/>
  <c r="H234" i="5"/>
  <c r="I234" i="5"/>
  <c r="J234" i="5"/>
  <c r="K234" i="5"/>
  <c r="L234" i="5"/>
  <c r="M234" i="5"/>
  <c r="N234" i="5"/>
  <c r="O234" i="5"/>
  <c r="P234" i="5"/>
  <c r="Q234" i="5"/>
  <c r="R234" i="5"/>
  <c r="S234" i="5"/>
  <c r="T234" i="5"/>
  <c r="U234" i="5"/>
  <c r="V234" i="5"/>
  <c r="W234" i="5"/>
  <c r="X234" i="5"/>
  <c r="Y234" i="5"/>
  <c r="Z234" i="5"/>
  <c r="AA234" i="5"/>
  <c r="AB234" i="5"/>
  <c r="AC234" i="5"/>
  <c r="AD234" i="5"/>
  <c r="AE234" i="5"/>
  <c r="AF234" i="5"/>
  <c r="AG234" i="5"/>
  <c r="AH234" i="5"/>
  <c r="AI234" i="5"/>
  <c r="AJ234" i="5"/>
  <c r="F234" i="5"/>
  <c r="D238" i="5"/>
  <c r="D234" i="5"/>
  <c r="AT80" i="5"/>
  <c r="AT70" i="5"/>
  <c r="AT79" i="5"/>
  <c r="AT72" i="5"/>
  <c r="AT73" i="5"/>
  <c r="AT71" i="5"/>
  <c r="AT74" i="5"/>
  <c r="AT82" i="5"/>
  <c r="R83" i="5"/>
  <c r="N83" i="5"/>
  <c r="J83" i="5"/>
  <c r="F83" i="5"/>
  <c r="B83" i="5"/>
  <c r="AD83" i="5"/>
  <c r="Z83" i="5"/>
  <c r="AT83" i="5"/>
  <c r="V83" i="5"/>
  <c r="D37" i="1"/>
  <c r="D35" i="1"/>
  <c r="D36" i="1"/>
  <c r="H39" i="1"/>
  <c r="J39" i="1"/>
  <c r="K39" i="1"/>
  <c r="L39" i="1"/>
  <c r="C98" i="8"/>
  <c r="C99" i="8"/>
  <c r="C100" i="8"/>
  <c r="C104" i="8"/>
  <c r="C105" i="8"/>
  <c r="C108" i="8"/>
  <c r="C109" i="8"/>
  <c r="C101" i="8"/>
  <c r="C86" i="8"/>
  <c r="C87" i="8"/>
  <c r="C88" i="8"/>
  <c r="C92" i="8"/>
  <c r="D92" i="8"/>
  <c r="C93" i="8"/>
  <c r="D93" i="8"/>
  <c r="C94" i="8"/>
  <c r="D94" i="8"/>
  <c r="C91" i="8"/>
  <c r="D91" i="8"/>
  <c r="G29" i="1"/>
  <c r="H29" i="1"/>
  <c r="I29" i="1"/>
  <c r="J29" i="1"/>
  <c r="K29" i="1"/>
  <c r="L29" i="1"/>
  <c r="G30" i="1"/>
  <c r="H30" i="1"/>
  <c r="I30" i="1"/>
  <c r="J30" i="1"/>
  <c r="K30" i="1"/>
  <c r="L30" i="1"/>
  <c r="G31" i="1"/>
  <c r="H31" i="1"/>
  <c r="I31" i="1"/>
  <c r="J31" i="1"/>
  <c r="K31" i="1"/>
  <c r="L31" i="1"/>
  <c r="G32" i="1"/>
  <c r="H32" i="1"/>
  <c r="I32" i="1"/>
  <c r="J32" i="1"/>
  <c r="K32" i="1"/>
  <c r="L32" i="1"/>
  <c r="G33" i="1"/>
  <c r="H33" i="1"/>
  <c r="I33" i="1"/>
  <c r="J33" i="1"/>
  <c r="K33" i="1"/>
  <c r="L33" i="1"/>
  <c r="G34" i="1"/>
  <c r="H34" i="1"/>
  <c r="I34" i="1"/>
  <c r="J34" i="1"/>
  <c r="K34" i="1"/>
  <c r="L34" i="1"/>
  <c r="G35" i="1"/>
  <c r="H35" i="1"/>
  <c r="I35" i="1"/>
  <c r="J35" i="1"/>
  <c r="K35" i="1"/>
  <c r="L35" i="1"/>
  <c r="G36" i="1"/>
  <c r="H36" i="1"/>
  <c r="I36" i="1"/>
  <c r="J36" i="1"/>
  <c r="K36" i="1"/>
  <c r="L36" i="1"/>
  <c r="H37" i="1"/>
  <c r="J37" i="1"/>
  <c r="K37" i="1"/>
  <c r="L37" i="1"/>
  <c r="G42" i="1"/>
  <c r="H42" i="1"/>
  <c r="I42" i="1"/>
  <c r="J42" i="1"/>
  <c r="K42" i="1"/>
  <c r="L42" i="1"/>
  <c r="H28" i="1"/>
  <c r="I28" i="1"/>
  <c r="J28" i="1"/>
  <c r="K28" i="1"/>
  <c r="L28" i="1"/>
  <c r="G28" i="1"/>
  <c r="AT41" i="5"/>
  <c r="AT42" i="5"/>
  <c r="C15" i="5"/>
  <c r="AT52" i="5"/>
  <c r="C16" i="5"/>
  <c r="I20" i="6"/>
  <c r="I17" i="6"/>
  <c r="I16" i="6"/>
  <c r="I15" i="6"/>
  <c r="I19" i="6"/>
  <c r="J19" i="6"/>
  <c r="J15" i="6"/>
  <c r="J16" i="6"/>
  <c r="J17" i="6"/>
  <c r="J20" i="6"/>
  <c r="AH83" i="5"/>
  <c r="B59" i="5"/>
  <c r="B53" i="5"/>
  <c r="AH73" i="5"/>
  <c r="AH74" i="5"/>
  <c r="AD73" i="5"/>
  <c r="AD74" i="5"/>
  <c r="Z73" i="5"/>
  <c r="Z74" i="5"/>
  <c r="Z80" i="5"/>
  <c r="I112" i="5"/>
  <c r="J71" i="5"/>
  <c r="AH80" i="5"/>
  <c r="K112" i="5"/>
  <c r="AP86" i="5"/>
  <c r="AP87" i="5"/>
  <c r="B54" i="5"/>
  <c r="B55" i="5"/>
  <c r="C113" i="5"/>
  <c r="B63" i="5"/>
  <c r="B64" i="5"/>
  <c r="B65" i="5"/>
  <c r="C114" i="5"/>
  <c r="B71" i="5"/>
  <c r="B67" i="5"/>
  <c r="B73" i="5"/>
  <c r="B74" i="5"/>
  <c r="C105" i="5"/>
  <c r="C126" i="5"/>
  <c r="C145" i="5"/>
  <c r="C164" i="5"/>
  <c r="AH86" i="5"/>
  <c r="AH87" i="5"/>
  <c r="J73" i="5"/>
  <c r="J74" i="5"/>
  <c r="AD86" i="5"/>
  <c r="AD87" i="5"/>
  <c r="Z86" i="5"/>
  <c r="Z87" i="5"/>
  <c r="E183" i="5"/>
  <c r="I38" i="1"/>
  <c r="I37" i="1"/>
  <c r="C183" i="5"/>
  <c r="G38" i="1"/>
  <c r="B76" i="5"/>
  <c r="B77" i="5"/>
  <c r="B79" i="5"/>
  <c r="B82" i="5"/>
  <c r="C104" i="5"/>
  <c r="C125" i="5"/>
  <c r="C144" i="5"/>
  <c r="C163" i="5"/>
  <c r="G37" i="1"/>
  <c r="B80" i="5"/>
  <c r="C112" i="5"/>
  <c r="B89" i="5"/>
  <c r="C108" i="5"/>
  <c r="C129" i="5"/>
  <c r="C148" i="5"/>
  <c r="C167" i="5"/>
  <c r="G41" i="1"/>
  <c r="C106" i="5"/>
  <c r="C127" i="5"/>
  <c r="C146" i="5"/>
  <c r="C165" i="5"/>
  <c r="B85" i="5"/>
  <c r="C107" i="5"/>
  <c r="C128" i="5"/>
  <c r="C147" i="5"/>
  <c r="C166" i="5"/>
  <c r="B86" i="5"/>
  <c r="B87" i="5"/>
  <c r="I41" i="1"/>
  <c r="J86" i="5"/>
  <c r="J87" i="5"/>
  <c r="E186" i="5"/>
  <c r="I40" i="1"/>
  <c r="E184" i="5"/>
  <c r="I39" i="1"/>
  <c r="C186" i="5"/>
  <c r="I186" i="5"/>
  <c r="G40" i="1"/>
  <c r="C184" i="5"/>
  <c r="G39" i="1"/>
</calcChain>
</file>

<file path=xl/sharedStrings.xml><?xml version="1.0" encoding="utf-8"?>
<sst xmlns="http://schemas.openxmlformats.org/spreadsheetml/2006/main" count="1053" uniqueCount="315">
  <si>
    <r>
      <t xml:space="preserve">SMARTEMP </t>
    </r>
    <r>
      <rPr>
        <sz val="14"/>
        <color rgb="FFFF9900"/>
        <rFont val="Calibri"/>
        <family val="2"/>
        <scheme val="minor"/>
      </rPr>
      <t>PRODUCT SELECTION CALCULATOR</t>
    </r>
  </si>
  <si>
    <t>Circular Nozzle [CNW-AD]</t>
  </si>
  <si>
    <t>Project:</t>
  </si>
  <si>
    <t>&lt;Project Name&gt;</t>
  </si>
  <si>
    <t>Inputs</t>
  </si>
  <si>
    <t>Detailed Selection</t>
  </si>
  <si>
    <t>Airflow Rate</t>
  </si>
  <si>
    <t>[L/s]</t>
  </si>
  <si>
    <r>
      <t>[m</t>
    </r>
    <r>
      <rPr>
        <vertAlign val="superscript"/>
        <sz val="11"/>
        <color theme="1" tint="0.34998626667073579"/>
        <rFont val="Calibri"/>
        <family val="2"/>
        <scheme val="minor"/>
      </rPr>
      <t>3</t>
    </r>
    <r>
      <rPr>
        <sz val="11"/>
        <color theme="1" tint="0.34998626667073579"/>
        <rFont val="Calibri"/>
        <family val="2"/>
        <scheme val="minor"/>
      </rPr>
      <t>/h]</t>
    </r>
  </si>
  <si>
    <t>Jet Velocity</t>
  </si>
  <si>
    <t>Maximum Total Pressure</t>
  </si>
  <si>
    <t>Throw to 0.4 m/s terminal velocity (default)</t>
  </si>
  <si>
    <t>Throw to 0.2 m/s terminal velocity for sensitive applications</t>
  </si>
  <si>
    <t>Diffuser Height</t>
  </si>
  <si>
    <t>m</t>
  </si>
  <si>
    <t>e.g. towards projector screens</t>
  </si>
  <si>
    <t>Horizontal Throw Distance</t>
  </si>
  <si>
    <t>Supply Temperature and Deflection</t>
  </si>
  <si>
    <t>ΔT (cooling)</t>
  </si>
  <si>
    <t>ΔT (heating)</t>
  </si>
  <si>
    <t>use 0 K for isothermal applications</t>
  </si>
  <si>
    <t>SMARTEMP CNW-AD</t>
  </si>
  <si>
    <t>Sizes DN100, DN125, DN160 available on request</t>
  </si>
  <si>
    <t>Airflow</t>
  </si>
  <si>
    <t>Selected Airflow Rate</t>
  </si>
  <si>
    <t>Pressure *</t>
  </si>
  <si>
    <t>Static Pressure @ Airflow</t>
  </si>
  <si>
    <t>[Pa]</t>
  </si>
  <si>
    <t xml:space="preserve">Key: </t>
  </si>
  <si>
    <t>Suitable</t>
  </si>
  <si>
    <t>Not Suitable</t>
  </si>
  <si>
    <r>
      <t>Warning</t>
    </r>
    <r>
      <rPr>
        <sz val="10"/>
        <color theme="1"/>
        <rFont val="Calibri"/>
        <family val="2"/>
        <scheme val="minor"/>
      </rPr>
      <t>/</t>
    </r>
    <r>
      <rPr>
        <sz val="10"/>
        <color theme="9" tint="-0.249977111117893"/>
        <rFont val="Calibri"/>
        <family val="2"/>
        <scheme val="minor"/>
      </rPr>
      <t>Warning</t>
    </r>
  </si>
  <si>
    <t>Total Pressure @ Airflow</t>
  </si>
  <si>
    <t>Max Selected Pressure</t>
  </si>
  <si>
    <t>Acoustics *</t>
  </si>
  <si>
    <t>Sound Power Level</t>
  </si>
  <si>
    <t>[dB(A)]</t>
  </si>
  <si>
    <t>Throw &amp; Velocity</t>
  </si>
  <si>
    <t>Isothermal Throw Distance</t>
  </si>
  <si>
    <t>[m]</t>
  </si>
  <si>
    <t>[m/s]</t>
  </si>
  <si>
    <t>Jet Temperature</t>
  </si>
  <si>
    <t>[K]</t>
  </si>
  <si>
    <t>Discharge &amp; Installation Angle</t>
  </si>
  <si>
    <t>Recommended Discharge Angle (cool)</t>
  </si>
  <si>
    <t>[°]</t>
  </si>
  <si>
    <t>Recommended Discharge Angle (heat)</t>
  </si>
  <si>
    <r>
      <t>Total Arc of Rotation (</t>
    </r>
    <r>
      <rPr>
        <b/>
        <sz val="12"/>
        <color theme="0" tint="-0.499984740745262"/>
        <rFont val="Calibri"/>
        <family val="2"/>
      </rPr>
      <t>θ</t>
    </r>
    <r>
      <rPr>
        <b/>
        <sz val="12"/>
        <color theme="0" tint="-0.499984740745262"/>
        <rFont val="Calibri"/>
        <family val="2"/>
        <scheme val="minor"/>
      </rPr>
      <t>)</t>
    </r>
  </si>
  <si>
    <t>Note: θ &lt; 60° (Manual &amp; Electric motor) ; θ &lt; 40° (Thermal Element )</t>
  </si>
  <si>
    <r>
      <t>Recommended Mounting Angle (</t>
    </r>
    <r>
      <rPr>
        <b/>
        <sz val="12"/>
        <color theme="1" tint="0.14999847407452621"/>
        <rFont val="Calibri"/>
        <family val="2"/>
      </rPr>
      <t>φ</t>
    </r>
    <r>
      <rPr>
        <b/>
        <sz val="12"/>
        <color theme="1" tint="0.14999847407452621"/>
        <rFont val="Calibri"/>
        <family val="2"/>
        <scheme val="minor"/>
      </rPr>
      <t>)</t>
    </r>
  </si>
  <si>
    <t>* Pressure and Sound Power Level valid for manual diffuser</t>
  </si>
  <si>
    <t>Product Code</t>
  </si>
  <si>
    <t>Select Size</t>
  </si>
  <si>
    <t>Swirl Element</t>
  </si>
  <si>
    <t>(see cell F17)</t>
  </si>
  <si>
    <t>Adjustment Type</t>
  </si>
  <si>
    <t>Face Colour (Powder Coated)</t>
  </si>
  <si>
    <t>RAL9003</t>
  </si>
  <si>
    <t>RAL9005</t>
  </si>
  <si>
    <t>custom</t>
  </si>
  <si>
    <t>Order Code</t>
  </si>
  <si>
    <t>go to 'CNW-AD Selection Summary' for a printable summary of the selection</t>
  </si>
  <si>
    <t>* note: not to scale</t>
  </si>
  <si>
    <t>click to see product on smartair.asia</t>
  </si>
  <si>
    <t>Copyright © 2021 SMARTAIR DIFFUSION</t>
  </si>
  <si>
    <t>Units</t>
  </si>
  <si>
    <t>Unit Selection</t>
  </si>
  <si>
    <t>Unit Multiplier</t>
  </si>
  <si>
    <t>Airflow convert</t>
  </si>
  <si>
    <t>alternate</t>
  </si>
  <si>
    <t>Input Values</t>
  </si>
  <si>
    <t xml:space="preserve">Pressure </t>
  </si>
  <si>
    <t>Height</t>
  </si>
  <si>
    <t>Distance</t>
  </si>
  <si>
    <t>Swirl</t>
  </si>
  <si>
    <t>terminal velocity selection</t>
  </si>
  <si>
    <t>terminal velocity</t>
  </si>
  <si>
    <t>m/s</t>
  </si>
  <si>
    <t>dT  cool</t>
  </si>
  <si>
    <t>dt heat</t>
  </si>
  <si>
    <t>Heating to hit above floor level</t>
  </si>
  <si>
    <t>Input Diagonal Distance</t>
  </si>
  <si>
    <t>Jet Decay Constant 'k'</t>
  </si>
  <si>
    <t>Deflection constant x 2 for swirl</t>
  </si>
  <si>
    <t>Type 0</t>
  </si>
  <si>
    <t>Type 1</t>
  </si>
  <si>
    <t>TEST</t>
  </si>
  <si>
    <t>Diameter</t>
  </si>
  <si>
    <t>mm</t>
  </si>
  <si>
    <t>Area</t>
  </si>
  <si>
    <t>Velocity</t>
  </si>
  <si>
    <t>data.TotalPressure</t>
  </si>
  <si>
    <t>data.Flowrate</t>
  </si>
  <si>
    <t>Total Pressure Loss (Pa)</t>
  </si>
  <si>
    <t>Duct Area</t>
  </si>
  <si>
    <t>Duct Velocity</t>
  </si>
  <si>
    <t>Duct Dyn Pressure</t>
  </si>
  <si>
    <t>Duct Static Pressure</t>
  </si>
  <si>
    <t>Direct Throw Distance</t>
  </si>
  <si>
    <t>(Isothermal Direct) Throw (m)</t>
  </si>
  <si>
    <t>Jet Velocity at Distance</t>
  </si>
  <si>
    <t>SWL A</t>
  </si>
  <si>
    <t>SWL B</t>
  </si>
  <si>
    <t>SWL (dB(A))</t>
  </si>
  <si>
    <t>+ 5 dbA buffer</t>
  </si>
  <si>
    <t>Cooling Angle</t>
  </si>
  <si>
    <t>dT at Distance (cool)</t>
  </si>
  <si>
    <t>dT at Distance</t>
  </si>
  <si>
    <t>deflection constant k</t>
  </si>
  <si>
    <t>Deflection (cool)</t>
  </si>
  <si>
    <t>Discharge Angle</t>
  </si>
  <si>
    <t>Heating Angle</t>
  </si>
  <si>
    <t>Y penetration</t>
  </si>
  <si>
    <t>angle of depression case 1</t>
  </si>
  <si>
    <t>Angle of Depression</t>
  </si>
  <si>
    <t>deg</t>
  </si>
  <si>
    <t>Straight Path Length</t>
  </si>
  <si>
    <t>X location of minimum</t>
  </si>
  <si>
    <t>satifies throw requirement</t>
  </si>
  <si>
    <t>angle of depression case 2</t>
  </si>
  <si>
    <t>centreline distance</t>
  </si>
  <si>
    <t>compensated angle</t>
  </si>
  <si>
    <t>direct angle</t>
  </si>
  <si>
    <t>x distance ratio</t>
  </si>
  <si>
    <t>factored angle of depression</t>
  </si>
  <si>
    <t>Heating Angle of Depression</t>
  </si>
  <si>
    <t>Adjusted vs Cooling Angle</t>
  </si>
  <si>
    <t>degrees</t>
  </si>
  <si>
    <t>Heating distance</t>
  </si>
  <si>
    <t>x location heat</t>
  </si>
  <si>
    <t>dT at Distance (heat)</t>
  </si>
  <si>
    <t>Deflection (heat)</t>
  </si>
  <si>
    <t>Arc of rotation</t>
  </si>
  <si>
    <t>Can Thermal Adj</t>
  </si>
  <si>
    <t>Can Electric Adj</t>
  </si>
  <si>
    <t>Mounting angle</t>
  </si>
  <si>
    <t>Min Centreline Dist</t>
  </si>
  <si>
    <t>Results Collate</t>
  </si>
  <si>
    <t>DN200 [S0]</t>
  </si>
  <si>
    <t>DN250 [S0]</t>
  </si>
  <si>
    <t>DN315 [S0]</t>
  </si>
  <si>
    <t>DN400 [S0]</t>
  </si>
  <si>
    <t>DN500 [S0]</t>
  </si>
  <si>
    <t>DN630 [S0]</t>
  </si>
  <si>
    <t>DN250 [S1]</t>
  </si>
  <si>
    <t>DN315 [S1]</t>
  </si>
  <si>
    <t>DN400 [S1]</t>
  </si>
  <si>
    <t>DN500 [S1]</t>
  </si>
  <si>
    <t>DN630 [S1]</t>
  </si>
  <si>
    <t>Static Pressure</t>
  </si>
  <si>
    <t>Permissible Pressure</t>
  </si>
  <si>
    <t>Throw (m)</t>
  </si>
  <si>
    <t>Jet dT at Distance (cool)</t>
  </si>
  <si>
    <t>Jet dT at Distance (heat)</t>
  </si>
  <si>
    <t>Recommended Cooling Angle</t>
  </si>
  <si>
    <t>Recommended Heating Angle</t>
  </si>
  <si>
    <t>Arc of Rotation</t>
  </si>
  <si>
    <t>Mounting Angle</t>
  </si>
  <si>
    <t>X dist heat location</t>
  </si>
  <si>
    <t>deflection k (cool)</t>
  </si>
  <si>
    <t>deflection k (heat)</t>
  </si>
  <si>
    <t>Results Format</t>
  </si>
  <si>
    <t>Static Pressure (Pa)</t>
  </si>
  <si>
    <t>Total Pressure (Pa)</t>
  </si>
  <si>
    <t>Duct Diameter</t>
  </si>
  <si>
    <t>Exit Diameter</t>
  </si>
  <si>
    <t>Results Validation</t>
  </si>
  <si>
    <t>Selected Airflow Rate [L/s]</t>
  </si>
  <si>
    <t>Static Pressure @ Airflow [Pa]</t>
  </si>
  <si>
    <t>Total Pressure @ Airflow [Pa]</t>
  </si>
  <si>
    <t>Max Selected Pressure [Pa]</t>
  </si>
  <si>
    <t xml:space="preserve">SWL </t>
  </si>
  <si>
    <t>Max Throw Distance [m]</t>
  </si>
  <si>
    <t>Results Units</t>
  </si>
  <si>
    <t>Jet ΔT at floor level (heating)</t>
  </si>
  <si>
    <t>Colour Formatting</t>
  </si>
  <si>
    <t>Pressure</t>
  </si>
  <si>
    <t>Low Pressure</t>
  </si>
  <si>
    <t>Diagonal Throw Dist Error</t>
  </si>
  <si>
    <t>Throw Distance Highlight</t>
  </si>
  <si>
    <t>Warning Shade</t>
  </si>
  <si>
    <t>Arc angle</t>
  </si>
  <si>
    <t>grey</t>
  </si>
  <si>
    <t>FLOW PROFILE</t>
  </si>
  <si>
    <t>Selection</t>
  </si>
  <si>
    <t>arc of rotation</t>
  </si>
  <si>
    <t>mounting angle</t>
  </si>
  <si>
    <t>X heat location</t>
  </si>
  <si>
    <t>deflection k cool</t>
  </si>
  <si>
    <t>deflection k heat</t>
  </si>
  <si>
    <t>Cool</t>
  </si>
  <si>
    <t>X</t>
  </si>
  <si>
    <t>Diagonal Y</t>
  </si>
  <si>
    <t>L</t>
  </si>
  <si>
    <t>Actual Y</t>
  </si>
  <si>
    <t>Heat</t>
  </si>
  <si>
    <t>Direct Y</t>
  </si>
  <si>
    <t>Selected  Data</t>
  </si>
  <si>
    <t>Discharge</t>
  </si>
  <si>
    <t>Cooling</t>
  </si>
  <si>
    <t>Y</t>
  </si>
  <si>
    <t>Heating</t>
  </si>
  <si>
    <t>Circular Nozzle [CNW-AD] Notes</t>
  </si>
  <si>
    <t xml:space="preserve">Select Unit Size </t>
  </si>
  <si>
    <t>DN200</t>
  </si>
  <si>
    <t>D3</t>
  </si>
  <si>
    <t>D1</t>
  </si>
  <si>
    <t>D2</t>
  </si>
  <si>
    <t>E</t>
  </si>
  <si>
    <r>
      <t>L</t>
    </r>
    <r>
      <rPr>
        <vertAlign val="subscript"/>
        <sz val="11"/>
        <color theme="1"/>
        <rFont val="Calibri"/>
        <family val="2"/>
        <scheme val="minor"/>
      </rPr>
      <t>E</t>
    </r>
  </si>
  <si>
    <t>ALL DIMENSIONS IN mm</t>
  </si>
  <si>
    <t>Selection Button</t>
  </si>
  <si>
    <t>Jet Velocity at 20m</t>
  </si>
  <si>
    <t>Jet ΔT at 20 m (cooling)</t>
  </si>
  <si>
    <t>Input</t>
  </si>
  <si>
    <t>Distance Selected</t>
  </si>
  <si>
    <t>heating</t>
  </si>
  <si>
    <t>SELECTION</t>
  </si>
  <si>
    <t>Available Sizes</t>
  </si>
  <si>
    <t>DN250</t>
  </si>
  <si>
    <t>DN315</t>
  </si>
  <si>
    <t>DN400</t>
  </si>
  <si>
    <t>DN500</t>
  </si>
  <si>
    <t>DN630</t>
  </si>
  <si>
    <t>N/A</t>
  </si>
  <si>
    <t>Selection Data</t>
  </si>
  <si>
    <t>Size</t>
  </si>
  <si>
    <t>Adjustment</t>
  </si>
  <si>
    <t>Adjustments</t>
  </si>
  <si>
    <t>M</t>
  </si>
  <si>
    <t>T</t>
  </si>
  <si>
    <t>Manual</t>
  </si>
  <si>
    <t>Electric Motor</t>
  </si>
  <si>
    <t>Thermal Element</t>
  </si>
  <si>
    <t>&lt;N/A&gt;</t>
  </si>
  <si>
    <t>Not Available</t>
  </si>
  <si>
    <t>Adjustment Selection</t>
  </si>
  <si>
    <t>Max Arc</t>
  </si>
  <si>
    <t>Warning Highlight</t>
  </si>
  <si>
    <t>Colour</t>
  </si>
  <si>
    <t>RAL9003 - Signal White</t>
  </si>
  <si>
    <t>RAL9005 - Jet Black</t>
  </si>
  <si>
    <t>&lt;colour&gt;</t>
  </si>
  <si>
    <t>custom colour</t>
  </si>
  <si>
    <t>Code</t>
  </si>
  <si>
    <t>Summary</t>
  </si>
  <si>
    <t>Size and model</t>
  </si>
  <si>
    <t>Selected Airflow</t>
  </si>
  <si>
    <t>Selected throw distance</t>
  </si>
  <si>
    <t>Centreline velocity</t>
  </si>
  <si>
    <t>cool temp</t>
  </si>
  <si>
    <t>heat temp</t>
  </si>
  <si>
    <t>Angle</t>
  </si>
  <si>
    <t>Nozzle Configuration</t>
  </si>
  <si>
    <t>Diagram</t>
  </si>
  <si>
    <t>Velocity Profile</t>
  </si>
  <si>
    <t>0.25D</t>
  </si>
  <si>
    <t>0.5D</t>
  </si>
  <si>
    <t>0.75D</t>
  </si>
  <si>
    <t>1D</t>
  </si>
  <si>
    <t>Deflection Profile</t>
  </si>
  <si>
    <t>Straight Throw Distance</t>
  </si>
  <si>
    <t>Total Angle</t>
  </si>
  <si>
    <t>Rad</t>
  </si>
  <si>
    <t>Throw Height</t>
  </si>
  <si>
    <t>Throw Distance</t>
  </si>
  <si>
    <t>Deflection Height</t>
  </si>
  <si>
    <t>Le</t>
  </si>
  <si>
    <t>CNW-AD Performance Calculator Summary</t>
  </si>
  <si>
    <t>Project</t>
  </si>
  <si>
    <t>Company</t>
  </si>
  <si>
    <t>&lt;Name&gt;</t>
  </si>
  <si>
    <t>Consultant</t>
  </si>
  <si>
    <t>Product</t>
  </si>
  <si>
    <t>SMARTEMP CNW-AD Adjustable Nozzle</t>
  </si>
  <si>
    <t/>
  </si>
  <si>
    <t>Centreline Velocity</t>
  </si>
  <si>
    <r>
      <t>T</t>
    </r>
    <r>
      <rPr>
        <vertAlign val="subscript"/>
        <sz val="10"/>
        <color theme="1"/>
        <rFont val="Times New Roman"/>
        <family val="1"/>
      </rPr>
      <t>centreline</t>
    </r>
    <r>
      <rPr>
        <sz val="10"/>
        <color theme="1"/>
        <rFont val="Times New Roman"/>
        <family val="1"/>
      </rPr>
      <t xml:space="preserve"> - T</t>
    </r>
    <r>
      <rPr>
        <vertAlign val="subscript"/>
        <sz val="10"/>
        <color theme="1"/>
        <rFont val="Times New Roman"/>
        <family val="1"/>
      </rPr>
      <t>room</t>
    </r>
    <r>
      <rPr>
        <sz val="10"/>
        <color theme="1"/>
        <rFont val="Times New Roman"/>
        <family val="1"/>
      </rPr>
      <t xml:space="preserve"> for Cooling</t>
    </r>
  </si>
  <si>
    <r>
      <t>T</t>
    </r>
    <r>
      <rPr>
        <vertAlign val="subscript"/>
        <sz val="10"/>
        <color theme="1"/>
        <rFont val="Times New Roman"/>
        <family val="1"/>
      </rPr>
      <t>centreline</t>
    </r>
    <r>
      <rPr>
        <sz val="10"/>
        <color theme="1"/>
        <rFont val="Times New Roman"/>
        <family val="1"/>
      </rPr>
      <t xml:space="preserve"> - T</t>
    </r>
    <r>
      <rPr>
        <vertAlign val="subscript"/>
        <sz val="10"/>
        <color theme="1"/>
        <rFont val="Times New Roman"/>
        <family val="1"/>
      </rPr>
      <t>room</t>
    </r>
    <r>
      <rPr>
        <sz val="10"/>
        <color theme="1"/>
        <rFont val="Times New Roman"/>
        <family val="1"/>
      </rPr>
      <t xml:space="preserve"> for Heating</t>
    </r>
  </si>
  <si>
    <t>Acoustic Performance</t>
  </si>
  <si>
    <t>Sound Power Level ¹</t>
  </si>
  <si>
    <t>¹ Valid for manual adjustment</t>
  </si>
  <si>
    <t>Recommended Discharge Settings</t>
  </si>
  <si>
    <t>Configuration</t>
  </si>
  <si>
    <r>
      <t xml:space="preserve">Include Swirl Element [Type S1] </t>
    </r>
    <r>
      <rPr>
        <sz val="11"/>
        <color theme="1" tint="0.499984740745262"/>
        <rFont val="Calibri"/>
        <family val="2"/>
        <scheme val="minor"/>
      </rPr>
      <t>(for reduced throw and velocity)</t>
    </r>
  </si>
  <si>
    <r>
      <t xml:space="preserve">Pa  </t>
    </r>
    <r>
      <rPr>
        <sz val="11"/>
        <color theme="0" tint="-0.499984740745262"/>
        <rFont val="Calibri"/>
        <family val="2"/>
        <scheme val="minor"/>
      </rPr>
      <t>(default 60 Pa)</t>
    </r>
  </si>
  <si>
    <t>RAL9003*</t>
  </si>
  <si>
    <t>K  (-8 K to 0 K recommended)</t>
  </si>
  <si>
    <t>Minimum Centreline Distance</t>
  </si>
  <si>
    <t>Dimensions</t>
  </si>
  <si>
    <t>with swirl [S1]</t>
  </si>
  <si>
    <t>without swirl [S0]</t>
  </si>
  <si>
    <t>Minimum Spacing Between Nozzles</t>
  </si>
  <si>
    <t>min centreline distance [m]</t>
  </si>
  <si>
    <t>-</t>
  </si>
  <si>
    <t>Min Centreline Distance **</t>
  </si>
  <si>
    <t>** Refer to 'Notes' worksheet for example</t>
  </si>
  <si>
    <t>Centreline distance mulptiplier</t>
  </si>
  <si>
    <t>x exit diameter</t>
  </si>
  <si>
    <t xml:space="preserve">Selected Throw Distance </t>
  </si>
  <si>
    <r>
      <t xml:space="preserve">Order Code </t>
    </r>
    <r>
      <rPr>
        <sz val="14"/>
        <color theme="1"/>
        <rFont val="Calibri"/>
        <family val="2"/>
        <scheme val="minor"/>
      </rPr>
      <t>(select to copy)</t>
    </r>
  </si>
  <si>
    <t>excess velocity</t>
  </si>
  <si>
    <t>Velocity Limit</t>
  </si>
  <si>
    <t>Related Products</t>
  </si>
  <si>
    <t>Smartemp PMW-AD:</t>
  </si>
  <si>
    <t>Smartemp JSC-AD:</t>
  </si>
  <si>
    <t>Smartemp LMW-AD:</t>
  </si>
  <si>
    <t>K  (0 K to + 6 K recommended)</t>
  </si>
  <si>
    <t>Smartemp CSW-AD:</t>
  </si>
  <si>
    <t>a vertical discharge solution suitable for ultra-high ceilings</t>
  </si>
  <si>
    <t>wall mounted, high-induction swirl with adjustable throw settings</t>
  </si>
  <si>
    <t>wall mounted, high-induction perforated face solution</t>
  </si>
  <si>
    <t>wall-mounted, high-induction linear slot solution</t>
  </si>
  <si>
    <t>v 4.2 [03/2025]</t>
  </si>
  <si>
    <r>
      <t xml:space="preserve">Manual &amp; Electric Motor </t>
    </r>
    <r>
      <rPr>
        <sz val="10"/>
        <color theme="1"/>
        <rFont val="Calibri"/>
        <family val="2"/>
      </rPr>
      <t>θ &lt; 60° ; Thermal Element θ &lt; 40°</t>
    </r>
    <r>
      <rPr>
        <sz val="10"/>
        <color theme="1"/>
        <rFont val="Calibri"/>
        <family val="2"/>
        <scheme val="minor"/>
      </rPr>
      <t xml:space="preserve"> (Row 34)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</si>
</sst>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+\ 0.0;\-\ 0.0;\ 0.0"/>
    <numFmt numFmtId="166" formatCode="0.00000"/>
    <numFmt numFmtId="167" formatCode="0.000000"/>
  </numFmts>
  <fonts count="65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 tint="0.499984740745262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color theme="3"/>
      <name val="Calibri"/>
      <family val="2"/>
      <scheme val="minor"/>
    </font>
    <font>
      <b/>
      <sz val="16"/>
      <color rgb="FFFF9900"/>
      <name val="Calibri"/>
      <family val="2"/>
      <scheme val="minor"/>
    </font>
    <font>
      <sz val="14"/>
      <color rgb="FFFF9900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FF9900"/>
      <name val="Calibri"/>
      <family val="2"/>
      <scheme val="minor"/>
    </font>
    <font>
      <sz val="11"/>
      <color theme="9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2"/>
      <color theme="0" tint="-0.499984740745262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5" tint="-0.249977111117893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vertAlign val="superscript"/>
      <sz val="11"/>
      <color theme="1" tint="0.34998626667073579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b/>
      <sz val="12"/>
      <color theme="1" tint="0.14999847407452621"/>
      <name val="Calibri"/>
      <family val="2"/>
      <scheme val="minor"/>
    </font>
    <font>
      <b/>
      <sz val="14"/>
      <color theme="1" tint="0.14999847407452621"/>
      <name val="Calibri"/>
      <family val="2"/>
      <scheme val="minor"/>
    </font>
    <font>
      <sz val="10"/>
      <color rgb="FFC00000"/>
      <name val="Calibri"/>
      <family val="2"/>
      <scheme val="minor"/>
    </font>
    <font>
      <b/>
      <sz val="11"/>
      <color rgb="FF808080"/>
      <name val="Calibri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 tint="0.14999847407452621"/>
      <name val="Calibri"/>
      <family val="2"/>
    </font>
    <font>
      <sz val="11"/>
      <color theme="1" tint="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5"/>
      <color theme="1"/>
      <name val="Cambria"/>
      <family val="1"/>
      <scheme val="major"/>
    </font>
    <font>
      <sz val="15"/>
      <color theme="1"/>
      <name val="Cambria"/>
      <family val="1"/>
      <scheme val="major"/>
    </font>
    <font>
      <vertAlign val="subscript"/>
      <sz val="10"/>
      <color theme="1"/>
      <name val="Times New Roman"/>
      <family val="1"/>
    </font>
    <font>
      <sz val="10"/>
      <color theme="9" tint="-0.249977111117893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color theme="9" tint="-0.249977111117893"/>
      <name val="Calibri"/>
      <family val="2"/>
    </font>
    <font>
      <sz val="11"/>
      <color theme="5"/>
      <name val="Calibri"/>
      <family val="2"/>
    </font>
    <font>
      <b/>
      <sz val="12"/>
      <color theme="0" tint="-0.499984740745262"/>
      <name val="Calibri"/>
      <family val="2"/>
    </font>
    <font>
      <sz val="11"/>
      <color theme="0" tint="-4.9989318521683403E-2"/>
      <name val="Calibri"/>
      <family val="2"/>
      <scheme val="minor"/>
    </font>
    <font>
      <sz val="8"/>
      <color rgb="FF000000"/>
      <name val="Segoe UI"/>
      <family val="2"/>
    </font>
    <font>
      <sz val="12"/>
      <color theme="1" tint="0.14999847407452621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sz val="12"/>
      <color theme="1" tint="0.14999847407452621"/>
      <name val="Calibri"/>
      <family val="2"/>
    </font>
    <font>
      <b/>
      <sz val="14"/>
      <color theme="1"/>
      <name val="Cambria"/>
      <family val="1"/>
      <scheme val="major"/>
    </font>
    <font>
      <sz val="14"/>
      <color theme="1"/>
      <name val="Cambria"/>
      <family val="1"/>
      <scheme val="major"/>
    </font>
    <font>
      <sz val="11"/>
      <color theme="0" tint="-0.499984740745262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6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double">
        <color rgb="FFFF8001"/>
      </bottom>
      <diagonal/>
    </border>
    <border>
      <left style="thin">
        <color theme="1" tint="0.14996795556505021"/>
      </left>
      <right/>
      <top style="thin">
        <color theme="1" tint="0.14996795556505021"/>
      </top>
      <bottom/>
      <diagonal/>
    </border>
    <border>
      <left/>
      <right/>
      <top style="thin">
        <color theme="1" tint="0.14996795556505021"/>
      </top>
      <bottom/>
      <diagonal/>
    </border>
    <border>
      <left style="thin">
        <color theme="1" tint="0.14996795556505021"/>
      </left>
      <right/>
      <top/>
      <bottom/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auto="1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9"/>
      </left>
      <right/>
      <top style="thin">
        <color theme="9"/>
      </top>
      <bottom style="double">
        <color rgb="FFFF8001"/>
      </bottom>
      <diagonal/>
    </border>
    <border>
      <left/>
      <right style="thin">
        <color theme="9"/>
      </right>
      <top style="thin">
        <color theme="9"/>
      </top>
      <bottom style="double">
        <color rgb="FFFF8001"/>
      </bottom>
      <diagonal/>
    </border>
    <border>
      <left/>
      <right style="thin">
        <color theme="9"/>
      </right>
      <top/>
      <bottom/>
      <diagonal/>
    </border>
    <border>
      <left/>
      <right/>
      <top/>
      <bottom style="thick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4659260841701"/>
      </right>
      <top/>
      <bottom style="thin">
        <color theme="0" tint="-0.249977111117893"/>
      </bottom>
      <diagonal/>
    </border>
    <border>
      <left/>
      <right style="thin">
        <color auto="1"/>
      </right>
      <top/>
      <bottom style="thin">
        <color theme="0" tint="-0.249977111117893"/>
      </bottom>
      <diagonal/>
    </border>
    <border>
      <left/>
      <right style="thin">
        <color auto="1"/>
      </right>
      <top style="thin">
        <color theme="0" tint="-0.249977111117893"/>
      </top>
      <bottom/>
      <diagonal/>
    </border>
    <border>
      <left style="thin">
        <color auto="1"/>
      </left>
      <right style="thin">
        <color auto="1"/>
      </right>
      <top/>
      <bottom style="thin">
        <color theme="1" tint="0.249977111117893"/>
      </bottom>
      <diagonal/>
    </border>
    <border>
      <left style="thin">
        <color theme="1" tint="0.249977111117893"/>
      </left>
      <right style="thin">
        <color auto="1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auto="1"/>
      </left>
      <right style="thin">
        <color auto="1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auto="1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/>
      <right/>
      <top style="thin">
        <color theme="0" tint="-0.24994659260841701"/>
      </top>
      <bottom style="thin">
        <color theme="0" tint="-0.249977111117893"/>
      </bottom>
      <diagonal/>
    </border>
    <border>
      <left/>
      <right style="thin">
        <color theme="1" tint="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indexed="64"/>
      </top>
      <bottom style="thin">
        <color theme="0" tint="-0.499984740745262"/>
      </bottom>
      <diagonal/>
    </border>
    <border>
      <left/>
      <right style="thin">
        <color theme="0" tint="-0.24994659260841701"/>
      </right>
      <top/>
      <bottom style="thin">
        <color theme="0" tint="-0.499984740745262"/>
      </bottom>
      <diagonal/>
    </border>
    <border>
      <left/>
      <right/>
      <top/>
      <bottom style="medium">
        <color theme="0" tint="-0.249977111117893"/>
      </bottom>
      <diagonal/>
    </border>
    <border>
      <left/>
      <right/>
      <top style="medium">
        <color theme="0" tint="-0.24997711111789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 tint="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/>
      <bottom style="medium">
        <color theme="0" tint="-0.249977111117893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1" tint="0.249977111117893"/>
      </right>
      <top style="thin">
        <color theme="0" tint="-0.249977111117893"/>
      </top>
      <bottom/>
      <diagonal/>
    </border>
    <border>
      <left style="thin">
        <color theme="1" tint="0.249977111117893"/>
      </left>
      <right style="thin">
        <color auto="1"/>
      </right>
      <top style="thin">
        <color theme="1" tint="0.249977111117893"/>
      </top>
      <bottom/>
      <diagonal/>
    </border>
    <border>
      <left style="thin">
        <color auto="1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0" tint="-0.24994659260841701"/>
      </left>
      <right/>
      <top style="thin">
        <color theme="0" tint="-0.249977111117893"/>
      </top>
      <bottom/>
      <diagonal/>
    </border>
    <border>
      <left style="thin">
        <color theme="0" tint="-0.24994659260841701"/>
      </left>
      <right/>
      <top/>
      <bottom style="thin">
        <color theme="1" tint="0.499984740745262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</borders>
  <cellStyleXfs count="8">
    <xf numFmtId="0" fontId="0" fillId="0" borderId="0"/>
    <xf numFmtId="0" fontId="1" fillId="0" borderId="1" applyNumberFormat="0" applyFill="0" applyAlignment="0" applyProtection="0"/>
    <xf numFmtId="0" fontId="3" fillId="0" borderId="2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1" fillId="0" borderId="13" applyNumberFormat="0" applyFill="0" applyAlignment="0" applyProtection="0"/>
    <xf numFmtId="9" fontId="39" fillId="0" borderId="0" applyFont="0" applyFill="0" applyBorder="0" applyAlignment="0" applyProtection="0"/>
  </cellStyleXfs>
  <cellXfs count="237">
    <xf numFmtId="0" fontId="0" fillId="0" borderId="0" xfId="0"/>
    <xf numFmtId="0" fontId="1" fillId="0" borderId="1" xfId="1"/>
    <xf numFmtId="0" fontId="2" fillId="0" borderId="0" xfId="0" applyFont="1"/>
    <xf numFmtId="11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 vertical="center"/>
    </xf>
    <xf numFmtId="0" fontId="0" fillId="4" borderId="0" xfId="0" applyFill="1"/>
    <xf numFmtId="0" fontId="0" fillId="4" borderId="0" xfId="0" applyFill="1" applyAlignment="1">
      <alignment horizontal="right"/>
    </xf>
    <xf numFmtId="0" fontId="6" fillId="4" borderId="0" xfId="0" applyFont="1" applyFill="1" applyAlignment="1">
      <alignment horizontal="right"/>
    </xf>
    <xf numFmtId="0" fontId="5" fillId="4" borderId="0" xfId="0" applyFont="1" applyFill="1" applyAlignment="1">
      <alignment horizontal="left" vertical="top"/>
    </xf>
    <xf numFmtId="0" fontId="0" fillId="4" borderId="0" xfId="0" applyFill="1" applyAlignment="1">
      <alignment horizontal="center" vertical="center"/>
    </xf>
    <xf numFmtId="0" fontId="7" fillId="3" borderId="3" xfId="2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9" fillId="4" borderId="0" xfId="0" applyFont="1" applyFill="1"/>
    <xf numFmtId="0" fontId="0" fillId="2" borderId="4" xfId="0" applyFill="1" applyBorder="1"/>
    <xf numFmtId="0" fontId="0" fillId="2" borderId="5" xfId="0" applyFill="1" applyBorder="1"/>
    <xf numFmtId="0" fontId="0" fillId="2" borderId="0" xfId="0" applyFill="1"/>
    <xf numFmtId="0" fontId="0" fillId="2" borderId="6" xfId="0" applyFill="1" applyBorder="1"/>
    <xf numFmtId="0" fontId="13" fillId="2" borderId="0" xfId="0" applyFont="1" applyFill="1"/>
    <xf numFmtId="0" fontId="15" fillId="2" borderId="0" xfId="0" applyFont="1" applyFill="1" applyAlignment="1">
      <alignment vertical="center"/>
    </xf>
    <xf numFmtId="0" fontId="16" fillId="2" borderId="0" xfId="3" applyFont="1" applyFill="1" applyBorder="1"/>
    <xf numFmtId="0" fontId="11" fillId="2" borderId="0" xfId="3" applyFill="1" applyBorder="1"/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9" xfId="0" applyBorder="1" applyAlignment="1">
      <alignment horizontal="center" vertical="center"/>
    </xf>
    <xf numFmtId="0" fontId="0" fillId="4" borderId="0" xfId="0" applyFill="1" applyAlignment="1">
      <alignment horizontal="center"/>
    </xf>
    <xf numFmtId="0" fontId="21" fillId="0" borderId="13" xfId="6"/>
    <xf numFmtId="0" fontId="19" fillId="2" borderId="0" xfId="5" applyFont="1" applyFill="1" applyBorder="1" applyAlignment="1">
      <alignment vertical="center"/>
    </xf>
    <xf numFmtId="0" fontId="19" fillId="2" borderId="14" xfId="5" applyFont="1" applyFill="1" applyBorder="1" applyAlignment="1">
      <alignment vertical="center"/>
    </xf>
    <xf numFmtId="0" fontId="22" fillId="4" borderId="16" xfId="0" applyFont="1" applyFill="1" applyBorder="1" applyAlignment="1">
      <alignment horizontal="left" vertical="center"/>
    </xf>
    <xf numFmtId="0" fontId="23" fillId="4" borderId="0" xfId="0" applyFont="1" applyFill="1" applyAlignment="1">
      <alignment horizontal="right" vertical="center"/>
    </xf>
    <xf numFmtId="0" fontId="23" fillId="3" borderId="20" xfId="0" applyFont="1" applyFill="1" applyBorder="1" applyAlignment="1">
      <alignment horizontal="center" vertical="center"/>
    </xf>
    <xf numFmtId="0" fontId="23" fillId="5" borderId="20" xfId="0" applyFont="1" applyFill="1" applyBorder="1" applyAlignment="1">
      <alignment horizontal="center" vertical="center"/>
    </xf>
    <xf numFmtId="0" fontId="0" fillId="0" borderId="15" xfId="0" applyBorder="1"/>
    <xf numFmtId="0" fontId="10" fillId="4" borderId="0" xfId="0" applyFont="1" applyFill="1" applyAlignment="1">
      <alignment horizontal="left" vertical="center"/>
    </xf>
    <xf numFmtId="0" fontId="23" fillId="4" borderId="0" xfId="0" applyFont="1" applyFill="1" applyAlignment="1">
      <alignment horizontal="left" vertical="center"/>
    </xf>
    <xf numFmtId="0" fontId="0" fillId="5" borderId="0" xfId="0" applyFill="1"/>
    <xf numFmtId="0" fontId="4" fillId="2" borderId="0" xfId="0" applyFont="1" applyFill="1" applyAlignment="1">
      <alignment horizontal="center" vertical="center"/>
    </xf>
    <xf numFmtId="0" fontId="0" fillId="0" borderId="14" xfId="0" applyBorder="1"/>
    <xf numFmtId="2" fontId="0" fillId="0" borderId="14" xfId="0" applyNumberFormat="1" applyBorder="1"/>
    <xf numFmtId="164" fontId="0" fillId="0" borderId="0" xfId="0" applyNumberFormat="1"/>
    <xf numFmtId="0" fontId="0" fillId="5" borderId="16" xfId="0" applyFill="1" applyBorder="1"/>
    <xf numFmtId="0" fontId="23" fillId="4" borderId="0" xfId="0" applyFont="1" applyFill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0" fillId="5" borderId="24" xfId="0" applyFill="1" applyBorder="1"/>
    <xf numFmtId="0" fontId="0" fillId="5" borderId="25" xfId="0" applyFill="1" applyBorder="1"/>
    <xf numFmtId="0" fontId="30" fillId="5" borderId="25" xfId="0" applyFont="1" applyFill="1" applyBorder="1" applyAlignment="1">
      <alignment horizontal="left"/>
    </xf>
    <xf numFmtId="165" fontId="7" fillId="3" borderId="3" xfId="2" applyNumberFormat="1" applyFont="1" applyFill="1" applyBorder="1" applyAlignment="1" applyProtection="1">
      <alignment horizontal="center" vertical="center"/>
      <protection locked="0"/>
    </xf>
    <xf numFmtId="0" fontId="0" fillId="4" borderId="26" xfId="0" applyFill="1" applyBorder="1"/>
    <xf numFmtId="0" fontId="28" fillId="4" borderId="26" xfId="0" applyFont="1" applyFill="1" applyBorder="1"/>
    <xf numFmtId="0" fontId="0" fillId="4" borderId="16" xfId="0" applyFill="1" applyBorder="1" applyAlignment="1">
      <alignment horizontal="right"/>
    </xf>
    <xf numFmtId="0" fontId="0" fillId="4" borderId="16" xfId="0" applyFill="1" applyBorder="1"/>
    <xf numFmtId="0" fontId="0" fillId="4" borderId="27" xfId="0" applyFill="1" applyBorder="1"/>
    <xf numFmtId="0" fontId="0" fillId="5" borderId="16" xfId="0" applyFill="1" applyBorder="1" applyAlignment="1">
      <alignment vertical="center"/>
    </xf>
    <xf numFmtId="0" fontId="8" fillId="5" borderId="16" xfId="0" applyFont="1" applyFill="1" applyBorder="1" applyAlignment="1">
      <alignment horizontal="right" vertical="center"/>
    </xf>
    <xf numFmtId="0" fontId="8" fillId="5" borderId="16" xfId="0" applyFont="1" applyFill="1" applyBorder="1" applyAlignment="1">
      <alignment vertical="center"/>
    </xf>
    <xf numFmtId="0" fontId="0" fillId="5" borderId="28" xfId="0" applyFill="1" applyBorder="1"/>
    <xf numFmtId="0" fontId="31" fillId="4" borderId="0" xfId="0" applyFont="1" applyFill="1" applyAlignment="1">
      <alignment horizontal="left" vertical="center"/>
    </xf>
    <xf numFmtId="0" fontId="31" fillId="4" borderId="18" xfId="0" applyFont="1" applyFill="1" applyBorder="1" applyAlignment="1">
      <alignment horizontal="left" vertical="center"/>
    </xf>
    <xf numFmtId="0" fontId="31" fillId="4" borderId="16" xfId="0" applyFont="1" applyFill="1" applyBorder="1" applyAlignment="1">
      <alignment horizontal="left" vertical="center"/>
    </xf>
    <xf numFmtId="0" fontId="32" fillId="4" borderId="0" xfId="0" applyFont="1" applyFill="1" applyAlignment="1">
      <alignment horizontal="left" vertical="center"/>
    </xf>
    <xf numFmtId="0" fontId="32" fillId="4" borderId="0" xfId="0" applyFont="1" applyFill="1" applyAlignment="1">
      <alignment horizontal="right" vertical="center"/>
    </xf>
    <xf numFmtId="0" fontId="31" fillId="4" borderId="35" xfId="0" applyFont="1" applyFill="1" applyBorder="1" applyAlignment="1">
      <alignment horizontal="left" vertical="center"/>
    </xf>
    <xf numFmtId="0" fontId="31" fillId="4" borderId="37" xfId="0" applyFont="1" applyFill="1" applyBorder="1" applyAlignment="1">
      <alignment horizontal="left" vertical="center"/>
    </xf>
    <xf numFmtId="0" fontId="33" fillId="3" borderId="20" xfId="0" applyFont="1" applyFill="1" applyBorder="1" applyAlignment="1">
      <alignment horizontal="center" vertical="center"/>
    </xf>
    <xf numFmtId="0" fontId="10" fillId="4" borderId="38" xfId="0" applyFont="1" applyFill="1" applyBorder="1" applyAlignment="1">
      <alignment horizontal="left" vertical="center"/>
    </xf>
    <xf numFmtId="0" fontId="10" fillId="4" borderId="39" xfId="0" applyFont="1" applyFill="1" applyBorder="1" applyAlignment="1">
      <alignment horizontal="left" vertical="center"/>
    </xf>
    <xf numFmtId="0" fontId="23" fillId="4" borderId="38" xfId="0" applyFont="1" applyFill="1" applyBorder="1" applyAlignment="1">
      <alignment horizontal="right" vertical="center"/>
    </xf>
    <xf numFmtId="0" fontId="0" fillId="4" borderId="40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0" fillId="5" borderId="0" xfId="0" applyFont="1" applyFill="1" applyAlignment="1">
      <alignment horizontal="left" vertical="center"/>
    </xf>
    <xf numFmtId="0" fontId="23" fillId="5" borderId="0" xfId="0" applyFont="1" applyFill="1" applyAlignment="1">
      <alignment horizontal="right" vertical="center"/>
    </xf>
    <xf numFmtId="0" fontId="17" fillId="5" borderId="0" xfId="4" applyFont="1" applyFill="1" applyBorder="1"/>
    <xf numFmtId="0" fontId="10" fillId="5" borderId="16" xfId="4" applyFont="1" applyFill="1" applyBorder="1" applyAlignment="1">
      <alignment vertical="center"/>
    </xf>
    <xf numFmtId="0" fontId="10" fillId="5" borderId="41" xfId="4" applyFont="1" applyFill="1" applyBorder="1" applyAlignment="1">
      <alignment vertical="center"/>
    </xf>
    <xf numFmtId="0" fontId="34" fillId="6" borderId="41" xfId="0" applyFont="1" applyFill="1" applyBorder="1" applyAlignment="1">
      <alignment horizontal="right"/>
    </xf>
    <xf numFmtId="0" fontId="10" fillId="5" borderId="16" xfId="4" applyFont="1" applyFill="1" applyBorder="1" applyAlignment="1">
      <alignment vertical="center" wrapText="1"/>
    </xf>
    <xf numFmtId="0" fontId="35" fillId="5" borderId="0" xfId="4" applyFont="1" applyFill="1" applyBorder="1" applyAlignment="1">
      <alignment horizontal="right" vertical="center" wrapText="1"/>
    </xf>
    <xf numFmtId="0" fontId="35" fillId="5" borderId="0" xfId="0" applyFont="1" applyFill="1" applyAlignment="1">
      <alignment horizontal="right" vertical="center"/>
    </xf>
    <xf numFmtId="0" fontId="35" fillId="5" borderId="0" xfId="0" applyFont="1" applyFill="1" applyAlignment="1">
      <alignment horizontal="left" vertical="center"/>
    </xf>
    <xf numFmtId="0" fontId="35" fillId="5" borderId="0" xfId="0" applyFont="1" applyFill="1" applyAlignment="1">
      <alignment horizontal="center" vertical="center"/>
    </xf>
    <xf numFmtId="0" fontId="35" fillId="5" borderId="41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43" xfId="0" applyBorder="1"/>
    <xf numFmtId="0" fontId="2" fillId="0" borderId="43" xfId="0" applyFont="1" applyBorder="1"/>
    <xf numFmtId="0" fontId="0" fillId="0" borderId="44" xfId="0" applyBorder="1"/>
    <xf numFmtId="164" fontId="7" fillId="3" borderId="3" xfId="2" applyNumberFormat="1" applyFont="1" applyFill="1" applyBorder="1" applyAlignment="1" applyProtection="1">
      <alignment horizontal="center" vertical="center"/>
      <protection locked="0"/>
    </xf>
    <xf numFmtId="0" fontId="9" fillId="4" borderId="0" xfId="0" quotePrefix="1" applyFont="1" applyFill="1"/>
    <xf numFmtId="166" fontId="0" fillId="0" borderId="0" xfId="0" applyNumberFormat="1"/>
    <xf numFmtId="2" fontId="0" fillId="0" borderId="0" xfId="0" applyNumberFormat="1" applyAlignment="1">
      <alignment horizontal="right"/>
    </xf>
    <xf numFmtId="0" fontId="38" fillId="5" borderId="0" xfId="0" applyFont="1" applyFill="1" applyAlignment="1">
      <alignment vertical="top"/>
    </xf>
    <xf numFmtId="0" fontId="38" fillId="5" borderId="26" xfId="0" applyFont="1" applyFill="1" applyBorder="1" applyAlignment="1">
      <alignment vertical="center"/>
    </xf>
    <xf numFmtId="2" fontId="0" fillId="0" borderId="44" xfId="0" applyNumberFormat="1" applyBorder="1"/>
    <xf numFmtId="2" fontId="0" fillId="0" borderId="45" xfId="0" applyNumberFormat="1" applyBorder="1"/>
    <xf numFmtId="167" fontId="0" fillId="0" borderId="0" xfId="0" applyNumberFormat="1"/>
    <xf numFmtId="9" fontId="0" fillId="0" borderId="0" xfId="7" applyFont="1"/>
    <xf numFmtId="164" fontId="0" fillId="0" borderId="15" xfId="0" applyNumberFormat="1" applyBorder="1"/>
    <xf numFmtId="0" fontId="38" fillId="4" borderId="0" xfId="0" applyFont="1" applyFill="1" applyAlignment="1">
      <alignment horizontal="right" vertical="center"/>
    </xf>
    <xf numFmtId="0" fontId="38" fillId="4" borderId="0" xfId="0" applyFont="1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0" borderId="46" xfId="0" applyBorder="1"/>
    <xf numFmtId="0" fontId="5" fillId="5" borderId="0" xfId="4" applyFont="1" applyFill="1" applyAlignment="1"/>
    <xf numFmtId="2" fontId="0" fillId="0" borderId="0" xfId="0" quotePrefix="1" applyNumberFormat="1"/>
    <xf numFmtId="0" fontId="9" fillId="5" borderId="0" xfId="0" applyFont="1" applyFill="1" applyAlignment="1">
      <alignment vertical="center"/>
    </xf>
    <xf numFmtId="0" fontId="23" fillId="5" borderId="48" xfId="0" applyFont="1" applyFill="1" applyBorder="1" applyAlignment="1">
      <alignment horizontal="right" vertical="center"/>
    </xf>
    <xf numFmtId="0" fontId="10" fillId="5" borderId="50" xfId="0" applyFont="1" applyFill="1" applyBorder="1" applyAlignment="1">
      <alignment horizontal="left" vertical="center"/>
    </xf>
    <xf numFmtId="0" fontId="41" fillId="0" borderId="0" xfId="0" applyFont="1" applyAlignment="1">
      <alignment vertical="center"/>
    </xf>
    <xf numFmtId="0" fontId="43" fillId="0" borderId="0" xfId="0" applyFont="1"/>
    <xf numFmtId="0" fontId="44" fillId="0" borderId="0" xfId="0" applyFont="1"/>
    <xf numFmtId="0" fontId="45" fillId="0" borderId="0" xfId="0" applyFont="1"/>
    <xf numFmtId="0" fontId="0" fillId="4" borderId="0" xfId="0" applyFill="1" applyAlignment="1">
      <alignment horizontal="left"/>
    </xf>
    <xf numFmtId="0" fontId="0" fillId="4" borderId="8" xfId="0" applyFill="1" applyBorder="1"/>
    <xf numFmtId="0" fontId="0" fillId="4" borderId="0" xfId="0" applyFill="1" applyAlignment="1">
      <alignment horizontal="right" vertical="center"/>
    </xf>
    <xf numFmtId="0" fontId="45" fillId="0" borderId="0" xfId="0" applyFont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4" fillId="0" borderId="0" xfId="0" applyFont="1" applyAlignment="1">
      <alignment horizontal="left" wrapText="1"/>
    </xf>
    <xf numFmtId="0" fontId="23" fillId="0" borderId="0" xfId="0" applyFont="1"/>
    <xf numFmtId="0" fontId="44" fillId="0" borderId="0" xfId="0" applyFont="1" applyAlignment="1">
      <alignment horizontal="right"/>
    </xf>
    <xf numFmtId="0" fontId="42" fillId="0" borderId="0" xfId="0" applyFont="1" applyAlignment="1">
      <alignment horizontal="left" vertical="center" indent="2"/>
    </xf>
    <xf numFmtId="0" fontId="0" fillId="5" borderId="0" xfId="0" applyFill="1" applyAlignment="1">
      <alignment horizontal="left"/>
    </xf>
    <xf numFmtId="0" fontId="31" fillId="3" borderId="10" xfId="0" applyFont="1" applyFill="1" applyBorder="1" applyAlignment="1">
      <alignment horizontal="center" vertical="center"/>
    </xf>
    <xf numFmtId="164" fontId="31" fillId="3" borderId="32" xfId="0" applyNumberFormat="1" applyFont="1" applyFill="1" applyBorder="1" applyAlignment="1">
      <alignment horizontal="center" vertical="center"/>
    </xf>
    <xf numFmtId="164" fontId="31" fillId="3" borderId="33" xfId="0" applyNumberFormat="1" applyFont="1" applyFill="1" applyBorder="1" applyAlignment="1">
      <alignment horizontal="center" vertical="center"/>
    </xf>
    <xf numFmtId="164" fontId="31" fillId="3" borderId="34" xfId="0" applyNumberFormat="1" applyFont="1" applyFill="1" applyBorder="1" applyAlignment="1">
      <alignment horizontal="center" vertical="center"/>
    </xf>
    <xf numFmtId="164" fontId="31" fillId="3" borderId="11" xfId="0" applyNumberFormat="1" applyFont="1" applyFill="1" applyBorder="1" applyAlignment="1">
      <alignment horizontal="center" vertical="center"/>
    </xf>
    <xf numFmtId="164" fontId="22" fillId="3" borderId="31" xfId="0" applyNumberFormat="1" applyFont="1" applyFill="1" applyBorder="1" applyAlignment="1">
      <alignment horizontal="center" vertical="center"/>
    </xf>
    <xf numFmtId="164" fontId="31" fillId="3" borderId="52" xfId="0" applyNumberFormat="1" applyFont="1" applyFill="1" applyBorder="1" applyAlignment="1">
      <alignment horizontal="center" vertical="center"/>
    </xf>
    <xf numFmtId="164" fontId="31" fillId="3" borderId="47" xfId="0" applyNumberFormat="1" applyFont="1" applyFill="1" applyBorder="1" applyAlignment="1">
      <alignment horizontal="center" vertical="center"/>
    </xf>
    <xf numFmtId="164" fontId="31" fillId="3" borderId="53" xfId="0" applyNumberFormat="1" applyFont="1" applyFill="1" applyBorder="1" applyAlignment="1">
      <alignment horizontal="center" vertical="center"/>
    </xf>
    <xf numFmtId="2" fontId="31" fillId="3" borderId="31" xfId="0" applyNumberFormat="1" applyFont="1" applyFill="1" applyBorder="1" applyAlignment="1">
      <alignment horizontal="center" vertical="center"/>
    </xf>
    <xf numFmtId="165" fontId="31" fillId="3" borderId="47" xfId="0" applyNumberFormat="1" applyFont="1" applyFill="1" applyBorder="1" applyAlignment="1">
      <alignment horizontal="center" vertical="center"/>
    </xf>
    <xf numFmtId="165" fontId="31" fillId="3" borderId="11" xfId="0" applyNumberFormat="1" applyFont="1" applyFill="1" applyBorder="1" applyAlignment="1">
      <alignment horizontal="center" vertical="center"/>
    </xf>
    <xf numFmtId="1" fontId="31" fillId="3" borderId="11" xfId="0" applyNumberFormat="1" applyFont="1" applyFill="1" applyBorder="1" applyAlignment="1">
      <alignment horizontal="center" vertical="center"/>
    </xf>
    <xf numFmtId="1" fontId="31" fillId="3" borderId="12" xfId="0" applyNumberFormat="1" applyFont="1" applyFill="1" applyBorder="1" applyAlignment="1">
      <alignment horizontal="center" vertical="center"/>
    </xf>
    <xf numFmtId="1" fontId="31" fillId="3" borderId="19" xfId="0" applyNumberFormat="1" applyFont="1" applyFill="1" applyBorder="1" applyAlignment="1">
      <alignment horizontal="center" vertical="center"/>
    </xf>
    <xf numFmtId="0" fontId="50" fillId="4" borderId="0" xfId="0" applyFont="1" applyFill="1" applyAlignment="1">
      <alignment horizontal="center" vertical="center"/>
    </xf>
    <xf numFmtId="0" fontId="46" fillId="4" borderId="0" xfId="0" applyFont="1" applyFill="1" applyAlignment="1">
      <alignment horizontal="right" vertical="center"/>
    </xf>
    <xf numFmtId="0" fontId="0" fillId="4" borderId="48" xfId="0" applyFill="1" applyBorder="1" applyAlignment="1">
      <alignment horizontal="right" vertical="center"/>
    </xf>
    <xf numFmtId="0" fontId="0" fillId="4" borderId="16" xfId="0" applyFill="1" applyBorder="1" applyAlignment="1" applyProtection="1">
      <alignment horizontal="center" vertical="center"/>
      <protection locked="0"/>
    </xf>
    <xf numFmtId="0" fontId="0" fillId="4" borderId="37" xfId="0" applyFill="1" applyBorder="1" applyAlignment="1" applyProtection="1">
      <alignment horizontal="center" vertical="center"/>
      <protection locked="0"/>
    </xf>
    <xf numFmtId="0" fontId="0" fillId="4" borderId="38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9" fontId="0" fillId="0" borderId="0" xfId="7" applyFont="1" applyAlignment="1">
      <alignment horizontal="left"/>
    </xf>
    <xf numFmtId="1" fontId="31" fillId="3" borderId="47" xfId="0" applyNumberFormat="1" applyFont="1" applyFill="1" applyBorder="1" applyAlignment="1">
      <alignment horizontal="center" vertical="center"/>
    </xf>
    <xf numFmtId="0" fontId="22" fillId="4" borderId="0" xfId="0" applyFont="1" applyFill="1" applyAlignment="1">
      <alignment horizontal="left" vertical="center"/>
    </xf>
    <xf numFmtId="1" fontId="22" fillId="3" borderId="11" xfId="0" applyNumberFormat="1" applyFont="1" applyFill="1" applyBorder="1" applyAlignment="1">
      <alignment horizontal="center" vertical="center"/>
    </xf>
    <xf numFmtId="0" fontId="24" fillId="4" borderId="0" xfId="0" applyFont="1" applyFill="1" applyAlignment="1">
      <alignment horizontal="center" vertical="center"/>
    </xf>
    <xf numFmtId="0" fontId="51" fillId="4" borderId="0" xfId="0" applyFont="1" applyFill="1" applyAlignment="1">
      <alignment horizontal="center" vertical="center"/>
    </xf>
    <xf numFmtId="0" fontId="52" fillId="4" borderId="0" xfId="0" applyFont="1" applyFill="1" applyAlignment="1">
      <alignment horizontal="center" vertical="center"/>
    </xf>
    <xf numFmtId="0" fontId="35" fillId="5" borderId="0" xfId="4" applyFont="1" applyFill="1" applyBorder="1" applyAlignment="1">
      <alignment horizontal="center" vertical="center" wrapText="1"/>
    </xf>
    <xf numFmtId="164" fontId="0" fillId="0" borderId="14" xfId="0" applyNumberFormat="1" applyBorder="1"/>
    <xf numFmtId="0" fontId="0" fillId="4" borderId="54" xfId="0" applyFill="1" applyBorder="1"/>
    <xf numFmtId="0" fontId="0" fillId="4" borderId="8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 wrapText="1"/>
    </xf>
    <xf numFmtId="0" fontId="0" fillId="4" borderId="55" xfId="0" applyFill="1" applyBorder="1" applyAlignment="1">
      <alignment horizontal="center" vertical="center"/>
    </xf>
    <xf numFmtId="0" fontId="5" fillId="5" borderId="24" xfId="1" applyFont="1" applyFill="1" applyBorder="1" applyAlignment="1">
      <alignment horizontal="left"/>
    </xf>
    <xf numFmtId="0" fontId="56" fillId="4" borderId="35" xfId="0" applyFont="1" applyFill="1" applyBorder="1" applyAlignment="1">
      <alignment horizontal="left" vertical="center"/>
    </xf>
    <xf numFmtId="0" fontId="56" fillId="4" borderId="30" xfId="0" applyFont="1" applyFill="1" applyBorder="1" applyAlignment="1">
      <alignment horizontal="left" vertical="center"/>
    </xf>
    <xf numFmtId="0" fontId="56" fillId="4" borderId="0" xfId="0" applyFont="1" applyFill="1" applyAlignment="1">
      <alignment horizontal="left" vertical="center"/>
    </xf>
    <xf numFmtId="0" fontId="57" fillId="4" borderId="16" xfId="0" applyFont="1" applyFill="1" applyBorder="1" applyAlignment="1">
      <alignment horizontal="left" vertical="center"/>
    </xf>
    <xf numFmtId="0" fontId="56" fillId="4" borderId="36" xfId="0" applyFont="1" applyFill="1" applyBorder="1" applyAlignment="1">
      <alignment horizontal="left" vertical="center"/>
    </xf>
    <xf numFmtId="0" fontId="56" fillId="4" borderId="51" xfId="0" applyFont="1" applyFill="1" applyBorder="1" applyAlignment="1">
      <alignment horizontal="left" vertical="center"/>
    </xf>
    <xf numFmtId="0" fontId="56" fillId="4" borderId="29" xfId="0" applyFont="1" applyFill="1" applyBorder="1" applyAlignment="1">
      <alignment horizontal="left" vertical="center"/>
    </xf>
    <xf numFmtId="0" fontId="58" fillId="4" borderId="15" xfId="0" applyFont="1" applyFill="1" applyBorder="1" applyAlignment="1">
      <alignment horizontal="left" vertical="center"/>
    </xf>
    <xf numFmtId="0" fontId="56" fillId="4" borderId="15" xfId="0" applyFont="1" applyFill="1" applyBorder="1" applyAlignment="1">
      <alignment horizontal="left" vertical="center"/>
    </xf>
    <xf numFmtId="0" fontId="57" fillId="4" borderId="15" xfId="0" applyFont="1" applyFill="1" applyBorder="1" applyAlignment="1">
      <alignment horizontal="left" vertical="center"/>
    </xf>
    <xf numFmtId="0" fontId="56" fillId="4" borderId="17" xfId="0" applyFont="1" applyFill="1" applyBorder="1" applyAlignment="1">
      <alignment horizontal="left" vertical="center"/>
    </xf>
    <xf numFmtId="0" fontId="0" fillId="4" borderId="0" xfId="0" applyFill="1" applyAlignment="1">
      <alignment horizontal="left" vertical="center" indent="1"/>
    </xf>
    <xf numFmtId="0" fontId="23" fillId="4" borderId="0" xfId="0" applyFont="1" applyFill="1" applyAlignment="1">
      <alignment horizontal="left" vertical="center" indent="1"/>
    </xf>
    <xf numFmtId="0" fontId="27" fillId="4" borderId="0" xfId="0" applyFont="1" applyFill="1" applyAlignment="1">
      <alignment horizontal="left" vertical="center" indent="1"/>
    </xf>
    <xf numFmtId="0" fontId="54" fillId="4" borderId="0" xfId="0" applyFont="1" applyFill="1" applyAlignment="1">
      <alignment horizontal="left" vertical="center" indent="1"/>
    </xf>
    <xf numFmtId="0" fontId="9" fillId="4" borderId="26" xfId="0" applyFont="1" applyFill="1" applyBorder="1" applyAlignment="1">
      <alignment horizontal="center" vertical="center"/>
    </xf>
    <xf numFmtId="0" fontId="59" fillId="4" borderId="0" xfId="0" applyFont="1" applyFill="1" applyAlignment="1">
      <alignment horizontal="center" vertical="center"/>
    </xf>
    <xf numFmtId="0" fontId="61" fillId="4" borderId="26" xfId="0" applyFont="1" applyFill="1" applyBorder="1" applyAlignment="1">
      <alignment horizontal="left" vertical="center"/>
    </xf>
    <xf numFmtId="0" fontId="47" fillId="5" borderId="0" xfId="0" applyFont="1" applyFill="1" applyAlignment="1" applyProtection="1">
      <alignment vertical="center"/>
      <protection locked="0"/>
    </xf>
    <xf numFmtId="0" fontId="30" fillId="5" borderId="0" xfId="0" applyFont="1" applyFill="1" applyAlignment="1">
      <alignment horizontal="left"/>
    </xf>
    <xf numFmtId="0" fontId="38" fillId="5" borderId="0" xfId="0" applyFont="1" applyFill="1" applyAlignment="1">
      <alignment vertical="center"/>
    </xf>
    <xf numFmtId="0" fontId="9" fillId="5" borderId="0" xfId="0" applyFont="1" applyFill="1"/>
    <xf numFmtId="0" fontId="9" fillId="5" borderId="0" xfId="0" applyFont="1" applyFill="1" applyAlignment="1">
      <alignment horizontal="left" vertical="top"/>
    </xf>
    <xf numFmtId="0" fontId="0" fillId="5" borderId="0" xfId="0" applyFill="1" applyAlignment="1">
      <alignment horizontal="center"/>
    </xf>
    <xf numFmtId="0" fontId="6" fillId="5" borderId="0" xfId="0" applyFont="1" applyFill="1" applyAlignment="1">
      <alignment horizontal="left" vertical="center"/>
    </xf>
    <xf numFmtId="0" fontId="6" fillId="4" borderId="0" xfId="0" applyFont="1" applyFill="1" applyAlignment="1">
      <alignment horizontal="right" indent="1"/>
    </xf>
    <xf numFmtId="0" fontId="5" fillId="4" borderId="7" xfId="1" applyFont="1" applyFill="1" applyBorder="1" applyAlignment="1">
      <alignment horizontal="left"/>
    </xf>
    <xf numFmtId="0" fontId="5" fillId="4" borderId="0" xfId="1" applyFont="1" applyFill="1" applyBorder="1" applyAlignment="1">
      <alignment horizontal="left"/>
    </xf>
    <xf numFmtId="0" fontId="0" fillId="4" borderId="57" xfId="0" applyFill="1" applyBorder="1"/>
    <xf numFmtId="0" fontId="0" fillId="4" borderId="18" xfId="0" applyFill="1" applyBorder="1"/>
    <xf numFmtId="0" fontId="0" fillId="4" borderId="58" xfId="0" applyFill="1" applyBorder="1"/>
    <xf numFmtId="0" fontId="0" fillId="4" borderId="48" xfId="0" applyFill="1" applyBorder="1"/>
    <xf numFmtId="0" fontId="10" fillId="4" borderId="0" xfId="0" applyFont="1" applyFill="1" applyAlignment="1">
      <alignment horizontal="center" vertical="center"/>
    </xf>
    <xf numFmtId="0" fontId="0" fillId="4" borderId="0" xfId="0" applyFill="1" applyAlignment="1">
      <alignment vertical="top"/>
    </xf>
    <xf numFmtId="0" fontId="24" fillId="4" borderId="0" xfId="0" applyFont="1" applyFill="1"/>
    <xf numFmtId="0" fontId="24" fillId="4" borderId="26" xfId="0" applyFont="1" applyFill="1" applyBorder="1"/>
    <xf numFmtId="0" fontId="0" fillId="4" borderId="59" xfId="0" applyFill="1" applyBorder="1"/>
    <xf numFmtId="0" fontId="35" fillId="4" borderId="60" xfId="0" applyFont="1" applyFill="1" applyBorder="1"/>
    <xf numFmtId="0" fontId="35" fillId="4" borderId="37" xfId="0" applyFont="1" applyFill="1" applyBorder="1"/>
    <xf numFmtId="0" fontId="35" fillId="4" borderId="18" xfId="0" applyFont="1" applyFill="1" applyBorder="1"/>
    <xf numFmtId="0" fontId="35" fillId="4" borderId="56" xfId="0" applyFont="1" applyFill="1" applyBorder="1" applyAlignment="1">
      <alignment horizontal="center"/>
    </xf>
    <xf numFmtId="2" fontId="35" fillId="4" borderId="56" xfId="0" applyNumberFormat="1" applyFont="1" applyFill="1" applyBorder="1" applyAlignment="1">
      <alignment horizontal="center" vertical="center"/>
    </xf>
    <xf numFmtId="0" fontId="35" fillId="4" borderId="16" xfId="0" applyFont="1" applyFill="1" applyBorder="1"/>
    <xf numFmtId="0" fontId="35" fillId="4" borderId="0" xfId="0" applyFont="1" applyFill="1"/>
    <xf numFmtId="0" fontId="0" fillId="3" borderId="0" xfId="0" applyFill="1"/>
    <xf numFmtId="2" fontId="35" fillId="4" borderId="56" xfId="0" quotePrefix="1" applyNumberFormat="1" applyFont="1" applyFill="1" applyBorder="1" applyAlignment="1">
      <alignment horizontal="center" vertical="center"/>
    </xf>
    <xf numFmtId="2" fontId="31" fillId="3" borderId="12" xfId="0" applyNumberFormat="1" applyFont="1" applyFill="1" applyBorder="1" applyAlignment="1">
      <alignment horizontal="center" vertical="center"/>
    </xf>
    <xf numFmtId="2" fontId="31" fillId="3" borderId="19" xfId="0" applyNumberFormat="1" applyFont="1" applyFill="1" applyBorder="1" applyAlignment="1">
      <alignment horizontal="center" vertical="center"/>
    </xf>
    <xf numFmtId="0" fontId="30" fillId="4" borderId="0" xfId="0" applyFont="1" applyFill="1" applyAlignment="1">
      <alignment horizontal="left"/>
    </xf>
    <xf numFmtId="0" fontId="9" fillId="4" borderId="0" xfId="0" applyFont="1" applyFill="1" applyAlignment="1">
      <alignment horizontal="left" vertical="center"/>
    </xf>
    <xf numFmtId="0" fontId="9" fillId="4" borderId="0" xfId="0" applyFont="1" applyFill="1" applyAlignment="1">
      <alignment horizontal="center" vertical="center"/>
    </xf>
    <xf numFmtId="0" fontId="5" fillId="4" borderId="7" xfId="1" applyFont="1" applyFill="1" applyBorder="1" applyAlignment="1"/>
    <xf numFmtId="0" fontId="5" fillId="4" borderId="0" xfId="1" applyFont="1" applyFill="1" applyBorder="1" applyAlignment="1"/>
    <xf numFmtId="0" fontId="9" fillId="4" borderId="0" xfId="0" applyFont="1" applyFill="1" applyBorder="1" applyAlignment="1">
      <alignment horizontal="center" vertical="center"/>
    </xf>
    <xf numFmtId="0" fontId="35" fillId="5" borderId="26" xfId="4" applyFont="1" applyFill="1" applyBorder="1" applyAlignment="1">
      <alignment horizontal="center" vertical="center" wrapText="1"/>
    </xf>
    <xf numFmtId="0" fontId="23" fillId="5" borderId="0" xfId="0" applyFont="1" applyFill="1" applyBorder="1" applyAlignment="1">
      <alignment horizontal="left" vertical="center" indent="1"/>
    </xf>
    <xf numFmtId="0" fontId="23" fillId="5" borderId="48" xfId="0" applyFont="1" applyFill="1" applyBorder="1" applyAlignment="1">
      <alignment horizontal="left" vertical="center" indent="1"/>
    </xf>
    <xf numFmtId="0" fontId="23" fillId="5" borderId="49" xfId="0" applyFont="1" applyFill="1" applyBorder="1" applyAlignment="1">
      <alignment horizontal="left" vertical="center" indent="1"/>
    </xf>
    <xf numFmtId="0" fontId="10" fillId="5" borderId="0" xfId="4" applyFont="1" applyFill="1" applyBorder="1" applyAlignment="1">
      <alignment vertical="center" wrapText="1"/>
    </xf>
    <xf numFmtId="0" fontId="34" fillId="6" borderId="0" xfId="0" applyFont="1" applyFill="1" applyBorder="1" applyAlignment="1">
      <alignment horizontal="right"/>
    </xf>
    <xf numFmtId="0" fontId="35" fillId="5" borderId="41" xfId="0" applyFont="1" applyFill="1" applyBorder="1" applyAlignment="1">
      <alignment horizontal="right" vertical="center"/>
    </xf>
    <xf numFmtId="0" fontId="15" fillId="2" borderId="0" xfId="0" applyFont="1" applyFill="1" applyAlignment="1">
      <alignment horizontal="center" vertical="center"/>
    </xf>
    <xf numFmtId="0" fontId="20" fillId="2" borderId="0" xfId="5" applyFont="1" applyFill="1" applyBorder="1" applyAlignment="1">
      <alignment horizontal="center" vertical="center"/>
    </xf>
    <xf numFmtId="0" fontId="40" fillId="5" borderId="42" xfId="0" applyFont="1" applyFill="1" applyBorder="1" applyAlignment="1" applyProtection="1">
      <alignment horizontal="center" vertical="center"/>
      <protection locked="0"/>
    </xf>
    <xf numFmtId="0" fontId="60" fillId="4" borderId="16" xfId="0" applyFont="1" applyFill="1" applyBorder="1" applyAlignment="1" applyProtection="1">
      <alignment horizontal="left" vertical="center"/>
      <protection locked="0"/>
    </xf>
    <xf numFmtId="0" fontId="0" fillId="4" borderId="0" xfId="0" applyFill="1" applyAlignment="1" applyProtection="1">
      <alignment horizontal="center" vertical="center" wrapText="1"/>
      <protection locked="0"/>
    </xf>
    <xf numFmtId="0" fontId="0" fillId="4" borderId="18" xfId="0" applyFill="1" applyBorder="1" applyAlignment="1" applyProtection="1">
      <alignment horizontal="center" vertical="center" wrapText="1"/>
      <protection locked="0"/>
    </xf>
    <xf numFmtId="0" fontId="0" fillId="4" borderId="0" xfId="0" applyFill="1" applyAlignment="1" applyProtection="1">
      <alignment horizontal="center" vertical="center"/>
      <protection locked="0"/>
    </xf>
    <xf numFmtId="0" fontId="0" fillId="4" borderId="16" xfId="0" applyFill="1" applyBorder="1" applyAlignment="1" applyProtection="1">
      <alignment horizontal="center" vertical="center"/>
      <protection locked="0"/>
    </xf>
    <xf numFmtId="0" fontId="40" fillId="5" borderId="42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0" fillId="4" borderId="23" xfId="0" applyFont="1" applyFill="1" applyBorder="1" applyAlignment="1">
      <alignment horizontal="center" vertical="center"/>
    </xf>
    <xf numFmtId="0" fontId="7" fillId="3" borderId="21" xfId="2" applyFont="1" applyFill="1" applyBorder="1" applyAlignment="1" applyProtection="1">
      <alignment horizontal="center" vertical="center"/>
      <protection locked="0"/>
    </xf>
    <xf numFmtId="0" fontId="7" fillId="3" borderId="22" xfId="2" applyFont="1" applyFill="1" applyBorder="1" applyAlignment="1" applyProtection="1">
      <alignment horizontal="center" vertical="center"/>
      <protection locked="0"/>
    </xf>
    <xf numFmtId="0" fontId="35" fillId="4" borderId="57" xfId="0" applyFont="1" applyFill="1" applyBorder="1" applyAlignment="1">
      <alignment horizontal="left" wrapText="1"/>
    </xf>
    <xf numFmtId="0" fontId="35" fillId="4" borderId="18" xfId="0" applyFont="1" applyFill="1" applyBorder="1" applyAlignment="1">
      <alignment horizontal="left" wrapText="1"/>
    </xf>
    <xf numFmtId="0" fontId="35" fillId="4" borderId="59" xfId="0" applyFont="1" applyFill="1" applyBorder="1" applyAlignment="1">
      <alignment horizontal="left" wrapText="1"/>
    </xf>
    <xf numFmtId="0" fontId="35" fillId="4" borderId="16" xfId="0" applyFont="1" applyFill="1" applyBorder="1" applyAlignment="1">
      <alignment horizontal="left" wrapText="1"/>
    </xf>
    <xf numFmtId="0" fontId="44" fillId="0" borderId="0" xfId="0" applyFont="1" applyAlignment="1" applyProtection="1">
      <alignment vertical="center"/>
      <protection locked="0"/>
    </xf>
    <xf numFmtId="0" fontId="45" fillId="0" borderId="0" xfId="0" applyFont="1" applyAlignment="1" applyProtection="1">
      <alignment horizontal="left"/>
      <protection locked="0"/>
    </xf>
  </cellXfs>
  <cellStyles count="8">
    <cellStyle name="Heading 1" xfId="1" builtinId="16"/>
    <cellStyle name="Heading 2" xfId="6" builtinId="17"/>
    <cellStyle name="Heading 4" xfId="4" builtinId="19"/>
    <cellStyle name="Hyperlink" xfId="5" builtinId="8"/>
    <cellStyle name="Linked Cell" xfId="2" builtinId="24"/>
    <cellStyle name="Normal" xfId="0" builtinId="0"/>
    <cellStyle name="Percent" xfId="7" builtinId="5"/>
    <cellStyle name="Title" xfId="3" builtinId="15"/>
  </cellStyles>
  <dxfs count="13"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theme="9" tint="-0.24994659260841701"/>
      </font>
    </dxf>
    <dxf>
      <font>
        <color theme="9" tint="-0.24994659260841701"/>
      </font>
    </dxf>
    <dxf>
      <font>
        <color rgb="FFC00000"/>
      </font>
    </dxf>
    <dxf>
      <font>
        <color rgb="FFC00000"/>
      </font>
    </dxf>
    <dxf>
      <font>
        <color theme="9" tint="-0.24994659260841701"/>
      </font>
    </dxf>
    <dxf>
      <font>
        <color rgb="FFC00000"/>
      </font>
    </dxf>
    <dxf>
      <font>
        <color theme="9" tint="-0.24994659260841701"/>
      </font>
    </dxf>
    <dxf>
      <font>
        <color rgb="FFC00000"/>
      </font>
    </dxf>
    <dxf>
      <font>
        <color theme="9" tint="-0.24994659260841701"/>
      </font>
    </dxf>
    <dxf>
      <fill>
        <patternFill>
          <bgColor theme="0" tint="-0.14996795556505021"/>
        </patternFill>
      </fill>
    </dxf>
  </dxfs>
  <tableStyles count="0" defaultTableStyle="TableStyleMedium9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AU"/>
              <a:t>Air</a:t>
            </a:r>
            <a:r>
              <a:rPr lang="en-AU" baseline="0"/>
              <a:t>stream Profile</a:t>
            </a:r>
            <a:endParaRPr lang="en-A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3479836246884234E-2"/>
          <c:y val="0.13610546845364305"/>
          <c:w val="0.94013288433285458"/>
          <c:h val="0.70880271830685948"/>
        </c:manualLayout>
      </c:layout>
      <c:scatterChart>
        <c:scatterStyle val="lineMarker"/>
        <c:varyColors val="0"/>
        <c:ser>
          <c:idx val="0"/>
          <c:order val="0"/>
          <c:tx>
            <c:strRef>
              <c:f>'CNW-ADequations'!$C$232</c:f>
              <c:strCache>
                <c:ptCount val="1"/>
                <c:pt idx="0">
                  <c:v>Cooling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olid"/>
              </a:ln>
              <a:effectLst/>
            </c:spPr>
            <c:trendlineType val="poly"/>
            <c:order val="4"/>
            <c:dispRSqr val="0"/>
            <c:dispEq val="0"/>
          </c:trendline>
          <c:xVal>
            <c:numRef>
              <c:f>'CNW-ADequations'!$D$233:$AJ$233</c:f>
              <c:numCache>
                <c:formatCode>General</c:formatCode>
                <c:ptCount val="33"/>
                <c:pt idx="0">
                  <c:v>24</c:v>
                </c:pt>
                <c:pt idx="1">
                  <c:v>0</c:v>
                </c:pt>
                <c:pt idx="2">
                  <c:v>2</c:v>
                </c:pt>
                <c:pt idx="3">
                  <c:v>4</c:v>
                </c:pt>
                <c:pt idx="4">
                  <c:v>6</c:v>
                </c:pt>
                <c:pt idx="5">
                  <c:v>8</c:v>
                </c:pt>
                <c:pt idx="6">
                  <c:v>10</c:v>
                </c:pt>
                <c:pt idx="7">
                  <c:v>12</c:v>
                </c:pt>
                <c:pt idx="8">
                  <c:v>14</c:v>
                </c:pt>
                <c:pt idx="9">
                  <c:v>16</c:v>
                </c:pt>
                <c:pt idx="10">
                  <c:v>18</c:v>
                </c:pt>
                <c:pt idx="11">
                  <c:v>20</c:v>
                </c:pt>
                <c:pt idx="12">
                  <c:v>22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</c:numCache>
            </c:numRef>
          </c:xVal>
          <c:yVal>
            <c:numRef>
              <c:f>'CNW-ADequations'!$D$234:$AJ$234</c:f>
              <c:numCache>
                <c:formatCode>General</c:formatCode>
                <c:ptCount val="33"/>
                <c:pt idx="0">
                  <c:v>0</c:v>
                </c:pt>
                <c:pt idx="1">
                  <c:v>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BA4-440F-B62E-6AC134C141CC}"/>
            </c:ext>
          </c:extLst>
        </c:ser>
        <c:ser>
          <c:idx val="2"/>
          <c:order val="1"/>
          <c:tx>
            <c:strRef>
              <c:f>'CNW-ADequations'!$C$230</c:f>
              <c:strCache>
                <c:ptCount val="1"/>
                <c:pt idx="0">
                  <c:v>Discharge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'CNW-ADequations'!$D$230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'CNW-ADequations'!$E$230</c:f>
              <c:numCache>
                <c:formatCode>General</c:formatCode>
                <c:ptCount val="1"/>
                <c:pt idx="0">
                  <c:v>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EBA4-440F-B62E-6AC134C141CC}"/>
            </c:ext>
          </c:extLst>
        </c:ser>
        <c:ser>
          <c:idx val="1"/>
          <c:order val="2"/>
          <c:tx>
            <c:strRef>
              <c:f>'CNW-ADequations'!$C$236</c:f>
              <c:strCache>
                <c:ptCount val="1"/>
                <c:pt idx="0">
                  <c:v>Heating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trendline>
            <c:spPr>
              <a:ln w="15875" cap="rnd">
                <a:solidFill>
                  <a:schemeClr val="accent2"/>
                </a:solidFill>
                <a:prstDash val="solid"/>
              </a:ln>
              <a:effectLst/>
            </c:spPr>
            <c:trendlineType val="poly"/>
            <c:order val="4"/>
            <c:dispRSqr val="0"/>
            <c:dispEq val="0"/>
          </c:trendline>
          <c:xVal>
            <c:strRef>
              <c:f>'CNW-ADequations'!$D$237:$AJ$237</c:f>
              <c:strCache>
                <c:ptCount val="33"/>
                <c:pt idx="0">
                  <c:v>X dist heat location</c:v>
                </c:pt>
                <c:pt idx="1">
                  <c:v>0</c:v>
                </c:pt>
                <c:pt idx="2">
                  <c:v>2</c:v>
                </c:pt>
                <c:pt idx="3">
                  <c:v>4</c:v>
                </c:pt>
                <c:pt idx="4">
                  <c:v>6</c:v>
                </c:pt>
                <c:pt idx="5">
                  <c:v>8</c:v>
                </c:pt>
                <c:pt idx="6">
                  <c:v>10</c:v>
                </c:pt>
                <c:pt idx="7">
                  <c:v>12</c:v>
                </c:pt>
                <c:pt idx="8">
                  <c:v>14</c:v>
                </c:pt>
                <c:pt idx="9">
                  <c:v>16</c:v>
                </c:pt>
                <c:pt idx="10">
                  <c:v>18</c:v>
                </c:pt>
                <c:pt idx="11">
                  <c:v>20</c:v>
                </c:pt>
                <c:pt idx="12">
                  <c:v>22</c:v>
                </c:pt>
                <c:pt idx="13">
                  <c:v>24</c:v>
                </c:pt>
                <c:pt idx="14">
                  <c:v>26</c:v>
                </c:pt>
                <c:pt idx="15">
                  <c:v>28</c:v>
                </c:pt>
                <c:pt idx="16">
                  <c:v>30</c:v>
                </c:pt>
                <c:pt idx="17">
                  <c:v>32</c:v>
                </c:pt>
                <c:pt idx="18">
                  <c:v>36</c:v>
                </c:pt>
                <c:pt idx="19">
                  <c:v>40</c:v>
                </c:pt>
                <c:pt idx="20">
                  <c:v>44</c:v>
                </c:pt>
                <c:pt idx="21">
                  <c:v>48</c:v>
                </c:pt>
                <c:pt idx="22">
                  <c:v>52</c:v>
                </c:pt>
                <c:pt idx="23">
                  <c:v>56</c:v>
                </c:pt>
                <c:pt idx="24">
                  <c:v>60</c:v>
                </c:pt>
                <c:pt idx="25">
                  <c:v>65</c:v>
                </c:pt>
                <c:pt idx="26">
                  <c:v>70</c:v>
                </c:pt>
                <c:pt idx="27">
                  <c:v>75</c:v>
                </c:pt>
                <c:pt idx="28">
                  <c:v>80</c:v>
                </c:pt>
                <c:pt idx="29">
                  <c:v>85</c:v>
                </c:pt>
                <c:pt idx="30">
                  <c:v>90</c:v>
                </c:pt>
                <c:pt idx="31">
                  <c:v>95</c:v>
                </c:pt>
                <c:pt idx="32">
                  <c:v>100</c:v>
                </c:pt>
              </c:strCache>
            </c:strRef>
          </c:xVal>
          <c:yVal>
            <c:numRef>
              <c:f>'CNW-ADequations'!$D$238:$AJ$238</c:f>
              <c:numCache>
                <c:formatCode>General</c:formatCode>
                <c:ptCount val="33"/>
                <c:pt idx="0">
                  <c:v>0</c:v>
                </c:pt>
                <c:pt idx="1">
                  <c:v>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EBA4-440F-B62E-6AC134C141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5051264"/>
        <c:axId val="365052248"/>
      </c:scatterChart>
      <c:valAx>
        <c:axId val="3650512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Horizontal</a:t>
                </a:r>
                <a:r>
                  <a:rPr lang="en-AU" baseline="0"/>
                  <a:t> Distance [m]</a:t>
                </a:r>
                <a:endParaRPr lang="en-AU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5052248"/>
        <c:crosses val="autoZero"/>
        <c:crossBetween val="midCat"/>
      </c:valAx>
      <c:valAx>
        <c:axId val="36505224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50512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'CNW-ADequations'!$C$232</c:f>
              <c:strCache>
                <c:ptCount val="1"/>
                <c:pt idx="0">
                  <c:v>Cooling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4"/>
            <c:dispRSqr val="0"/>
            <c:dispEq val="0"/>
          </c:trendline>
          <c:xVal>
            <c:numRef>
              <c:f>'CNW-ADequations'!$D$233:$AJ$233</c:f>
              <c:numCache>
                <c:formatCode>General</c:formatCode>
                <c:ptCount val="33"/>
                <c:pt idx="0">
                  <c:v>24</c:v>
                </c:pt>
                <c:pt idx="1">
                  <c:v>0</c:v>
                </c:pt>
                <c:pt idx="2">
                  <c:v>2</c:v>
                </c:pt>
                <c:pt idx="3">
                  <c:v>4</c:v>
                </c:pt>
                <c:pt idx="4">
                  <c:v>6</c:v>
                </c:pt>
                <c:pt idx="5">
                  <c:v>8</c:v>
                </c:pt>
                <c:pt idx="6">
                  <c:v>10</c:v>
                </c:pt>
                <c:pt idx="7">
                  <c:v>12</c:v>
                </c:pt>
                <c:pt idx="8">
                  <c:v>14</c:v>
                </c:pt>
                <c:pt idx="9">
                  <c:v>16</c:v>
                </c:pt>
                <c:pt idx="10">
                  <c:v>18</c:v>
                </c:pt>
                <c:pt idx="11">
                  <c:v>20</c:v>
                </c:pt>
                <c:pt idx="12">
                  <c:v>22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</c:numCache>
            </c:numRef>
          </c:xVal>
          <c:yVal>
            <c:numRef>
              <c:f>'CNW-ADequations'!$D$234:$AJ$234</c:f>
              <c:numCache>
                <c:formatCode>General</c:formatCode>
                <c:ptCount val="33"/>
                <c:pt idx="0">
                  <c:v>0</c:v>
                </c:pt>
                <c:pt idx="1">
                  <c:v>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0E3-4B61-89AF-DA71F6E2F7EB}"/>
            </c:ext>
          </c:extLst>
        </c:ser>
        <c:ser>
          <c:idx val="1"/>
          <c:order val="1"/>
          <c:tx>
            <c:strRef>
              <c:f>'CNW-ADequations'!$C$236</c:f>
              <c:strCache>
                <c:ptCount val="1"/>
                <c:pt idx="0">
                  <c:v>Heating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poly"/>
            <c:order val="4"/>
            <c:dispRSqr val="0"/>
            <c:dispEq val="0"/>
          </c:trendline>
          <c:xVal>
            <c:strRef>
              <c:f>'CNW-ADequations'!$D$237:$AJ$237</c:f>
              <c:strCache>
                <c:ptCount val="33"/>
                <c:pt idx="0">
                  <c:v>X dist heat location</c:v>
                </c:pt>
                <c:pt idx="1">
                  <c:v>0</c:v>
                </c:pt>
                <c:pt idx="2">
                  <c:v>2</c:v>
                </c:pt>
                <c:pt idx="3">
                  <c:v>4</c:v>
                </c:pt>
                <c:pt idx="4">
                  <c:v>6</c:v>
                </c:pt>
                <c:pt idx="5">
                  <c:v>8</c:v>
                </c:pt>
                <c:pt idx="6">
                  <c:v>10</c:v>
                </c:pt>
                <c:pt idx="7">
                  <c:v>12</c:v>
                </c:pt>
                <c:pt idx="8">
                  <c:v>14</c:v>
                </c:pt>
                <c:pt idx="9">
                  <c:v>16</c:v>
                </c:pt>
                <c:pt idx="10">
                  <c:v>18</c:v>
                </c:pt>
                <c:pt idx="11">
                  <c:v>20</c:v>
                </c:pt>
                <c:pt idx="12">
                  <c:v>22</c:v>
                </c:pt>
                <c:pt idx="13">
                  <c:v>24</c:v>
                </c:pt>
                <c:pt idx="14">
                  <c:v>26</c:v>
                </c:pt>
                <c:pt idx="15">
                  <c:v>28</c:v>
                </c:pt>
                <c:pt idx="16">
                  <c:v>30</c:v>
                </c:pt>
                <c:pt idx="17">
                  <c:v>32</c:v>
                </c:pt>
                <c:pt idx="18">
                  <c:v>36</c:v>
                </c:pt>
                <c:pt idx="19">
                  <c:v>40</c:v>
                </c:pt>
                <c:pt idx="20">
                  <c:v>44</c:v>
                </c:pt>
                <c:pt idx="21">
                  <c:v>48</c:v>
                </c:pt>
                <c:pt idx="22">
                  <c:v>52</c:v>
                </c:pt>
                <c:pt idx="23">
                  <c:v>56</c:v>
                </c:pt>
                <c:pt idx="24">
                  <c:v>60</c:v>
                </c:pt>
                <c:pt idx="25">
                  <c:v>65</c:v>
                </c:pt>
                <c:pt idx="26">
                  <c:v>70</c:v>
                </c:pt>
                <c:pt idx="27">
                  <c:v>75</c:v>
                </c:pt>
                <c:pt idx="28">
                  <c:v>80</c:v>
                </c:pt>
                <c:pt idx="29">
                  <c:v>85</c:v>
                </c:pt>
                <c:pt idx="30">
                  <c:v>90</c:v>
                </c:pt>
                <c:pt idx="31">
                  <c:v>95</c:v>
                </c:pt>
                <c:pt idx="32">
                  <c:v>100</c:v>
                </c:pt>
              </c:strCache>
            </c:strRef>
          </c:xVal>
          <c:yVal>
            <c:numRef>
              <c:f>'CNW-ADequations'!$D$238:$AJ$238</c:f>
              <c:numCache>
                <c:formatCode>General</c:formatCode>
                <c:ptCount val="33"/>
                <c:pt idx="0">
                  <c:v>0</c:v>
                </c:pt>
                <c:pt idx="1">
                  <c:v>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0E3-4B61-89AF-DA71F6E2F7EB}"/>
            </c:ext>
          </c:extLst>
        </c:ser>
        <c:ser>
          <c:idx val="2"/>
          <c:order val="2"/>
          <c:tx>
            <c:strRef>
              <c:f>'CNW-ADequations'!$C$230</c:f>
              <c:strCache>
                <c:ptCount val="1"/>
                <c:pt idx="0">
                  <c:v>Discharge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'CNW-ADequations'!$D$230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'CNW-ADequations'!$E$230</c:f>
              <c:numCache>
                <c:formatCode>General</c:formatCode>
                <c:ptCount val="1"/>
                <c:pt idx="0">
                  <c:v>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10E3-4B61-89AF-DA71F6E2F7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5051264"/>
        <c:axId val="365052248"/>
      </c:scatterChart>
      <c:valAx>
        <c:axId val="3650512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5052248"/>
        <c:crosses val="autoZero"/>
        <c:crossBetween val="midCat"/>
      </c:valAx>
      <c:valAx>
        <c:axId val="365052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50512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AU"/>
              <a:t>Air</a:t>
            </a:r>
            <a:r>
              <a:rPr lang="en-AU" baseline="0"/>
              <a:t>stream Profile</a:t>
            </a:r>
            <a:endParaRPr lang="en-A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106689980048272E-2"/>
          <c:y val="0.14384443523586002"/>
          <c:w val="0.92231314386026708"/>
          <c:h val="0.65075966576961797"/>
        </c:manualLayout>
      </c:layout>
      <c:scatterChart>
        <c:scatterStyle val="lineMarker"/>
        <c:varyColors val="0"/>
        <c:ser>
          <c:idx val="0"/>
          <c:order val="0"/>
          <c:tx>
            <c:strRef>
              <c:f>'CNW-ADequations'!$C$232</c:f>
              <c:strCache>
                <c:ptCount val="1"/>
                <c:pt idx="0">
                  <c:v>Cooling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trendline>
            <c:spPr>
              <a:ln w="15875" cap="rnd">
                <a:solidFill>
                  <a:schemeClr val="accent1"/>
                </a:solidFill>
                <a:prstDash val="solid"/>
              </a:ln>
              <a:effectLst/>
            </c:spPr>
            <c:trendlineType val="poly"/>
            <c:order val="4"/>
            <c:dispRSqr val="0"/>
            <c:dispEq val="0"/>
          </c:trendline>
          <c:xVal>
            <c:numRef>
              <c:f>'CNW-ADequations'!$D$233:$AJ$233</c:f>
              <c:numCache>
                <c:formatCode>General</c:formatCode>
                <c:ptCount val="33"/>
                <c:pt idx="0">
                  <c:v>24</c:v>
                </c:pt>
                <c:pt idx="1">
                  <c:v>0</c:v>
                </c:pt>
                <c:pt idx="2">
                  <c:v>2</c:v>
                </c:pt>
                <c:pt idx="3">
                  <c:v>4</c:v>
                </c:pt>
                <c:pt idx="4">
                  <c:v>6</c:v>
                </c:pt>
                <c:pt idx="5">
                  <c:v>8</c:v>
                </c:pt>
                <c:pt idx="6">
                  <c:v>10</c:v>
                </c:pt>
                <c:pt idx="7">
                  <c:v>12</c:v>
                </c:pt>
                <c:pt idx="8">
                  <c:v>14</c:v>
                </c:pt>
                <c:pt idx="9">
                  <c:v>16</c:v>
                </c:pt>
                <c:pt idx="10">
                  <c:v>18</c:v>
                </c:pt>
                <c:pt idx="11">
                  <c:v>20</c:v>
                </c:pt>
                <c:pt idx="12">
                  <c:v>22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</c:numCache>
            </c:numRef>
          </c:xVal>
          <c:yVal>
            <c:numRef>
              <c:f>'CNW-ADequations'!$D$234:$AJ$234</c:f>
              <c:numCache>
                <c:formatCode>General</c:formatCode>
                <c:ptCount val="33"/>
                <c:pt idx="0">
                  <c:v>0</c:v>
                </c:pt>
                <c:pt idx="1">
                  <c:v>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AE2-4553-AA32-2D0DD21F5A69}"/>
            </c:ext>
          </c:extLst>
        </c:ser>
        <c:ser>
          <c:idx val="1"/>
          <c:order val="1"/>
          <c:tx>
            <c:strRef>
              <c:f>'CNW-ADequations'!$C$236</c:f>
              <c:strCache>
                <c:ptCount val="1"/>
                <c:pt idx="0">
                  <c:v>Heating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trendline>
            <c:spPr>
              <a:ln w="15875" cap="rnd">
                <a:solidFill>
                  <a:schemeClr val="accent2"/>
                </a:solidFill>
                <a:prstDash val="solid"/>
              </a:ln>
              <a:effectLst/>
            </c:spPr>
            <c:trendlineType val="poly"/>
            <c:order val="4"/>
            <c:dispRSqr val="0"/>
            <c:dispEq val="0"/>
          </c:trendline>
          <c:xVal>
            <c:strRef>
              <c:f>'CNW-ADequations'!$D$237:$AJ$237</c:f>
              <c:strCache>
                <c:ptCount val="33"/>
                <c:pt idx="0">
                  <c:v>X dist heat location</c:v>
                </c:pt>
                <c:pt idx="1">
                  <c:v>0</c:v>
                </c:pt>
                <c:pt idx="2">
                  <c:v>2</c:v>
                </c:pt>
                <c:pt idx="3">
                  <c:v>4</c:v>
                </c:pt>
                <c:pt idx="4">
                  <c:v>6</c:v>
                </c:pt>
                <c:pt idx="5">
                  <c:v>8</c:v>
                </c:pt>
                <c:pt idx="6">
                  <c:v>10</c:v>
                </c:pt>
                <c:pt idx="7">
                  <c:v>12</c:v>
                </c:pt>
                <c:pt idx="8">
                  <c:v>14</c:v>
                </c:pt>
                <c:pt idx="9">
                  <c:v>16</c:v>
                </c:pt>
                <c:pt idx="10">
                  <c:v>18</c:v>
                </c:pt>
                <c:pt idx="11">
                  <c:v>20</c:v>
                </c:pt>
                <c:pt idx="12">
                  <c:v>22</c:v>
                </c:pt>
                <c:pt idx="13">
                  <c:v>24</c:v>
                </c:pt>
                <c:pt idx="14">
                  <c:v>26</c:v>
                </c:pt>
                <c:pt idx="15">
                  <c:v>28</c:v>
                </c:pt>
                <c:pt idx="16">
                  <c:v>30</c:v>
                </c:pt>
                <c:pt idx="17">
                  <c:v>32</c:v>
                </c:pt>
                <c:pt idx="18">
                  <c:v>36</c:v>
                </c:pt>
                <c:pt idx="19">
                  <c:v>40</c:v>
                </c:pt>
                <c:pt idx="20">
                  <c:v>44</c:v>
                </c:pt>
                <c:pt idx="21">
                  <c:v>48</c:v>
                </c:pt>
                <c:pt idx="22">
                  <c:v>52</c:v>
                </c:pt>
                <c:pt idx="23">
                  <c:v>56</c:v>
                </c:pt>
                <c:pt idx="24">
                  <c:v>60</c:v>
                </c:pt>
                <c:pt idx="25">
                  <c:v>65</c:v>
                </c:pt>
                <c:pt idx="26">
                  <c:v>70</c:v>
                </c:pt>
                <c:pt idx="27">
                  <c:v>75</c:v>
                </c:pt>
                <c:pt idx="28">
                  <c:v>80</c:v>
                </c:pt>
                <c:pt idx="29">
                  <c:v>85</c:v>
                </c:pt>
                <c:pt idx="30">
                  <c:v>90</c:v>
                </c:pt>
                <c:pt idx="31">
                  <c:v>95</c:v>
                </c:pt>
                <c:pt idx="32">
                  <c:v>100</c:v>
                </c:pt>
              </c:strCache>
            </c:strRef>
          </c:xVal>
          <c:yVal>
            <c:numRef>
              <c:f>'CNW-ADequations'!$D$238:$AJ$238</c:f>
              <c:numCache>
                <c:formatCode>General</c:formatCode>
                <c:ptCount val="33"/>
                <c:pt idx="0">
                  <c:v>0</c:v>
                </c:pt>
                <c:pt idx="1">
                  <c:v>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5AE2-4553-AA32-2D0DD21F5A69}"/>
            </c:ext>
          </c:extLst>
        </c:ser>
        <c:ser>
          <c:idx val="2"/>
          <c:order val="2"/>
          <c:tx>
            <c:strRef>
              <c:f>'CNW-ADequations'!$C$230</c:f>
              <c:strCache>
                <c:ptCount val="1"/>
                <c:pt idx="0">
                  <c:v>Discharge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'CNW-ADequations'!$D$230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'CNW-ADequations'!$E$230</c:f>
              <c:numCache>
                <c:formatCode>General</c:formatCode>
                <c:ptCount val="1"/>
                <c:pt idx="0">
                  <c:v>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5AE2-4553-AA32-2D0DD21F5A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5051264"/>
        <c:axId val="365052248"/>
      </c:scatterChart>
      <c:valAx>
        <c:axId val="3650512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Horizontal</a:t>
                </a:r>
                <a:r>
                  <a:rPr lang="en-AU" baseline="0"/>
                  <a:t> Distance [m]</a:t>
                </a:r>
                <a:endParaRPr lang="en-AU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5052248"/>
        <c:crosses val="autoZero"/>
        <c:crossBetween val="midCat"/>
      </c:valAx>
      <c:valAx>
        <c:axId val="36505224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50512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Radio" checked="Checked" firstButton="1" fmlaLink="'CNW-ADequations'!$B$3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Radio" checked="Checked" firstButton="1" fmlaLink="'CNW-ADequations'!$B$18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Radio" firstButton="1" fmlaLink="'CNW-AD Data'!$C$2" lockText="1" noThreeD="1"/>
</file>

<file path=xl/ctrlProps/ctrlProp9.xml><?xml version="1.0" encoding="utf-8"?>
<formControlPr xmlns="http://schemas.microsoft.com/office/spreadsheetml/2009/9/main" objectType="Radio" lockText="1" noThreeD="1"/>
</file>

<file path=xl/ctrlProps/ctrlProp10.xml><?xml version="1.0" encoding="utf-8"?>
<formControlPr xmlns="http://schemas.microsoft.com/office/spreadsheetml/2009/9/main" objectType="Radio" lockText="1" noThreeD="1"/>
</file>

<file path=xl/ctrlProps/ctrlProp11.xml><?xml version="1.0" encoding="utf-8"?>
<formControlPr xmlns="http://schemas.microsoft.com/office/spreadsheetml/2009/9/main" objectType="Radio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Radio" lockText="1" noThreeD="1"/>
</file>

<file path=xl/ctrlProps/ctrlProp14.xml><?xml version="1.0" encoding="utf-8"?>
<formControlPr xmlns="http://schemas.microsoft.com/office/spreadsheetml/2009/9/main" objectType="GBox" noThreeD="1"/>
</file>

<file path=xl/ctrlProps/ctrlProp15.xml><?xml version="1.0" encoding="utf-8"?>
<formControlPr xmlns="http://schemas.microsoft.com/office/spreadsheetml/2009/9/main" objectType="Radio" checked="Checked" firstButton="1" fmlaLink="'CNW-AD Data'!$C$49" lockText="1" noThreeD="1"/>
</file>

<file path=xl/ctrlProps/ctrlProp16.xml><?xml version="1.0" encoding="utf-8"?>
<formControlPr xmlns="http://schemas.microsoft.com/office/spreadsheetml/2009/9/main" objectType="Radio" lockText="1" noThreeD="1"/>
</file>

<file path=xl/ctrlProps/ctrlProp17.xml><?xml version="1.0" encoding="utf-8"?>
<formControlPr xmlns="http://schemas.microsoft.com/office/spreadsheetml/2009/9/main" objectType="Radio" lockText="1" noThreeD="1"/>
</file>

<file path=xl/ctrlProps/ctrlProp18.xml><?xml version="1.0" encoding="utf-8"?>
<formControlPr xmlns="http://schemas.microsoft.com/office/spreadsheetml/2009/9/main" objectType="GBox" noThreeD="1"/>
</file>

<file path=xl/ctrlProps/ctrlProp19.xml><?xml version="1.0" encoding="utf-8"?>
<formControlPr xmlns="http://schemas.microsoft.com/office/spreadsheetml/2009/9/main" objectType="Radio" checked="Checked" firstButton="1" fmlaLink="'CNW-AD Data'!$C$56" lockText="1" noThreeD="1"/>
</file>

<file path=xl/ctrlProps/ctrlProp20.xml><?xml version="1.0" encoding="utf-8"?>
<formControlPr xmlns="http://schemas.microsoft.com/office/spreadsheetml/2009/9/main" objectType="Radio" lockText="1" noThreeD="1"/>
</file>

<file path=xl/ctrlProps/ctrlProp21.xml><?xml version="1.0" encoding="utf-8"?>
<formControlPr xmlns="http://schemas.microsoft.com/office/spreadsheetml/2009/9/main" objectType="Radio" lockText="1" noThreeD="1"/>
</file>

<file path=xl/ctrlProps/ctrlProp22.xml><?xml version="1.0" encoding="utf-8"?>
<formControlPr xmlns="http://schemas.microsoft.com/office/spreadsheetml/2009/9/main" objectType="CheckBox" fmlaLink="'CNW-ADequations'!$B$16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2907</xdr:colOff>
      <xdr:row>1</xdr:row>
      <xdr:rowOff>79942</xdr:rowOff>
    </xdr:from>
    <xdr:to>
      <xdr:col>16</xdr:col>
      <xdr:colOff>1296578</xdr:colOff>
      <xdr:row>2</xdr:row>
      <xdr:rowOff>261288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33207" y="262822"/>
          <a:ext cx="2398571" cy="448046"/>
        </a:xfrm>
        <a:prstGeom prst="rect">
          <a:avLst/>
        </a:prstGeom>
      </xdr:spPr>
    </xdr:pic>
    <xdr:clientData/>
  </xdr:twoCellAnchor>
  <xdr:twoCellAnchor editAs="oneCell">
    <xdr:from>
      <xdr:col>14</xdr:col>
      <xdr:colOff>110025</xdr:colOff>
      <xdr:row>7</xdr:row>
      <xdr:rowOff>92689</xdr:rowOff>
    </xdr:from>
    <xdr:to>
      <xdr:col>15</xdr:col>
      <xdr:colOff>1067031</xdr:colOff>
      <xdr:row>16</xdr:row>
      <xdr:rowOff>74647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 flipV="1">
          <a:off x="12368700" y="1730989"/>
          <a:ext cx="2033331" cy="2039358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12650</xdr:colOff>
          <xdr:row>7</xdr:row>
          <xdr:rowOff>157502</xdr:rowOff>
        </xdr:from>
        <xdr:to>
          <xdr:col>6</xdr:col>
          <xdr:colOff>826444</xdr:colOff>
          <xdr:row>9</xdr:row>
          <xdr:rowOff>71777</xdr:rowOff>
        </xdr:to>
        <xdr:grpSp>
          <xdr:nvGrpSpPr>
            <xdr:cNvPr id="3" name="units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GrpSpPr/>
          </xdr:nvGrpSpPr>
          <xdr:grpSpPr>
            <a:xfrm>
              <a:off x="3251150" y="1795802"/>
              <a:ext cx="2547344" cy="371475"/>
              <a:chOff x="4410067" y="1504943"/>
              <a:chExt cx="1400174" cy="371477"/>
            </a:xfrm>
          </xdr:grpSpPr>
          <xdr:sp macro="" textlink="">
            <xdr:nvSpPr>
              <xdr:cNvPr id="1043" name="Group Box 19" hidden="1">
                <a:extLst>
                  <a:ext uri="{63B3BB69-23CF-44E3-9099-C40C66FF867C}">
                    <a14:compatExt spid="_x0000_s1043"/>
                  </a:ext>
                  <a:ext uri="{FF2B5EF4-FFF2-40B4-BE49-F238E27FC236}">
                    <a16:creationId xmlns:a16="http://schemas.microsoft.com/office/drawing/2014/main" id="{00000000-0008-0000-0000-000013040000}"/>
                  </a:ext>
                </a:extLst>
              </xdr:cNvPr>
              <xdr:cNvSpPr/>
            </xdr:nvSpPr>
            <xdr:spPr bwMode="auto">
              <a:xfrm>
                <a:off x="4410067" y="1504943"/>
                <a:ext cx="1400174" cy="371477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19</a:t>
                </a:r>
              </a:p>
            </xdr:txBody>
          </xdr:sp>
          <xdr:sp macro="" textlink="">
            <xdr:nvSpPr>
              <xdr:cNvPr id="1044" name="Option Button 20" hidden="1">
                <a:extLst>
                  <a:ext uri="{63B3BB69-23CF-44E3-9099-C40C66FF867C}">
                    <a14:compatExt spid="_x0000_s1044"/>
                  </a:ext>
                  <a:ext uri="{FF2B5EF4-FFF2-40B4-BE49-F238E27FC236}">
                    <a16:creationId xmlns:a16="http://schemas.microsoft.com/office/drawing/2014/main" id="{00000000-0008-0000-0000-000014040000}"/>
                  </a:ext>
                </a:extLst>
              </xdr:cNvPr>
              <xdr:cNvSpPr/>
            </xdr:nvSpPr>
            <xdr:spPr bwMode="auto">
              <a:xfrm>
                <a:off x="4504085" y="1585456"/>
                <a:ext cx="304800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45" name="Option Button 21" hidden="1">
                <a:extLst>
                  <a:ext uri="{63B3BB69-23CF-44E3-9099-C40C66FF867C}">
                    <a14:compatExt spid="_x0000_s1045"/>
                  </a:ext>
                  <a:ext uri="{FF2B5EF4-FFF2-40B4-BE49-F238E27FC236}">
                    <a16:creationId xmlns:a16="http://schemas.microsoft.com/office/drawing/2014/main" id="{00000000-0008-0000-0000-000015040000}"/>
                  </a:ext>
                </a:extLst>
              </xdr:cNvPr>
              <xdr:cNvSpPr/>
            </xdr:nvSpPr>
            <xdr:spPr bwMode="auto">
              <a:xfrm>
                <a:off x="4973167" y="1598875"/>
                <a:ext cx="304800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371475</xdr:colOff>
          <xdr:row>15</xdr:row>
          <xdr:rowOff>85725</xdr:rowOff>
        </xdr:from>
        <xdr:to>
          <xdr:col>8</xdr:col>
          <xdr:colOff>542925</xdr:colOff>
          <xdr:row>18</xdr:row>
          <xdr:rowOff>161925</xdr:rowOff>
        </xdr:to>
        <xdr:grpSp>
          <xdr:nvGrpSpPr>
            <xdr:cNvPr id="4" name="JetVelocity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GrpSpPr/>
          </xdr:nvGrpSpPr>
          <xdr:grpSpPr>
            <a:xfrm>
              <a:off x="6229350" y="3552825"/>
              <a:ext cx="1057275" cy="762000"/>
              <a:chOff x="6038864" y="3552826"/>
              <a:chExt cx="1057277" cy="761998"/>
            </a:xfrm>
          </xdr:grpSpPr>
          <xdr:sp macro="" textlink="">
            <xdr:nvSpPr>
              <xdr:cNvPr id="1058" name="Group Box 34" hidden="1">
                <a:extLst>
                  <a:ext uri="{63B3BB69-23CF-44E3-9099-C40C66FF867C}">
                    <a14:compatExt spid="_x0000_s1058"/>
                  </a:ext>
                  <a:ext uri="{FF2B5EF4-FFF2-40B4-BE49-F238E27FC236}">
                    <a16:creationId xmlns:a16="http://schemas.microsoft.com/office/drawing/2014/main" id="{00000000-0008-0000-0000-000022040000}"/>
                  </a:ext>
                </a:extLst>
              </xdr:cNvPr>
              <xdr:cNvSpPr/>
            </xdr:nvSpPr>
            <xdr:spPr bwMode="auto">
              <a:xfrm>
                <a:off x="6038864" y="3552826"/>
                <a:ext cx="1057277" cy="761998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34</a:t>
                </a:r>
              </a:p>
            </xdr:txBody>
          </xdr:sp>
          <xdr:sp macro="" textlink="">
            <xdr:nvSpPr>
              <xdr:cNvPr id="1059" name="Option Button 35" hidden="1">
                <a:extLst>
                  <a:ext uri="{63B3BB69-23CF-44E3-9099-C40C66FF867C}">
                    <a14:compatExt spid="_x0000_s1059"/>
                  </a:ext>
                  <a:ext uri="{FF2B5EF4-FFF2-40B4-BE49-F238E27FC236}">
                    <a16:creationId xmlns:a16="http://schemas.microsoft.com/office/drawing/2014/main" id="{00000000-0008-0000-0000-000023040000}"/>
                  </a:ext>
                </a:extLst>
              </xdr:cNvPr>
              <xdr:cNvSpPr/>
            </xdr:nvSpPr>
            <xdr:spPr bwMode="auto">
              <a:xfrm>
                <a:off x="6287505" y="3712542"/>
                <a:ext cx="531686" cy="22675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0" name="Option Button 36" hidden="1">
                <a:extLst>
                  <a:ext uri="{63B3BB69-23CF-44E3-9099-C40C66FF867C}">
                    <a14:compatExt spid="_x0000_s1060"/>
                  </a:ext>
                  <a:ext uri="{FF2B5EF4-FFF2-40B4-BE49-F238E27FC236}">
                    <a16:creationId xmlns:a16="http://schemas.microsoft.com/office/drawing/2014/main" id="{00000000-0008-0000-0000-000024040000}"/>
                  </a:ext>
                </a:extLst>
              </xdr:cNvPr>
              <xdr:cNvSpPr/>
            </xdr:nvSpPr>
            <xdr:spPr bwMode="auto">
              <a:xfrm>
                <a:off x="6283341" y="3945181"/>
                <a:ext cx="512953" cy="21811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395378</xdr:colOff>
          <xdr:row>43</xdr:row>
          <xdr:rowOff>331806</xdr:rowOff>
        </xdr:from>
        <xdr:to>
          <xdr:col>12</xdr:col>
          <xdr:colOff>44929</xdr:colOff>
          <xdr:row>45</xdr:row>
          <xdr:rowOff>65</xdr:rowOff>
        </xdr:to>
        <xdr:grpSp>
          <xdr:nvGrpSpPr>
            <xdr:cNvPr id="10" name="size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GrpSpPr/>
          </xdr:nvGrpSpPr>
          <xdr:grpSpPr>
            <a:xfrm>
              <a:off x="4795928" y="10580706"/>
              <a:ext cx="5536001" cy="315959"/>
              <a:chOff x="4600755" y="9200826"/>
              <a:chExt cx="5292665" cy="315241"/>
            </a:xfrm>
          </xdr:grpSpPr>
          <xdr:sp macro="" textlink="">
            <xdr:nvSpPr>
              <xdr:cNvPr id="1061" name="Group Box 37" hidden="1">
                <a:extLst>
                  <a:ext uri="{63B3BB69-23CF-44E3-9099-C40C66FF867C}">
                    <a14:compatExt spid="_x0000_s1061"/>
                  </a:ext>
                  <a:ext uri="{FF2B5EF4-FFF2-40B4-BE49-F238E27FC236}">
                    <a16:creationId xmlns:a16="http://schemas.microsoft.com/office/drawing/2014/main" id="{00000000-0008-0000-0000-000025040000}"/>
                  </a:ext>
                </a:extLst>
              </xdr:cNvPr>
              <xdr:cNvSpPr/>
            </xdr:nvSpPr>
            <xdr:spPr bwMode="auto">
              <a:xfrm>
                <a:off x="4600755" y="9200826"/>
                <a:ext cx="5292665" cy="315241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37</a:t>
                </a:r>
              </a:p>
            </xdr:txBody>
          </xdr:sp>
          <xdr:sp macro="" textlink="">
            <xdr:nvSpPr>
              <xdr:cNvPr id="1062" name="Option Button 38" hidden="1">
                <a:extLst>
                  <a:ext uri="{63B3BB69-23CF-44E3-9099-C40C66FF867C}">
                    <a14:compatExt spid="_x0000_s1062"/>
                  </a:ext>
                  <a:ext uri="{FF2B5EF4-FFF2-40B4-BE49-F238E27FC236}">
                    <a16:creationId xmlns:a16="http://schemas.microsoft.com/office/drawing/2014/main" id="{00000000-0008-0000-0000-000026040000}"/>
                  </a:ext>
                </a:extLst>
              </xdr:cNvPr>
              <xdr:cNvSpPr/>
            </xdr:nvSpPr>
            <xdr:spPr bwMode="auto">
              <a:xfrm>
                <a:off x="4736307" y="9271349"/>
                <a:ext cx="470466" cy="1711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3" name="Option Button 39" hidden="1">
                <a:extLst>
                  <a:ext uri="{63B3BB69-23CF-44E3-9099-C40C66FF867C}">
                    <a14:compatExt spid="_x0000_s1063"/>
                  </a:ext>
                  <a:ext uri="{FF2B5EF4-FFF2-40B4-BE49-F238E27FC236}">
                    <a16:creationId xmlns:a16="http://schemas.microsoft.com/office/drawing/2014/main" id="{00000000-0008-0000-0000-000027040000}"/>
                  </a:ext>
                </a:extLst>
              </xdr:cNvPr>
              <xdr:cNvSpPr/>
            </xdr:nvSpPr>
            <xdr:spPr bwMode="auto">
              <a:xfrm>
                <a:off x="5577495" y="9263702"/>
                <a:ext cx="468658" cy="17927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4" name="Option Button 40" hidden="1">
                <a:extLst>
                  <a:ext uri="{63B3BB69-23CF-44E3-9099-C40C66FF867C}">
                    <a14:compatExt spid="_x0000_s1064"/>
                  </a:ext>
                  <a:ext uri="{FF2B5EF4-FFF2-40B4-BE49-F238E27FC236}">
                    <a16:creationId xmlns:a16="http://schemas.microsoft.com/office/drawing/2014/main" id="{00000000-0008-0000-0000-000028040000}"/>
                  </a:ext>
                </a:extLst>
              </xdr:cNvPr>
              <xdr:cNvSpPr/>
            </xdr:nvSpPr>
            <xdr:spPr bwMode="auto">
              <a:xfrm>
                <a:off x="6469909" y="9278309"/>
                <a:ext cx="376442" cy="17030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5" name="Option Button 41" hidden="1">
                <a:extLst>
                  <a:ext uri="{63B3BB69-23CF-44E3-9099-C40C66FF867C}">
                    <a14:compatExt spid="_x0000_s1065"/>
                  </a:ext>
                  <a:ext uri="{FF2B5EF4-FFF2-40B4-BE49-F238E27FC236}">
                    <a16:creationId xmlns:a16="http://schemas.microsoft.com/office/drawing/2014/main" id="{00000000-0008-0000-0000-000029040000}"/>
                  </a:ext>
                </a:extLst>
              </xdr:cNvPr>
              <xdr:cNvSpPr/>
            </xdr:nvSpPr>
            <xdr:spPr bwMode="auto">
              <a:xfrm>
                <a:off x="7308227" y="9268170"/>
                <a:ext cx="641356" cy="18247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6" name="Option Button 42" hidden="1">
                <a:extLst>
                  <a:ext uri="{63B3BB69-23CF-44E3-9099-C40C66FF867C}">
                    <a14:compatExt spid="_x0000_s1066"/>
                  </a:ext>
                  <a:ext uri="{FF2B5EF4-FFF2-40B4-BE49-F238E27FC236}">
                    <a16:creationId xmlns:a16="http://schemas.microsoft.com/office/drawing/2014/main" id="{00000000-0008-0000-0000-00002A040000}"/>
                  </a:ext>
                </a:extLst>
              </xdr:cNvPr>
              <xdr:cNvSpPr/>
            </xdr:nvSpPr>
            <xdr:spPr bwMode="auto">
              <a:xfrm>
                <a:off x="8149247" y="9264914"/>
                <a:ext cx="602587" cy="17544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7" name="Option Button 43" hidden="1">
                <a:extLst>
                  <a:ext uri="{63B3BB69-23CF-44E3-9099-C40C66FF867C}">
                    <a14:compatExt spid="_x0000_s1067"/>
                  </a:ext>
                  <a:ext uri="{FF2B5EF4-FFF2-40B4-BE49-F238E27FC236}">
                    <a16:creationId xmlns:a16="http://schemas.microsoft.com/office/drawing/2014/main" id="{00000000-0008-0000-0000-00002B040000}"/>
                  </a:ext>
                </a:extLst>
              </xdr:cNvPr>
              <xdr:cNvSpPr/>
            </xdr:nvSpPr>
            <xdr:spPr bwMode="auto">
              <a:xfrm>
                <a:off x="9006817" y="9268174"/>
                <a:ext cx="640641" cy="18247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381000</xdr:colOff>
          <xdr:row>45</xdr:row>
          <xdr:rowOff>285750</xdr:rowOff>
        </xdr:from>
        <xdr:to>
          <xdr:col>11</xdr:col>
          <xdr:colOff>666750</xdr:colOff>
          <xdr:row>47</xdr:row>
          <xdr:rowOff>0</xdr:rowOff>
        </xdr:to>
        <xdr:grpSp>
          <xdr:nvGrpSpPr>
            <xdr:cNvPr id="5" name="adjustment type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4781550" y="11182350"/>
              <a:ext cx="5286375" cy="342900"/>
              <a:chOff x="4591050" y="11182322"/>
              <a:chExt cx="5286375" cy="342900"/>
            </a:xfrm>
          </xdr:grpSpPr>
          <xdr:sp macro="" textlink="">
            <xdr:nvSpPr>
              <xdr:cNvPr id="1068" name="Group Box 44" hidden="1">
                <a:extLst>
                  <a:ext uri="{63B3BB69-23CF-44E3-9099-C40C66FF867C}">
                    <a14:compatExt spid="_x0000_s1068"/>
                  </a:ext>
                  <a:ext uri="{FF2B5EF4-FFF2-40B4-BE49-F238E27FC236}">
                    <a16:creationId xmlns:a16="http://schemas.microsoft.com/office/drawing/2014/main" id="{00000000-0008-0000-0000-00002C040000}"/>
                  </a:ext>
                </a:extLst>
              </xdr:cNvPr>
              <xdr:cNvSpPr/>
            </xdr:nvSpPr>
            <xdr:spPr bwMode="auto">
              <a:xfrm>
                <a:off x="4591050" y="11182322"/>
                <a:ext cx="5286375" cy="3429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44</a:t>
                </a:r>
              </a:p>
            </xdr:txBody>
          </xdr:sp>
          <xdr:sp macro="" textlink="">
            <xdr:nvSpPr>
              <xdr:cNvPr id="1069" name="Option Button 45" hidden="1">
                <a:extLst>
                  <a:ext uri="{63B3BB69-23CF-44E3-9099-C40C66FF867C}">
                    <a14:compatExt spid="_x0000_s1069"/>
                  </a:ext>
                  <a:ext uri="{FF2B5EF4-FFF2-40B4-BE49-F238E27FC236}">
                    <a16:creationId xmlns:a16="http://schemas.microsoft.com/office/drawing/2014/main" id="{00000000-0008-0000-0000-00002D040000}"/>
                  </a:ext>
                </a:extLst>
              </xdr:cNvPr>
              <xdr:cNvSpPr/>
            </xdr:nvSpPr>
            <xdr:spPr bwMode="auto">
              <a:xfrm>
                <a:off x="4943475" y="11220450"/>
                <a:ext cx="438150" cy="2857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70" name="Option Button 46" hidden="1">
                <a:extLst>
                  <a:ext uri="{63B3BB69-23CF-44E3-9099-C40C66FF867C}">
                    <a14:compatExt spid="_x0000_s1070"/>
                  </a:ext>
                  <a:ext uri="{FF2B5EF4-FFF2-40B4-BE49-F238E27FC236}">
                    <a16:creationId xmlns:a16="http://schemas.microsoft.com/office/drawing/2014/main" id="{00000000-0008-0000-0000-00002E040000}"/>
                  </a:ext>
                </a:extLst>
              </xdr:cNvPr>
              <xdr:cNvSpPr/>
            </xdr:nvSpPr>
            <xdr:spPr bwMode="auto">
              <a:xfrm>
                <a:off x="6334125" y="11229975"/>
                <a:ext cx="476250" cy="2762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71" name="Option Button 47" hidden="1">
                <a:extLst>
                  <a:ext uri="{63B3BB69-23CF-44E3-9099-C40C66FF867C}">
                    <a14:compatExt spid="_x0000_s1071"/>
                  </a:ext>
                  <a:ext uri="{FF2B5EF4-FFF2-40B4-BE49-F238E27FC236}">
                    <a16:creationId xmlns:a16="http://schemas.microsoft.com/office/drawing/2014/main" id="{00000000-0008-0000-0000-00002F040000}"/>
                  </a:ext>
                </a:extLst>
              </xdr:cNvPr>
              <xdr:cNvSpPr/>
            </xdr:nvSpPr>
            <xdr:spPr bwMode="auto">
              <a:xfrm>
                <a:off x="8124825" y="11239500"/>
                <a:ext cx="533400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485468</xdr:colOff>
          <xdr:row>47</xdr:row>
          <xdr:rowOff>21981</xdr:rowOff>
        </xdr:from>
        <xdr:to>
          <xdr:col>13</xdr:col>
          <xdr:colOff>483886</xdr:colOff>
          <xdr:row>48</xdr:row>
          <xdr:rowOff>13419</xdr:rowOff>
        </xdr:to>
        <xdr:grpSp>
          <xdr:nvGrpSpPr>
            <xdr:cNvPr id="6" name="colour selection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GrpSpPr/>
          </xdr:nvGrpSpPr>
          <xdr:grpSpPr>
            <a:xfrm>
              <a:off x="3723968" y="11547231"/>
              <a:ext cx="8228018" cy="305763"/>
              <a:chOff x="3859241" y="10824144"/>
              <a:chExt cx="6643467" cy="318283"/>
            </a:xfrm>
          </xdr:grpSpPr>
          <xdr:sp macro="" textlink="">
            <xdr:nvSpPr>
              <xdr:cNvPr id="1072" name="Group Box 48" hidden="1">
                <a:extLst>
                  <a:ext uri="{63B3BB69-23CF-44E3-9099-C40C66FF867C}">
                    <a14:compatExt spid="_x0000_s1072"/>
                  </a:ext>
                  <a:ext uri="{FF2B5EF4-FFF2-40B4-BE49-F238E27FC236}">
                    <a16:creationId xmlns:a16="http://schemas.microsoft.com/office/drawing/2014/main" id="{00000000-0008-0000-0000-000030040000}"/>
                  </a:ext>
                </a:extLst>
              </xdr:cNvPr>
              <xdr:cNvSpPr/>
            </xdr:nvSpPr>
            <xdr:spPr bwMode="auto">
              <a:xfrm>
                <a:off x="3859241" y="10824144"/>
                <a:ext cx="6643467" cy="318283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48</a:t>
                </a:r>
              </a:p>
            </xdr:txBody>
          </xdr:sp>
          <xdr:sp macro="" textlink="">
            <xdr:nvSpPr>
              <xdr:cNvPr id="1073" name="Option Button 49" hidden="1">
                <a:extLst>
                  <a:ext uri="{63B3BB69-23CF-44E3-9099-C40C66FF867C}">
                    <a14:compatExt spid="_x0000_s1073"/>
                  </a:ext>
                  <a:ext uri="{FF2B5EF4-FFF2-40B4-BE49-F238E27FC236}">
                    <a16:creationId xmlns:a16="http://schemas.microsoft.com/office/drawing/2014/main" id="{00000000-0008-0000-0000-000031040000}"/>
                  </a:ext>
                </a:extLst>
              </xdr:cNvPr>
              <xdr:cNvSpPr/>
            </xdr:nvSpPr>
            <xdr:spPr bwMode="auto">
              <a:xfrm>
                <a:off x="4844958" y="10863587"/>
                <a:ext cx="506018" cy="22424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74" name="Option Button 50" hidden="1">
                <a:extLst>
                  <a:ext uri="{63B3BB69-23CF-44E3-9099-C40C66FF867C}">
                    <a14:compatExt spid="_x0000_s1074"/>
                  </a:ext>
                  <a:ext uri="{FF2B5EF4-FFF2-40B4-BE49-F238E27FC236}">
                    <a16:creationId xmlns:a16="http://schemas.microsoft.com/office/drawing/2014/main" id="{00000000-0008-0000-0000-000032040000}"/>
                  </a:ext>
                </a:extLst>
              </xdr:cNvPr>
              <xdr:cNvSpPr/>
            </xdr:nvSpPr>
            <xdr:spPr bwMode="auto">
              <a:xfrm>
                <a:off x="6136835" y="10863997"/>
                <a:ext cx="759655" cy="22098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75" name="Option Button 51" hidden="1">
                <a:extLst>
                  <a:ext uri="{63B3BB69-23CF-44E3-9099-C40C66FF867C}">
                    <a14:compatExt spid="_x0000_s1075"/>
                  </a:ext>
                  <a:ext uri="{FF2B5EF4-FFF2-40B4-BE49-F238E27FC236}">
                    <a16:creationId xmlns:a16="http://schemas.microsoft.com/office/drawing/2014/main" id="{00000000-0008-0000-0000-000033040000}"/>
                  </a:ext>
                </a:extLst>
              </xdr:cNvPr>
              <xdr:cNvSpPr/>
            </xdr:nvSpPr>
            <xdr:spPr bwMode="auto">
              <a:xfrm>
                <a:off x="7561075" y="10858355"/>
                <a:ext cx="683455" cy="22098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xdr:twoCellAnchor>
    <xdr:from>
      <xdr:col>2</xdr:col>
      <xdr:colOff>474272</xdr:colOff>
      <xdr:row>49</xdr:row>
      <xdr:rowOff>149883</xdr:rowOff>
    </xdr:from>
    <xdr:to>
      <xdr:col>15</xdr:col>
      <xdr:colOff>586955</xdr:colOff>
      <xdr:row>61</xdr:row>
      <xdr:rowOff>226083</xdr:rowOff>
    </xdr:to>
    <xdr:graphicFrame macro="">
      <xdr:nvGraphicFramePr>
        <xdr:cNvPr id="34" name="Chart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904875</xdr:colOff>
          <xdr:row>31</xdr:row>
          <xdr:rowOff>123825</xdr:rowOff>
        </xdr:from>
        <xdr:to>
          <xdr:col>16</xdr:col>
          <xdr:colOff>495300</xdr:colOff>
          <xdr:row>37</xdr:row>
          <xdr:rowOff>95250</xdr:rowOff>
        </xdr:to>
        <xdr:sp macro="" textlink="">
          <xdr:nvSpPr>
            <xdr:cNvPr id="1087" name="Object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609600</xdr:colOff>
          <xdr:row>20</xdr:row>
          <xdr:rowOff>19050</xdr:rowOff>
        </xdr:from>
        <xdr:to>
          <xdr:col>8</xdr:col>
          <xdr:colOff>266700</xdr:colOff>
          <xdr:row>21</xdr:row>
          <xdr:rowOff>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558981</xdr:colOff>
      <xdr:row>241</xdr:row>
      <xdr:rowOff>160020</xdr:rowOff>
    </xdr:from>
    <xdr:to>
      <xdr:col>12</xdr:col>
      <xdr:colOff>541019</xdr:colOff>
      <xdr:row>256</xdr:row>
      <xdr:rowOff>121920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312420</xdr:colOff>
      <xdr:row>9</xdr:row>
      <xdr:rowOff>186961</xdr:rowOff>
    </xdr:from>
    <xdr:to>
      <xdr:col>15</xdr:col>
      <xdr:colOff>57423</xdr:colOff>
      <xdr:row>34</xdr:row>
      <xdr:rowOff>173844</xdr:rowOff>
    </xdr:to>
    <xdr:grpSp>
      <xdr:nvGrpSpPr>
        <xdr:cNvPr id="20" name="Group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GrpSpPr/>
      </xdr:nvGrpSpPr>
      <xdr:grpSpPr>
        <a:xfrm>
          <a:off x="2141220" y="2244361"/>
          <a:ext cx="7060203" cy="4787483"/>
          <a:chOff x="962025" y="1476375"/>
          <a:chExt cx="7058025" cy="4790476"/>
        </a:xfrm>
      </xdr:grpSpPr>
      <xdr:pic>
        <xdr:nvPicPr>
          <xdr:cNvPr id="10" name="Picture 9">
            <a:extLst>
              <a:ext uri="{FF2B5EF4-FFF2-40B4-BE49-F238E27FC236}">
                <a16:creationId xmlns:a16="http://schemas.microsoft.com/office/drawing/2014/main" id="{00000000-0008-0000-02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038225" y="1476375"/>
            <a:ext cx="6647619" cy="4790476"/>
          </a:xfrm>
          <a:prstGeom prst="rect">
            <a:avLst/>
          </a:prstGeom>
          <a:noFill/>
        </xdr:spPr>
      </xdr:pic>
      <xdr:sp macro="" textlink="$J$15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 txBox="1"/>
        </xdr:nvSpPr>
        <xdr:spPr>
          <a:xfrm>
            <a:off x="962025" y="3790950"/>
            <a:ext cx="771525" cy="314325"/>
          </a:xfrm>
          <a:prstGeom prst="rect">
            <a:avLst/>
          </a:prstGeom>
          <a:solidFill>
            <a:schemeClr val="bg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fld id="{57DB3D20-34D4-4811-B46E-C0FFF1DA426F}" type="TxLink">
              <a:rPr lang="en-US" sz="1200" b="1" i="0" u="none" strike="noStrike">
                <a:solidFill>
                  <a:srgbClr val="000000"/>
                </a:solidFill>
                <a:latin typeface="Calibri"/>
                <a:cs typeface="Calibri"/>
              </a:rPr>
              <a:pPr algn="ctr"/>
              <a:t>D3 = 248</a:t>
            </a:fld>
            <a:endParaRPr lang="en-AU" sz="1200" b="1"/>
          </a:p>
        </xdr:txBody>
      </xdr:sp>
      <xdr:sp macro="" textlink="$J$16">
        <xdr:nvSpPr>
          <xdr:cNvPr id="14" name="TextBox 13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SpPr txBox="1"/>
        </xdr:nvSpPr>
        <xdr:spPr>
          <a:xfrm>
            <a:off x="6600826" y="3752850"/>
            <a:ext cx="742950" cy="314325"/>
          </a:xfrm>
          <a:prstGeom prst="rect">
            <a:avLst/>
          </a:prstGeom>
          <a:solidFill>
            <a:schemeClr val="bg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fld id="{2FAE9673-864D-4C69-98CA-E8D93A8F7777}" type="TxLink">
              <a:rPr lang="en-US" sz="1200" b="1" i="0" u="none" strike="noStrike">
                <a:solidFill>
                  <a:srgbClr val="000000"/>
                </a:solidFill>
                <a:latin typeface="Calibri"/>
                <a:cs typeface="Calibri"/>
              </a:rPr>
              <a:pPr algn="ctr"/>
              <a:t>D1 = 136</a:t>
            </a:fld>
            <a:endParaRPr lang="en-AU" sz="1200" b="1"/>
          </a:p>
        </xdr:txBody>
      </xdr:sp>
      <xdr:sp macro="" textlink="$J$17">
        <xdr:nvSpPr>
          <xdr:cNvPr id="15" name="TextBox 14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SpPr txBox="1"/>
        </xdr:nvSpPr>
        <xdr:spPr>
          <a:xfrm>
            <a:off x="7267575" y="3752850"/>
            <a:ext cx="752475" cy="314325"/>
          </a:xfrm>
          <a:prstGeom prst="rect">
            <a:avLst/>
          </a:prstGeom>
          <a:solidFill>
            <a:schemeClr val="bg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fld id="{513FE1E2-D0AF-48EE-A62E-A03BCE58C6FD}" type="TxLink">
              <a:rPr lang="en-US" sz="1200" b="1" i="0" u="none" strike="noStrike">
                <a:solidFill>
                  <a:srgbClr val="000000"/>
                </a:solidFill>
                <a:latin typeface="Calibri"/>
                <a:cs typeface="Calibri"/>
              </a:rPr>
              <a:pPr algn="ctr"/>
              <a:t>D2 = 302</a:t>
            </a:fld>
            <a:endParaRPr lang="en-AU" sz="1200" b="1"/>
          </a:p>
        </xdr:txBody>
      </xdr:sp>
      <xdr:sp macro="" textlink="$J$18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 txBox="1"/>
        </xdr:nvSpPr>
        <xdr:spPr>
          <a:xfrm>
            <a:off x="4876801" y="5810250"/>
            <a:ext cx="647700" cy="314325"/>
          </a:xfrm>
          <a:prstGeom prst="rect">
            <a:avLst/>
          </a:prstGeom>
          <a:solidFill>
            <a:schemeClr val="bg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fld id="{8BB4BCAF-48C8-4D09-939D-5153D5D989BB}" type="TxLink">
              <a:rPr lang="en-US" sz="1200" b="1" i="0" u="none" strike="noStrike">
                <a:solidFill>
                  <a:srgbClr val="000000"/>
                </a:solidFill>
                <a:latin typeface="Calibri"/>
                <a:cs typeface="Calibri"/>
              </a:rPr>
              <a:pPr algn="ctr"/>
              <a:t>L = 164</a:t>
            </a:fld>
            <a:endParaRPr lang="en-AU" sz="1200" b="1"/>
          </a:p>
        </xdr:txBody>
      </xdr:sp>
      <xdr:sp macro="" textlink="$J$19">
        <xdr:nvSpPr>
          <xdr:cNvPr id="17" name="TextBox 16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SpPr txBox="1"/>
        </xdr:nvSpPr>
        <xdr:spPr>
          <a:xfrm>
            <a:off x="6115050" y="1619250"/>
            <a:ext cx="561975" cy="3143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fld id="{04302BCC-233C-452C-A5BF-4F0A984CBF94}" type="TxLink">
              <a:rPr lang="en-US" sz="1200" b="1" i="0" u="none" strike="noStrike">
                <a:solidFill>
                  <a:srgbClr val="000000"/>
                </a:solidFill>
                <a:latin typeface="Calibri"/>
                <a:cs typeface="Calibri"/>
              </a:rPr>
              <a:pPr algn="l"/>
              <a:t>E = 24</a:t>
            </a:fld>
            <a:endParaRPr lang="en-AU" sz="1200" b="1"/>
          </a:p>
        </xdr:txBody>
      </xdr:sp>
      <xdr:sp macro="" textlink="$J$20">
        <xdr:nvSpPr>
          <xdr:cNvPr id="18" name="TextBox 17">
            <a:extLst>
              <a:ext uri="{FF2B5EF4-FFF2-40B4-BE49-F238E27FC236}">
                <a16:creationId xmlns:a16="http://schemas.microsoft.com/office/drawing/2014/main" id="{00000000-0008-0000-0200-000012000000}"/>
              </a:ext>
            </a:extLst>
          </xdr:cNvPr>
          <xdr:cNvSpPr txBox="1"/>
        </xdr:nvSpPr>
        <xdr:spPr>
          <a:xfrm>
            <a:off x="3429001" y="1562100"/>
            <a:ext cx="704850" cy="314325"/>
          </a:xfrm>
          <a:prstGeom prst="rect">
            <a:avLst/>
          </a:prstGeom>
          <a:solidFill>
            <a:schemeClr val="bg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fld id="{0D227C7D-2774-40F2-84E9-0D0AD6275860}" type="TxLink">
              <a:rPr lang="en-US" sz="1200" b="1" i="0" u="none" strike="noStrike">
                <a:solidFill>
                  <a:srgbClr val="000000"/>
                </a:solidFill>
                <a:latin typeface="Calibri"/>
                <a:cs typeface="Calibri"/>
              </a:rPr>
              <a:pPr algn="ctr"/>
              <a:t>Le = 340</a:t>
            </a:fld>
            <a:endParaRPr lang="en-AU" sz="1200" b="1"/>
          </a:p>
        </xdr:txBody>
      </xdr:sp>
      <xdr:sp macro="" textlink="">
        <xdr:nvSpPr>
          <xdr:cNvPr id="19" name="Rectangle 18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SpPr/>
        </xdr:nvSpPr>
        <xdr:spPr>
          <a:xfrm>
            <a:off x="5943601" y="1695450"/>
            <a:ext cx="114300" cy="238125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AU" sz="1100"/>
          </a:p>
        </xdr:txBody>
      </xdr:sp>
    </xdr:grpSp>
    <xdr:clientData/>
  </xdr:twoCellAnchor>
  <xdr:twoCellAnchor editAs="oneCell">
    <xdr:from>
      <xdr:col>12</xdr:col>
      <xdr:colOff>85726</xdr:colOff>
      <xdr:row>1</xdr:row>
      <xdr:rowOff>76200</xdr:rowOff>
    </xdr:from>
    <xdr:to>
      <xdr:col>16</xdr:col>
      <xdr:colOff>214223</xdr:colOff>
      <xdr:row>2</xdr:row>
      <xdr:rowOff>257271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0926" y="266700"/>
          <a:ext cx="2326594" cy="44341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27214</xdr:colOff>
      <xdr:row>0</xdr:row>
      <xdr:rowOff>28694</xdr:rowOff>
    </xdr:from>
    <xdr:to>
      <xdr:col>1</xdr:col>
      <xdr:colOff>206829</xdr:colOff>
      <xdr:row>1</xdr:row>
      <xdr:rowOff>162265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28694"/>
          <a:ext cx="1877786" cy="38938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857250</xdr:colOff>
          <xdr:row>18</xdr:row>
          <xdr:rowOff>133350</xdr:rowOff>
        </xdr:from>
        <xdr:to>
          <xdr:col>6</xdr:col>
          <xdr:colOff>390525</xdr:colOff>
          <xdr:row>24</xdr:row>
          <xdr:rowOff>28575</xdr:rowOff>
        </xdr:to>
        <xdr:sp macro="" textlink="">
          <xdr:nvSpPr>
            <xdr:cNvPr id="5123" name="Object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5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728870</xdr:colOff>
      <xdr:row>24</xdr:row>
      <xdr:rowOff>57148</xdr:rowOff>
    </xdr:from>
    <xdr:to>
      <xdr:col>1</xdr:col>
      <xdr:colOff>590786</xdr:colOff>
      <xdr:row>28</xdr:row>
      <xdr:rowOff>50346</xdr:rowOff>
    </xdr:to>
    <xdr:sp macro="" textlink="'CNW-AD Data'!C71">
      <xdr:nvSpPr>
        <xdr:cNvPr id="3" name="Text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728870" y="4687126"/>
          <a:ext cx="1559851" cy="72206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6B06DD90-04E0-4C9C-8C93-A4DDA86B9E44}" type="TxLink">
            <a:rPr lang="en-US" sz="1000" b="0" i="0" u="none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pPr algn="ctr"/>
            <a:t>+Recommended Cooling Angle° recommended discharge angle for cooling at ΔT = -6 K (relative to horizontal)</a:t>
          </a:fld>
          <a:endParaRPr lang="en-US" sz="1000" b="0" i="0" u="none" strike="noStrike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405849</xdr:colOff>
      <xdr:row>24</xdr:row>
      <xdr:rowOff>54429</xdr:rowOff>
    </xdr:from>
    <xdr:to>
      <xdr:col>4</xdr:col>
      <xdr:colOff>523165</xdr:colOff>
      <xdr:row>28</xdr:row>
      <xdr:rowOff>46265</xdr:rowOff>
    </xdr:to>
    <xdr:sp macro="" textlink="'CNW-AD Data'!C72">
      <xdr:nvSpPr>
        <xdr:cNvPr id="7" name="TextBox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/>
      </xdr:nvSpPr>
      <xdr:spPr>
        <a:xfrm>
          <a:off x="2758110" y="4684407"/>
          <a:ext cx="1425968" cy="7207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A19587F6-F163-4A49-9665-174F88530715}" type="TxLink">
            <a:rPr lang="en-US" sz="1000" b="0" i="0" u="none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pPr algn="ctr"/>
            <a:t>+Recommended Heating Angle° recommended discharge angle for heating at ΔT = +6 K (relative to horizontal)</a:t>
          </a:fld>
          <a:endParaRPr lang="en-AU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174171</xdr:colOff>
      <xdr:row>24</xdr:row>
      <xdr:rowOff>59871</xdr:rowOff>
    </xdr:from>
    <xdr:to>
      <xdr:col>6</xdr:col>
      <xdr:colOff>865415</xdr:colOff>
      <xdr:row>28</xdr:row>
      <xdr:rowOff>48987</xdr:rowOff>
    </xdr:to>
    <xdr:sp macro="" textlink="'CNW-AD Data'!C73">
      <xdr:nvSpPr>
        <xdr:cNvPr id="9" name="TextBox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 txBox="1"/>
      </xdr:nvSpPr>
      <xdr:spPr>
        <a:xfrm>
          <a:off x="4501242" y="4757057"/>
          <a:ext cx="1349830" cy="72934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5DD44660-ECFF-42A4-8EDC-27FEE48F9FF5}" type="TxLink">
            <a:rPr lang="en-US" sz="1000" b="0" i="0" u="none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pPr algn="ctr"/>
            <a:t>+Mounting Angle ° recommended face mounting angle (relative to vertical)</a:t>
          </a:fld>
          <a:endParaRPr lang="en-AU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50169</xdr:colOff>
      <xdr:row>28</xdr:row>
      <xdr:rowOff>3551</xdr:rowOff>
    </xdr:from>
    <xdr:to>
      <xdr:col>6</xdr:col>
      <xdr:colOff>1214940</xdr:colOff>
      <xdr:row>42</xdr:row>
      <xdr:rowOff>161867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.xml"/><Relationship Id="rId13" Type="http://schemas.openxmlformats.org/officeDocument/2006/relationships/ctrlProp" Target="../ctrlProps/ctrlProp7.xml"/><Relationship Id="rId18" Type="http://schemas.openxmlformats.org/officeDocument/2006/relationships/ctrlProp" Target="../ctrlProps/ctrlProp12.xml"/><Relationship Id="rId26" Type="http://schemas.openxmlformats.org/officeDocument/2006/relationships/ctrlProp" Target="../ctrlProps/ctrlProp20.xml"/><Relationship Id="rId3" Type="http://schemas.openxmlformats.org/officeDocument/2006/relationships/drawing" Target="../drawings/drawing1.xml"/><Relationship Id="rId21" Type="http://schemas.openxmlformats.org/officeDocument/2006/relationships/ctrlProp" Target="../ctrlProps/ctrlProp15.xml"/><Relationship Id="rId7" Type="http://schemas.openxmlformats.org/officeDocument/2006/relationships/ctrlProp" Target="../ctrlProps/ctrlProp1.xml"/><Relationship Id="rId12" Type="http://schemas.openxmlformats.org/officeDocument/2006/relationships/ctrlProp" Target="../ctrlProps/ctrlProp6.xml"/><Relationship Id="rId17" Type="http://schemas.openxmlformats.org/officeDocument/2006/relationships/ctrlProp" Target="../ctrlProps/ctrlProp11.xml"/><Relationship Id="rId25" Type="http://schemas.openxmlformats.org/officeDocument/2006/relationships/ctrlProp" Target="../ctrlProps/ctrlProp19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0.xml"/><Relationship Id="rId20" Type="http://schemas.openxmlformats.org/officeDocument/2006/relationships/ctrlProp" Target="../ctrlProps/ctrlProp14.xml"/><Relationship Id="rId1" Type="http://schemas.openxmlformats.org/officeDocument/2006/relationships/hyperlink" Target="http://www.smartair.asia/product/85" TargetMode="External"/><Relationship Id="rId6" Type="http://schemas.openxmlformats.org/officeDocument/2006/relationships/image" Target="../media/image1.emf"/><Relationship Id="rId11" Type="http://schemas.openxmlformats.org/officeDocument/2006/relationships/ctrlProp" Target="../ctrlProps/ctrlProp5.xml"/><Relationship Id="rId24" Type="http://schemas.openxmlformats.org/officeDocument/2006/relationships/ctrlProp" Target="../ctrlProps/ctrlProp18.xml"/><Relationship Id="rId5" Type="http://schemas.openxmlformats.org/officeDocument/2006/relationships/package" Target="../embeddings/Microsoft_Visio_Drawing.vsdx"/><Relationship Id="rId15" Type="http://schemas.openxmlformats.org/officeDocument/2006/relationships/ctrlProp" Target="../ctrlProps/ctrlProp9.xml"/><Relationship Id="rId23" Type="http://schemas.openxmlformats.org/officeDocument/2006/relationships/ctrlProp" Target="../ctrlProps/ctrlProp17.xml"/><Relationship Id="rId28" Type="http://schemas.openxmlformats.org/officeDocument/2006/relationships/ctrlProp" Target="../ctrlProps/ctrlProp22.xml"/><Relationship Id="rId10" Type="http://schemas.openxmlformats.org/officeDocument/2006/relationships/ctrlProp" Target="../ctrlProps/ctrlProp4.xml"/><Relationship Id="rId19" Type="http://schemas.openxmlformats.org/officeDocument/2006/relationships/ctrlProp" Target="../ctrlProps/ctrlProp13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3.xml"/><Relationship Id="rId14" Type="http://schemas.openxmlformats.org/officeDocument/2006/relationships/ctrlProp" Target="../ctrlProps/ctrlProp8.xml"/><Relationship Id="rId22" Type="http://schemas.openxmlformats.org/officeDocument/2006/relationships/ctrlProp" Target="../ctrlProps/ctrlProp16.xml"/><Relationship Id="rId27" Type="http://schemas.openxmlformats.org/officeDocument/2006/relationships/ctrlProp" Target="../ctrlProps/ctrlProp2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5.emf"/><Relationship Id="rId4" Type="http://schemas.openxmlformats.org/officeDocument/2006/relationships/package" Target="../embeddings/Microsoft_Visio_Drawing1.vsd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64"/>
  <sheetViews>
    <sheetView tabSelected="1" zoomScaleNormal="100" workbookViewId="0">
      <selection activeCell="D5" sqref="D5:G5"/>
    </sheetView>
  </sheetViews>
  <sheetFormatPr defaultRowHeight="15" x14ac:dyDescent="0.25"/>
  <cols>
    <col min="1" max="1" width="2" customWidth="1"/>
    <col min="2" max="2" width="7.7109375" customWidth="1"/>
    <col min="3" max="4" width="19.42578125" customWidth="1"/>
    <col min="5" max="5" width="17.42578125" customWidth="1"/>
    <col min="6" max="6" width="8.5703125" customWidth="1"/>
    <col min="7" max="12" width="13.28515625" customWidth="1"/>
    <col min="13" max="13" width="17.7109375" customWidth="1"/>
    <col min="14" max="16" width="16.140625" customWidth="1"/>
    <col min="17" max="17" width="22.7109375" customWidth="1"/>
  </cols>
  <sheetData>
    <row r="1" spans="1:18" x14ac:dyDescent="0.25">
      <c r="B1" s="16"/>
      <c r="C1" s="14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8" ht="21" x14ac:dyDescent="0.35">
      <c r="B2" s="16"/>
      <c r="C2" s="18" t="s">
        <v>0</v>
      </c>
      <c r="D2" s="18"/>
      <c r="E2" s="18"/>
      <c r="F2" s="18"/>
      <c r="G2" s="16"/>
      <c r="H2" s="16"/>
      <c r="I2" s="16"/>
      <c r="J2" s="19"/>
      <c r="K2" s="19"/>
      <c r="L2" s="19"/>
      <c r="M2" s="19"/>
      <c r="N2" s="19"/>
      <c r="O2" s="19"/>
      <c r="P2" s="19"/>
      <c r="Q2" s="19"/>
    </row>
    <row r="3" spans="1:18" ht="25.5" customHeight="1" x14ac:dyDescent="0.35">
      <c r="B3" s="16"/>
      <c r="C3" s="20" t="s">
        <v>1</v>
      </c>
      <c r="D3" s="20"/>
      <c r="E3" s="20"/>
      <c r="F3" s="20"/>
      <c r="G3" s="16"/>
      <c r="H3" s="16"/>
      <c r="I3" s="16"/>
      <c r="J3" s="19"/>
      <c r="K3" s="19"/>
      <c r="L3" s="19"/>
      <c r="M3" s="19"/>
      <c r="N3" s="19"/>
      <c r="O3" s="19"/>
      <c r="P3" s="19"/>
      <c r="Q3" s="19"/>
    </row>
    <row r="4" spans="1:18" ht="13.5" customHeight="1" x14ac:dyDescent="0.3">
      <c r="B4" s="16"/>
      <c r="C4" s="17"/>
      <c r="D4" s="21"/>
      <c r="E4" s="21"/>
      <c r="F4" s="21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18" ht="26.25" customHeight="1" x14ac:dyDescent="0.25">
      <c r="A5" s="24"/>
      <c r="B5" s="137"/>
      <c r="C5" s="173" t="s">
        <v>2</v>
      </c>
      <c r="D5" s="221" t="s">
        <v>3</v>
      </c>
      <c r="E5" s="221"/>
      <c r="F5" s="221"/>
      <c r="G5" s="221"/>
      <c r="H5" s="175"/>
      <c r="I5" s="37"/>
      <c r="J5" s="37"/>
      <c r="K5" s="37"/>
      <c r="L5" s="37"/>
      <c r="M5" s="37"/>
      <c r="N5" s="37"/>
      <c r="O5" s="37"/>
      <c r="P5" s="37"/>
      <c r="Q5" s="37"/>
      <c r="R5" s="22"/>
    </row>
    <row r="6" spans="1:18" ht="10.35" customHeight="1" x14ac:dyDescent="0.25">
      <c r="B6" s="138"/>
      <c r="C6" s="113"/>
      <c r="D6" s="111"/>
      <c r="E6" s="111"/>
      <c r="F6" s="111"/>
      <c r="G6" s="111"/>
      <c r="H6" s="120"/>
      <c r="I6" s="37"/>
      <c r="J6" s="37"/>
      <c r="K6" s="37"/>
      <c r="L6" s="37"/>
      <c r="M6" s="37"/>
      <c r="N6" s="37"/>
      <c r="O6" s="37"/>
      <c r="P6" s="37"/>
      <c r="Q6" s="37"/>
    </row>
    <row r="7" spans="1:18" ht="18" customHeight="1" thickBot="1" x14ac:dyDescent="0.35">
      <c r="A7" s="24"/>
      <c r="B7" s="6"/>
      <c r="C7" s="208" t="s">
        <v>4</v>
      </c>
      <c r="D7" s="208"/>
      <c r="E7" s="208"/>
      <c r="F7" s="209"/>
      <c r="G7" s="209"/>
      <c r="H7" s="37"/>
      <c r="I7" s="156" t="s">
        <v>5</v>
      </c>
      <c r="J7" s="156"/>
      <c r="K7" s="45"/>
      <c r="L7" s="45"/>
      <c r="M7" s="37"/>
      <c r="N7" s="37"/>
      <c r="O7" s="37"/>
      <c r="P7" s="37"/>
      <c r="Q7" s="38" t="s">
        <v>313</v>
      </c>
      <c r="R7" s="22"/>
    </row>
    <row r="8" spans="1:18" ht="18" customHeight="1" thickTop="1" x14ac:dyDescent="0.25">
      <c r="A8" s="24"/>
      <c r="B8" s="6"/>
      <c r="C8" s="7"/>
      <c r="D8" s="6"/>
      <c r="E8" s="6"/>
      <c r="F8" s="6"/>
      <c r="G8" s="50"/>
      <c r="H8" s="37"/>
      <c r="I8" s="37"/>
      <c r="J8" s="37"/>
      <c r="K8" s="37"/>
      <c r="L8" s="37"/>
      <c r="M8" s="37"/>
      <c r="N8" s="37"/>
      <c r="O8" s="37"/>
      <c r="P8" s="37"/>
      <c r="Q8" s="37"/>
      <c r="R8" s="22"/>
    </row>
    <row r="9" spans="1:18" ht="18" customHeight="1" thickBot="1" x14ac:dyDescent="0.3">
      <c r="A9" s="24"/>
      <c r="B9" s="6"/>
      <c r="C9" s="182" t="s">
        <v>6</v>
      </c>
      <c r="D9" s="11">
        <v>200</v>
      </c>
      <c r="E9" s="207" t="s">
        <v>7</v>
      </c>
      <c r="F9" s="210" t="s">
        <v>8</v>
      </c>
      <c r="G9" s="172"/>
      <c r="H9" s="37"/>
      <c r="I9" s="47" t="s">
        <v>17</v>
      </c>
      <c r="J9" s="46"/>
      <c r="K9" s="46"/>
      <c r="L9" s="37"/>
      <c r="M9" s="176"/>
      <c r="N9" s="37"/>
      <c r="O9" s="37"/>
      <c r="P9" s="37"/>
      <c r="Q9" s="37"/>
      <c r="R9" s="22"/>
    </row>
    <row r="10" spans="1:18" ht="18" customHeight="1" thickTop="1" x14ac:dyDescent="0.25">
      <c r="A10" s="24"/>
      <c r="B10" s="6"/>
      <c r="C10" s="182"/>
      <c r="D10" s="98" t="str">
        <f>"= " &amp;ROUND('CNW-ADequations'!B7,0)</f>
        <v>= 720</v>
      </c>
      <c r="E10" s="99" t="str">
        <f>'CNW-ADequations'!D7</f>
        <v>[m³/h]</v>
      </c>
      <c r="F10" s="99"/>
      <c r="G10" s="50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22"/>
    </row>
    <row r="11" spans="1:18" ht="18" customHeight="1" thickBot="1" x14ac:dyDescent="0.3">
      <c r="A11" s="24"/>
      <c r="B11" s="6"/>
      <c r="C11" s="182" t="s">
        <v>10</v>
      </c>
      <c r="D11" s="11">
        <v>60</v>
      </c>
      <c r="E11" s="13" t="s">
        <v>285</v>
      </c>
      <c r="F11" s="13"/>
      <c r="G11" s="174"/>
      <c r="H11" s="37"/>
      <c r="I11" s="181" t="s">
        <v>18</v>
      </c>
      <c r="J11" s="48">
        <v>-6</v>
      </c>
      <c r="K11" s="104" t="s">
        <v>287</v>
      </c>
      <c r="L11" s="37"/>
      <c r="M11" s="177"/>
      <c r="N11" s="37"/>
      <c r="O11" s="37"/>
      <c r="P11" s="37"/>
      <c r="Q11" s="37"/>
      <c r="R11" s="22"/>
    </row>
    <row r="12" spans="1:18" ht="18" customHeight="1" thickTop="1" x14ac:dyDescent="0.25">
      <c r="A12" s="24"/>
      <c r="B12" s="6"/>
      <c r="C12" s="182"/>
      <c r="D12" s="8"/>
      <c r="E12" s="13"/>
      <c r="F12" s="13"/>
      <c r="G12" s="50"/>
      <c r="H12" s="37"/>
      <c r="I12" s="120"/>
      <c r="J12" s="37"/>
      <c r="K12" s="37"/>
      <c r="L12" s="37"/>
      <c r="M12" s="177"/>
      <c r="N12" s="37"/>
      <c r="O12" s="37"/>
      <c r="P12" s="37"/>
      <c r="Q12" s="37"/>
      <c r="R12" s="22"/>
    </row>
    <row r="13" spans="1:18" ht="18" customHeight="1" thickBot="1" x14ac:dyDescent="0.3">
      <c r="A13" s="24"/>
      <c r="B13" s="6"/>
      <c r="C13" s="182" t="s">
        <v>13</v>
      </c>
      <c r="D13" s="87">
        <v>5</v>
      </c>
      <c r="E13" s="88" t="s">
        <v>14</v>
      </c>
      <c r="F13" s="88"/>
      <c r="G13" s="50"/>
      <c r="H13" s="37"/>
      <c r="I13" s="181" t="s">
        <v>19</v>
      </c>
      <c r="J13" s="48">
        <v>6</v>
      </c>
      <c r="K13" s="104" t="s">
        <v>307</v>
      </c>
      <c r="L13" s="91"/>
      <c r="M13" s="91"/>
      <c r="N13" s="37"/>
      <c r="O13" s="37"/>
      <c r="P13" s="37"/>
      <c r="Q13" s="37"/>
      <c r="R13" s="22"/>
    </row>
    <row r="14" spans="1:18" ht="18" customHeight="1" thickTop="1" x14ac:dyDescent="0.25">
      <c r="A14" s="24"/>
      <c r="B14" s="6"/>
      <c r="C14" s="182"/>
      <c r="D14" s="13"/>
      <c r="E14" s="13"/>
      <c r="F14" s="13"/>
      <c r="G14" s="50"/>
      <c r="H14" s="37"/>
      <c r="I14" s="37"/>
      <c r="J14" s="37"/>
      <c r="K14" s="104" t="s">
        <v>20</v>
      </c>
      <c r="L14" s="37"/>
      <c r="M14" s="37"/>
      <c r="N14" s="37"/>
      <c r="O14" s="37"/>
      <c r="P14" s="37"/>
      <c r="Q14" s="37"/>
      <c r="R14" s="22"/>
    </row>
    <row r="15" spans="1:18" ht="18" customHeight="1" thickBot="1" x14ac:dyDescent="0.3">
      <c r="A15" s="24"/>
      <c r="B15" s="6"/>
      <c r="C15" s="182" t="s">
        <v>16</v>
      </c>
      <c r="D15" s="87">
        <v>24</v>
      </c>
      <c r="E15" s="88" t="s">
        <v>14</v>
      </c>
      <c r="F15" s="88"/>
      <c r="G15" s="50"/>
      <c r="H15" s="37"/>
      <c r="I15" s="47" t="s">
        <v>9</v>
      </c>
      <c r="J15" s="46"/>
      <c r="K15" s="37"/>
      <c r="L15" s="37"/>
      <c r="M15" s="37"/>
      <c r="N15" s="37"/>
      <c r="O15" s="37"/>
      <c r="P15" s="37"/>
      <c r="Q15" s="37"/>
      <c r="R15" s="22"/>
    </row>
    <row r="16" spans="1:18" ht="18" customHeight="1" thickTop="1" x14ac:dyDescent="0.25">
      <c r="A16" s="24"/>
      <c r="B16" s="6"/>
      <c r="C16" s="6"/>
      <c r="D16" s="8"/>
      <c r="E16" s="26"/>
      <c r="F16" s="13"/>
      <c r="G16" s="49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22"/>
    </row>
    <row r="17" spans="1:18" ht="18" customHeight="1" x14ac:dyDescent="0.25">
      <c r="A17" s="24"/>
      <c r="B17" s="6"/>
      <c r="C17" s="6"/>
      <c r="D17" s="8"/>
      <c r="E17" s="6"/>
      <c r="F17" s="6"/>
      <c r="G17" s="50"/>
      <c r="H17" s="37"/>
      <c r="I17" s="92" t="s">
        <v>11</v>
      </c>
      <c r="J17" s="37"/>
      <c r="K17" s="37"/>
      <c r="L17" s="37"/>
      <c r="M17" s="37"/>
      <c r="N17" s="37"/>
      <c r="O17" s="37"/>
      <c r="P17" s="37"/>
      <c r="Q17" s="37"/>
      <c r="R17" s="22"/>
    </row>
    <row r="18" spans="1:18" ht="18" customHeight="1" x14ac:dyDescent="0.25">
      <c r="A18" s="24"/>
      <c r="B18" s="6"/>
      <c r="C18" s="6"/>
      <c r="D18" s="8"/>
      <c r="E18" s="6"/>
      <c r="F18" s="6"/>
      <c r="G18" s="49"/>
      <c r="H18" s="37"/>
      <c r="I18" s="92" t="s">
        <v>12</v>
      </c>
      <c r="J18" s="37"/>
      <c r="K18" s="37"/>
      <c r="L18" s="37"/>
      <c r="M18" s="37"/>
      <c r="N18" s="37"/>
      <c r="O18" s="37"/>
      <c r="P18" s="37"/>
      <c r="Q18" s="37"/>
      <c r="R18" s="22"/>
    </row>
    <row r="19" spans="1:18" ht="18" customHeight="1" x14ac:dyDescent="0.25">
      <c r="A19" s="24"/>
      <c r="B19" s="6"/>
      <c r="C19" s="6"/>
      <c r="D19" s="8"/>
      <c r="E19" s="6"/>
      <c r="F19" s="6"/>
      <c r="G19" s="49"/>
      <c r="H19" s="37"/>
      <c r="I19" s="91" t="s">
        <v>15</v>
      </c>
      <c r="J19" s="37"/>
      <c r="K19" s="37"/>
      <c r="L19" s="37"/>
      <c r="M19" s="104"/>
      <c r="N19" s="104"/>
      <c r="O19" s="37"/>
      <c r="P19" s="37"/>
      <c r="Q19" s="37"/>
      <c r="R19" s="22"/>
    </row>
    <row r="20" spans="1:18" ht="18" customHeight="1" x14ac:dyDescent="0.25">
      <c r="A20" s="24"/>
      <c r="B20" s="6"/>
      <c r="C20" s="6"/>
      <c r="D20" s="8"/>
      <c r="E20" s="26"/>
      <c r="F20" s="13"/>
      <c r="G20" s="49"/>
      <c r="H20" s="37"/>
      <c r="I20" s="37"/>
      <c r="J20" s="37"/>
      <c r="K20" s="37"/>
      <c r="L20" s="37"/>
      <c r="M20" s="104"/>
      <c r="N20" s="104"/>
      <c r="O20" s="37"/>
      <c r="P20" s="37"/>
      <c r="Q20" s="37"/>
      <c r="R20" s="22"/>
    </row>
    <row r="21" spans="1:18" ht="18" customHeight="1" x14ac:dyDescent="0.25">
      <c r="A21" s="24"/>
      <c r="B21" s="6"/>
      <c r="C21" s="205" t="s">
        <v>303</v>
      </c>
      <c r="D21" s="111"/>
      <c r="E21" s="26"/>
      <c r="F21" s="13"/>
      <c r="G21" s="49"/>
      <c r="H21" s="37"/>
      <c r="I21" s="181" t="s">
        <v>284</v>
      </c>
      <c r="J21" s="178"/>
      <c r="K21" s="37"/>
      <c r="L21" s="37"/>
      <c r="M21" s="104"/>
      <c r="N21" s="104"/>
      <c r="O21" s="37"/>
      <c r="P21" s="37"/>
      <c r="Q21" s="37"/>
      <c r="R21" s="22"/>
    </row>
    <row r="22" spans="1:18" ht="18" customHeight="1" x14ac:dyDescent="0.25">
      <c r="A22" s="24"/>
      <c r="B22" s="6"/>
      <c r="C22" s="206" t="s">
        <v>308</v>
      </c>
      <c r="D22" s="206" t="s">
        <v>310</v>
      </c>
      <c r="E22" s="26"/>
      <c r="F22" s="13"/>
      <c r="G22" s="49"/>
      <c r="H22" s="37"/>
      <c r="I22" s="179"/>
      <c r="J22" s="178"/>
      <c r="K22" s="37"/>
      <c r="L22" s="37"/>
      <c r="M22" s="104"/>
      <c r="N22" s="104"/>
      <c r="O22" s="37"/>
      <c r="P22" s="37"/>
      <c r="Q22" s="37"/>
      <c r="R22" s="22"/>
    </row>
    <row r="23" spans="1:18" ht="18" customHeight="1" x14ac:dyDescent="0.25">
      <c r="A23" s="24"/>
      <c r="B23" s="6"/>
      <c r="C23" s="206" t="s">
        <v>304</v>
      </c>
      <c r="D23" s="206" t="s">
        <v>311</v>
      </c>
      <c r="E23" s="26"/>
      <c r="F23" s="13"/>
      <c r="G23" s="49"/>
      <c r="H23" s="37"/>
      <c r="I23" s="180"/>
      <c r="J23" s="178"/>
      <c r="K23" s="37"/>
      <c r="L23" s="37"/>
      <c r="M23" s="104"/>
      <c r="N23" s="104"/>
      <c r="O23" s="37"/>
      <c r="P23" s="37"/>
      <c r="Q23" s="37"/>
      <c r="R23" s="22"/>
    </row>
    <row r="24" spans="1:18" ht="18" customHeight="1" x14ac:dyDescent="0.25">
      <c r="A24" s="24"/>
      <c r="B24" s="6"/>
      <c r="C24" s="206" t="s">
        <v>306</v>
      </c>
      <c r="D24" s="206" t="s">
        <v>312</v>
      </c>
      <c r="E24" s="26"/>
      <c r="F24" s="13"/>
      <c r="G24" s="49"/>
      <c r="H24" s="37"/>
      <c r="I24" s="91"/>
      <c r="J24" s="37"/>
      <c r="K24" s="37"/>
      <c r="L24" s="37"/>
      <c r="M24" s="104"/>
      <c r="N24" s="104"/>
      <c r="O24" s="37"/>
      <c r="P24" s="37"/>
      <c r="Q24" s="37"/>
      <c r="R24" s="22"/>
    </row>
    <row r="25" spans="1:18" ht="18" customHeight="1" x14ac:dyDescent="0.25">
      <c r="A25" s="24"/>
      <c r="B25" s="6"/>
      <c r="C25" s="206" t="s">
        <v>305</v>
      </c>
      <c r="D25" s="206" t="s">
        <v>309</v>
      </c>
      <c r="E25" s="26"/>
      <c r="F25" s="13"/>
      <c r="G25" s="49"/>
      <c r="H25" s="37"/>
      <c r="I25" s="91"/>
      <c r="J25" s="37"/>
      <c r="K25" s="37"/>
      <c r="L25" s="37"/>
      <c r="M25" s="104"/>
      <c r="N25" s="104"/>
      <c r="O25" s="37"/>
      <c r="P25" s="37"/>
      <c r="Q25" s="37"/>
      <c r="R25" s="22"/>
    </row>
    <row r="26" spans="1:18" x14ac:dyDescent="0.25">
      <c r="A26" s="24"/>
      <c r="B26" s="112"/>
      <c r="C26" s="52"/>
      <c r="D26" s="51"/>
      <c r="E26" s="52"/>
      <c r="F26" s="52"/>
      <c r="G26" s="53"/>
      <c r="H26" s="54"/>
      <c r="I26" s="55"/>
      <c r="J26" s="56"/>
      <c r="K26" s="54"/>
      <c r="L26" s="54"/>
      <c r="M26" s="54"/>
      <c r="N26" s="54"/>
      <c r="O26" s="42"/>
      <c r="P26" s="42"/>
      <c r="Q26" s="57"/>
      <c r="R26" s="22"/>
    </row>
    <row r="27" spans="1:18" ht="12" customHeight="1" x14ac:dyDescent="0.25">
      <c r="A27" s="24"/>
      <c r="B27" s="152"/>
      <c r="C27" s="6"/>
      <c r="D27" s="9"/>
      <c r="E27" s="9"/>
      <c r="F27" s="9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22"/>
    </row>
    <row r="28" spans="1:18" s="5" customFormat="1" ht="21" customHeight="1" x14ac:dyDescent="0.25">
      <c r="A28" s="25"/>
      <c r="B28" s="153"/>
      <c r="C28" s="139"/>
      <c r="D28" s="61" t="s">
        <v>21</v>
      </c>
      <c r="E28" s="61"/>
      <c r="F28" s="62"/>
      <c r="G28" s="121" t="str">
        <f>'CNW-ADequations'!C154</f>
        <v>DN200 [S0]</v>
      </c>
      <c r="H28" s="121" t="str">
        <f>'CNW-ADequations'!D154</f>
        <v>DN250 [S0]</v>
      </c>
      <c r="I28" s="121" t="str">
        <f>'CNW-ADequations'!E154</f>
        <v>DN315 [S0]</v>
      </c>
      <c r="J28" s="121" t="str">
        <f>'CNW-ADequations'!F154</f>
        <v>DN400 [S0]</v>
      </c>
      <c r="K28" s="121" t="str">
        <f>'CNW-ADequations'!G154</f>
        <v>DN500 [S0]</v>
      </c>
      <c r="L28" s="121" t="str">
        <f>'CNW-ADequations'!H154</f>
        <v>DN630 [S0]</v>
      </c>
      <c r="M28" s="168" t="s">
        <v>22</v>
      </c>
      <c r="N28" s="100"/>
      <c r="O28" s="10"/>
      <c r="P28" s="10"/>
      <c r="Q28" s="10"/>
      <c r="R28" s="23"/>
    </row>
    <row r="29" spans="1:18" s="5" customFormat="1" ht="21" customHeight="1" x14ac:dyDescent="0.25">
      <c r="A29" s="25"/>
      <c r="B29" s="153"/>
      <c r="C29" s="139" t="s">
        <v>23</v>
      </c>
      <c r="D29" s="63" t="s">
        <v>24</v>
      </c>
      <c r="E29" s="63"/>
      <c r="F29" s="157" t="str">
        <f>'CNW-ADequations'!C3</f>
        <v>[L/s]</v>
      </c>
      <c r="G29" s="122">
        <f>'CNW-ADequations'!C155</f>
        <v>200</v>
      </c>
      <c r="H29" s="123">
        <f>'CNW-ADequations'!D155</f>
        <v>200</v>
      </c>
      <c r="I29" s="123">
        <f>'CNW-ADequations'!E155</f>
        <v>200</v>
      </c>
      <c r="J29" s="123">
        <f>'CNW-ADequations'!F155</f>
        <v>200</v>
      </c>
      <c r="K29" s="123">
        <f>'CNW-ADequations'!G155</f>
        <v>200</v>
      </c>
      <c r="L29" s="124">
        <f>'CNW-ADequations'!H155</f>
        <v>200</v>
      </c>
      <c r="M29" s="168"/>
      <c r="N29" s="10"/>
      <c r="O29" s="10"/>
      <c r="P29" s="10"/>
      <c r="Q29" s="10"/>
      <c r="R29" s="23"/>
    </row>
    <row r="30" spans="1:18" s="5" customFormat="1" ht="21" customHeight="1" x14ac:dyDescent="0.25">
      <c r="A30" s="25"/>
      <c r="B30" s="153"/>
      <c r="C30" s="224" t="s">
        <v>25</v>
      </c>
      <c r="D30" s="59" t="s">
        <v>26</v>
      </c>
      <c r="E30" s="59"/>
      <c r="F30" s="158" t="s">
        <v>27</v>
      </c>
      <c r="G30" s="125">
        <f>'CNW-ADequations'!C156</f>
        <v>279.3</v>
      </c>
      <c r="H30" s="125">
        <f>'CNW-ADequations'!D156</f>
        <v>106.4</v>
      </c>
      <c r="I30" s="125">
        <f>'CNW-ADequations'!E156</f>
        <v>39.6</v>
      </c>
      <c r="J30" s="125">
        <f>'CNW-ADequations'!F156</f>
        <v>12.7</v>
      </c>
      <c r="K30" s="125">
        <f>'CNW-ADequations'!G156</f>
        <v>4.4000000000000004</v>
      </c>
      <c r="L30" s="125" t="str">
        <f>'CNW-ADequations'!H156</f>
        <v>&lt; 3</v>
      </c>
      <c r="M30" s="31" t="s">
        <v>28</v>
      </c>
      <c r="N30" s="32" t="s">
        <v>29</v>
      </c>
      <c r="O30" s="33" t="s">
        <v>30</v>
      </c>
      <c r="P30" s="65" t="s">
        <v>31</v>
      </c>
      <c r="Q30" s="10"/>
      <c r="R30" s="23"/>
    </row>
    <row r="31" spans="1:18" s="5" customFormat="1" ht="21" customHeight="1" x14ac:dyDescent="0.25">
      <c r="A31" s="25"/>
      <c r="B31" s="153"/>
      <c r="C31" s="224"/>
      <c r="D31" s="58" t="s">
        <v>32</v>
      </c>
      <c r="E31" s="58"/>
      <c r="F31" s="159" t="s">
        <v>27</v>
      </c>
      <c r="G31" s="125">
        <f>'CNW-ADequations'!C157</f>
        <v>304.10000000000002</v>
      </c>
      <c r="H31" s="125">
        <f>'CNW-ADequations'!D157</f>
        <v>116.5</v>
      </c>
      <c r="I31" s="125">
        <f>'CNW-ADequations'!E157</f>
        <v>43.7</v>
      </c>
      <c r="J31" s="125">
        <f>'CNW-ADequations'!F157</f>
        <v>14.2</v>
      </c>
      <c r="K31" s="125">
        <f>'CNW-ADequations'!G157</f>
        <v>5.0999999999999996</v>
      </c>
      <c r="L31" s="125" t="str">
        <f>'CNW-ADequations'!H157</f>
        <v>&lt; 3</v>
      </c>
      <c r="M31" s="168"/>
      <c r="N31" s="10"/>
      <c r="O31" s="10"/>
      <c r="P31" s="10"/>
      <c r="Q31" s="10"/>
      <c r="R31" s="23"/>
    </row>
    <row r="32" spans="1:18" s="5" customFormat="1" ht="21" customHeight="1" x14ac:dyDescent="0.25">
      <c r="A32" s="25"/>
      <c r="B32" s="153"/>
      <c r="C32" s="225"/>
      <c r="D32" s="30" t="s">
        <v>33</v>
      </c>
      <c r="E32" s="30"/>
      <c r="F32" s="160" t="s">
        <v>27</v>
      </c>
      <c r="G32" s="126">
        <f>'CNW-ADequations'!C158</f>
        <v>60</v>
      </c>
      <c r="H32" s="126">
        <f>'CNW-ADequations'!D158</f>
        <v>60</v>
      </c>
      <c r="I32" s="126">
        <f>'CNW-ADequations'!E158</f>
        <v>60</v>
      </c>
      <c r="J32" s="126">
        <f>'CNW-ADequations'!F158</f>
        <v>60</v>
      </c>
      <c r="K32" s="126">
        <f>'CNW-ADequations'!G158</f>
        <v>60</v>
      </c>
      <c r="L32" s="126">
        <f>'CNW-ADequations'!H158</f>
        <v>60</v>
      </c>
      <c r="M32" s="169"/>
      <c r="N32" s="10"/>
      <c r="O32" s="10"/>
      <c r="P32" s="10"/>
      <c r="Q32" s="10"/>
      <c r="R32" s="23"/>
    </row>
    <row r="33" spans="1:18" s="5" customFormat="1" ht="21" customHeight="1" x14ac:dyDescent="0.25">
      <c r="A33" s="25"/>
      <c r="B33" s="153"/>
      <c r="C33" s="139" t="s">
        <v>34</v>
      </c>
      <c r="D33" s="64" t="s">
        <v>35</v>
      </c>
      <c r="E33" s="64"/>
      <c r="F33" s="161" t="s">
        <v>36</v>
      </c>
      <c r="G33" s="122">
        <f>'CNW-ADequations'!C159</f>
        <v>51.5</v>
      </c>
      <c r="H33" s="123">
        <f>'CNW-ADequations'!D159</f>
        <v>34.1</v>
      </c>
      <c r="I33" s="123">
        <f>'CNW-ADequations'!E159</f>
        <v>16.399999999999999</v>
      </c>
      <c r="J33" s="123" t="str">
        <f>'CNW-ADequations'!F159</f>
        <v>&lt; 4</v>
      </c>
      <c r="K33" s="123" t="str">
        <f>'CNW-ADequations'!G159</f>
        <v>&lt; 4</v>
      </c>
      <c r="L33" s="124" t="str">
        <f>'CNW-ADequations'!H159</f>
        <v>&lt; 4</v>
      </c>
      <c r="M33" s="169"/>
      <c r="N33" s="43"/>
      <c r="O33" s="43"/>
      <c r="P33" s="44"/>
      <c r="Q33" s="136"/>
      <c r="R33" s="23"/>
    </row>
    <row r="34" spans="1:18" s="5" customFormat="1" ht="21" customHeight="1" x14ac:dyDescent="0.25">
      <c r="A34" s="25"/>
      <c r="B34" s="154"/>
      <c r="C34" s="222" t="s">
        <v>37</v>
      </c>
      <c r="D34" s="59" t="s">
        <v>38</v>
      </c>
      <c r="E34" s="59"/>
      <c r="F34" s="162" t="s">
        <v>39</v>
      </c>
      <c r="G34" s="127">
        <f>'CNW-ADequations'!C160</f>
        <v>38.700000000000003</v>
      </c>
      <c r="H34" s="128">
        <f>'CNW-ADequations'!D160</f>
        <v>31</v>
      </c>
      <c r="I34" s="128">
        <f>'CNW-ADequations'!E160</f>
        <v>24</v>
      </c>
      <c r="J34" s="128">
        <f>'CNW-ADequations'!F160</f>
        <v>18.100000000000001</v>
      </c>
      <c r="K34" s="128">
        <f>'CNW-ADequations'!G160</f>
        <v>14.2</v>
      </c>
      <c r="L34" s="129">
        <f>'CNW-ADequations'!H160</f>
        <v>11.1</v>
      </c>
      <c r="M34" s="169"/>
      <c r="N34" s="147"/>
      <c r="O34" s="148"/>
      <c r="P34" s="149"/>
      <c r="Q34" s="10"/>
      <c r="R34" s="23"/>
    </row>
    <row r="35" spans="1:18" s="5" customFormat="1" ht="21" customHeight="1" x14ac:dyDescent="0.25">
      <c r="A35" s="25"/>
      <c r="B35" s="154"/>
      <c r="C35" s="222"/>
      <c r="D35" s="60" t="str">
        <f>'CNW-ADequations'!B142</f>
        <v>Jet Velocity at 24m</v>
      </c>
      <c r="E35" s="60"/>
      <c r="F35" s="163" t="s">
        <v>40</v>
      </c>
      <c r="G35" s="130">
        <f>'CNW-ADequations'!C161</f>
        <v>0.63</v>
      </c>
      <c r="H35" s="130">
        <f>'CNW-ADequations'!D161</f>
        <v>0.51</v>
      </c>
      <c r="I35" s="130">
        <f>'CNW-ADequations'!E161</f>
        <v>0.39</v>
      </c>
      <c r="J35" s="130">
        <f>'CNW-ADequations'!F161</f>
        <v>0.3</v>
      </c>
      <c r="K35" s="130">
        <f>'CNW-ADequations'!G161</f>
        <v>0.23</v>
      </c>
      <c r="L35" s="130">
        <f>'CNW-ADequations'!H161</f>
        <v>0.18</v>
      </c>
      <c r="M35" s="169"/>
      <c r="N35" s="43"/>
      <c r="O35" s="43"/>
      <c r="P35" s="44"/>
      <c r="Q35" s="10"/>
      <c r="R35" s="23"/>
    </row>
    <row r="36" spans="1:18" s="5" customFormat="1" ht="21" customHeight="1" x14ac:dyDescent="0.25">
      <c r="A36" s="25"/>
      <c r="B36" s="154"/>
      <c r="C36" s="223" t="s">
        <v>41</v>
      </c>
      <c r="D36" s="59" t="str">
        <f>'CNW-ADequations'!B162</f>
        <v>Jet ΔT at 24 m (cooling)</v>
      </c>
      <c r="E36" s="59"/>
      <c r="F36" s="158" t="s">
        <v>42</v>
      </c>
      <c r="G36" s="131">
        <f>'CNW-ADequations'!C162</f>
        <v>-0.1</v>
      </c>
      <c r="H36" s="131">
        <f>'CNW-ADequations'!D162</f>
        <v>-0.1</v>
      </c>
      <c r="I36" s="131">
        <f>'CNW-ADequations'!E162</f>
        <v>-0.1</v>
      </c>
      <c r="J36" s="132">
        <f>'CNW-ADequations'!F162</f>
        <v>-0.2</v>
      </c>
      <c r="K36" s="132">
        <f>'CNW-ADequations'!G162</f>
        <v>-0.2</v>
      </c>
      <c r="L36" s="132">
        <f>'CNW-ADequations'!H162</f>
        <v>-0.3</v>
      </c>
      <c r="M36" s="169"/>
      <c r="N36" s="43"/>
      <c r="O36" s="43"/>
      <c r="P36" s="44"/>
      <c r="Q36" s="10"/>
      <c r="R36" s="23"/>
    </row>
    <row r="37" spans="1:18" s="5" customFormat="1" ht="21" customHeight="1" x14ac:dyDescent="0.25">
      <c r="A37" s="25"/>
      <c r="B37" s="154"/>
      <c r="C37" s="222"/>
      <c r="D37" s="60" t="str">
        <f>'CNW-ADequations'!B163</f>
        <v>Jet ΔT at floor level (heating)</v>
      </c>
      <c r="E37" s="60"/>
      <c r="F37" s="163" t="s">
        <v>42</v>
      </c>
      <c r="G37" s="132">
        <f>'CNW-ADequations'!C163</f>
        <v>0.1</v>
      </c>
      <c r="H37" s="132">
        <f>'CNW-ADequations'!D163</f>
        <v>0.2</v>
      </c>
      <c r="I37" s="132">
        <f>'CNW-ADequations'!E163</f>
        <v>0.3</v>
      </c>
      <c r="J37" s="132">
        <f>'CNW-ADequations'!F163</f>
        <v>0.5</v>
      </c>
      <c r="K37" s="132">
        <f>'CNW-ADequations'!G163</f>
        <v>0.8</v>
      </c>
      <c r="L37" s="132">
        <f>'CNW-ADequations'!H163</f>
        <v>1.3</v>
      </c>
      <c r="M37" s="170"/>
      <c r="N37" s="36"/>
      <c r="O37" s="43"/>
      <c r="P37" s="44"/>
      <c r="Q37" s="10"/>
      <c r="R37" s="23"/>
    </row>
    <row r="38" spans="1:18" s="5" customFormat="1" ht="21" customHeight="1" x14ac:dyDescent="0.25">
      <c r="A38" s="25"/>
      <c r="B38" s="154"/>
      <c r="C38" s="223" t="s">
        <v>43</v>
      </c>
      <c r="D38" s="58" t="s">
        <v>44</v>
      </c>
      <c r="E38" s="58"/>
      <c r="F38" s="164" t="s">
        <v>45</v>
      </c>
      <c r="G38" s="144">
        <f>'CNW-ADequations'!C164</f>
        <v>-5</v>
      </c>
      <c r="H38" s="144">
        <f>'CNW-ADequations'!D164</f>
        <v>1</v>
      </c>
      <c r="I38" s="144">
        <f>'CNW-ADequations'!E164</f>
        <v>16</v>
      </c>
      <c r="J38" s="144">
        <f>'CNW-ADequations'!F164</f>
        <v>44</v>
      </c>
      <c r="K38" s="144">
        <f>'CNW-ADequations'!G164</f>
        <v>66</v>
      </c>
      <c r="L38" s="144">
        <f>'CNW-ADequations'!H164</f>
        <v>78</v>
      </c>
      <c r="M38" s="169"/>
      <c r="N38" s="43"/>
      <c r="O38" s="43"/>
      <c r="P38" s="44"/>
      <c r="Q38" s="10"/>
      <c r="R38" s="23"/>
    </row>
    <row r="39" spans="1:18" s="5" customFormat="1" ht="21" customHeight="1" x14ac:dyDescent="0.25">
      <c r="A39" s="25"/>
      <c r="B39" s="154"/>
      <c r="C39" s="222"/>
      <c r="D39" s="58" t="s">
        <v>46</v>
      </c>
      <c r="E39" s="58"/>
      <c r="F39" s="165" t="s">
        <v>45</v>
      </c>
      <c r="G39" s="133">
        <f>'CNW-ADequations'!C165</f>
        <v>-15</v>
      </c>
      <c r="H39" s="133">
        <f>'CNW-ADequations'!D165</f>
        <v>-18</v>
      </c>
      <c r="I39" s="133">
        <f>'CNW-ADequations'!E165</f>
        <v>-24</v>
      </c>
      <c r="J39" s="133">
        <f>'CNW-ADequations'!F165</f>
        <v>-33</v>
      </c>
      <c r="K39" s="133">
        <f>'CNW-ADequations'!G165</f>
        <v>-43</v>
      </c>
      <c r="L39" s="133">
        <f>'CNW-ADequations'!H165</f>
        <v>-62</v>
      </c>
      <c r="M39" s="169"/>
      <c r="N39" s="43"/>
      <c r="O39" s="43"/>
      <c r="P39" s="44"/>
      <c r="Q39" s="10"/>
      <c r="R39" s="23"/>
    </row>
    <row r="40" spans="1:18" s="5" customFormat="1" ht="21" customHeight="1" x14ac:dyDescent="0.25">
      <c r="A40" s="25"/>
      <c r="B40" s="154"/>
      <c r="C40" s="222"/>
      <c r="D40" s="145" t="s">
        <v>47</v>
      </c>
      <c r="E40" s="145"/>
      <c r="F40" s="166" t="s">
        <v>45</v>
      </c>
      <c r="G40" s="146">
        <f>'CNW-ADequations'!C166</f>
        <v>9</v>
      </c>
      <c r="H40" s="146">
        <f>'CNW-ADequations'!D166</f>
        <v>20</v>
      </c>
      <c r="I40" s="146">
        <f>'CNW-ADequations'!E166</f>
        <v>40</v>
      </c>
      <c r="J40" s="146">
        <f>'CNW-ADequations'!F166</f>
        <v>76</v>
      </c>
      <c r="K40" s="146">
        <f>'CNW-ADequations'!G166</f>
        <v>109</v>
      </c>
      <c r="L40" s="146">
        <f>'CNW-ADequations'!H166</f>
        <v>140</v>
      </c>
      <c r="M40" s="171" t="s">
        <v>48</v>
      </c>
      <c r="N40" s="36"/>
      <c r="O40" s="43"/>
      <c r="P40" s="44"/>
      <c r="Q40" s="10"/>
      <c r="R40" s="23"/>
    </row>
    <row r="41" spans="1:18" s="5" customFormat="1" ht="21" customHeight="1" x14ac:dyDescent="0.25">
      <c r="A41" s="25"/>
      <c r="B41" s="154"/>
      <c r="C41" s="222"/>
      <c r="D41" s="58" t="s">
        <v>49</v>
      </c>
      <c r="E41" s="58"/>
      <c r="F41" s="163" t="s">
        <v>45</v>
      </c>
      <c r="G41" s="134">
        <f>'CNW-ADequations'!C167</f>
        <v>0</v>
      </c>
      <c r="H41" s="134">
        <f>'CNW-ADequations'!D167</f>
        <v>0</v>
      </c>
      <c r="I41" s="134">
        <f>'CNW-ADequations'!E167</f>
        <v>0</v>
      </c>
      <c r="J41" s="135">
        <f>'CNW-ADequations'!F167</f>
        <v>-3</v>
      </c>
      <c r="K41" s="135">
        <f>'CNW-ADequations'!G167</f>
        <v>-13</v>
      </c>
      <c r="L41" s="134">
        <f>'CNW-ADequations'!H167</f>
        <v>-32</v>
      </c>
      <c r="M41" s="168" t="s">
        <v>50</v>
      </c>
      <c r="N41" s="100"/>
      <c r="O41" s="43"/>
      <c r="P41" s="44"/>
      <c r="Q41" s="10"/>
      <c r="R41" s="23"/>
    </row>
    <row r="42" spans="1:18" s="5" customFormat="1" ht="21" customHeight="1" x14ac:dyDescent="0.25">
      <c r="A42" s="25"/>
      <c r="B42" s="153"/>
      <c r="C42" s="140"/>
      <c r="D42" s="64" t="s">
        <v>295</v>
      </c>
      <c r="E42" s="64"/>
      <c r="F42" s="167" t="s">
        <v>39</v>
      </c>
      <c r="G42" s="203">
        <f>'CNW-ADequations'!C168</f>
        <v>0.32</v>
      </c>
      <c r="H42" s="203">
        <f>'CNW-ADequations'!D168</f>
        <v>0.41</v>
      </c>
      <c r="I42" s="203">
        <f>'CNW-ADequations'!E168</f>
        <v>0.52</v>
      </c>
      <c r="J42" s="204">
        <f>'CNW-ADequations'!F168</f>
        <v>0.69</v>
      </c>
      <c r="K42" s="204">
        <f>'CNW-ADequations'!G168</f>
        <v>0.89</v>
      </c>
      <c r="L42" s="203">
        <f>'CNW-ADequations'!H168</f>
        <v>1.1299999999999999</v>
      </c>
      <c r="M42" s="168" t="s">
        <v>296</v>
      </c>
      <c r="N42" s="100"/>
      <c r="O42" s="35"/>
      <c r="P42" s="35"/>
      <c r="Q42" s="10"/>
      <c r="R42" s="23"/>
    </row>
    <row r="43" spans="1:18" s="5" customFormat="1" ht="12" customHeight="1" x14ac:dyDescent="0.25">
      <c r="A43" s="25"/>
      <c r="B43" s="155"/>
      <c r="C43" s="141"/>
      <c r="D43" s="66"/>
      <c r="E43" s="66"/>
      <c r="F43" s="66"/>
      <c r="G43" s="66"/>
      <c r="H43" s="66"/>
      <c r="I43" s="66"/>
      <c r="J43" s="67"/>
      <c r="K43" s="66"/>
      <c r="L43" s="66"/>
      <c r="M43" s="68"/>
      <c r="N43" s="66"/>
      <c r="O43" s="66"/>
      <c r="P43" s="66"/>
      <c r="Q43" s="69"/>
      <c r="R43" s="23"/>
    </row>
    <row r="44" spans="1:18" s="5" customFormat="1" ht="26.65" customHeight="1" x14ac:dyDescent="0.3">
      <c r="A44" s="25"/>
      <c r="B44" s="142"/>
      <c r="C44" s="70"/>
      <c r="D44" s="102" t="s">
        <v>51</v>
      </c>
      <c r="E44" s="102"/>
      <c r="F44" s="71"/>
      <c r="G44" s="71"/>
      <c r="H44" s="71"/>
      <c r="I44" s="71"/>
      <c r="J44" s="71"/>
      <c r="K44" s="71"/>
      <c r="L44" s="106"/>
      <c r="M44" s="72"/>
      <c r="N44" s="71"/>
      <c r="O44" s="71"/>
      <c r="P44" s="71"/>
      <c r="Q44" s="70"/>
      <c r="R44" s="23"/>
    </row>
    <row r="45" spans="1:18" s="5" customFormat="1" ht="25.15" customHeight="1" x14ac:dyDescent="0.25">
      <c r="A45" s="25"/>
      <c r="B45" s="70"/>
      <c r="C45" s="70"/>
      <c r="D45" s="77" t="s">
        <v>52</v>
      </c>
      <c r="E45" s="77"/>
      <c r="F45" s="215"/>
      <c r="G45" s="150" t="str">
        <f>'CNW-AD Data'!C32</f>
        <v>DN200</v>
      </c>
      <c r="H45" s="150" t="str">
        <f>'CNW-AD Data'!D32</f>
        <v>DN250</v>
      </c>
      <c r="I45" s="150" t="str">
        <f>'CNW-AD Data'!E32</f>
        <v>DN315</v>
      </c>
      <c r="J45" s="150" t="str">
        <f>'CNW-AD Data'!F32</f>
        <v>DN400</v>
      </c>
      <c r="K45" s="150" t="str">
        <f>'CNW-AD Data'!G32</f>
        <v>DN500</v>
      </c>
      <c r="L45" s="211" t="str">
        <f>'CNW-AD Data'!H32</f>
        <v>DN630</v>
      </c>
      <c r="M45" s="212" t="s">
        <v>22</v>
      </c>
      <c r="N45" s="71"/>
      <c r="O45" s="71"/>
      <c r="P45" s="71"/>
      <c r="Q45" s="70"/>
      <c r="R45" s="23"/>
    </row>
    <row r="46" spans="1:18" s="5" customFormat="1" ht="25.15" customHeight="1" x14ac:dyDescent="0.25">
      <c r="A46" s="25"/>
      <c r="B46" s="70"/>
      <c r="C46" s="70"/>
      <c r="D46" s="77" t="s">
        <v>53</v>
      </c>
      <c r="E46" s="77"/>
      <c r="F46" s="215"/>
      <c r="G46" s="78"/>
      <c r="H46" s="79"/>
      <c r="I46" s="79" t="str">
        <f>'CNW-AD Data'!C77</f>
        <v>No swirl element</v>
      </c>
      <c r="J46" s="80" t="s">
        <v>54</v>
      </c>
      <c r="K46" s="79"/>
      <c r="L46" s="79"/>
      <c r="M46" s="105"/>
      <c r="N46" s="71"/>
      <c r="O46" s="71"/>
      <c r="P46" s="71"/>
      <c r="Q46" s="70"/>
      <c r="R46" s="23"/>
    </row>
    <row r="47" spans="1:18" s="5" customFormat="1" ht="25.15" customHeight="1" x14ac:dyDescent="0.25">
      <c r="A47" s="25"/>
      <c r="B47" s="70"/>
      <c r="C47" s="70"/>
      <c r="D47" s="74" t="s">
        <v>55</v>
      </c>
      <c r="E47" s="74"/>
      <c r="F47" s="216"/>
      <c r="G47" s="79" t="str">
        <f ca="1">'CNW-AD Data'!D48</f>
        <v>Manual</v>
      </c>
      <c r="H47" s="79"/>
      <c r="I47" s="81" t="str">
        <f ca="1">'CNW-AD Data'!E48</f>
        <v>Electric Motor</v>
      </c>
      <c r="J47" s="80"/>
      <c r="K47" s="80" t="str">
        <f ca="1">'CNW-AD Data'!F48</f>
        <v>Thermal Element</v>
      </c>
      <c r="L47" s="71"/>
      <c r="M47" s="213" t="s">
        <v>314</v>
      </c>
      <c r="N47" s="71"/>
      <c r="O47" s="71"/>
      <c r="P47" s="71"/>
      <c r="Q47" s="70"/>
      <c r="R47" s="23"/>
    </row>
    <row r="48" spans="1:18" s="5" customFormat="1" ht="25.15" customHeight="1" thickBot="1" x14ac:dyDescent="0.3">
      <c r="A48" s="25"/>
      <c r="B48" s="70"/>
      <c r="C48" s="70"/>
      <c r="D48" s="75" t="s">
        <v>56</v>
      </c>
      <c r="E48" s="75"/>
      <c r="F48" s="76"/>
      <c r="G48" s="217" t="s">
        <v>286</v>
      </c>
      <c r="H48" s="82"/>
      <c r="I48" s="82" t="s">
        <v>58</v>
      </c>
      <c r="J48" s="82"/>
      <c r="K48" s="82" t="s">
        <v>59</v>
      </c>
      <c r="L48" s="70"/>
      <c r="M48" s="214" t="str">
        <f ca="1">'CNW-AD Data'!E56</f>
        <v>RAL9003 - Signal White</v>
      </c>
      <c r="N48" s="71"/>
      <c r="O48" s="71"/>
      <c r="P48" s="71"/>
      <c r="Q48" s="70"/>
      <c r="R48" s="23"/>
    </row>
    <row r="49" spans="1:18" s="5" customFormat="1" ht="23.65" customHeight="1" x14ac:dyDescent="0.25">
      <c r="A49" s="25"/>
      <c r="B49" s="70"/>
      <c r="C49" s="70"/>
      <c r="D49" s="226" t="s">
        <v>300</v>
      </c>
      <c r="E49" s="226"/>
      <c r="F49" s="226"/>
      <c r="G49" s="220" t="str">
        <f>_order_code</f>
        <v>please select a valid size in row 41</v>
      </c>
      <c r="H49" s="220"/>
      <c r="I49" s="220"/>
      <c r="J49" s="220"/>
      <c r="K49" s="220"/>
      <c r="L49" s="220"/>
      <c r="M49" s="213" t="s">
        <v>61</v>
      </c>
      <c r="N49" s="71"/>
      <c r="O49" s="71"/>
      <c r="P49" s="71"/>
      <c r="Q49" s="70"/>
      <c r="R49" s="23"/>
    </row>
    <row r="50" spans="1:18" s="5" customFormat="1" ht="21" customHeight="1" x14ac:dyDescent="0.25">
      <c r="A50" s="25"/>
      <c r="B50" s="70"/>
      <c r="C50" s="70"/>
      <c r="D50" s="71"/>
      <c r="E50" s="71"/>
      <c r="F50" s="71"/>
      <c r="G50" s="71"/>
      <c r="H50" s="71"/>
      <c r="I50" s="71"/>
      <c r="J50" s="71"/>
      <c r="K50" s="71"/>
      <c r="L50" s="71"/>
      <c r="M50" s="72"/>
      <c r="N50" s="71"/>
      <c r="O50" s="71"/>
      <c r="P50" s="71"/>
      <c r="Q50" s="70"/>
      <c r="R50" s="23"/>
    </row>
    <row r="51" spans="1:18" s="5" customFormat="1" ht="21" customHeight="1" x14ac:dyDescent="0.25">
      <c r="A51" s="25"/>
      <c r="B51" s="70"/>
      <c r="C51" s="70"/>
      <c r="D51" s="71"/>
      <c r="E51" s="71"/>
      <c r="F51" s="71"/>
      <c r="G51" s="71"/>
      <c r="H51" s="71"/>
      <c r="I51" s="71"/>
      <c r="J51" s="71"/>
      <c r="K51" s="71"/>
      <c r="L51" s="71"/>
      <c r="M51" s="72"/>
      <c r="N51" s="71"/>
      <c r="O51" s="71"/>
      <c r="P51" s="71"/>
      <c r="Q51" s="70"/>
      <c r="R51" s="23"/>
    </row>
    <row r="52" spans="1:18" s="5" customFormat="1" ht="21" customHeight="1" x14ac:dyDescent="0.25">
      <c r="A52" s="25"/>
      <c r="B52" s="70"/>
      <c r="C52" s="70"/>
      <c r="D52" s="71"/>
      <c r="E52" s="71"/>
      <c r="F52" s="71"/>
      <c r="G52" s="71"/>
      <c r="H52" s="71"/>
      <c r="I52" s="71"/>
      <c r="J52" s="71"/>
      <c r="K52" s="71"/>
      <c r="L52" s="71"/>
      <c r="M52" s="72"/>
      <c r="N52" s="71"/>
      <c r="O52" s="71"/>
      <c r="P52" s="71"/>
      <c r="Q52" s="70"/>
      <c r="R52" s="23"/>
    </row>
    <row r="53" spans="1:18" s="5" customFormat="1" ht="21" customHeight="1" x14ac:dyDescent="0.25">
      <c r="A53" s="25"/>
      <c r="B53" s="70"/>
      <c r="C53" s="70"/>
      <c r="D53" s="71"/>
      <c r="E53" s="71"/>
      <c r="F53" s="71"/>
      <c r="G53" s="71"/>
      <c r="H53" s="71"/>
      <c r="I53" s="71"/>
      <c r="J53" s="71"/>
      <c r="K53" s="71"/>
      <c r="L53" s="71"/>
      <c r="M53" s="72"/>
      <c r="N53" s="71"/>
      <c r="O53" s="71"/>
      <c r="P53" s="71"/>
      <c r="Q53" s="70"/>
      <c r="R53" s="23"/>
    </row>
    <row r="54" spans="1:18" s="5" customFormat="1" ht="21" customHeight="1" x14ac:dyDescent="0.25">
      <c r="A54" s="25"/>
      <c r="B54" s="70"/>
      <c r="C54" s="70"/>
      <c r="D54" s="71"/>
      <c r="E54" s="71"/>
      <c r="F54" s="71"/>
      <c r="G54" s="71"/>
      <c r="H54" s="71"/>
      <c r="I54" s="71"/>
      <c r="J54" s="71"/>
      <c r="K54" s="71"/>
      <c r="L54" s="71"/>
      <c r="M54" s="72"/>
      <c r="N54" s="71"/>
      <c r="O54" s="71"/>
      <c r="P54" s="71"/>
      <c r="Q54" s="70"/>
      <c r="R54" s="23"/>
    </row>
    <row r="55" spans="1:18" s="5" customFormat="1" ht="21" customHeight="1" x14ac:dyDescent="0.25">
      <c r="A55" s="25"/>
      <c r="B55" s="70"/>
      <c r="C55" s="70"/>
      <c r="D55" s="71"/>
      <c r="E55" s="71"/>
      <c r="F55" s="71"/>
      <c r="G55" s="71"/>
      <c r="H55" s="71"/>
      <c r="I55" s="71"/>
      <c r="J55" s="71"/>
      <c r="K55" s="71"/>
      <c r="L55" s="71"/>
      <c r="M55" s="72"/>
      <c r="N55" s="71"/>
      <c r="O55" s="71"/>
      <c r="P55" s="71"/>
      <c r="Q55" s="70"/>
      <c r="R55" s="23"/>
    </row>
    <row r="56" spans="1:18" s="5" customFormat="1" ht="21" customHeight="1" x14ac:dyDescent="0.25">
      <c r="A56" s="25"/>
      <c r="B56" s="70"/>
      <c r="C56" s="70"/>
      <c r="D56" s="71"/>
      <c r="E56" s="71"/>
      <c r="F56" s="71"/>
      <c r="G56" s="71"/>
      <c r="H56" s="71"/>
      <c r="I56" s="71"/>
      <c r="J56" s="71"/>
      <c r="K56" s="71"/>
      <c r="L56" s="71"/>
      <c r="M56" s="72"/>
      <c r="N56" s="71"/>
      <c r="O56" s="71"/>
      <c r="P56" s="71"/>
      <c r="Q56" s="70"/>
      <c r="R56" s="23"/>
    </row>
    <row r="57" spans="1:18" s="5" customFormat="1" ht="21" customHeight="1" x14ac:dyDescent="0.25">
      <c r="A57" s="25"/>
      <c r="B57" s="70"/>
      <c r="C57" s="70"/>
      <c r="D57" s="71"/>
      <c r="E57" s="71"/>
      <c r="F57" s="71"/>
      <c r="G57" s="71"/>
      <c r="H57" s="71"/>
      <c r="I57" s="71"/>
      <c r="J57" s="71"/>
      <c r="K57" s="71"/>
      <c r="L57" s="71"/>
      <c r="M57" s="72"/>
      <c r="N57" s="71"/>
      <c r="O57" s="71"/>
      <c r="P57" s="71"/>
      <c r="Q57" s="70"/>
      <c r="R57" s="23"/>
    </row>
    <row r="58" spans="1:18" s="5" customFormat="1" ht="21" customHeight="1" x14ac:dyDescent="0.25">
      <c r="A58" s="25"/>
      <c r="B58" s="70"/>
      <c r="C58" s="70"/>
      <c r="D58" s="71"/>
      <c r="E58" s="71"/>
      <c r="F58" s="71"/>
      <c r="G58" s="71"/>
      <c r="H58" s="71"/>
      <c r="I58" s="71"/>
      <c r="J58" s="71"/>
      <c r="K58" s="71"/>
      <c r="L58" s="71"/>
      <c r="M58" s="72"/>
      <c r="N58" s="71"/>
      <c r="O58" s="71"/>
      <c r="P58" s="71"/>
      <c r="Q58" s="70"/>
      <c r="R58" s="23"/>
    </row>
    <row r="59" spans="1:18" s="5" customFormat="1" ht="21" customHeight="1" x14ac:dyDescent="0.25">
      <c r="A59" s="25"/>
      <c r="B59" s="70"/>
      <c r="C59" s="70"/>
      <c r="D59" s="71"/>
      <c r="E59" s="71"/>
      <c r="F59" s="71"/>
      <c r="G59" s="71"/>
      <c r="H59" s="71"/>
      <c r="I59" s="71"/>
      <c r="J59" s="71"/>
      <c r="K59" s="71"/>
      <c r="L59" s="71"/>
      <c r="M59" s="72"/>
      <c r="N59" s="71"/>
      <c r="O59" s="71"/>
      <c r="P59" s="71"/>
      <c r="Q59" s="70"/>
      <c r="R59" s="23"/>
    </row>
    <row r="60" spans="1:18" s="5" customFormat="1" ht="21" customHeight="1" x14ac:dyDescent="0.25">
      <c r="A60" s="25"/>
      <c r="B60" s="70"/>
      <c r="C60" s="70"/>
      <c r="D60" s="71"/>
      <c r="E60" s="71"/>
      <c r="F60" s="71"/>
      <c r="G60" s="71"/>
      <c r="H60" s="71"/>
      <c r="I60" s="71"/>
      <c r="J60" s="71"/>
      <c r="K60" s="71"/>
      <c r="L60" s="71"/>
      <c r="M60" s="72"/>
      <c r="N60" s="71"/>
      <c r="O60" s="71"/>
      <c r="P60" s="71"/>
      <c r="Q60" s="120" t="s">
        <v>62</v>
      </c>
      <c r="R60" s="23"/>
    </row>
    <row r="61" spans="1:18" s="5" customFormat="1" ht="21" customHeight="1" x14ac:dyDescent="0.25">
      <c r="A61" s="25"/>
      <c r="B61" s="70"/>
      <c r="C61" s="70"/>
      <c r="D61" s="71"/>
      <c r="E61" s="71"/>
      <c r="F61" s="71"/>
      <c r="G61" s="71"/>
      <c r="H61" s="71"/>
      <c r="I61" s="71"/>
      <c r="J61" s="71"/>
      <c r="K61" s="71"/>
      <c r="L61" s="71"/>
      <c r="M61" s="72"/>
      <c r="N61" s="71"/>
      <c r="O61" s="71"/>
      <c r="P61" s="71"/>
      <c r="Q61" s="70"/>
      <c r="R61" s="23"/>
    </row>
    <row r="62" spans="1:18" s="5" customFormat="1" ht="21" customHeight="1" x14ac:dyDescent="0.25">
      <c r="A62" s="25"/>
      <c r="B62" s="70"/>
      <c r="C62" s="70"/>
      <c r="D62" s="71"/>
      <c r="E62" s="71"/>
      <c r="F62" s="71"/>
      <c r="G62" s="71"/>
      <c r="H62" s="71"/>
      <c r="I62" s="71"/>
      <c r="J62" s="71"/>
      <c r="K62" s="71"/>
      <c r="L62" s="71"/>
      <c r="M62" s="72"/>
      <c r="N62" s="71"/>
      <c r="O62" s="71"/>
      <c r="P62" s="71"/>
      <c r="Q62" s="70"/>
      <c r="R62" s="23"/>
    </row>
    <row r="63" spans="1:18" ht="15.75" x14ac:dyDescent="0.25">
      <c r="A63" s="24"/>
      <c r="B63" s="37"/>
      <c r="C63" s="37"/>
      <c r="D63" s="73"/>
      <c r="E63" s="73"/>
      <c r="F63" s="73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22"/>
    </row>
    <row r="64" spans="1:18" ht="15.75" x14ac:dyDescent="0.25">
      <c r="B64" s="28"/>
      <c r="C64" s="29"/>
      <c r="D64" s="28"/>
      <c r="E64" s="28"/>
      <c r="F64" s="28"/>
      <c r="G64" s="28"/>
      <c r="H64" s="219" t="s">
        <v>63</v>
      </c>
      <c r="I64" s="219"/>
      <c r="J64" s="219"/>
      <c r="K64" s="28"/>
      <c r="L64" s="28"/>
      <c r="M64" s="19"/>
      <c r="N64" s="19"/>
      <c r="O64" s="19"/>
      <c r="P64" s="218" t="s">
        <v>64</v>
      </c>
      <c r="Q64" s="218"/>
    </row>
  </sheetData>
  <sheetProtection algorithmName="SHA-512" hashValue="KgmST+g0sHvACmBydR/+ilYRxyg7DbZwqqSnhOd0eNnb45eyCMSyb7/QYQg/EWITvOrxps1UIYi3F2SIhztjrw==" saltValue="KG715MplwdphL6VF/den/w==" spinCount="100000" sheet="1" selectLockedCells="1"/>
  <mergeCells count="9">
    <mergeCell ref="P64:Q64"/>
    <mergeCell ref="H64:J64"/>
    <mergeCell ref="G49:L49"/>
    <mergeCell ref="D5:G5"/>
    <mergeCell ref="C34:C35"/>
    <mergeCell ref="C36:C37"/>
    <mergeCell ref="C30:C32"/>
    <mergeCell ref="C38:C41"/>
    <mergeCell ref="D49:F49"/>
  </mergeCells>
  <dataValidations disablePrompts="1" count="2">
    <dataValidation type="decimal" operator="lessThanOrEqual" allowBlank="1" showInputMessage="1" showErrorMessage="1" errorTitle="Incorrect Supply Temperature" error="Please input a ΔT less than or equal to 0 for cooling" sqref="J11" xr:uid="{01B7A590-F0B6-4619-98B6-ED6C33EEBDDB}">
      <formula1>0</formula1>
    </dataValidation>
    <dataValidation type="decimal" operator="greaterThanOrEqual" allowBlank="1" showInputMessage="1" showErrorMessage="1" errorTitle="Incorrect Supply Temperature" error="Please input a ΔT greater than or equal to 0 for heating" sqref="J13" xr:uid="{16024B47-F508-476C-93C8-980DADAFAC1D}">
      <formula1>0</formula1>
    </dataValidation>
  </dataValidations>
  <hyperlinks>
    <hyperlink ref="H64" r:id="rId1" display="click to see product on  smartair.asia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oleObjects>
    <mc:AlternateContent xmlns:mc="http://schemas.openxmlformats.org/markup-compatibility/2006">
      <mc:Choice Requires="x14">
        <oleObject progId="Visio.Drawing.15" shapeId="1087" r:id="rId5">
          <objectPr defaultSize="0" autoPict="0" r:id="rId6">
            <anchor moveWithCells="1">
              <from>
                <xdr:col>12</xdr:col>
                <xdr:colOff>904875</xdr:colOff>
                <xdr:row>31</xdr:row>
                <xdr:rowOff>123825</xdr:rowOff>
              </from>
              <to>
                <xdr:col>16</xdr:col>
                <xdr:colOff>495300</xdr:colOff>
                <xdr:row>37</xdr:row>
                <xdr:rowOff>95250</xdr:rowOff>
              </to>
            </anchor>
          </objectPr>
        </oleObject>
      </mc:Choice>
      <mc:Fallback>
        <oleObject progId="Visio.Drawing.15" shapeId="1087" r:id="rId5"/>
      </mc:Fallback>
    </mc:AlternateContent>
  </oleObjects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3" r:id="rId7" name="Group Box 19">
              <controlPr defaultSize="0" autoFill="0" autoPict="0">
                <anchor moveWithCells="1">
                  <from>
                    <xdr:col>4</xdr:col>
                    <xdr:colOff>9525</xdr:colOff>
                    <xdr:row>7</xdr:row>
                    <xdr:rowOff>161925</xdr:rowOff>
                  </from>
                  <to>
                    <xdr:col>6</xdr:col>
                    <xdr:colOff>828675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8" name="Option Button 20">
              <controlPr defaultSize="0" autoFill="0" autoLine="0" autoPict="0">
                <anchor moveWithCells="1">
                  <from>
                    <xdr:col>4</xdr:col>
                    <xdr:colOff>180975</xdr:colOff>
                    <xdr:row>8</xdr:row>
                    <xdr:rowOff>9525</xdr:rowOff>
                  </from>
                  <to>
                    <xdr:col>4</xdr:col>
                    <xdr:colOff>742950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9" name="Option Button 21">
              <controlPr defaultSize="0" autoFill="0" autoLine="0" autoPict="0">
                <anchor moveWithCells="1">
                  <from>
                    <xdr:col>4</xdr:col>
                    <xdr:colOff>1038225</xdr:colOff>
                    <xdr:row>8</xdr:row>
                    <xdr:rowOff>19050</xdr:rowOff>
                  </from>
                  <to>
                    <xdr:col>5</xdr:col>
                    <xdr:colOff>428625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0" name="Group Box 34">
              <controlPr defaultSize="0" autoFill="0" autoPict="0">
                <anchor moveWithCells="1">
                  <from>
                    <xdr:col>7</xdr:col>
                    <xdr:colOff>371475</xdr:colOff>
                    <xdr:row>15</xdr:row>
                    <xdr:rowOff>85725</xdr:rowOff>
                  </from>
                  <to>
                    <xdr:col>8</xdr:col>
                    <xdr:colOff>542925</xdr:colOff>
                    <xdr:row>18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1" name="Option Button 35">
              <controlPr defaultSize="0" autoFill="0" autoLine="0" autoPict="0">
                <anchor moveWithCells="1">
                  <from>
                    <xdr:col>7</xdr:col>
                    <xdr:colOff>619125</xdr:colOff>
                    <xdr:row>16</xdr:row>
                    <xdr:rowOff>19050</xdr:rowOff>
                  </from>
                  <to>
                    <xdr:col>8</xdr:col>
                    <xdr:colOff>266700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2" name="Option Button 36">
              <controlPr defaultSize="0" autoFill="0" autoLine="0" autoPict="0">
                <anchor moveWithCells="1">
                  <from>
                    <xdr:col>7</xdr:col>
                    <xdr:colOff>619125</xdr:colOff>
                    <xdr:row>17</xdr:row>
                    <xdr:rowOff>19050</xdr:rowOff>
                  </from>
                  <to>
                    <xdr:col>8</xdr:col>
                    <xdr:colOff>247650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3" name="Group Box 37">
              <controlPr defaultSize="0" autoFill="0" autoPict="0">
                <anchor moveWithCells="1">
                  <from>
                    <xdr:col>5</xdr:col>
                    <xdr:colOff>400050</xdr:colOff>
                    <xdr:row>43</xdr:row>
                    <xdr:rowOff>333375</xdr:rowOff>
                  </from>
                  <to>
                    <xdr:col>12</xdr:col>
                    <xdr:colOff>47625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4" name="Option Button 38">
              <controlPr defaultSize="0" autoFill="0" autoLine="0" autoPict="0">
                <anchor moveWithCells="1">
                  <from>
                    <xdr:col>5</xdr:col>
                    <xdr:colOff>533400</xdr:colOff>
                    <xdr:row>44</xdr:row>
                    <xdr:rowOff>66675</xdr:rowOff>
                  </from>
                  <to>
                    <xdr:col>6</xdr:col>
                    <xdr:colOff>457200</xdr:colOff>
                    <xdr:row>44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5" name="Option Button 39">
              <controlPr defaultSize="0" autoFill="0" autoLine="0" autoPict="0">
                <anchor moveWithCells="1">
                  <from>
                    <xdr:col>6</xdr:col>
                    <xdr:colOff>847725</xdr:colOff>
                    <xdr:row>44</xdr:row>
                    <xdr:rowOff>57150</xdr:rowOff>
                  </from>
                  <to>
                    <xdr:col>7</xdr:col>
                    <xdr:colOff>447675</xdr:colOff>
                    <xdr:row>44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6" name="Option Button 40">
              <controlPr defaultSize="0" autoFill="0" autoLine="0" autoPict="0">
                <anchor moveWithCells="1">
                  <from>
                    <xdr:col>8</xdr:col>
                    <xdr:colOff>9525</xdr:colOff>
                    <xdr:row>44</xdr:row>
                    <xdr:rowOff>76200</xdr:rowOff>
                  </from>
                  <to>
                    <xdr:col>8</xdr:col>
                    <xdr:colOff>400050</xdr:colOff>
                    <xdr:row>44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7" name="Option Button 41">
              <controlPr defaultSize="0" autoFill="0" autoLine="0" autoPict="0">
                <anchor moveWithCells="1">
                  <from>
                    <xdr:col>8</xdr:col>
                    <xdr:colOff>885825</xdr:colOff>
                    <xdr:row>44</xdr:row>
                    <xdr:rowOff>66675</xdr:rowOff>
                  </from>
                  <to>
                    <xdr:col>9</xdr:col>
                    <xdr:colOff>666750</xdr:colOff>
                    <xdr:row>44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18" name="Option Button 42">
              <controlPr defaultSize="0" autoFill="0" autoLine="0" autoPict="0">
                <anchor moveWithCells="1">
                  <from>
                    <xdr:col>9</xdr:col>
                    <xdr:colOff>876300</xdr:colOff>
                    <xdr:row>44</xdr:row>
                    <xdr:rowOff>66675</xdr:rowOff>
                  </from>
                  <to>
                    <xdr:col>10</xdr:col>
                    <xdr:colOff>619125</xdr:colOff>
                    <xdr:row>44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9" name="Option Button 43">
              <controlPr defaultSize="0" autoFill="0" autoLine="0" autoPict="0">
                <anchor moveWithCells="1">
                  <from>
                    <xdr:col>11</xdr:col>
                    <xdr:colOff>0</xdr:colOff>
                    <xdr:row>44</xdr:row>
                    <xdr:rowOff>66675</xdr:rowOff>
                  </from>
                  <to>
                    <xdr:col>11</xdr:col>
                    <xdr:colOff>676275</xdr:colOff>
                    <xdr:row>44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0" name="Group Box 44">
              <controlPr defaultSize="0" autoFill="0" autoPict="0">
                <anchor moveWithCells="1">
                  <from>
                    <xdr:col>5</xdr:col>
                    <xdr:colOff>381000</xdr:colOff>
                    <xdr:row>45</xdr:row>
                    <xdr:rowOff>285750</xdr:rowOff>
                  </from>
                  <to>
                    <xdr:col>11</xdr:col>
                    <xdr:colOff>666750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21" name="Option Button 45">
              <controlPr defaultSize="0" autoFill="0" autoLine="0" autoPict="0">
                <anchor moveWithCells="1">
                  <from>
                    <xdr:col>6</xdr:col>
                    <xdr:colOff>161925</xdr:colOff>
                    <xdr:row>46</xdr:row>
                    <xdr:rowOff>9525</xdr:rowOff>
                  </from>
                  <to>
                    <xdr:col>6</xdr:col>
                    <xdr:colOff>600075</xdr:colOff>
                    <xdr:row>46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22" name="Option Button 46">
              <controlPr defaultSize="0" autoFill="0" autoLine="0" autoPict="0">
                <anchor moveWithCells="1">
                  <from>
                    <xdr:col>7</xdr:col>
                    <xdr:colOff>666750</xdr:colOff>
                    <xdr:row>46</xdr:row>
                    <xdr:rowOff>19050</xdr:rowOff>
                  </from>
                  <to>
                    <xdr:col>8</xdr:col>
                    <xdr:colOff>257175</xdr:colOff>
                    <xdr:row>46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23" name="Option Button 47">
              <controlPr defaultSize="0" autoFill="0" autoLine="0" autoPict="0">
                <anchor moveWithCells="1">
                  <from>
                    <xdr:col>9</xdr:col>
                    <xdr:colOff>685800</xdr:colOff>
                    <xdr:row>46</xdr:row>
                    <xdr:rowOff>28575</xdr:rowOff>
                  </from>
                  <to>
                    <xdr:col>10</xdr:col>
                    <xdr:colOff>333375</xdr:colOff>
                    <xdr:row>46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24" name="Group Box 48">
              <controlPr defaultSize="0" autoFill="0" autoPict="0">
                <anchor moveWithCells="1">
                  <from>
                    <xdr:col>4</xdr:col>
                    <xdr:colOff>485775</xdr:colOff>
                    <xdr:row>47</xdr:row>
                    <xdr:rowOff>19050</xdr:rowOff>
                  </from>
                  <to>
                    <xdr:col>13</xdr:col>
                    <xdr:colOff>485775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25" name="Option Button 49">
              <controlPr defaultSize="0" autoFill="0" autoLine="0" autoPict="0">
                <anchor moveWithCells="1">
                  <from>
                    <xdr:col>5</xdr:col>
                    <xdr:colOff>542925</xdr:colOff>
                    <xdr:row>47</xdr:row>
                    <xdr:rowOff>57150</xdr:rowOff>
                  </from>
                  <to>
                    <xdr:col>6</xdr:col>
                    <xdr:colOff>600075</xdr:colOff>
                    <xdr:row>47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26" name="Option Button 50">
              <controlPr defaultSize="0" autoFill="0" autoLine="0" autoPict="0">
                <anchor moveWithCells="1">
                  <from>
                    <xdr:col>7</xdr:col>
                    <xdr:colOff>685800</xdr:colOff>
                    <xdr:row>47</xdr:row>
                    <xdr:rowOff>57150</xdr:rowOff>
                  </from>
                  <to>
                    <xdr:col>8</xdr:col>
                    <xdr:colOff>742950</xdr:colOff>
                    <xdr:row>47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27" name="Option Button 51">
              <controlPr defaultSize="0" autoFill="0" autoLine="0" autoPict="0">
                <anchor moveWithCells="1">
                  <from>
                    <xdr:col>9</xdr:col>
                    <xdr:colOff>676275</xdr:colOff>
                    <xdr:row>47</xdr:row>
                    <xdr:rowOff>57150</xdr:rowOff>
                  </from>
                  <to>
                    <xdr:col>10</xdr:col>
                    <xdr:colOff>638175</xdr:colOff>
                    <xdr:row>47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28" name="Check Box 64">
              <controlPr defaultSize="0" autoFill="0" autoLine="0" autoPict="0">
                <anchor moveWithCells="1">
                  <from>
                    <xdr:col>7</xdr:col>
                    <xdr:colOff>609600</xdr:colOff>
                    <xdr:row>20</xdr:row>
                    <xdr:rowOff>19050</xdr:rowOff>
                  </from>
                  <to>
                    <xdr:col>8</xdr:col>
                    <xdr:colOff>266700</xdr:colOff>
                    <xdr:row>21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8" id="{00000000-000E-0000-0000-00000C000000}">
            <xm:f>'CNW-ADequations'!C$187</xm:f>
            <x14:dxf>
              <fill>
                <patternFill>
                  <bgColor theme="0" tint="-0.14996795556505021"/>
                </patternFill>
              </fill>
            </x14:dxf>
          </x14:cfRule>
          <xm:sqref>G28:L42</xm:sqref>
        </x14:conditionalFormatting>
        <x14:conditionalFormatting xmlns:xm="http://schemas.microsoft.com/office/excel/2006/main">
          <x14:cfRule type="expression" priority="9" id="{4E16DB36-FC30-413D-9412-B854C3A9E658}">
            <xm:f>'CNW-ADequations'!C$175</xm:f>
            <x14:dxf>
              <font>
                <color theme="9" tint="-0.24994659260841701"/>
              </font>
            </x14:dxf>
          </x14:cfRule>
          <x14:cfRule type="expression" priority="37" id="{6CB6E8B4-2BBB-451E-834C-47BCD5115D48}">
            <xm:f>'CNW-ADequations'!C$174</xm:f>
            <x14:dxf>
              <font>
                <color rgb="FFC00000"/>
              </font>
            </x14:dxf>
          </x14:cfRule>
          <xm:sqref>G30:L31</xm:sqref>
        </x14:conditionalFormatting>
        <x14:conditionalFormatting xmlns:xm="http://schemas.microsoft.com/office/excel/2006/main">
          <x14:cfRule type="expression" priority="6" id="{7F690C3C-3E34-4F38-B5B1-B5E8C189CCF1}">
            <xm:f>'CNW-ADequations'!C$180="Y"</xm:f>
            <x14:dxf>
              <font>
                <color theme="9" tint="-0.24994659260841701"/>
              </font>
            </x14:dxf>
          </x14:cfRule>
          <x14:cfRule type="expression" priority="36" id="{AED89290-3763-4424-A2A4-BE8AAA60F2FB}">
            <xm:f>'CNW-ADequations'!C$180="R"</xm:f>
            <x14:dxf>
              <font>
                <color rgb="FFC00000"/>
              </font>
            </x14:dxf>
          </x14:cfRule>
          <xm:sqref>G34:L34</xm:sqref>
        </x14:conditionalFormatting>
        <x14:conditionalFormatting xmlns:xm="http://schemas.microsoft.com/office/excel/2006/main">
          <x14:cfRule type="expression" priority="1" id="{A8944343-BDCB-4D74-B34B-742B7F09964B}">
            <xm:f>'CNW-ADequations'!C$189="O"</xm:f>
            <x14:dxf>
              <font>
                <color theme="9" tint="-0.24994659260841701"/>
              </font>
            </x14:dxf>
          </x14:cfRule>
          <x14:cfRule type="expression" priority="2" id="{4C1D58A9-AD18-4526-895A-ED7115A0665F}">
            <xm:f>'CNW-ADequations'!C$189="R"</xm:f>
            <x14:dxf>
              <font>
                <color rgb="FFC00000"/>
              </font>
            </x14:dxf>
          </x14:cfRule>
          <xm:sqref>G35:L35</xm:sqref>
        </x14:conditionalFormatting>
        <x14:conditionalFormatting xmlns:xm="http://schemas.microsoft.com/office/excel/2006/main">
          <x14:cfRule type="expression" priority="46" id="{03884806-C5A4-43E7-B01C-6FE56D438B3E}">
            <xm:f>'CNW-ADequations'!C$183</xm:f>
            <x14:dxf>
              <font>
                <color rgb="FFC00000"/>
              </font>
            </x14:dxf>
          </x14:cfRule>
          <xm:sqref>G38:L38</xm:sqref>
        </x14:conditionalFormatting>
        <x14:conditionalFormatting xmlns:xm="http://schemas.microsoft.com/office/excel/2006/main">
          <x14:cfRule type="expression" priority="47" id="{ABEEB06E-6D6F-4F44-874C-DF59C2905A7E}">
            <xm:f>'CNW-ADequations'!C$184</xm:f>
            <x14:dxf>
              <font>
                <color theme="9" tint="-0.24994659260841701"/>
              </font>
            </x14:dxf>
          </x14:cfRule>
          <xm:sqref>G39:L39</xm:sqref>
        </x14:conditionalFormatting>
        <x14:conditionalFormatting xmlns:xm="http://schemas.microsoft.com/office/excel/2006/main">
          <x14:cfRule type="expression" priority="10" id="{FCBCC8A7-63F2-402A-93E4-7F887D75802B}">
            <xm:f>'CNW-ADequations'!C$186="Y"</xm:f>
            <x14:dxf>
              <font>
                <color theme="9" tint="-0.24994659260841701"/>
              </font>
            </x14:dxf>
          </x14:cfRule>
          <x14:cfRule type="expression" priority="11" id="{35BDA949-C5C9-4910-9CDD-CC649D44A6E5}">
            <xm:f>'CNW-ADequations'!C$186="R"</xm:f>
            <x14:dxf>
              <font>
                <color rgb="FFC00000"/>
              </font>
            </x14:dxf>
          </x14:cfRule>
          <xm:sqref>G40:L40</xm:sqref>
        </x14:conditionalFormatting>
        <x14:conditionalFormatting xmlns:xm="http://schemas.microsoft.com/office/excel/2006/main">
          <x14:cfRule type="expression" priority="3" id="{BFC176BF-3985-4590-B1B5-54D0B08E34BD}">
            <xm:f>'CNW-ADequations'!$I$186</xm:f>
            <x14:dxf>
              <font>
                <color rgb="FFC00000"/>
              </font>
            </x14:dxf>
          </x14:cfRule>
          <xm:sqref>M40</xm:sqref>
        </x14:conditionalFormatting>
        <x14:conditionalFormatting xmlns:xm="http://schemas.microsoft.com/office/excel/2006/main">
          <x14:cfRule type="expression" priority="14" id="{84FE9977-2624-424D-A7FB-F1D5A2A3DC6F}">
            <xm:f>'CNW-AD Data'!$C$51</xm:f>
            <x14:dxf>
              <font>
                <color rgb="FFC00000"/>
              </font>
            </x14:dxf>
          </x14:cfRule>
          <xm:sqref>M47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U238"/>
  <sheetViews>
    <sheetView zoomScaleNormal="100" workbookViewId="0">
      <selection activeCell="C178" sqref="C178"/>
    </sheetView>
  </sheetViews>
  <sheetFormatPr defaultRowHeight="15" x14ac:dyDescent="0.25"/>
  <cols>
    <col min="1" max="1" width="26.5703125" customWidth="1"/>
    <col min="2" max="2" width="16.7109375" customWidth="1"/>
    <col min="3" max="3" width="12.140625" customWidth="1"/>
    <col min="4" max="4" width="12" customWidth="1"/>
    <col min="5" max="5" width="12.140625" customWidth="1"/>
    <col min="6" max="6" width="11.140625" customWidth="1"/>
    <col min="7" max="7" width="10.85546875" customWidth="1"/>
    <col min="8" max="8" width="12.140625" customWidth="1"/>
    <col min="9" max="9" width="12.42578125" customWidth="1"/>
    <col min="10" max="10" width="10.7109375" customWidth="1"/>
    <col min="11" max="11" width="11.42578125" customWidth="1"/>
    <col min="12" max="12" width="10" customWidth="1"/>
    <col min="17" max="17" width="13.140625" customWidth="1"/>
    <col min="21" max="21" width="13.140625" customWidth="1"/>
    <col min="25" max="25" width="21.5703125" customWidth="1"/>
    <col min="33" max="33" width="21.5703125" customWidth="1"/>
    <col min="37" max="37" width="16" customWidth="1"/>
    <col min="41" max="41" width="22.85546875" customWidth="1"/>
    <col min="49" max="49" width="17.5703125" customWidth="1"/>
    <col min="65" max="65" width="14.7109375" customWidth="1"/>
    <col min="73" max="73" width="13.5703125" customWidth="1"/>
  </cols>
  <sheetData>
    <row r="1" spans="1:12" ht="20.25" thickBot="1" x14ac:dyDescent="0.35">
      <c r="A1" s="1" t="s">
        <v>65</v>
      </c>
    </row>
    <row r="2" spans="1:12" ht="15.75" thickTop="1" x14ac:dyDescent="0.25"/>
    <row r="3" spans="1:12" x14ac:dyDescent="0.25">
      <c r="A3" t="s">
        <v>66</v>
      </c>
      <c r="B3">
        <v>1</v>
      </c>
      <c r="C3" t="str">
        <f>IF(B3=1,"[L/s]","[m³/h]")</f>
        <v>[L/s]</v>
      </c>
      <c r="D3" t="str">
        <f>IF(B3=1,"L/s","m³/h")</f>
        <v>L/s</v>
      </c>
    </row>
    <row r="4" spans="1:12" x14ac:dyDescent="0.25">
      <c r="A4" t="s">
        <v>67</v>
      </c>
      <c r="B4">
        <f>IF(B3=1,1,3.6)</f>
        <v>1</v>
      </c>
    </row>
    <row r="6" spans="1:12" x14ac:dyDescent="0.25">
      <c r="A6" t="s">
        <v>6</v>
      </c>
      <c r="B6">
        <f>'CNW-AD'!D9</f>
        <v>200</v>
      </c>
    </row>
    <row r="7" spans="1:12" x14ac:dyDescent="0.25">
      <c r="A7" t="s">
        <v>68</v>
      </c>
      <c r="B7">
        <f>ROUND(IF(B3=1,B6*3.6,B6/3.6),1)</f>
        <v>720</v>
      </c>
      <c r="C7" t="s">
        <v>69</v>
      </c>
      <c r="D7" t="str">
        <f>IF(B3=2,"[L/s]","[m³/h]")</f>
        <v>[m³/h]</v>
      </c>
    </row>
    <row r="10" spans="1:12" ht="20.25" thickBot="1" x14ac:dyDescent="0.35">
      <c r="A10" s="1" t="s">
        <v>70</v>
      </c>
    </row>
    <row r="11" spans="1:12" ht="15.75" thickTop="1" x14ac:dyDescent="0.25"/>
    <row r="12" spans="1:12" x14ac:dyDescent="0.25">
      <c r="A12" t="s">
        <v>6</v>
      </c>
      <c r="B12">
        <f>B6/B4</f>
        <v>200</v>
      </c>
      <c r="I12">
        <v>630</v>
      </c>
      <c r="J12">
        <v>377</v>
      </c>
      <c r="K12">
        <f>J12^2</f>
        <v>142129</v>
      </c>
      <c r="L12" s="96">
        <f t="shared" ref="L12:L15" si="0">K12/K13</f>
        <v>1.6331973570812985</v>
      </c>
    </row>
    <row r="13" spans="1:12" x14ac:dyDescent="0.25">
      <c r="A13" t="s">
        <v>71</v>
      </c>
      <c r="B13">
        <f>'CNW-AD'!D11</f>
        <v>60</v>
      </c>
      <c r="I13">
        <v>500</v>
      </c>
      <c r="J13">
        <v>295</v>
      </c>
      <c r="K13">
        <f t="shared" ref="K13:K16" si="1">J13^2</f>
        <v>87025</v>
      </c>
      <c r="L13" s="96">
        <f t="shared" si="0"/>
        <v>1.6308727347688388</v>
      </c>
    </row>
    <row r="14" spans="1:12" x14ac:dyDescent="0.25">
      <c r="A14" t="s">
        <v>72</v>
      </c>
      <c r="B14">
        <f>'CNW-AD'!D13</f>
        <v>5</v>
      </c>
      <c r="I14">
        <v>400</v>
      </c>
      <c r="J14">
        <v>231</v>
      </c>
      <c r="K14">
        <f t="shared" si="1"/>
        <v>53361</v>
      </c>
      <c r="L14" s="96">
        <f t="shared" si="0"/>
        <v>1.7423999999999999</v>
      </c>
    </row>
    <row r="15" spans="1:12" x14ac:dyDescent="0.25">
      <c r="A15" t="s">
        <v>73</v>
      </c>
      <c r="B15">
        <f>'CNW-AD'!D15</f>
        <v>24</v>
      </c>
      <c r="C15" t="str">
        <f>B15&amp;" m"</f>
        <v>24 m</v>
      </c>
      <c r="I15">
        <v>315</v>
      </c>
      <c r="J15">
        <v>175</v>
      </c>
      <c r="K15">
        <f t="shared" si="1"/>
        <v>30625</v>
      </c>
      <c r="L15" s="96">
        <f t="shared" si="0"/>
        <v>1.6803840877914953</v>
      </c>
    </row>
    <row r="16" spans="1:12" x14ac:dyDescent="0.25">
      <c r="A16" t="s">
        <v>74</v>
      </c>
      <c r="B16" s="12" t="b">
        <v>0</v>
      </c>
      <c r="C16">
        <f>IF(B16,1,0)</f>
        <v>0</v>
      </c>
      <c r="I16">
        <v>250</v>
      </c>
      <c r="J16">
        <v>135</v>
      </c>
      <c r="K16">
        <f t="shared" si="1"/>
        <v>18225</v>
      </c>
      <c r="L16" s="96">
        <f>K16/K17</f>
        <v>1.5625</v>
      </c>
    </row>
    <row r="17" spans="1:46" x14ac:dyDescent="0.25">
      <c r="B17" s="12"/>
      <c r="I17">
        <v>200</v>
      </c>
      <c r="J17">
        <v>108</v>
      </c>
      <c r="K17">
        <f>J17^2</f>
        <v>11664</v>
      </c>
      <c r="L17" s="96"/>
    </row>
    <row r="18" spans="1:46" x14ac:dyDescent="0.25">
      <c r="A18" t="s">
        <v>75</v>
      </c>
      <c r="B18" s="12">
        <v>1</v>
      </c>
      <c r="D18">
        <v>1</v>
      </c>
      <c r="E18">
        <v>0.4</v>
      </c>
    </row>
    <row r="19" spans="1:46" x14ac:dyDescent="0.25">
      <c r="A19" t="s">
        <v>76</v>
      </c>
      <c r="B19" s="12">
        <f>VLOOKUP(B18,D18:E19,2,0)</f>
        <v>0.4</v>
      </c>
      <c r="C19" t="s">
        <v>77</v>
      </c>
      <c r="D19">
        <v>2</v>
      </c>
      <c r="E19">
        <v>0.2</v>
      </c>
    </row>
    <row r="21" spans="1:46" x14ac:dyDescent="0.25">
      <c r="A21" t="s">
        <v>78</v>
      </c>
      <c r="B21">
        <f>'CNW-AD'!J11</f>
        <v>-6</v>
      </c>
    </row>
    <row r="22" spans="1:46" x14ac:dyDescent="0.25">
      <c r="A22" t="s">
        <v>79</v>
      </c>
      <c r="B22">
        <f>ABS('CNW-AD'!J13)</f>
        <v>6</v>
      </c>
    </row>
    <row r="24" spans="1:46" x14ac:dyDescent="0.25">
      <c r="A24" t="s">
        <v>80</v>
      </c>
      <c r="B24">
        <v>1.5</v>
      </c>
      <c r="C24" t="s">
        <v>14</v>
      </c>
    </row>
    <row r="25" spans="1:46" x14ac:dyDescent="0.25">
      <c r="A25" t="s">
        <v>81</v>
      </c>
      <c r="B25" s="4">
        <f>SQRT(B15^2+B14^2)</f>
        <v>24.515301344262525</v>
      </c>
    </row>
    <row r="27" spans="1:46" x14ac:dyDescent="0.25">
      <c r="A27" t="s">
        <v>82</v>
      </c>
      <c r="B27">
        <v>10.48</v>
      </c>
    </row>
    <row r="29" spans="1:46" x14ac:dyDescent="0.25">
      <c r="A29" t="s">
        <v>297</v>
      </c>
      <c r="B29" s="4">
        <f>IF(B16,4,3)</f>
        <v>3</v>
      </c>
      <c r="C29" t="s">
        <v>298</v>
      </c>
      <c r="X29" s="34"/>
      <c r="Y29" t="s">
        <v>83</v>
      </c>
    </row>
    <row r="30" spans="1:46" x14ac:dyDescent="0.25">
      <c r="B30" s="4"/>
      <c r="X30" s="34"/>
    </row>
    <row r="31" spans="1:46" ht="18" thickBot="1" x14ac:dyDescent="0.35">
      <c r="A31" s="27">
        <v>200</v>
      </c>
      <c r="B31" s="2" t="s">
        <v>84</v>
      </c>
      <c r="E31" s="27">
        <v>250</v>
      </c>
      <c r="F31" s="2" t="s">
        <v>84</v>
      </c>
      <c r="I31" s="27">
        <v>315</v>
      </c>
      <c r="J31" s="2" t="s">
        <v>84</v>
      </c>
      <c r="M31" s="27">
        <v>400</v>
      </c>
      <c r="N31" s="2" t="s">
        <v>84</v>
      </c>
      <c r="O31" s="2"/>
      <c r="Q31" s="27">
        <v>500</v>
      </c>
      <c r="R31" s="2" t="s">
        <v>84</v>
      </c>
      <c r="S31" s="2"/>
      <c r="U31" s="27">
        <v>630</v>
      </c>
      <c r="V31" s="2" t="s">
        <v>84</v>
      </c>
      <c r="W31" s="2"/>
      <c r="X31" s="34"/>
      <c r="Y31" s="27">
        <v>250</v>
      </c>
      <c r="Z31" s="2" t="s">
        <v>85</v>
      </c>
      <c r="AC31" s="27">
        <v>315</v>
      </c>
      <c r="AD31" s="2" t="s">
        <v>85</v>
      </c>
      <c r="AG31" s="27">
        <v>400</v>
      </c>
      <c r="AH31" s="2" t="s">
        <v>85</v>
      </c>
      <c r="AI31" s="2"/>
      <c r="AK31" s="27">
        <v>500</v>
      </c>
      <c r="AL31" s="2" t="s">
        <v>85</v>
      </c>
      <c r="AO31" s="27">
        <v>630</v>
      </c>
      <c r="AP31" s="2" t="s">
        <v>85</v>
      </c>
      <c r="AQ31" s="2"/>
      <c r="AS31" s="27">
        <v>160</v>
      </c>
      <c r="AT31" s="2" t="s">
        <v>86</v>
      </c>
    </row>
    <row r="32" spans="1:46" ht="15.75" thickTop="1" x14ac:dyDescent="0.25">
      <c r="A32" t="s">
        <v>87</v>
      </c>
      <c r="B32">
        <f t="shared" ref="B32" si="2">B33*1000</f>
        <v>108</v>
      </c>
      <c r="E32" t="s">
        <v>87</v>
      </c>
      <c r="F32">
        <v>135</v>
      </c>
      <c r="I32" t="s">
        <v>87</v>
      </c>
      <c r="J32">
        <f t="shared" ref="J32" si="3">J33*1000</f>
        <v>174</v>
      </c>
      <c r="M32" t="s">
        <v>87</v>
      </c>
      <c r="N32">
        <v>231</v>
      </c>
      <c r="Q32" t="s">
        <v>87</v>
      </c>
      <c r="R32">
        <v>295</v>
      </c>
      <c r="U32" t="s">
        <v>87</v>
      </c>
      <c r="V32">
        <v>377</v>
      </c>
      <c r="W32" t="s">
        <v>88</v>
      </c>
      <c r="X32" s="34"/>
      <c r="Y32" t="s">
        <v>87</v>
      </c>
      <c r="Z32">
        <v>135</v>
      </c>
      <c r="AC32" t="s">
        <v>87</v>
      </c>
      <c r="AD32">
        <f>AD33*1000</f>
        <v>174</v>
      </c>
      <c r="AG32" t="s">
        <v>87</v>
      </c>
      <c r="AH32">
        <v>231</v>
      </c>
      <c r="AK32" t="s">
        <v>87</v>
      </c>
      <c r="AL32">
        <f>R32</f>
        <v>295</v>
      </c>
      <c r="AO32" t="s">
        <v>87</v>
      </c>
      <c r="AP32">
        <f>V32</f>
        <v>377</v>
      </c>
      <c r="AS32" t="s">
        <v>87</v>
      </c>
      <c r="AT32">
        <v>86.4</v>
      </c>
    </row>
    <row r="33" spans="1:47" x14ac:dyDescent="0.25">
      <c r="A33" t="s">
        <v>87</v>
      </c>
      <c r="B33">
        <v>0.108</v>
      </c>
      <c r="C33" t="s">
        <v>14</v>
      </c>
      <c r="E33" t="s">
        <v>87</v>
      </c>
      <c r="F33">
        <f>F32/1000</f>
        <v>0.13500000000000001</v>
      </c>
      <c r="G33" t="s">
        <v>14</v>
      </c>
      <c r="I33" t="s">
        <v>87</v>
      </c>
      <c r="J33">
        <v>0.17399999999999999</v>
      </c>
      <c r="K33" t="s">
        <v>14</v>
      </c>
      <c r="M33" t="s">
        <v>87</v>
      </c>
      <c r="N33">
        <f>N32/1000</f>
        <v>0.23100000000000001</v>
      </c>
      <c r="O33" t="s">
        <v>14</v>
      </c>
      <c r="Q33" t="s">
        <v>87</v>
      </c>
      <c r="R33">
        <f>R32/1000</f>
        <v>0.29499999999999998</v>
      </c>
      <c r="S33" t="s">
        <v>14</v>
      </c>
      <c r="U33" t="s">
        <v>87</v>
      </c>
      <c r="V33">
        <f>V32/1000</f>
        <v>0.377</v>
      </c>
      <c r="W33" t="s">
        <v>14</v>
      </c>
      <c r="X33" s="34"/>
      <c r="Y33" t="s">
        <v>87</v>
      </c>
      <c r="Z33">
        <f>Z32/1000</f>
        <v>0.13500000000000001</v>
      </c>
      <c r="AA33" t="s">
        <v>14</v>
      </c>
      <c r="AC33" t="s">
        <v>87</v>
      </c>
      <c r="AD33">
        <v>0.17399999999999999</v>
      </c>
      <c r="AE33" t="s">
        <v>14</v>
      </c>
      <c r="AG33" t="s">
        <v>87</v>
      </c>
      <c r="AH33">
        <v>0.23</v>
      </c>
      <c r="AI33" t="s">
        <v>14</v>
      </c>
      <c r="AK33" t="s">
        <v>87</v>
      </c>
      <c r="AL33">
        <f>AL32/1000</f>
        <v>0.29499999999999998</v>
      </c>
      <c r="AO33" t="s">
        <v>87</v>
      </c>
      <c r="AP33">
        <f>AP32/1000</f>
        <v>0.377</v>
      </c>
      <c r="AQ33" t="s">
        <v>14</v>
      </c>
      <c r="AS33" t="s">
        <v>87</v>
      </c>
      <c r="AT33">
        <v>8.6400000000000005E-2</v>
      </c>
      <c r="AU33" t="s">
        <v>14</v>
      </c>
    </row>
    <row r="34" spans="1:47" x14ac:dyDescent="0.25">
      <c r="A34" t="s">
        <v>89</v>
      </c>
      <c r="B34">
        <f>PI()/4*B33^2</f>
        <v>9.1608841778678361E-3</v>
      </c>
      <c r="E34" t="s">
        <v>89</v>
      </c>
      <c r="F34">
        <f>PI()/4*F33^2</f>
        <v>1.4313881527918496E-2</v>
      </c>
      <c r="I34" t="s">
        <v>89</v>
      </c>
      <c r="J34">
        <f>PI()/4*J33^2</f>
        <v>2.3778714795021142E-2</v>
      </c>
      <c r="M34" t="s">
        <v>89</v>
      </c>
      <c r="N34">
        <f>PI()/4*N33^2</f>
        <v>4.1909631397051242E-2</v>
      </c>
      <c r="O34" s="2"/>
      <c r="Q34" t="s">
        <v>89</v>
      </c>
      <c r="R34">
        <f>PI()/4*R33^2</f>
        <v>6.8349275169662924E-2</v>
      </c>
      <c r="S34" s="2"/>
      <c r="U34" t="s">
        <v>89</v>
      </c>
      <c r="V34">
        <f>PI()/4*V33^2</f>
        <v>0.11162785556551592</v>
      </c>
      <c r="W34" s="2"/>
      <c r="X34" s="34"/>
      <c r="Y34" t="s">
        <v>89</v>
      </c>
      <c r="Z34">
        <f>PI()/4*Z33^2</f>
        <v>1.4313881527918496E-2</v>
      </c>
      <c r="AC34" t="s">
        <v>89</v>
      </c>
      <c r="AD34">
        <f>PI()/4*AD33^2</f>
        <v>2.3778714795021142E-2</v>
      </c>
      <c r="AG34" t="s">
        <v>89</v>
      </c>
      <c r="AH34">
        <f>PI()/4*AH33^2</f>
        <v>4.1547562843725017E-2</v>
      </c>
      <c r="AK34" t="s">
        <v>89</v>
      </c>
      <c r="AL34">
        <f>PI()/4*AL33^2</f>
        <v>6.8349275169662924E-2</v>
      </c>
      <c r="AO34" t="s">
        <v>89</v>
      </c>
      <c r="AP34">
        <f>PI()/4*AP33^2</f>
        <v>0.11162785556551592</v>
      </c>
      <c r="AS34" t="s">
        <v>89</v>
      </c>
      <c r="AT34">
        <f>PI()/4*AT33^2</f>
        <v>5.8629658738354158E-3</v>
      </c>
    </row>
    <row r="35" spans="1:47" x14ac:dyDescent="0.25">
      <c r="A35" t="s">
        <v>90</v>
      </c>
      <c r="B35">
        <f>$B$12/(1000*B34)</f>
        <v>21.831953784896484</v>
      </c>
      <c r="E35" t="s">
        <v>90</v>
      </c>
      <c r="F35">
        <f>$B$12/(1000*F34)</f>
        <v>13.972450422333745</v>
      </c>
      <c r="I35" t="s">
        <v>90</v>
      </c>
      <c r="J35">
        <f>$B$12/(1000*J34)</f>
        <v>8.4108835033370521</v>
      </c>
      <c r="M35" t="s">
        <v>90</v>
      </c>
      <c r="N35">
        <f>$B$12/(1000*N34)</f>
        <v>4.7721727281541293</v>
      </c>
      <c r="O35" s="2"/>
      <c r="Q35" t="s">
        <v>90</v>
      </c>
      <c r="R35">
        <f>$B$12/(1000*R34)</f>
        <v>2.9261466124335835</v>
      </c>
      <c r="S35" s="2"/>
      <c r="U35" t="s">
        <v>90</v>
      </c>
      <c r="V35">
        <f>$B$12/(1000*V34)</f>
        <v>1.7916674918351114</v>
      </c>
      <c r="W35" s="2"/>
      <c r="X35" s="34"/>
      <c r="Y35" t="s">
        <v>90</v>
      </c>
      <c r="Z35">
        <f>$B$12/(1000*Z34)</f>
        <v>13.972450422333745</v>
      </c>
      <c r="AC35" t="s">
        <v>90</v>
      </c>
      <c r="AD35">
        <f>$B$12/(1000*AD34)</f>
        <v>8.4108835033370521</v>
      </c>
      <c r="AG35" t="s">
        <v>90</v>
      </c>
      <c r="AH35">
        <f>$B$12/(1000*AH34)</f>
        <v>4.8137600935166827</v>
      </c>
      <c r="AK35" t="s">
        <v>90</v>
      </c>
      <c r="AL35">
        <f>$B$12/(1000*AL34)</f>
        <v>2.9261466124335835</v>
      </c>
      <c r="AO35" t="s">
        <v>90</v>
      </c>
      <c r="AP35">
        <f>$B$12/(1000*AP34)</f>
        <v>1.7916674918351114</v>
      </c>
      <c r="AS35" t="s">
        <v>90</v>
      </c>
      <c r="AT35">
        <f>BV24/(1000*AT34)</f>
        <v>0</v>
      </c>
    </row>
    <row r="36" spans="1:47" x14ac:dyDescent="0.25">
      <c r="A36" t="s">
        <v>91</v>
      </c>
      <c r="B36">
        <v>50</v>
      </c>
      <c r="E36" t="s">
        <v>91</v>
      </c>
      <c r="F36">
        <v>50</v>
      </c>
      <c r="I36" t="s">
        <v>91</v>
      </c>
      <c r="J36">
        <v>50</v>
      </c>
      <c r="M36" t="s">
        <v>91</v>
      </c>
      <c r="N36">
        <v>50</v>
      </c>
      <c r="O36" s="2"/>
      <c r="Q36" t="s">
        <v>91</v>
      </c>
      <c r="R36">
        <v>50</v>
      </c>
      <c r="S36" s="2"/>
      <c r="U36" t="s">
        <v>91</v>
      </c>
      <c r="V36">
        <v>50</v>
      </c>
      <c r="W36" s="2"/>
      <c r="X36" s="34"/>
    </row>
    <row r="37" spans="1:47" x14ac:dyDescent="0.25">
      <c r="A37" t="s">
        <v>92</v>
      </c>
      <c r="B37">
        <v>81.099999999999994</v>
      </c>
      <c r="E37" t="s">
        <v>92</v>
      </c>
      <c r="F37">
        <v>131</v>
      </c>
      <c r="I37" t="s">
        <v>92</v>
      </c>
      <c r="J37">
        <v>214</v>
      </c>
      <c r="M37" t="s">
        <v>92</v>
      </c>
      <c r="N37">
        <v>375</v>
      </c>
      <c r="O37" s="2"/>
      <c r="Q37" t="s">
        <v>92</v>
      </c>
      <c r="R37">
        <v>628</v>
      </c>
      <c r="S37" s="2"/>
      <c r="U37" t="s">
        <v>92</v>
      </c>
      <c r="V37">
        <v>893</v>
      </c>
      <c r="W37" s="2"/>
      <c r="X37" s="34"/>
    </row>
    <row r="38" spans="1:47" x14ac:dyDescent="0.25">
      <c r="A38" t="s">
        <v>93</v>
      </c>
      <c r="B38" s="4">
        <f>B36*($B$12/B37)^2</f>
        <v>304.08030152602703</v>
      </c>
      <c r="C38" s="4"/>
      <c r="E38" t="s">
        <v>93</v>
      </c>
      <c r="F38" s="4">
        <f>F36*($B$12/F37)^2</f>
        <v>116.54332498106173</v>
      </c>
      <c r="G38" s="4"/>
      <c r="I38" t="s">
        <v>93</v>
      </c>
      <c r="J38" s="4">
        <f>J36*($B$12/J37)^2</f>
        <v>43.671936413660582</v>
      </c>
      <c r="K38" s="4"/>
      <c r="M38" t="s">
        <v>93</v>
      </c>
      <c r="N38" s="4">
        <f>N36*($B$12/N37)^2</f>
        <v>14.222222222222221</v>
      </c>
      <c r="O38" s="4"/>
      <c r="Q38" t="s">
        <v>93</v>
      </c>
      <c r="R38" s="4">
        <f>R36*($B$12/R37)^2</f>
        <v>5.0711996429875441</v>
      </c>
      <c r="S38" s="4"/>
      <c r="U38" t="s">
        <v>93</v>
      </c>
      <c r="V38" s="4">
        <f>V36*($B$12/V37)^2</f>
        <v>2.5079973766347443</v>
      </c>
      <c r="W38" s="4"/>
      <c r="X38" s="34"/>
      <c r="Y38" t="s">
        <v>93</v>
      </c>
      <c r="Z38" s="4">
        <f>F38*1.543</f>
        <v>179.82635044577825</v>
      </c>
      <c r="AC38" t="s">
        <v>93</v>
      </c>
      <c r="AD38" s="4">
        <f>J38*1.543</f>
        <v>67.385797886278269</v>
      </c>
      <c r="AG38" t="s">
        <v>93</v>
      </c>
      <c r="AH38" s="4">
        <f>N38*1.543</f>
        <v>21.944888888888887</v>
      </c>
      <c r="AI38" s="4"/>
      <c r="AK38" t="s">
        <v>93</v>
      </c>
      <c r="AL38" s="4">
        <f>R38*1.543</f>
        <v>7.8248610491297805</v>
      </c>
      <c r="AO38" t="s">
        <v>93</v>
      </c>
      <c r="AP38" s="4">
        <f>V38*1.543</f>
        <v>3.8698399521474105</v>
      </c>
      <c r="AQ38" s="4"/>
      <c r="AS38" t="s">
        <v>93</v>
      </c>
      <c r="AT38" s="4">
        <f>0.5*1.225*AT35^2</f>
        <v>0</v>
      </c>
    </row>
    <row r="39" spans="1:47" x14ac:dyDescent="0.25">
      <c r="A39" t="s">
        <v>94</v>
      </c>
      <c r="B39" s="4">
        <f>PI()*(A31/2000)^2</f>
        <v>3.1415926535897934E-2</v>
      </c>
      <c r="C39" s="4"/>
      <c r="E39" t="s">
        <v>94</v>
      </c>
      <c r="F39" s="4">
        <f>PI()*(E31/2000)^2</f>
        <v>4.9087385212340517E-2</v>
      </c>
      <c r="G39" s="4"/>
      <c r="I39" t="s">
        <v>94</v>
      </c>
      <c r="J39" s="4">
        <f>PI()*(I31/2000)^2</f>
        <v>7.793113276311181E-2</v>
      </c>
      <c r="K39" s="4"/>
      <c r="M39" t="s">
        <v>94</v>
      </c>
      <c r="N39" s="4">
        <f>PI()*(M31/2000)^2</f>
        <v>0.12566370614359174</v>
      </c>
      <c r="O39" s="4"/>
      <c r="Q39" t="s">
        <v>94</v>
      </c>
      <c r="R39" s="4">
        <f>PI()*(Q31/2000)^2</f>
        <v>0.19634954084936207</v>
      </c>
      <c r="S39" s="4"/>
      <c r="U39" t="s">
        <v>94</v>
      </c>
      <c r="V39" s="4">
        <f>PI()*(U31/2000)^2</f>
        <v>0.31172453105244724</v>
      </c>
      <c r="W39" s="4"/>
      <c r="X39" s="34"/>
      <c r="Y39" t="s">
        <v>94</v>
      </c>
      <c r="Z39" s="4">
        <f>PI()*(Y31/2000)^2</f>
        <v>4.9087385212340517E-2</v>
      </c>
      <c r="AA39" s="4"/>
      <c r="AC39" t="s">
        <v>94</v>
      </c>
      <c r="AD39" s="4">
        <f>PI()*(AC31/2000)^2</f>
        <v>7.793113276311181E-2</v>
      </c>
      <c r="AE39" s="4"/>
      <c r="AG39" t="s">
        <v>94</v>
      </c>
      <c r="AH39" s="4">
        <f>PI()*(AG31/2000)^2</f>
        <v>0.12566370614359174</v>
      </c>
      <c r="AI39" s="4"/>
      <c r="AK39" t="s">
        <v>94</v>
      </c>
      <c r="AL39" s="4">
        <f>PI()*(AK31/2000)^2</f>
        <v>0.19634954084936207</v>
      </c>
      <c r="AO39" t="s">
        <v>94</v>
      </c>
      <c r="AP39" s="4">
        <f>PI()*(AO31/2000)^2</f>
        <v>0.31172453105244724</v>
      </c>
      <c r="AQ39" s="4"/>
      <c r="AT39" s="4"/>
    </row>
    <row r="40" spans="1:47" x14ac:dyDescent="0.25">
      <c r="A40" t="s">
        <v>95</v>
      </c>
      <c r="B40" s="4">
        <f t="shared" ref="B40" si="4">$B$12/1000/B39</f>
        <v>6.3661977236758132</v>
      </c>
      <c r="C40" s="4"/>
      <c r="E40" t="s">
        <v>95</v>
      </c>
      <c r="F40" s="4">
        <f t="shared" ref="F40" si="5">$B$12/1000/F39</f>
        <v>4.0743665431525207</v>
      </c>
      <c r="G40" s="4"/>
      <c r="I40" t="s">
        <v>95</v>
      </c>
      <c r="J40" s="4">
        <f t="shared" ref="J40" si="6">$B$12/1000/J39</f>
        <v>2.5663684449184432</v>
      </c>
      <c r="K40" s="4"/>
      <c r="M40" t="s">
        <v>95</v>
      </c>
      <c r="N40" s="4">
        <f t="shared" ref="N40" si="7">$B$12/1000/N39</f>
        <v>1.5915494309189533</v>
      </c>
      <c r="O40" s="4"/>
      <c r="Q40" t="s">
        <v>95</v>
      </c>
      <c r="R40" s="4">
        <f t="shared" ref="R40" si="8">$B$12/1000/R39</f>
        <v>1.0185916357881302</v>
      </c>
      <c r="S40" s="4"/>
      <c r="U40" t="s">
        <v>95</v>
      </c>
      <c r="V40" s="4">
        <f>$B$12/1000/V39</f>
        <v>0.6415921112296108</v>
      </c>
      <c r="W40" s="4"/>
      <c r="X40" s="34"/>
      <c r="Y40" t="s">
        <v>95</v>
      </c>
      <c r="Z40" s="4">
        <f>$B$12/1000/Z39</f>
        <v>4.0743665431525207</v>
      </c>
      <c r="AA40" s="4"/>
      <c r="AC40" t="s">
        <v>95</v>
      </c>
      <c r="AD40" s="4">
        <f>$B$12/1000/AD39</f>
        <v>2.5663684449184432</v>
      </c>
      <c r="AE40" s="4"/>
      <c r="AG40" t="s">
        <v>95</v>
      </c>
      <c r="AH40" s="4">
        <f>$B$12/1000/AH39</f>
        <v>1.5915494309189533</v>
      </c>
      <c r="AI40" s="4"/>
      <c r="AK40" t="s">
        <v>95</v>
      </c>
      <c r="AL40" s="4">
        <f>$B$12/1000/AL39</f>
        <v>1.0185916357881302</v>
      </c>
      <c r="AO40" t="s">
        <v>95</v>
      </c>
      <c r="AP40" s="4">
        <f>$B$12/1000/AP39</f>
        <v>0.6415921112296108</v>
      </c>
      <c r="AQ40" s="4"/>
      <c r="AT40" s="4"/>
    </row>
    <row r="41" spans="1:47" x14ac:dyDescent="0.25">
      <c r="A41" t="s">
        <v>96</v>
      </c>
      <c r="B41">
        <f t="shared" ref="B41" si="9">0.5*1.225*B40^2</f>
        <v>24.823689992372753</v>
      </c>
      <c r="C41" s="4"/>
      <c r="E41" t="s">
        <v>96</v>
      </c>
      <c r="F41">
        <f t="shared" ref="F41" si="10">0.5*1.225*F40^2</f>
        <v>10.167783420875882</v>
      </c>
      <c r="G41" s="4"/>
      <c r="I41" t="s">
        <v>96</v>
      </c>
      <c r="J41">
        <f t="shared" ref="J41" si="11">0.5*1.225*J40^2</f>
        <v>4.0340762844822793</v>
      </c>
      <c r="K41" s="4"/>
      <c r="M41" t="s">
        <v>96</v>
      </c>
      <c r="N41">
        <f t="shared" ref="N41" si="12">0.5*1.225*N40^2</f>
        <v>1.551480624523297</v>
      </c>
      <c r="O41" s="4"/>
      <c r="Q41" t="s">
        <v>96</v>
      </c>
      <c r="R41">
        <f t="shared" ref="R41" si="13">0.5*1.225*R40^2</f>
        <v>0.63548646380474261</v>
      </c>
      <c r="S41" s="4"/>
      <c r="U41" t="s">
        <v>96</v>
      </c>
      <c r="V41">
        <f>0.5*1.225*V40^2</f>
        <v>0.25212976778014246</v>
      </c>
      <c r="W41" s="4"/>
      <c r="X41" s="34"/>
      <c r="Y41" t="s">
        <v>96</v>
      </c>
      <c r="Z41">
        <f>0.5*1.225*Z40^2</f>
        <v>10.167783420875882</v>
      </c>
      <c r="AA41" s="4"/>
      <c r="AC41" t="s">
        <v>96</v>
      </c>
      <c r="AD41">
        <f>0.5*1.225*AD40^2</f>
        <v>4.0340762844822793</v>
      </c>
      <c r="AE41" s="4"/>
      <c r="AG41" t="s">
        <v>96</v>
      </c>
      <c r="AH41">
        <f>0.5*1.225*AH40^2</f>
        <v>1.551480624523297</v>
      </c>
      <c r="AI41" s="4"/>
      <c r="AK41" t="s">
        <v>96</v>
      </c>
      <c r="AL41">
        <f>0.5*1.225*AL40^2</f>
        <v>0.63548646380474261</v>
      </c>
      <c r="AO41" t="s">
        <v>96</v>
      </c>
      <c r="AP41">
        <f>0.5*1.225*AP40^2</f>
        <v>0.25212976778014246</v>
      </c>
      <c r="AQ41" s="4"/>
      <c r="AS41" t="s">
        <v>96</v>
      </c>
      <c r="AT41" s="4">
        <f>0.5*1.225*(AT35*(AT32/AS31)^2)^2</f>
        <v>0</v>
      </c>
    </row>
    <row r="42" spans="1:47" x14ac:dyDescent="0.25">
      <c r="A42" t="s">
        <v>97</v>
      </c>
      <c r="B42" s="4">
        <f t="shared" ref="B42" si="14">B38-B41</f>
        <v>279.25661153365428</v>
      </c>
      <c r="E42" t="s">
        <v>97</v>
      </c>
      <c r="F42" s="4">
        <f t="shared" ref="F42" si="15">F38-F41</f>
        <v>106.37554156018585</v>
      </c>
      <c r="G42" s="2"/>
      <c r="I42" t="s">
        <v>97</v>
      </c>
      <c r="J42" s="4">
        <f t="shared" ref="J42" si="16">J38-J41</f>
        <v>39.6378601291783</v>
      </c>
      <c r="K42" s="2"/>
      <c r="M42" t="s">
        <v>97</v>
      </c>
      <c r="N42" s="4">
        <f t="shared" ref="N42" si="17">N38-N41</f>
        <v>12.670741597698925</v>
      </c>
      <c r="O42" s="2"/>
      <c r="Q42" t="s">
        <v>97</v>
      </c>
      <c r="R42" s="4">
        <f t="shared" ref="R42" si="18">R38-R41</f>
        <v>4.4357131791828017</v>
      </c>
      <c r="S42" s="2"/>
      <c r="U42" t="s">
        <v>97</v>
      </c>
      <c r="V42" s="4">
        <f>V38-V41</f>
        <v>2.2558676088546017</v>
      </c>
      <c r="W42" s="2"/>
      <c r="X42" s="34"/>
      <c r="Y42" t="s">
        <v>97</v>
      </c>
      <c r="Z42" s="4">
        <f>Z38-Z41</f>
        <v>169.65856702490237</v>
      </c>
      <c r="AA42" s="2"/>
      <c r="AC42" t="s">
        <v>97</v>
      </c>
      <c r="AD42" s="4">
        <f>AD38-AD41</f>
        <v>63.351721601795987</v>
      </c>
      <c r="AE42" s="2"/>
      <c r="AG42" t="s">
        <v>97</v>
      </c>
      <c r="AH42" s="4">
        <f>AH38-AH41</f>
        <v>20.39340826436559</v>
      </c>
      <c r="AI42" s="2"/>
      <c r="AK42" t="s">
        <v>97</v>
      </c>
      <c r="AL42" s="4">
        <f>AL38-AL41</f>
        <v>7.1893745853250381</v>
      </c>
      <c r="AO42" t="s">
        <v>97</v>
      </c>
      <c r="AP42" s="4">
        <f>AP38-AP41</f>
        <v>3.6177101843672679</v>
      </c>
      <c r="AQ42" s="2"/>
      <c r="AS42" t="s">
        <v>97</v>
      </c>
      <c r="AT42" s="4">
        <f>AT38-AT41</f>
        <v>0</v>
      </c>
      <c r="AU42" s="2"/>
    </row>
    <row r="43" spans="1:47" x14ac:dyDescent="0.25">
      <c r="A43" t="s">
        <v>98</v>
      </c>
      <c r="B43" s="4">
        <f t="shared" ref="B43" si="19">(B35*$B$27*SQRT(B34)/(SQRT(2)*$B$19))</f>
        <v>38.712176838953837</v>
      </c>
      <c r="E43" t="s">
        <v>98</v>
      </c>
      <c r="F43" s="4">
        <f t="shared" ref="F43" si="20">(F35*$B$27*SQRT(F34)/(SQRT(2)*$B$19))</f>
        <v>30.969741471163061</v>
      </c>
      <c r="I43" t="s">
        <v>98</v>
      </c>
      <c r="J43" s="4">
        <f t="shared" ref="J43" si="21">(J35*$B$27*SQRT(J34)/(SQRT(2)*$B$19))</f>
        <v>24.028247693143765</v>
      </c>
      <c r="M43" t="s">
        <v>98</v>
      </c>
      <c r="N43" s="4">
        <f t="shared" ref="N43" si="22">(N35*$B$27*SQRT(N34)/(SQRT(2)*$B$19))</f>
        <v>18.099199561069319</v>
      </c>
      <c r="Q43" t="s">
        <v>98</v>
      </c>
      <c r="R43" s="4">
        <f t="shared" ref="R43" si="23">(R35*$B$27*SQRT(R34)/(SQRT(2)*$B$19))</f>
        <v>14.172593554600049</v>
      </c>
      <c r="U43" t="s">
        <v>98</v>
      </c>
      <c r="V43" s="4">
        <f>(V35*$B$27*SQRT(V34)/(SQRT(2)*$B$19))</f>
        <v>11.089960473758659</v>
      </c>
      <c r="X43" s="34"/>
      <c r="Y43" t="s">
        <v>98</v>
      </c>
      <c r="Z43" s="4">
        <f>(Z35*$B$27*SQRT(Z34)/(SQRT(2)*$B$19))/1.85</f>
        <v>16.740400795223277</v>
      </c>
      <c r="AA43" s="2"/>
      <c r="AC43" t="s">
        <v>98</v>
      </c>
      <c r="AD43" s="4">
        <f>(AD35*$B$27*SQRT(AD34)/(SQRT(2)*$B$19))/1.85</f>
        <v>12.988241996293926</v>
      </c>
      <c r="AE43" s="2"/>
      <c r="AG43" t="s">
        <v>98</v>
      </c>
      <c r="AH43" s="4">
        <f>(AH35*$B$27*SQRT(AH34)/(SQRT(2)*$B$19))/1.85</f>
        <v>9.8258874232832287</v>
      </c>
      <c r="AI43" s="2"/>
      <c r="AK43" t="s">
        <v>98</v>
      </c>
      <c r="AL43" s="4">
        <f>(AL35*$B$27*SQRT(AL34)/(SQRT(2)*$B$19))/1.85</f>
        <v>7.6608613808648904</v>
      </c>
      <c r="AO43" t="s">
        <v>98</v>
      </c>
      <c r="AP43" s="4">
        <f>(AP35*$B$27*SQRT(AP34)/(SQRT(2)*$B$19))/1.85</f>
        <v>5.9945732290587337</v>
      </c>
      <c r="AQ43" s="2"/>
      <c r="AS43" t="s">
        <v>98</v>
      </c>
      <c r="AT43" s="4">
        <f>(AT35*$B$27*SQRT(AT34)/(SQRT(2)*$B$19))/1.85</f>
        <v>0</v>
      </c>
      <c r="AU43" s="2"/>
    </row>
    <row r="44" spans="1:47" x14ac:dyDescent="0.25">
      <c r="A44" t="s">
        <v>99</v>
      </c>
      <c r="B44" s="90">
        <f t="shared" ref="B44" si="24">B43</f>
        <v>38.712176838953837</v>
      </c>
      <c r="C44">
        <f t="shared" ref="C44" si="25">IFERROR(SQRT(B43^2-$B$14^2),B43)</f>
        <v>38.387923043718239</v>
      </c>
      <c r="E44" t="s">
        <v>99</v>
      </c>
      <c r="F44" s="90">
        <f t="shared" ref="F44" si="26">F43</f>
        <v>30.969741471163061</v>
      </c>
      <c r="G44">
        <f t="shared" ref="G44" si="27">IFERROR(SQRT(F43^2-$B$14^2),F43)</f>
        <v>30.563456721887288</v>
      </c>
      <c r="I44" t="s">
        <v>99</v>
      </c>
      <c r="J44" s="90">
        <f t="shared" ref="J44" si="28">J43</f>
        <v>24.028247693143765</v>
      </c>
      <c r="K44">
        <f t="shared" ref="K44" si="29">IFERROR(SQRT(J43^2-$B$14^2),J43)</f>
        <v>23.50226983087099</v>
      </c>
      <c r="M44" t="s">
        <v>99</v>
      </c>
      <c r="N44" s="90">
        <f t="shared" ref="N44" si="30">N43</f>
        <v>18.099199561069319</v>
      </c>
      <c r="O44">
        <f t="shared" ref="O44" si="31">IFERROR(SQRT(N43^2-$B$14^2),N43)</f>
        <v>17.394856272801217</v>
      </c>
      <c r="Q44" t="s">
        <v>99</v>
      </c>
      <c r="R44" s="90">
        <f t="shared" ref="R44" si="32">R43</f>
        <v>14.172593554600049</v>
      </c>
      <c r="S44">
        <f t="shared" ref="S44" si="33">IFERROR(SQRT(R43^2-$B$14^2),R43)</f>
        <v>13.261312456310304</v>
      </c>
      <c r="U44" t="s">
        <v>99</v>
      </c>
      <c r="V44" s="90">
        <f>V43</f>
        <v>11.089960473758659</v>
      </c>
      <c r="W44">
        <f>IFERROR(SQRT(V43^2-$B$14^2),V43)</f>
        <v>9.8988495952574898</v>
      </c>
      <c r="X44" s="34"/>
      <c r="Y44" t="s">
        <v>99</v>
      </c>
      <c r="Z44" s="90">
        <f t="shared" ref="Z44" si="34">Z43</f>
        <v>16.740400795223277</v>
      </c>
      <c r="AA44">
        <f t="shared" ref="AA44" si="35">IFERROR(SQRT(Z43^2-$B$14^2),Z43)</f>
        <v>15.976264231187219</v>
      </c>
      <c r="AC44" t="s">
        <v>99</v>
      </c>
      <c r="AD44" s="90">
        <f t="shared" ref="AD44" si="36">AD43</f>
        <v>12.988241996293926</v>
      </c>
      <c r="AE44">
        <f t="shared" ref="AE44" si="37">IFERROR(SQRT(AD43^2-$B$14^2),AD43)</f>
        <v>11.987261161511967</v>
      </c>
      <c r="AG44" t="s">
        <v>99</v>
      </c>
      <c r="AH44" s="90">
        <f t="shared" ref="AH44" si="38">AH43</f>
        <v>9.8258874232832287</v>
      </c>
      <c r="AI44">
        <f t="shared" ref="AI44" si="39">IFERROR(SQRT(AH43^2-$B$14^2),AH43)</f>
        <v>8.4586088486840154</v>
      </c>
      <c r="AK44" t="s">
        <v>99</v>
      </c>
      <c r="AL44" s="90">
        <f t="shared" ref="AL44" si="40">AL43</f>
        <v>7.6608613808648904</v>
      </c>
      <c r="AM44">
        <f t="shared" ref="AM44" si="41">IFERROR(SQRT(AL43^2-$B$14^2),AL43)</f>
        <v>5.8042051218773372</v>
      </c>
      <c r="AO44" t="s">
        <v>99</v>
      </c>
      <c r="AP44" s="90">
        <f t="shared" ref="AP44" si="42">AP43</f>
        <v>5.9945732290587337</v>
      </c>
      <c r="AQ44">
        <f t="shared" ref="AQ44" si="43">IFERROR(SQRT(AP43^2-$B$14^2),AP43)</f>
        <v>3.3067972720666825</v>
      </c>
      <c r="AS44" t="s">
        <v>99</v>
      </c>
      <c r="AT44" s="90">
        <f t="shared" ref="AT44" si="44">AT43</f>
        <v>0</v>
      </c>
      <c r="AU44">
        <f t="shared" ref="AU44" si="45">IFERROR(SQRT(AT43^2-$B$14^2),AT43)</f>
        <v>0</v>
      </c>
    </row>
    <row r="45" spans="1:47" x14ac:dyDescent="0.25">
      <c r="A45" t="s">
        <v>100</v>
      </c>
      <c r="B45">
        <f>(B35*$B$27*SQRT(B34))/(SQRT(2)*$B$25)</f>
        <v>0.63164105217925715</v>
      </c>
      <c r="E45" t="s">
        <v>100</v>
      </c>
      <c r="F45">
        <f>(F35*$B$27*SQRT(F34))/(SQRT(2)*$B$25)</f>
        <v>0.50531284174340552</v>
      </c>
      <c r="I45" t="s">
        <v>100</v>
      </c>
      <c r="J45">
        <f>(J35*$B$27*SQRT(J34))/(SQRT(2)*$B$25)</f>
        <v>0.39205306686988373</v>
      </c>
      <c r="M45" t="s">
        <v>100</v>
      </c>
      <c r="N45">
        <f>(N35*$B$27*SQRT(N34))/(SQRT(2)*$B$25)</f>
        <v>0.29531269972017199</v>
      </c>
      <c r="Q45" t="s">
        <v>100</v>
      </c>
      <c r="R45">
        <f>(R35*$B$27*SQRT(R34))/(SQRT(2)*$B$25)</f>
        <v>0.23124485978088052</v>
      </c>
      <c r="U45" t="s">
        <v>100</v>
      </c>
      <c r="V45">
        <f>(V35*$B$27*SQRT(V34))/(SQRT(2)*$B$25)</f>
        <v>0.18094756932456171</v>
      </c>
      <c r="X45" s="34"/>
      <c r="Y45" t="s">
        <v>100</v>
      </c>
      <c r="Z45">
        <f>(Z35*$B$27*SQRT(Z34))/(SQRT(2)*$B$15)/2</f>
        <v>0.25808117892635885</v>
      </c>
      <c r="AA45" s="2"/>
      <c r="AC45" t="s">
        <v>100</v>
      </c>
      <c r="AD45">
        <f>(AD35*$B$27*SQRT(AD34))/(SQRT(2)*$B$15)/2</f>
        <v>0.20023539744286473</v>
      </c>
      <c r="AE45" s="2"/>
      <c r="AG45" t="s">
        <v>100</v>
      </c>
      <c r="AH45">
        <f>(AH35*$B$27*SQRT(AH34))/(SQRT(2)*$B$15)/2</f>
        <v>0.15148243110894977</v>
      </c>
      <c r="AI45" s="2"/>
      <c r="AK45" t="s">
        <v>100</v>
      </c>
      <c r="AL45">
        <f>(AL35*$B$27*SQRT(AL34))/(SQRT(2)*$B$15)/2</f>
        <v>0.11810494628833375</v>
      </c>
      <c r="AO45" t="s">
        <v>100</v>
      </c>
      <c r="AP45">
        <f>(AP35*$B$27*SQRT(AP34))/(SQRT(2)*$B$15)/2</f>
        <v>9.2416337281322161E-2</v>
      </c>
      <c r="AQ45" s="2"/>
      <c r="AS45" t="s">
        <v>100</v>
      </c>
      <c r="AT45">
        <f>(AT35*$B$27*SQRT(AT34))/(SQRT(2)*$B$15)/2</f>
        <v>0</v>
      </c>
      <c r="AU45" s="2"/>
    </row>
    <row r="46" spans="1:47" x14ac:dyDescent="0.25">
      <c r="C46" s="2"/>
      <c r="G46" s="2"/>
      <c r="K46" s="2"/>
      <c r="O46" s="2"/>
      <c r="S46" s="2"/>
      <c r="W46" s="2"/>
      <c r="X46" s="34"/>
      <c r="AA46" s="2"/>
      <c r="AE46" s="2"/>
      <c r="AI46" s="2"/>
      <c r="AQ46" s="2"/>
      <c r="AU46" s="2"/>
    </row>
    <row r="47" spans="1:47" x14ac:dyDescent="0.25">
      <c r="A47" t="s">
        <v>101</v>
      </c>
      <c r="B47">
        <v>20.2</v>
      </c>
      <c r="C47" s="2"/>
      <c r="E47" t="s">
        <v>101</v>
      </c>
      <c r="F47">
        <v>20.2</v>
      </c>
      <c r="G47" s="2"/>
      <c r="I47" t="s">
        <v>101</v>
      </c>
      <c r="J47">
        <v>20.2</v>
      </c>
      <c r="K47" s="2"/>
      <c r="M47" t="s">
        <v>101</v>
      </c>
      <c r="N47">
        <v>20.2</v>
      </c>
      <c r="O47" s="2"/>
      <c r="Q47" t="s">
        <v>101</v>
      </c>
      <c r="R47">
        <v>20.2</v>
      </c>
      <c r="S47" s="2"/>
      <c r="U47" t="s">
        <v>101</v>
      </c>
      <c r="V47">
        <v>20.2</v>
      </c>
      <c r="W47" s="2"/>
      <c r="X47" s="34"/>
      <c r="Y47" t="s">
        <v>101</v>
      </c>
      <c r="Z47">
        <v>14.2</v>
      </c>
      <c r="AA47" s="2"/>
      <c r="AC47" t="s">
        <v>101</v>
      </c>
      <c r="AD47">
        <v>14.2</v>
      </c>
      <c r="AE47" s="2"/>
      <c r="AG47" t="s">
        <v>101</v>
      </c>
      <c r="AH47">
        <v>14.2</v>
      </c>
      <c r="AI47" s="2"/>
      <c r="AK47" t="s">
        <v>101</v>
      </c>
      <c r="AL47">
        <v>14.2</v>
      </c>
      <c r="AO47" t="s">
        <v>101</v>
      </c>
      <c r="AP47">
        <v>14.2</v>
      </c>
      <c r="AQ47" s="2"/>
      <c r="AU47" s="2"/>
    </row>
    <row r="48" spans="1:47" x14ac:dyDescent="0.25">
      <c r="A48" t="s">
        <v>102</v>
      </c>
      <c r="B48">
        <v>-64</v>
      </c>
      <c r="C48" s="2"/>
      <c r="E48" t="s">
        <v>102</v>
      </c>
      <c r="F48">
        <v>-62</v>
      </c>
      <c r="G48" s="2"/>
      <c r="I48" t="s">
        <v>102</v>
      </c>
      <c r="J48">
        <v>-59.9</v>
      </c>
      <c r="K48" s="2"/>
      <c r="M48" t="s">
        <v>102</v>
      </c>
      <c r="N48">
        <v>-57</v>
      </c>
      <c r="O48" s="2"/>
      <c r="Q48" t="s">
        <v>102</v>
      </c>
      <c r="R48">
        <v>-54.8</v>
      </c>
      <c r="S48" s="2"/>
      <c r="U48" t="s">
        <v>102</v>
      </c>
      <c r="V48">
        <v>-52.7</v>
      </c>
      <c r="W48" s="2"/>
      <c r="X48" s="34"/>
      <c r="Y48" t="s">
        <v>102</v>
      </c>
      <c r="Z48">
        <v>-13.4</v>
      </c>
      <c r="AA48" s="2"/>
      <c r="AC48" t="s">
        <v>102</v>
      </c>
      <c r="AD48">
        <v>-13.4</v>
      </c>
      <c r="AE48" s="2"/>
      <c r="AG48" t="s">
        <v>102</v>
      </c>
      <c r="AH48">
        <v>-13.4</v>
      </c>
      <c r="AI48" s="2"/>
      <c r="AK48" t="s">
        <v>102</v>
      </c>
      <c r="AL48">
        <v>-13.4</v>
      </c>
      <c r="AO48" t="s">
        <v>102</v>
      </c>
      <c r="AP48">
        <v>-13.4</v>
      </c>
      <c r="AQ48" s="2"/>
      <c r="AU48" s="2"/>
    </row>
    <row r="49" spans="1:47" x14ac:dyDescent="0.25">
      <c r="A49" t="s">
        <v>103</v>
      </c>
      <c r="B49" s="4">
        <f>B47*LN(B38)+B48</f>
        <v>51.489294688886005</v>
      </c>
      <c r="E49" t="s">
        <v>103</v>
      </c>
      <c r="F49" s="4">
        <f t="shared" ref="F49" si="46">F47*LN(F38)+F48</f>
        <v>34.116914460862716</v>
      </c>
      <c r="I49" t="s">
        <v>103</v>
      </c>
      <c r="J49" s="4">
        <f t="shared" ref="J49" si="47">J47*LN(J38)+J48</f>
        <v>16.389455311306428</v>
      </c>
      <c r="M49" t="s">
        <v>103</v>
      </c>
      <c r="N49" s="4">
        <f t="shared" ref="N49" si="48">N47*LN(N38)+N48</f>
        <v>-3.3729251310153643</v>
      </c>
      <c r="O49" s="4"/>
      <c r="Q49" t="s">
        <v>103</v>
      </c>
      <c r="R49" s="4">
        <f t="shared" ref="R49" si="49">R47*LN(R38)+R48</f>
        <v>-22.003736407125999</v>
      </c>
      <c r="S49" s="4"/>
      <c r="U49" t="s">
        <v>103</v>
      </c>
      <c r="V49" s="4">
        <f t="shared" ref="V49" si="50">V47*LN(V38)+V48</f>
        <v>-34.126411549221331</v>
      </c>
      <c r="W49" s="4"/>
      <c r="X49" s="34"/>
      <c r="Y49" t="s">
        <v>103</v>
      </c>
      <c r="Z49" s="4">
        <f>Z47*LN(Z38)+Z48+20*LOG(Z32/200)+5</f>
        <v>61.912357106762258</v>
      </c>
      <c r="AA49" s="103" t="s">
        <v>104</v>
      </c>
      <c r="AC49" t="s">
        <v>103</v>
      </c>
      <c r="AD49" s="4">
        <f>AD47*LN(AD38)+AD48+20*LOG(AD32/200)+5</f>
        <v>50.178551854806237</v>
      </c>
      <c r="AE49" s="103" t="s">
        <v>104</v>
      </c>
      <c r="AG49" t="s">
        <v>103</v>
      </c>
      <c r="AH49" s="4">
        <f t="shared" ref="AH49" si="51">AH47*LN(AH38)+AH48+20*LOG(AH32/200)+5</f>
        <v>36.708826176058054</v>
      </c>
      <c r="AI49" s="103" t="s">
        <v>104</v>
      </c>
      <c r="AK49" t="s">
        <v>103</v>
      </c>
      <c r="AL49" s="4">
        <f t="shared" ref="AL49" si="52">AL47*LN(AL38)+AL48+20*LOG(AL32/200)+5</f>
        <v>24.189585307641241</v>
      </c>
      <c r="AM49" s="103" t="s">
        <v>104</v>
      </c>
      <c r="AO49" t="s">
        <v>103</v>
      </c>
      <c r="AP49" s="4">
        <f t="shared" ref="AP49" si="53">AP47*LN(AP38)+AP48+20*LOG(AP32/200)+5</f>
        <v>16.321853822998115</v>
      </c>
      <c r="AQ49" s="103" t="s">
        <v>104</v>
      </c>
      <c r="AS49" t="s">
        <v>103</v>
      </c>
      <c r="AT49" s="4" t="e">
        <f>14.21*LN(AT38)-13.365+20*LOG(AT32/200)+5</f>
        <v>#NUM!</v>
      </c>
      <c r="AU49" s="103" t="s">
        <v>104</v>
      </c>
    </row>
    <row r="50" spans="1:47" x14ac:dyDescent="0.25">
      <c r="B50" s="4"/>
      <c r="C50" s="4"/>
      <c r="F50" s="4"/>
      <c r="G50" s="4"/>
      <c r="J50" s="4"/>
      <c r="K50" s="4"/>
      <c r="N50" s="4"/>
      <c r="O50" s="4"/>
      <c r="R50" s="4"/>
      <c r="S50" s="4"/>
      <c r="V50" s="4"/>
      <c r="W50" s="4"/>
      <c r="X50" s="34"/>
      <c r="Z50" s="4"/>
      <c r="AA50" s="4"/>
      <c r="AD50" s="4"/>
      <c r="AE50" s="4"/>
      <c r="AH50" s="4"/>
      <c r="AI50" s="4"/>
      <c r="AL50" s="4"/>
      <c r="AP50" s="4"/>
      <c r="AQ50" s="4"/>
      <c r="AT50" s="4"/>
      <c r="AU50" s="4"/>
    </row>
    <row r="51" spans="1:47" x14ac:dyDescent="0.25">
      <c r="A51" s="2" t="s">
        <v>105</v>
      </c>
      <c r="B51" s="4"/>
      <c r="C51" s="4"/>
      <c r="E51" s="2" t="s">
        <v>105</v>
      </c>
      <c r="F51" s="4"/>
      <c r="G51" s="4"/>
      <c r="I51" s="2" t="s">
        <v>105</v>
      </c>
      <c r="J51" s="4"/>
      <c r="K51" s="4"/>
      <c r="M51" s="2" t="s">
        <v>105</v>
      </c>
      <c r="N51" s="4"/>
      <c r="O51" s="4"/>
      <c r="Q51" s="2" t="s">
        <v>105</v>
      </c>
      <c r="R51" s="4"/>
      <c r="S51" s="4"/>
      <c r="U51" s="2" t="s">
        <v>105</v>
      </c>
      <c r="V51" s="4"/>
      <c r="W51" s="4"/>
      <c r="X51" s="34"/>
      <c r="Y51" s="2" t="s">
        <v>105</v>
      </c>
      <c r="Z51" s="4"/>
      <c r="AA51" s="4"/>
      <c r="AC51" s="2" t="s">
        <v>105</v>
      </c>
      <c r="AD51" s="4"/>
      <c r="AE51" s="4"/>
      <c r="AG51" s="2" t="s">
        <v>105</v>
      </c>
      <c r="AH51" s="4"/>
      <c r="AI51" s="4"/>
      <c r="AK51" s="2" t="s">
        <v>105</v>
      </c>
      <c r="AL51" s="4"/>
      <c r="AO51" s="2" t="s">
        <v>105</v>
      </c>
      <c r="AP51" s="4"/>
      <c r="AQ51" s="4"/>
      <c r="AS51" s="2" t="s">
        <v>105</v>
      </c>
      <c r="AT51" s="4"/>
      <c r="AU51" s="4"/>
    </row>
    <row r="52" spans="1:47" x14ac:dyDescent="0.25">
      <c r="A52" t="s">
        <v>106</v>
      </c>
      <c r="B52">
        <f>B33*$B$21/(0.3*$B$25)</f>
        <v>-8.8108237776384463E-2</v>
      </c>
      <c r="C52" s="2"/>
      <c r="E52" t="s">
        <v>106</v>
      </c>
      <c r="F52">
        <f>F33*$B$21/(0.3*$B$25)</f>
        <v>-0.11013529722048059</v>
      </c>
      <c r="G52" s="2"/>
      <c r="I52" t="s">
        <v>106</v>
      </c>
      <c r="J52">
        <f>J33*$B$21/(0.3*$B$25)</f>
        <v>-0.14195216086195275</v>
      </c>
      <c r="K52" s="2"/>
      <c r="M52" t="s">
        <v>106</v>
      </c>
      <c r="N52">
        <f>N33*$B$21/(0.3*$B$25)</f>
        <v>-0.18845373079948899</v>
      </c>
      <c r="O52" s="2"/>
      <c r="Q52" t="s">
        <v>106</v>
      </c>
      <c r="R52">
        <f>R33*$B$21/(0.3*$B$25)</f>
        <v>-0.24066601985216127</v>
      </c>
      <c r="S52" s="2"/>
      <c r="U52" t="s">
        <v>106</v>
      </c>
      <c r="V52">
        <f>V33*$B$21/(0.3*$B$25)</f>
        <v>-0.30756301520089763</v>
      </c>
      <c r="W52" s="2"/>
      <c r="X52" s="34"/>
      <c r="Y52" t="s">
        <v>106</v>
      </c>
      <c r="Z52">
        <f>Z33*$B$21/(0.3*$B$25)/2</f>
        <v>-5.5067648610240293E-2</v>
      </c>
      <c r="AA52" s="2"/>
      <c r="AC52" t="s">
        <v>106</v>
      </c>
      <c r="AD52">
        <f>AD33*$B$21/(0.3*$B$25)/2</f>
        <v>-7.0976080430976377E-2</v>
      </c>
      <c r="AE52" s="2"/>
      <c r="AG52" t="s">
        <v>106</v>
      </c>
      <c r="AH52">
        <f>AH33*$B$21/(0.3*$B$25)/2</f>
        <v>-9.3818956891520491E-2</v>
      </c>
      <c r="AI52" s="2"/>
      <c r="AK52" t="s">
        <v>106</v>
      </c>
      <c r="AL52">
        <f>AL33*$B$21/(0.3*$B$25)/2</f>
        <v>-0.12033300992608063</v>
      </c>
      <c r="AO52" t="s">
        <v>106</v>
      </c>
      <c r="AP52">
        <f>AP33*$B$21/(0.3*$B$25)/2</f>
        <v>-0.15378150760044881</v>
      </c>
      <c r="AQ52" s="2"/>
      <c r="AS52" t="s">
        <v>107</v>
      </c>
      <c r="AT52">
        <f>AT33*$B$21/(0.3*$B$15)/2</f>
        <v>-3.6000000000000004E-2</v>
      </c>
      <c r="AU52" s="2"/>
    </row>
    <row r="53" spans="1:47" x14ac:dyDescent="0.25">
      <c r="A53" t="s">
        <v>108</v>
      </c>
      <c r="B53">
        <f>0.02*$B$21/(13.6*B35^2*SQRT(B34))</f>
        <v>-1.934142352264208E-4</v>
      </c>
      <c r="C53" s="2"/>
      <c r="E53" t="s">
        <v>108</v>
      </c>
      <c r="F53">
        <f t="shared" ref="F53" si="54">0.02*$B$21/(13.6*F35^2*SQRT(F34))</f>
        <v>-3.7776217817660337E-4</v>
      </c>
      <c r="G53" s="2"/>
      <c r="I53" t="s">
        <v>108</v>
      </c>
      <c r="J53">
        <f t="shared" ref="J53" si="55">0.02*$B$21/(13.6*J35^2*SQRT(J34))</f>
        <v>-8.0884427005095639E-4</v>
      </c>
      <c r="K53" s="2"/>
      <c r="M53" t="s">
        <v>108</v>
      </c>
      <c r="N53">
        <f t="shared" ref="N53" si="56">0.02*$B$21/(13.6*N35^2*SQRT(N34))</f>
        <v>-1.8925750396652872E-3</v>
      </c>
      <c r="O53" s="2"/>
      <c r="Q53" t="s">
        <v>108</v>
      </c>
      <c r="R53">
        <f t="shared" ref="R53" si="57">0.02*$B$21/(13.6*R35^2*SQRT(R34))</f>
        <v>-3.9416968140899549E-3</v>
      </c>
      <c r="S53" s="2"/>
      <c r="U53" t="s">
        <v>108</v>
      </c>
      <c r="V53">
        <f t="shared" ref="V53" si="58">0.02*$B$21/(13.6*V35^2*SQRT(V34))</f>
        <v>-8.2269947282497761E-3</v>
      </c>
      <c r="W53" s="2"/>
      <c r="Y53" t="s">
        <v>108</v>
      </c>
      <c r="Z53">
        <f>0.02*$B$21/(13.6*Z35^2*SQRT(Z34))*2</f>
        <v>-7.5552435635320675E-4</v>
      </c>
      <c r="AA53" s="2"/>
      <c r="AC53" t="s">
        <v>108</v>
      </c>
      <c r="AD53">
        <f t="shared" ref="AD53" si="59">0.02*$B$21/(13.6*AD35^2*SQRT(AD34))*2</f>
        <v>-1.6176885401019128E-3</v>
      </c>
      <c r="AE53" s="2"/>
      <c r="AG53" t="s">
        <v>108</v>
      </c>
      <c r="AH53">
        <f t="shared" ref="AH53" si="60">0.02*$B$21/(13.6*AH35^2*SQRT(AH34))*2</f>
        <v>-3.7362047833153344E-3</v>
      </c>
      <c r="AI53" s="2"/>
      <c r="AK53" t="s">
        <v>108</v>
      </c>
      <c r="AL53">
        <f t="shared" ref="AL53" si="61">0.02*$B$21/(13.6*AL35^2*SQRT(AL34))*2</f>
        <v>-7.8833936281799098E-3</v>
      </c>
      <c r="AM53" s="2"/>
      <c r="AO53" t="s">
        <v>108</v>
      </c>
      <c r="AP53">
        <f t="shared" ref="AP53" si="62">0.02*$B$21/(13.6*AP35^2*SQRT(AP34))*2</f>
        <v>-1.6453989456499552E-2</v>
      </c>
      <c r="AQ53" s="2"/>
      <c r="AU53" s="2"/>
    </row>
    <row r="54" spans="1:47" x14ac:dyDescent="0.25">
      <c r="A54" t="s">
        <v>109</v>
      </c>
      <c r="B54">
        <f>B53*$B$25^3</f>
        <v>-2.8497065647683151</v>
      </c>
      <c r="C54" s="2"/>
      <c r="E54" t="s">
        <v>109</v>
      </c>
      <c r="F54">
        <f t="shared" ref="F54" si="63">F53*$B$25^3</f>
        <v>-5.5658331343131193</v>
      </c>
      <c r="G54" s="2"/>
      <c r="I54" t="s">
        <v>109</v>
      </c>
      <c r="J54">
        <f t="shared" ref="J54" si="64">J53*$B$25^3</f>
        <v>-11.917265673548432</v>
      </c>
      <c r="K54" s="2"/>
      <c r="M54" t="s">
        <v>109</v>
      </c>
      <c r="N54">
        <f t="shared" ref="N54" si="65">N53*$B$25^3</f>
        <v>-27.884625495828494</v>
      </c>
      <c r="O54" s="2"/>
      <c r="Q54" t="s">
        <v>109</v>
      </c>
      <c r="R54">
        <f t="shared" ref="R54" si="66">R53*$B$25^3</f>
        <v>-58.07576300828601</v>
      </c>
      <c r="S54" s="2"/>
      <c r="U54" t="s">
        <v>109</v>
      </c>
      <c r="V54">
        <f t="shared" ref="V54" si="67">V53*$B$25^3</f>
        <v>-121.21404020734218</v>
      </c>
      <c r="W54" s="2"/>
      <c r="Y54" t="s">
        <v>109</v>
      </c>
      <c r="Z54">
        <f t="shared" ref="Z54" si="68">Z53*$B$25^3</f>
        <v>-11.131666268626239</v>
      </c>
      <c r="AA54" s="2"/>
      <c r="AC54" t="s">
        <v>109</v>
      </c>
      <c r="AD54">
        <f t="shared" ref="AD54" si="69">AD53*$B$25^3</f>
        <v>-23.834531347096863</v>
      </c>
      <c r="AE54" s="2"/>
      <c r="AG54" t="s">
        <v>109</v>
      </c>
      <c r="AH54">
        <f t="shared" ref="AH54" si="70">AH53*$B$25^3</f>
        <v>-55.048105874257146</v>
      </c>
      <c r="AI54" s="2"/>
      <c r="AK54" t="s">
        <v>109</v>
      </c>
      <c r="AL54">
        <f t="shared" ref="AL54" si="71">AL53*$B$25^3</f>
        <v>-116.15152601657202</v>
      </c>
      <c r="AM54" s="2"/>
      <c r="AO54" t="s">
        <v>109</v>
      </c>
      <c r="AP54">
        <f t="shared" ref="AP54" si="72">AP53*$B$25^3</f>
        <v>-242.42808041468436</v>
      </c>
      <c r="AQ54" s="2"/>
      <c r="AS54" t="s">
        <v>109</v>
      </c>
      <c r="AT54" t="e">
        <f>2*(0.02*$B$21*AT34/(13.6*AT35^2)*($B$15/SQRT(AT34))^3)</f>
        <v>#DIV/0!</v>
      </c>
      <c r="AU54" s="2"/>
    </row>
    <row r="55" spans="1:47" x14ac:dyDescent="0.25">
      <c r="A55" t="s">
        <v>110</v>
      </c>
      <c r="B55" s="4">
        <f>DEGREES(ATAN((-1*$B$14-B54)/$B$15))</f>
        <v>-5.1197772035172511</v>
      </c>
      <c r="C55" s="4"/>
      <c r="E55" t="s">
        <v>110</v>
      </c>
      <c r="F55" s="4">
        <f t="shared" ref="F55" si="73">DEGREES(ATAN((-1*$B$14-F54)/$B$15))</f>
        <v>1.3505769039827016</v>
      </c>
      <c r="G55" s="4"/>
      <c r="I55" t="s">
        <v>110</v>
      </c>
      <c r="J55" s="4">
        <f t="shared" ref="J55" si="74">DEGREES(ATAN((-1*$B$14-J54)/$B$15))</f>
        <v>16.078007909160075</v>
      </c>
      <c r="K55" s="4"/>
      <c r="M55" t="s">
        <v>110</v>
      </c>
      <c r="N55" s="4">
        <f t="shared" ref="N55" si="75">DEGREES(ATAN((-1*$B$14-N54)/$B$15))</f>
        <v>43.637203580077866</v>
      </c>
      <c r="O55" s="4"/>
      <c r="Q55" t="s">
        <v>110</v>
      </c>
      <c r="R55" s="4">
        <f t="shared" ref="R55" si="76">DEGREES(ATAN((-1*$B$14-R54)/$B$15))</f>
        <v>65.668287949636792</v>
      </c>
      <c r="S55" s="4"/>
      <c r="U55" t="s">
        <v>110</v>
      </c>
      <c r="V55" s="4">
        <f>DEGREES(ATAN((-1*$B$14-V54)/$B$15))</f>
        <v>78.331569146181948</v>
      </c>
      <c r="W55" s="4"/>
      <c r="X55" s="34"/>
      <c r="Y55" t="s">
        <v>110</v>
      </c>
      <c r="Z55" s="4">
        <f>DEGREES(ATAN((-1*$B$14-Z54)/$B$15))</f>
        <v>14.331699516155636</v>
      </c>
      <c r="AA55" s="4"/>
      <c r="AC55" t="s">
        <v>110</v>
      </c>
      <c r="AD55" s="4">
        <f>DEGREES(ATAN((-1*$B$14-AD54)/$B$15))</f>
        <v>38.123835040469238</v>
      </c>
      <c r="AE55" s="4"/>
      <c r="AG55" t="s">
        <v>110</v>
      </c>
      <c r="AH55" s="4">
        <f>DEGREES(ATAN((-1*$B$14-AH54)/$B$15))</f>
        <v>64.380482679039901</v>
      </c>
      <c r="AI55" s="4"/>
      <c r="AK55" t="s">
        <v>110</v>
      </c>
      <c r="AL55" s="4">
        <f>DEGREES(ATAN((-1*$B$14-AL54)/$B$15))</f>
        <v>77.815666175694631</v>
      </c>
      <c r="AO55" t="s">
        <v>110</v>
      </c>
      <c r="AP55" s="4">
        <f>DEGREES(ATAN((-1*$B$14-AP54)/$B$15))</f>
        <v>84.227962814438683</v>
      </c>
      <c r="AQ55" s="4"/>
      <c r="AS55" t="s">
        <v>110</v>
      </c>
      <c r="AT55" s="4" t="e">
        <f>DEGREES(ATAN((-1*$B$14-AT54)/$B$15))</f>
        <v>#DIV/0!</v>
      </c>
      <c r="AU55" s="4"/>
    </row>
    <row r="56" spans="1:47" x14ac:dyDescent="0.25">
      <c r="B56" s="4"/>
      <c r="C56" s="4"/>
      <c r="F56" s="4"/>
      <c r="G56" s="4"/>
      <c r="J56" s="4"/>
      <c r="K56" s="4"/>
      <c r="N56" s="4"/>
      <c r="O56" s="4"/>
      <c r="R56" s="4"/>
      <c r="S56" s="4"/>
      <c r="V56" s="4"/>
      <c r="W56" s="4"/>
      <c r="X56" s="34"/>
      <c r="Z56" s="4"/>
      <c r="AA56" s="4"/>
      <c r="AD56" s="4"/>
      <c r="AE56" s="4"/>
      <c r="AH56" s="4"/>
      <c r="AI56" s="4"/>
      <c r="AL56" s="4"/>
      <c r="AP56" s="4"/>
      <c r="AQ56" s="4"/>
      <c r="AT56" s="4"/>
      <c r="AU56" s="4"/>
    </row>
    <row r="57" spans="1:47" x14ac:dyDescent="0.25">
      <c r="A57" s="2" t="s">
        <v>111</v>
      </c>
      <c r="B57" s="4"/>
      <c r="C57" s="4"/>
      <c r="E57" s="2" t="s">
        <v>111</v>
      </c>
      <c r="F57" s="4"/>
      <c r="G57" s="4"/>
      <c r="I57" s="2" t="s">
        <v>111</v>
      </c>
      <c r="J57" s="4"/>
      <c r="K57" s="4"/>
      <c r="M57" s="2" t="s">
        <v>111</v>
      </c>
      <c r="N57" s="4"/>
      <c r="O57" s="4"/>
      <c r="Q57" s="2" t="s">
        <v>111</v>
      </c>
      <c r="R57" s="4"/>
      <c r="S57" s="4"/>
      <c r="U57" s="2" t="s">
        <v>111</v>
      </c>
      <c r="V57" s="4"/>
      <c r="W57" s="4"/>
      <c r="X57" s="34"/>
      <c r="Y57" s="2" t="s">
        <v>111</v>
      </c>
      <c r="Z57" s="4"/>
      <c r="AA57" s="4"/>
      <c r="AC57" s="2" t="s">
        <v>111</v>
      </c>
      <c r="AD57" s="4"/>
      <c r="AE57" s="4"/>
      <c r="AG57" s="2" t="s">
        <v>111</v>
      </c>
      <c r="AH57" s="4"/>
      <c r="AI57" s="4"/>
      <c r="AK57" s="2" t="s">
        <v>111</v>
      </c>
      <c r="AL57" s="4"/>
      <c r="AO57" s="2" t="s">
        <v>111</v>
      </c>
      <c r="AP57" s="4"/>
      <c r="AQ57" s="4"/>
      <c r="AS57" s="2" t="s">
        <v>111</v>
      </c>
      <c r="AT57" s="4"/>
      <c r="AU57" s="4"/>
    </row>
    <row r="58" spans="1:47" x14ac:dyDescent="0.25">
      <c r="A58" s="2"/>
      <c r="B58" s="4"/>
      <c r="C58" s="4"/>
      <c r="E58" s="2"/>
      <c r="F58" s="4"/>
      <c r="G58" s="4"/>
      <c r="I58" s="2"/>
      <c r="J58" s="4"/>
      <c r="K58" s="4"/>
      <c r="M58" s="2"/>
      <c r="N58" s="4"/>
      <c r="O58" s="4"/>
      <c r="Q58" s="2"/>
      <c r="R58" s="4"/>
      <c r="S58" s="4"/>
      <c r="U58" s="2"/>
      <c r="V58" s="4"/>
      <c r="W58" s="4"/>
      <c r="X58" s="34"/>
      <c r="Y58" s="2"/>
      <c r="Z58" s="4"/>
      <c r="AA58" s="4"/>
      <c r="AC58" s="2"/>
      <c r="AD58" s="4"/>
      <c r="AE58" s="4"/>
      <c r="AG58" s="2"/>
      <c r="AH58" s="4"/>
      <c r="AI58" s="4"/>
      <c r="AK58" s="2"/>
      <c r="AL58" s="4"/>
      <c r="AO58" s="2"/>
      <c r="AP58" s="4"/>
      <c r="AQ58" s="4"/>
      <c r="AS58" s="2"/>
      <c r="AT58" s="4"/>
      <c r="AU58" s="4"/>
    </row>
    <row r="59" spans="1:47" x14ac:dyDescent="0.25">
      <c r="A59" t="s">
        <v>108</v>
      </c>
      <c r="B59" s="3">
        <f>0.02*$B$22/(13.6*B35^2*SQRT(B34))</f>
        <v>1.934142352264208E-4</v>
      </c>
      <c r="C59" s="4"/>
      <c r="E59" t="s">
        <v>108</v>
      </c>
      <c r="F59" s="3">
        <f>0.02*$B$22/(13.6*F35^2*SQRT(F34))</f>
        <v>3.7776217817660337E-4</v>
      </c>
      <c r="G59" s="4"/>
      <c r="I59" t="s">
        <v>108</v>
      </c>
      <c r="J59" s="3">
        <f>0.02*$B$22/(13.6*J35^2*SQRT(J34))</f>
        <v>8.0884427005095639E-4</v>
      </c>
      <c r="K59" s="4"/>
      <c r="M59" t="s">
        <v>108</v>
      </c>
      <c r="N59" s="3">
        <f>0.02*$B$22/(13.6*N35^2*SQRT(N34))</f>
        <v>1.8925750396652872E-3</v>
      </c>
      <c r="O59" s="4"/>
      <c r="Q59" t="s">
        <v>108</v>
      </c>
      <c r="R59" s="3">
        <f>0.02*$B$22/(13.6*R35^2*SQRT(R34))</f>
        <v>3.9416968140899549E-3</v>
      </c>
      <c r="S59" s="4"/>
      <c r="U59" t="s">
        <v>108</v>
      </c>
      <c r="V59" s="3">
        <f>0.02*$B$22/(13.6*V35^2*SQRT(V34))</f>
        <v>8.2269947282497761E-3</v>
      </c>
      <c r="W59" s="4"/>
      <c r="Y59" t="s">
        <v>108</v>
      </c>
      <c r="Z59" s="3">
        <f>0.02*$B$22/(13.6*Z35^2*SQRT(Z34))*2</f>
        <v>7.5552435635320675E-4</v>
      </c>
      <c r="AA59" s="4"/>
      <c r="AC59" t="s">
        <v>108</v>
      </c>
      <c r="AD59" s="3">
        <f>0.02*$B$22/(13.6*AD35^2*SQRT(AD34))*2</f>
        <v>1.6176885401019128E-3</v>
      </c>
      <c r="AE59" s="4"/>
      <c r="AG59" t="s">
        <v>108</v>
      </c>
      <c r="AH59" s="3">
        <f>0.02*$B$22/(13.6*AH35^2*SQRT(AH34))*2</f>
        <v>3.7362047833153344E-3</v>
      </c>
      <c r="AI59" s="4"/>
      <c r="AK59" t="s">
        <v>108</v>
      </c>
      <c r="AL59" s="3">
        <f>0.02*$B$22/(13.6*AL35^2*SQRT(AL34))*2</f>
        <v>7.8833936281799098E-3</v>
      </c>
      <c r="AM59" s="4"/>
      <c r="AO59" t="s">
        <v>108</v>
      </c>
      <c r="AP59" s="3">
        <f>0.02*$B$22/(13.6*AP35^2*SQRT(AP34))*2</f>
        <v>1.6453989456499552E-2</v>
      </c>
      <c r="AQ59" s="4"/>
      <c r="AS59" t="s">
        <v>108</v>
      </c>
      <c r="AT59" s="3" t="e">
        <f>0.02*$B$22/(13.6*AT35^2*SQRT(AT34))*2</f>
        <v>#DIV/0!</v>
      </c>
      <c r="AU59" s="4"/>
    </row>
    <row r="60" spans="1:47" x14ac:dyDescent="0.25">
      <c r="A60" t="s">
        <v>112</v>
      </c>
      <c r="B60" s="4">
        <f>$B$24-$B$14</f>
        <v>-3.5</v>
      </c>
      <c r="C60" s="4"/>
      <c r="E60" t="s">
        <v>112</v>
      </c>
      <c r="F60" s="4">
        <f>$B$24-$B$14</f>
        <v>-3.5</v>
      </c>
      <c r="G60" s="4"/>
      <c r="I60" t="s">
        <v>112</v>
      </c>
      <c r="J60" s="4">
        <f>$B$24-$B$14</f>
        <v>-3.5</v>
      </c>
      <c r="K60" s="4"/>
      <c r="M60" t="s">
        <v>112</v>
      </c>
      <c r="N60" s="4">
        <f>$B$24-$B$14</f>
        <v>-3.5</v>
      </c>
      <c r="O60" s="4"/>
      <c r="Q60" t="s">
        <v>112</v>
      </c>
      <c r="R60" s="4">
        <f>$B$24-$B$14</f>
        <v>-3.5</v>
      </c>
      <c r="S60" s="4"/>
      <c r="U60" t="s">
        <v>112</v>
      </c>
      <c r="V60" s="4">
        <f>$B$24-$B$14</f>
        <v>-3.5</v>
      </c>
      <c r="W60" s="4"/>
      <c r="X60" s="34"/>
      <c r="Y60" t="s">
        <v>112</v>
      </c>
      <c r="Z60" s="4">
        <f>$B$24-$B$14</f>
        <v>-3.5</v>
      </c>
      <c r="AA60" s="4"/>
      <c r="AC60" t="s">
        <v>112</v>
      </c>
      <c r="AD60" s="4">
        <f>$B$24-$B$14</f>
        <v>-3.5</v>
      </c>
      <c r="AE60" s="4"/>
      <c r="AG60" t="s">
        <v>112</v>
      </c>
      <c r="AH60" s="4">
        <f>$B$24-$B$14</f>
        <v>-3.5</v>
      </c>
      <c r="AI60" s="4"/>
      <c r="AK60" t="s">
        <v>112</v>
      </c>
      <c r="AL60" s="4">
        <f>$B$24-$B$14</f>
        <v>-3.5</v>
      </c>
      <c r="AO60" t="s">
        <v>112</v>
      </c>
      <c r="AP60" s="4">
        <f>$B$24-$B$14</f>
        <v>-3.5</v>
      </c>
      <c r="AQ60" s="4"/>
      <c r="AS60" t="s">
        <v>112</v>
      </c>
      <c r="AT60" s="4">
        <f>$B$24-$B$14</f>
        <v>-3.5</v>
      </c>
      <c r="AU60" s="4"/>
    </row>
    <row r="61" spans="1:47" x14ac:dyDescent="0.25">
      <c r="B61" s="4"/>
      <c r="C61" s="4"/>
      <c r="F61" s="4"/>
      <c r="G61" s="4"/>
      <c r="J61" s="4"/>
      <c r="K61" s="4"/>
      <c r="N61" s="4"/>
      <c r="O61" s="4"/>
      <c r="R61" s="4"/>
      <c r="S61" s="4"/>
      <c r="V61" s="4"/>
      <c r="W61" s="4"/>
      <c r="X61" s="34"/>
      <c r="Z61" s="4"/>
      <c r="AA61" s="4"/>
      <c r="AD61" s="4"/>
      <c r="AE61" s="4"/>
      <c r="AH61" s="4"/>
      <c r="AI61" s="4"/>
      <c r="AL61" s="4"/>
      <c r="AP61" s="4"/>
      <c r="AQ61" s="4"/>
      <c r="AT61" s="4"/>
      <c r="AU61" s="4"/>
    </row>
    <row r="62" spans="1:47" x14ac:dyDescent="0.25">
      <c r="A62" t="s">
        <v>113</v>
      </c>
      <c r="B62" s="4"/>
      <c r="C62" s="4"/>
      <c r="E62" t="s">
        <v>113</v>
      </c>
      <c r="F62" s="4"/>
      <c r="G62" s="4"/>
      <c r="I62" t="s">
        <v>113</v>
      </c>
      <c r="J62" s="4"/>
      <c r="K62" s="4"/>
      <c r="M62" t="s">
        <v>113</v>
      </c>
      <c r="N62" s="4"/>
      <c r="O62" s="4"/>
      <c r="Q62" t="s">
        <v>113</v>
      </c>
      <c r="R62" s="4"/>
      <c r="S62" s="4"/>
      <c r="U62" t="s">
        <v>113</v>
      </c>
      <c r="V62" s="4"/>
      <c r="W62" s="4"/>
      <c r="X62" s="34"/>
      <c r="Y62" t="s">
        <v>113</v>
      </c>
      <c r="Z62" s="4"/>
      <c r="AA62" s="4"/>
      <c r="AC62" t="s">
        <v>113</v>
      </c>
      <c r="AD62" s="4"/>
      <c r="AE62" s="4"/>
      <c r="AG62" t="s">
        <v>113</v>
      </c>
      <c r="AH62" s="4"/>
      <c r="AI62" s="4"/>
      <c r="AK62" t="s">
        <v>113</v>
      </c>
      <c r="AL62" s="4"/>
      <c r="AO62" t="s">
        <v>113</v>
      </c>
      <c r="AP62" s="4"/>
      <c r="AQ62" s="4"/>
      <c r="AS62" t="s">
        <v>113</v>
      </c>
      <c r="AT62" s="4"/>
      <c r="AU62" s="4"/>
    </row>
    <row r="63" spans="1:47" x14ac:dyDescent="0.25">
      <c r="A63" t="s">
        <v>114</v>
      </c>
      <c r="B63" s="89">
        <f>DEGREES(-1*ASIN((3*SQRT(3*B59)*B60/-2)^(2/3)))</f>
        <v>-14.5927638422596</v>
      </c>
      <c r="C63" s="4" t="s">
        <v>115</v>
      </c>
      <c r="E63" t="s">
        <v>114</v>
      </c>
      <c r="F63" s="89">
        <f t="shared" ref="F63" si="77">DEGREES(-1*ASIN((3*SQRT(3*F59)*F60/-2)^(2/3)))</f>
        <v>-18.356824925058781</v>
      </c>
      <c r="G63" s="4" t="s">
        <v>115</v>
      </c>
      <c r="I63" t="s">
        <v>114</v>
      </c>
      <c r="J63" s="89">
        <f t="shared" ref="J63" si="78">DEGREES(-1*ASIN((3*SQRT(3*J59)*J60/-2)^(2/3)))</f>
        <v>-23.948468185864261</v>
      </c>
      <c r="K63" s="4" t="s">
        <v>115</v>
      </c>
      <c r="M63" t="s">
        <v>114</v>
      </c>
      <c r="N63" s="89">
        <f t="shared" ref="N63" si="79">DEGREES(-1*ASIN((3*SQRT(3*N59)*N60/-2)^(2/3)))</f>
        <v>-32.607899962187552</v>
      </c>
      <c r="O63" s="4" t="s">
        <v>115</v>
      </c>
      <c r="Q63" t="s">
        <v>114</v>
      </c>
      <c r="R63" s="89">
        <f t="shared" ref="R63" si="80">DEGREES(-1*ASIN((3*SQRT(3*R59)*R60/-2)^(2/3)))</f>
        <v>-43.486918693814687</v>
      </c>
      <c r="S63" s="4" t="s">
        <v>115</v>
      </c>
      <c r="U63" t="s">
        <v>114</v>
      </c>
      <c r="V63" s="89">
        <f>DEGREES(-1*ASIN((3*SQRT(3*V59)*V60/-2)^(2/3)))</f>
        <v>-61.579957824930084</v>
      </c>
      <c r="W63" s="4" t="s">
        <v>115</v>
      </c>
      <c r="X63" s="34"/>
      <c r="Y63" t="s">
        <v>114</v>
      </c>
      <c r="Z63" s="89">
        <f>DEGREES(-1*ASIN((3*SQRT(3*Z59)*Z60/-2)^(2/3)))</f>
        <v>-23.377776033696723</v>
      </c>
      <c r="AA63" s="4" t="s">
        <v>115</v>
      </c>
      <c r="AC63" t="s">
        <v>114</v>
      </c>
      <c r="AD63" s="89">
        <f>DEGREES(-1*ASIN((3*SQRT(3*AD59)*AD60/-2)^(2/3)))</f>
        <v>-30.758504697163442</v>
      </c>
      <c r="AE63" s="4" t="s">
        <v>115</v>
      </c>
      <c r="AG63" t="s">
        <v>114</v>
      </c>
      <c r="AH63" s="89">
        <f>DEGREES(-1*ASIN((3*SQRT(3*AH59)*AH60/-2)^(2/3)))</f>
        <v>-42.533082432693796</v>
      </c>
      <c r="AI63" s="4" t="s">
        <v>115</v>
      </c>
      <c r="AK63" t="s">
        <v>114</v>
      </c>
      <c r="AL63" s="89">
        <f>DEGREES(-1*ASIN((3*SQRT(3*AL59)*AL60/-2)^(2/3)))</f>
        <v>-60.119199366744446</v>
      </c>
      <c r="AO63" t="s">
        <v>114</v>
      </c>
      <c r="AP63" s="89" t="e">
        <f>DEGREES(-1*ASIN((3*SQRT(3*AP59)*AP60/-2)^(2/3)))</f>
        <v>#NUM!</v>
      </c>
      <c r="AQ63" s="4" t="s">
        <v>115</v>
      </c>
      <c r="AS63" t="s">
        <v>114</v>
      </c>
      <c r="AT63" s="89" t="e">
        <f>DEGREES(-1*ASIN((3*SQRT(3*AT59)*AT60/-2)^(2/3)))</f>
        <v>#DIV/0!</v>
      </c>
      <c r="AU63" s="4" t="s">
        <v>115</v>
      </c>
    </row>
    <row r="64" spans="1:47" x14ac:dyDescent="0.25">
      <c r="A64" t="s">
        <v>116</v>
      </c>
      <c r="B64" s="4">
        <f>IF($B$22=0,B43,SQRT(-1*SIN(RADIANS(B63))/(3*B59)))</f>
        <v>20.837704321427577</v>
      </c>
      <c r="C64" s="4" t="s">
        <v>14</v>
      </c>
      <c r="E64" t="s">
        <v>116</v>
      </c>
      <c r="F64" s="4">
        <f>IF($B$22=0,F43,SQRT(-1*SIN(RADIANS(F63))/(3*F59)))</f>
        <v>16.670163457142056</v>
      </c>
      <c r="G64" s="4" t="s">
        <v>14</v>
      </c>
      <c r="I64" t="s">
        <v>116</v>
      </c>
      <c r="J64" s="4">
        <f>IF($B$22=0,J43,SQRT(-1*SIN(RADIANS(J63))/(3*J59)))</f>
        <v>12.933747509851598</v>
      </c>
      <c r="K64" s="4" t="s">
        <v>14</v>
      </c>
      <c r="M64" t="s">
        <v>116</v>
      </c>
      <c r="N64" s="4">
        <f>IF($B$22=0,N43,SQRT(-1*SIN(RADIANS(N63))/(3*N59)))</f>
        <v>9.7423033191089914</v>
      </c>
      <c r="O64" s="4" t="s">
        <v>14</v>
      </c>
      <c r="Q64" t="s">
        <v>116</v>
      </c>
      <c r="R64" s="4">
        <f>IF($B$22=0,R43,SQRT(-1*SIN(RADIANS(R63))/(3*R59)))</f>
        <v>7.6287188702175524</v>
      </c>
      <c r="S64" s="4" t="s">
        <v>14</v>
      </c>
      <c r="U64" t="s">
        <v>116</v>
      </c>
      <c r="V64" s="4">
        <f>IF($B$22=0,V43,SQRT(-1*SIN(RADIANS(V63))/(3*V59)))</f>
        <v>5.969421927623813</v>
      </c>
      <c r="W64" s="4" t="s">
        <v>14</v>
      </c>
      <c r="X64" s="34"/>
      <c r="Y64" t="s">
        <v>116</v>
      </c>
      <c r="Z64" s="4">
        <f>IF($B$22=0,Z43,SQRT(-1*SIN(RADIANS(Z63))/(3*Z59)))</f>
        <v>13.231117504174568</v>
      </c>
      <c r="AA64" s="4" t="s">
        <v>14</v>
      </c>
      <c r="AC64" t="s">
        <v>116</v>
      </c>
      <c r="AD64" s="4">
        <f>IF($B$22=0,AD43,SQRT(-1*SIN(RADIANS(AD63))/(3*AD59)))</f>
        <v>10.265522201514754</v>
      </c>
      <c r="AE64" s="4" t="s">
        <v>14</v>
      </c>
      <c r="AG64" t="s">
        <v>116</v>
      </c>
      <c r="AH64" s="4">
        <f>IF($B$22=0,AH43,SQRT(-1*SIN(RADIANS(AH63))/(3*AH59)))</f>
        <v>7.7660907089720297</v>
      </c>
      <c r="AI64" s="4" t="s">
        <v>14</v>
      </c>
      <c r="AK64" t="s">
        <v>116</v>
      </c>
      <c r="AL64" s="4">
        <f>IF($B$22=0,AL43,SQRT(-1*SIN(RADIANS(AL63))/(3*AL59)))</f>
        <v>6.0549181798764984</v>
      </c>
      <c r="AM64" s="4" t="s">
        <v>14</v>
      </c>
      <c r="AO64" t="s">
        <v>116</v>
      </c>
      <c r="AP64" s="4" t="e">
        <f>IF($B$22=0,AP43,SQRT(-1*SIN(RADIANS(AP63))/(3*AP59)))</f>
        <v>#NUM!</v>
      </c>
      <c r="AQ64" s="4" t="s">
        <v>14</v>
      </c>
      <c r="AS64" t="s">
        <v>116</v>
      </c>
      <c r="AT64" s="4" t="e">
        <f>IF($B$22=0,AT43,SQRT(-1*SIN(RADIANS(AT63))/(3*AT59)))</f>
        <v>#DIV/0!</v>
      </c>
      <c r="AU64" s="4" t="s">
        <v>14</v>
      </c>
    </row>
    <row r="65" spans="1:47" x14ac:dyDescent="0.25">
      <c r="A65" t="s">
        <v>117</v>
      </c>
      <c r="B65" s="4">
        <f t="shared" ref="B65" si="81">B64*COS(RADIANS(B63))</f>
        <v>20.165500772042371</v>
      </c>
      <c r="C65" s="4" t="s">
        <v>14</v>
      </c>
      <c r="E65" t="s">
        <v>117</v>
      </c>
      <c r="F65" s="4">
        <f t="shared" ref="F65" si="82">F64*COS(RADIANS(F63))</f>
        <v>15.821878829261536</v>
      </c>
      <c r="G65" s="4" t="s">
        <v>14</v>
      </c>
      <c r="I65" t="s">
        <v>117</v>
      </c>
      <c r="J65" s="4">
        <f t="shared" ref="J65" si="83">J64*COS(RADIANS(J63))</f>
        <v>11.820292917207778</v>
      </c>
      <c r="K65" s="4" t="s">
        <v>14</v>
      </c>
      <c r="M65" t="s">
        <v>117</v>
      </c>
      <c r="N65" s="4">
        <f t="shared" ref="N65" si="84">N64*COS(RADIANS(N63))</f>
        <v>8.2067029897226131</v>
      </c>
      <c r="O65" s="4" t="s">
        <v>14</v>
      </c>
      <c r="Q65" t="s">
        <v>117</v>
      </c>
      <c r="R65" s="4">
        <f t="shared" ref="R65" si="85">R64*COS(RADIANS(R63))</f>
        <v>5.5348759336423585</v>
      </c>
      <c r="S65" s="4" t="s">
        <v>14</v>
      </c>
      <c r="U65" t="s">
        <v>117</v>
      </c>
      <c r="V65" s="4">
        <f>V64*COS(RADIANS(V63))</f>
        <v>2.8410382169193014</v>
      </c>
      <c r="W65" s="4" t="s">
        <v>14</v>
      </c>
      <c r="X65" s="34"/>
      <c r="Y65" t="s">
        <v>117</v>
      </c>
      <c r="Z65" s="4">
        <f>Z64*COS(RADIANS(Z63))</f>
        <v>12.144956583260175</v>
      </c>
      <c r="AA65" s="4" t="s">
        <v>14</v>
      </c>
      <c r="AC65" t="s">
        <v>117</v>
      </c>
      <c r="AD65" s="4">
        <f>AD64*COS(RADIANS(AD63))</f>
        <v>8.821476410997894</v>
      </c>
      <c r="AE65" s="4" t="s">
        <v>14</v>
      </c>
      <c r="AG65" t="s">
        <v>117</v>
      </c>
      <c r="AH65" s="4">
        <f>AH64*COS(RADIANS(AH63))</f>
        <v>5.7227322932303659</v>
      </c>
      <c r="AI65" s="4" t="s">
        <v>14</v>
      </c>
      <c r="AK65" t="s">
        <v>117</v>
      </c>
      <c r="AL65" s="4">
        <f>AL64*COS(RADIANS(AL63))</f>
        <v>3.0165434134119349</v>
      </c>
      <c r="AO65" t="s">
        <v>117</v>
      </c>
      <c r="AP65" s="4" t="e">
        <f>AP64*COS(RADIANS(AP63))</f>
        <v>#NUM!</v>
      </c>
      <c r="AQ65" s="4" t="s">
        <v>14</v>
      </c>
      <c r="AS65" t="s">
        <v>117</v>
      </c>
      <c r="AT65" s="4" t="e">
        <f>AT64*COS(RADIANS(AT63))</f>
        <v>#DIV/0!</v>
      </c>
      <c r="AU65" s="4" t="s">
        <v>14</v>
      </c>
    </row>
    <row r="66" spans="1:47" x14ac:dyDescent="0.25">
      <c r="B66" s="4"/>
      <c r="C66" s="4"/>
      <c r="F66" s="4"/>
      <c r="G66" s="4"/>
      <c r="J66" s="4"/>
      <c r="K66" s="4"/>
      <c r="N66" s="4"/>
      <c r="O66" s="4"/>
      <c r="R66" s="4"/>
      <c r="S66" s="4"/>
      <c r="V66" s="4"/>
      <c r="W66" s="4"/>
      <c r="X66" s="34"/>
      <c r="Z66" s="4"/>
      <c r="AA66" s="4"/>
      <c r="AD66" s="4"/>
      <c r="AE66" s="4"/>
      <c r="AH66" s="4"/>
      <c r="AI66" s="4"/>
      <c r="AL66" s="4"/>
      <c r="AP66" s="4"/>
      <c r="AQ66" s="4"/>
      <c r="AT66" s="4"/>
      <c r="AU66" s="4"/>
    </row>
    <row r="67" spans="1:47" x14ac:dyDescent="0.25">
      <c r="A67" t="s">
        <v>118</v>
      </c>
      <c r="B67" s="4" t="b">
        <f>AND(B65&lt;=$B$15,NOT($B$22=0))</f>
        <v>1</v>
      </c>
      <c r="C67" s="4"/>
      <c r="E67" t="s">
        <v>118</v>
      </c>
      <c r="F67" s="4" t="b">
        <f t="shared" ref="F67" si="86">AND(F65&lt;=$B$15,NOT($B$22=0))</f>
        <v>1</v>
      </c>
      <c r="G67" s="4"/>
      <c r="I67" t="s">
        <v>118</v>
      </c>
      <c r="J67" s="4" t="b">
        <f t="shared" ref="J67" si="87">AND(J65&lt;=$B$15,NOT($B$22=0))</f>
        <v>1</v>
      </c>
      <c r="K67" s="4"/>
      <c r="M67" t="s">
        <v>118</v>
      </c>
      <c r="N67" s="4" t="b">
        <f t="shared" ref="N67" si="88">AND(N65&lt;=$B$15,NOT($B$22=0))</f>
        <v>1</v>
      </c>
      <c r="O67" s="4"/>
      <c r="Q67" t="s">
        <v>118</v>
      </c>
      <c r="R67" s="4" t="b">
        <f t="shared" ref="R67" si="89">AND(R65&lt;=$B$15,NOT($B$22=0))</f>
        <v>1</v>
      </c>
      <c r="S67" s="4"/>
      <c r="U67" t="s">
        <v>118</v>
      </c>
      <c r="V67" s="4" t="b">
        <f t="shared" ref="V67" si="90">AND(V65&lt;=$B$15,NOT($B$22=0))</f>
        <v>1</v>
      </c>
      <c r="W67" s="4"/>
      <c r="Y67" t="s">
        <v>118</v>
      </c>
      <c r="Z67" s="4" t="b">
        <f t="shared" ref="Z67" si="91">AND(Z65&lt;=$B$15,NOT($B$22=0))</f>
        <v>1</v>
      </c>
      <c r="AA67" s="4"/>
      <c r="AC67" t="s">
        <v>118</v>
      </c>
      <c r="AD67" s="4" t="b">
        <f t="shared" ref="AD67" si="92">AND(AD65&lt;=$B$15,NOT($B$22=0))</f>
        <v>1</v>
      </c>
      <c r="AE67" s="4"/>
      <c r="AG67" t="s">
        <v>118</v>
      </c>
      <c r="AH67" s="4" t="b">
        <f t="shared" ref="AH67" si="93">AND(AH65&lt;=$B$15,NOT($B$22=0))</f>
        <v>1</v>
      </c>
      <c r="AI67" s="4"/>
      <c r="AK67" t="s">
        <v>118</v>
      </c>
      <c r="AL67" s="4" t="b">
        <f t="shared" ref="AL67" si="94">AND(AL65&lt;=$B$15,NOT($B$22=0))</f>
        <v>1</v>
      </c>
      <c r="AM67" s="4"/>
      <c r="AO67" t="s">
        <v>118</v>
      </c>
      <c r="AP67" s="4" t="e">
        <f t="shared" ref="AP67" si="95">AND(AP65&lt;=$B$15,NOT($B$22=0))</f>
        <v>#NUM!</v>
      </c>
      <c r="AQ67" s="4"/>
      <c r="AS67" t="s">
        <v>118</v>
      </c>
      <c r="AT67" s="4" t="e">
        <f t="shared" ref="AT67" si="96">AND(AT65&lt;=$B$15,NOT($B$22=0))</f>
        <v>#DIV/0!</v>
      </c>
      <c r="AU67" s="4"/>
    </row>
    <row r="68" spans="1:47" x14ac:dyDescent="0.25">
      <c r="B68" s="4"/>
      <c r="C68" s="4"/>
      <c r="F68" s="4"/>
      <c r="G68" s="4"/>
      <c r="J68" s="4"/>
      <c r="K68" s="4"/>
      <c r="N68" s="4"/>
      <c r="O68" s="4"/>
      <c r="R68" s="4"/>
      <c r="S68" s="4"/>
      <c r="V68" s="4"/>
      <c r="W68" s="4"/>
      <c r="X68" s="34"/>
      <c r="Z68" s="4"/>
      <c r="AA68" s="4"/>
      <c r="AD68" s="4"/>
      <c r="AE68" s="4"/>
      <c r="AH68" s="4"/>
      <c r="AI68" s="4"/>
      <c r="AL68" s="4"/>
      <c r="AP68" s="4"/>
      <c r="AQ68" s="4"/>
      <c r="AT68" s="4"/>
      <c r="AU68" s="4"/>
    </row>
    <row r="69" spans="1:47" x14ac:dyDescent="0.25">
      <c r="A69" t="s">
        <v>119</v>
      </c>
      <c r="B69" s="4"/>
      <c r="C69" s="4"/>
      <c r="E69" t="s">
        <v>119</v>
      </c>
      <c r="F69" s="4"/>
      <c r="G69" s="4"/>
      <c r="I69" t="s">
        <v>119</v>
      </c>
      <c r="J69" s="4"/>
      <c r="K69" s="4"/>
      <c r="M69" t="s">
        <v>119</v>
      </c>
      <c r="N69" s="4"/>
      <c r="O69" s="4"/>
      <c r="Q69" t="s">
        <v>119</v>
      </c>
      <c r="R69" s="4"/>
      <c r="S69" s="4"/>
      <c r="U69" t="s">
        <v>119</v>
      </c>
      <c r="V69" s="4"/>
      <c r="W69" s="4"/>
      <c r="X69" s="34"/>
      <c r="Y69" t="s">
        <v>119</v>
      </c>
      <c r="Z69" s="4"/>
      <c r="AA69" s="4"/>
      <c r="AC69" t="s">
        <v>119</v>
      </c>
      <c r="AD69" s="4"/>
      <c r="AE69" s="4"/>
      <c r="AG69" t="s">
        <v>119</v>
      </c>
      <c r="AH69" s="4"/>
      <c r="AI69" s="4"/>
      <c r="AK69" t="s">
        <v>119</v>
      </c>
      <c r="AL69" s="4"/>
      <c r="AO69" t="s">
        <v>119</v>
      </c>
      <c r="AP69" s="4"/>
      <c r="AQ69" s="4"/>
      <c r="AS69" t="s">
        <v>119</v>
      </c>
      <c r="AT69" s="4"/>
      <c r="AU69" s="4"/>
    </row>
    <row r="70" spans="1:47" x14ac:dyDescent="0.25">
      <c r="A70" t="s">
        <v>120</v>
      </c>
      <c r="B70" s="4">
        <f t="shared" ref="B70" si="97">SQRT(B60^2+$B$15^2)</f>
        <v>24.253865671269807</v>
      </c>
      <c r="C70" s="4"/>
      <c r="E70" t="s">
        <v>120</v>
      </c>
      <c r="F70" s="4">
        <f t="shared" ref="F70" si="98">SQRT(F60^2+$B$15^2)</f>
        <v>24.253865671269807</v>
      </c>
      <c r="G70" s="4"/>
      <c r="I70" t="s">
        <v>120</v>
      </c>
      <c r="J70" s="4">
        <f>SQRT(J60^2+$B$15^2)</f>
        <v>24.253865671269807</v>
      </c>
      <c r="K70" s="4"/>
      <c r="M70" t="s">
        <v>120</v>
      </c>
      <c r="N70" s="4">
        <f t="shared" ref="N70" si="99">SQRT(N60^2+$B$15^2)</f>
        <v>24.253865671269807</v>
      </c>
      <c r="O70" s="4"/>
      <c r="Q70" t="s">
        <v>120</v>
      </c>
      <c r="R70" s="4">
        <f t="shared" ref="R70" si="100">SQRT(R60^2+$B$15^2)</f>
        <v>24.253865671269807</v>
      </c>
      <c r="S70" s="4"/>
      <c r="U70" t="s">
        <v>120</v>
      </c>
      <c r="V70" s="4">
        <f>SQRT(V60^2+$B$15^2)</f>
        <v>24.253865671269807</v>
      </c>
      <c r="W70" s="4"/>
      <c r="X70" s="34"/>
      <c r="Y70" t="s">
        <v>120</v>
      </c>
      <c r="Z70" s="4">
        <f>SQRT(Z60^2+$B$15^2)</f>
        <v>24.253865671269807</v>
      </c>
      <c r="AA70" s="4"/>
      <c r="AC70" t="s">
        <v>120</v>
      </c>
      <c r="AD70" s="4">
        <f>SQRT(AD60^2+$B$15^2)</f>
        <v>24.253865671269807</v>
      </c>
      <c r="AE70" s="4"/>
      <c r="AG70" t="s">
        <v>120</v>
      </c>
      <c r="AH70" s="4">
        <f>SQRT(AH60^2+$B$15^2)</f>
        <v>24.253865671269807</v>
      </c>
      <c r="AI70" s="4"/>
      <c r="AK70" t="s">
        <v>120</v>
      </c>
      <c r="AL70" s="4">
        <f>SQRT(AL60^2+$B$15^2)</f>
        <v>24.253865671269807</v>
      </c>
      <c r="AO70" t="s">
        <v>120</v>
      </c>
      <c r="AP70" s="4">
        <f>SQRT(AP60^2+$B$15^2)</f>
        <v>24.253865671269807</v>
      </c>
      <c r="AQ70" s="4"/>
      <c r="AS70" t="s">
        <v>120</v>
      </c>
      <c r="AT70" s="4">
        <f>SQRT(AT60^2+$B$15^2)</f>
        <v>24.253865671269807</v>
      </c>
      <c r="AU70" s="4"/>
    </row>
    <row r="71" spans="1:47" x14ac:dyDescent="0.25">
      <c r="A71" t="s">
        <v>121</v>
      </c>
      <c r="B71" s="4">
        <f t="shared" ref="B71" si="101">DEGREES(ASIN((B60-B59*B70^3)/B70))</f>
        <v>-14.956333641190504</v>
      </c>
      <c r="C71" s="4"/>
      <c r="E71" t="s">
        <v>121</v>
      </c>
      <c r="F71" s="4">
        <f t="shared" ref="F71" si="102">DEGREES(ASIN((F60-F59*F70^3)/F70))</f>
        <v>-21.501494427531377</v>
      </c>
      <c r="G71" s="4"/>
      <c r="I71" t="s">
        <v>121</v>
      </c>
      <c r="J71" s="4">
        <f t="shared" ref="J71" si="103">DEGREES(ASIN((J60-J59*J70^3)/J70))</f>
        <v>-38.324133735589129</v>
      </c>
      <c r="K71" s="4"/>
      <c r="M71" t="s">
        <v>121</v>
      </c>
      <c r="N71" s="4" t="e">
        <f t="shared" ref="N71" si="104">DEGREES(ASIN((N60-N59*N70^3)/N70))</f>
        <v>#NUM!</v>
      </c>
      <c r="O71" s="4"/>
      <c r="Q71" t="s">
        <v>121</v>
      </c>
      <c r="R71" s="4" t="e">
        <f t="shared" ref="R71" si="105">DEGREES(ASIN((R60-R59*R70^3)/R70))</f>
        <v>#NUM!</v>
      </c>
      <c r="S71" s="4"/>
      <c r="U71" t="s">
        <v>121</v>
      </c>
      <c r="V71" s="4" t="e">
        <f>DEGREES(ASIN((V60-V59*V70^3)/V70))</f>
        <v>#NUM!</v>
      </c>
      <c r="W71" s="4"/>
      <c r="X71" s="34"/>
      <c r="Y71" t="s">
        <v>121</v>
      </c>
      <c r="Z71" s="4">
        <f>DEGREES(ASIN((Z60-Z59*Z70^3)/Z70))</f>
        <v>-36.067935985529338</v>
      </c>
      <c r="AA71" s="4"/>
      <c r="AC71" t="s">
        <v>121</v>
      </c>
      <c r="AD71" s="4" t="e">
        <f>DEGREES(ASIN((AD60-AD59*AD70^3)/AD70))</f>
        <v>#NUM!</v>
      </c>
      <c r="AE71" s="4"/>
      <c r="AG71" t="s">
        <v>121</v>
      </c>
      <c r="AH71" s="4" t="e">
        <f>DEGREES(ASIN((AH60-AH59*AH70^3)/AH70))</f>
        <v>#NUM!</v>
      </c>
      <c r="AI71" s="4"/>
      <c r="AK71" t="s">
        <v>121</v>
      </c>
      <c r="AL71" s="4" t="e">
        <f>DEGREES(ASIN((AL60-AL59*AL70^3)/AL70))</f>
        <v>#NUM!</v>
      </c>
      <c r="AO71" t="s">
        <v>121</v>
      </c>
      <c r="AP71" s="4" t="e">
        <f>DEGREES(ASIN((AP60-AP59*AP70^3)/AP70))</f>
        <v>#NUM!</v>
      </c>
      <c r="AQ71" s="4"/>
      <c r="AS71" t="s">
        <v>121</v>
      </c>
      <c r="AT71" s="4" t="e">
        <f>DEGREES(ASIN((AT60-AT59*AT70^3)/AT70))</f>
        <v>#DIV/0!</v>
      </c>
      <c r="AU71" s="4"/>
    </row>
    <row r="72" spans="1:47" x14ac:dyDescent="0.25">
      <c r="A72" t="s">
        <v>122</v>
      </c>
      <c r="B72" s="4">
        <f t="shared" ref="B72" si="106">DEGREES(ATAN(B60/$B$15))</f>
        <v>-8.2971449698368733</v>
      </c>
      <c r="C72" s="4"/>
      <c r="E72" t="s">
        <v>122</v>
      </c>
      <c r="F72" s="4">
        <f t="shared" ref="F72" si="107">DEGREES(ATAN(F60/$B$15))</f>
        <v>-8.2971449698368733</v>
      </c>
      <c r="G72" s="4"/>
      <c r="I72" t="s">
        <v>122</v>
      </c>
      <c r="J72" s="4">
        <f t="shared" ref="J72" si="108">DEGREES(ATAN(J60/$B$15))</f>
        <v>-8.2971449698368733</v>
      </c>
      <c r="K72" s="4"/>
      <c r="M72" t="s">
        <v>122</v>
      </c>
      <c r="N72" s="4">
        <f t="shared" ref="N72" si="109">DEGREES(ATAN(N60/$B$15))</f>
        <v>-8.2971449698368733</v>
      </c>
      <c r="O72" s="4"/>
      <c r="Q72" t="s">
        <v>122</v>
      </c>
      <c r="R72" s="4">
        <f t="shared" ref="R72" si="110">DEGREES(ATAN(R60/$B$15))</f>
        <v>-8.2971449698368733</v>
      </c>
      <c r="S72" s="4"/>
      <c r="U72" t="s">
        <v>122</v>
      </c>
      <c r="V72" s="4">
        <f>DEGREES(ATAN(V60/$B$15))</f>
        <v>-8.2971449698368733</v>
      </c>
      <c r="W72" s="4"/>
      <c r="X72" s="34"/>
      <c r="Y72" t="s">
        <v>122</v>
      </c>
      <c r="Z72" s="4">
        <f>DEGREES(ATAN(Z60/$B$15))</f>
        <v>-8.2971449698368733</v>
      </c>
      <c r="AA72" s="4"/>
      <c r="AC72" t="s">
        <v>122</v>
      </c>
      <c r="AD72" s="4">
        <f>DEGREES(ATAN(AD60/$B$15))</f>
        <v>-8.2971449698368733</v>
      </c>
      <c r="AE72" s="4"/>
      <c r="AG72" t="s">
        <v>122</v>
      </c>
      <c r="AH72" s="4">
        <f>DEGREES(ATAN(AH60/$B$15))</f>
        <v>-8.2971449698368733</v>
      </c>
      <c r="AI72" s="4"/>
      <c r="AK72" t="s">
        <v>122</v>
      </c>
      <c r="AL72" s="4">
        <f>DEGREES(ATAN(AL60/$B$15))</f>
        <v>-8.2971449698368733</v>
      </c>
      <c r="AO72" t="s">
        <v>122</v>
      </c>
      <c r="AP72" s="4">
        <f>DEGREES(ATAN(AP60/$B$15))</f>
        <v>-8.2971449698368733</v>
      </c>
      <c r="AQ72" s="4"/>
      <c r="AS72" t="s">
        <v>122</v>
      </c>
      <c r="AT72" s="4">
        <f>DEGREES(ATAN(AT60/$B$15))</f>
        <v>-8.2971449698368733</v>
      </c>
      <c r="AU72" s="4"/>
    </row>
    <row r="73" spans="1:47" x14ac:dyDescent="0.25">
      <c r="A73" t="s">
        <v>123</v>
      </c>
      <c r="B73" s="4">
        <f t="shared" ref="B73" si="111">$B$15/B65</f>
        <v>1.1901514508022439</v>
      </c>
      <c r="C73" s="4"/>
      <c r="E73" t="s">
        <v>123</v>
      </c>
      <c r="F73" s="4">
        <f t="shared" ref="F73" si="112">$B$15/F65</f>
        <v>1.5168868538933291</v>
      </c>
      <c r="G73" s="4"/>
      <c r="I73" t="s">
        <v>123</v>
      </c>
      <c r="J73" s="4">
        <f t="shared" ref="J73" si="113">$B$15/J65</f>
        <v>2.0304065362932939</v>
      </c>
      <c r="K73" s="4"/>
      <c r="M73" t="s">
        <v>123</v>
      </c>
      <c r="N73" s="4">
        <f t="shared" ref="N73" si="114">$B$15/N65</f>
        <v>2.9244387216225065</v>
      </c>
      <c r="O73" s="4"/>
      <c r="Q73" t="s">
        <v>123</v>
      </c>
      <c r="R73" s="4">
        <f t="shared" ref="R73" si="115">$B$15/R65</f>
        <v>4.3361405545013225</v>
      </c>
      <c r="S73" s="4"/>
      <c r="U73" t="s">
        <v>123</v>
      </c>
      <c r="V73" s="4">
        <f>$B$15/V65</f>
        <v>8.4476160359520112</v>
      </c>
      <c r="W73" s="4"/>
      <c r="X73" s="34"/>
      <c r="Y73" t="s">
        <v>123</v>
      </c>
      <c r="Z73" s="4">
        <f>$B$15/Z65</f>
        <v>1.9761289252429319</v>
      </c>
      <c r="AA73" s="4"/>
      <c r="AC73" t="s">
        <v>123</v>
      </c>
      <c r="AD73" s="4">
        <f>$B$15/AD65</f>
        <v>2.7206330189897425</v>
      </c>
      <c r="AE73" s="4"/>
      <c r="AG73" t="s">
        <v>123</v>
      </c>
      <c r="AH73" s="4">
        <f>$B$15/AH65</f>
        <v>4.1938009276426396</v>
      </c>
      <c r="AI73" s="4"/>
      <c r="AK73" t="s">
        <v>123</v>
      </c>
      <c r="AL73" s="4">
        <f>$B$15/AL65</f>
        <v>7.9561261718604657</v>
      </c>
      <c r="AO73" t="s">
        <v>123</v>
      </c>
      <c r="AP73" s="4" t="e">
        <f>$B$15/AP65</f>
        <v>#NUM!</v>
      </c>
      <c r="AQ73" s="4"/>
      <c r="AS73" t="s">
        <v>123</v>
      </c>
      <c r="AT73" s="4" t="e">
        <f>$B$15/AT65</f>
        <v>#DIV/0!</v>
      </c>
      <c r="AU73" s="4"/>
    </row>
    <row r="74" spans="1:47" x14ac:dyDescent="0.25">
      <c r="A74" t="s">
        <v>124</v>
      </c>
      <c r="B74" s="4">
        <f t="shared" ref="B74" si="116">B72-B73*(B72-B71)</f>
        <v>-16.222588028214265</v>
      </c>
      <c r="C74" s="4"/>
      <c r="E74" t="s">
        <v>124</v>
      </c>
      <c r="F74" s="4">
        <f t="shared" ref="F74" si="117">F72-F73*(F72-F71)</f>
        <v>-28.326649076427174</v>
      </c>
      <c r="G74" s="4"/>
      <c r="I74" t="s">
        <v>124</v>
      </c>
      <c r="J74" s="4">
        <f t="shared" ref="J74" si="118">J72-J73*(J72-J71)</f>
        <v>-69.264139225025559</v>
      </c>
      <c r="K74" s="4"/>
      <c r="M74" t="s">
        <v>124</v>
      </c>
      <c r="N74" s="4" t="e">
        <f t="shared" ref="N74" si="119">N72-N73*(N72-N71)</f>
        <v>#NUM!</v>
      </c>
      <c r="O74" s="4"/>
      <c r="Q74" t="s">
        <v>124</v>
      </c>
      <c r="R74" s="4" t="e">
        <f t="shared" ref="R74" si="120">R72-R73*(R72-R71)</f>
        <v>#NUM!</v>
      </c>
      <c r="S74" s="4"/>
      <c r="U74" t="s">
        <v>124</v>
      </c>
      <c r="V74" s="4" t="e">
        <f>V72-V73*(V72-V71)</f>
        <v>#NUM!</v>
      </c>
      <c r="W74" s="4"/>
      <c r="X74" s="34"/>
      <c r="Y74" t="s">
        <v>124</v>
      </c>
      <c r="Z74" s="4">
        <f>Z72-Z73*(Z72-Z71)</f>
        <v>-63.175808372823298</v>
      </c>
      <c r="AA74" s="4"/>
      <c r="AC74" t="s">
        <v>124</v>
      </c>
      <c r="AD74" s="4" t="e">
        <f>AD72-AD73*(AD72-AD71)</f>
        <v>#NUM!</v>
      </c>
      <c r="AE74" s="4"/>
      <c r="AG74" t="s">
        <v>124</v>
      </c>
      <c r="AH74" s="4" t="e">
        <f>AH72-AH73*(AH72-AH71)</f>
        <v>#NUM!</v>
      </c>
      <c r="AI74" s="4"/>
      <c r="AK74" t="s">
        <v>124</v>
      </c>
      <c r="AL74" s="4" t="e">
        <f>AL72-AL73*(AL72-AL71)</f>
        <v>#NUM!</v>
      </c>
      <c r="AO74" t="s">
        <v>124</v>
      </c>
      <c r="AP74" s="4" t="e">
        <f>AP72-AP73*(AP72-AP71)</f>
        <v>#NUM!</v>
      </c>
      <c r="AQ74" s="4"/>
      <c r="AS74" t="s">
        <v>124</v>
      </c>
      <c r="AT74" s="4" t="e">
        <f>AT72-AT73*(AT72-AT71)</f>
        <v>#DIV/0!</v>
      </c>
      <c r="AU74" s="4"/>
    </row>
    <row r="75" spans="1:47" x14ac:dyDescent="0.25">
      <c r="B75" s="4"/>
      <c r="C75" s="4"/>
      <c r="F75" s="4"/>
      <c r="G75" s="4"/>
      <c r="J75" s="4"/>
      <c r="K75" s="4"/>
      <c r="N75" s="4"/>
      <c r="O75" s="4"/>
      <c r="R75" s="4"/>
      <c r="S75" s="4"/>
      <c r="V75" s="4"/>
      <c r="W75" s="4"/>
      <c r="X75" s="34"/>
      <c r="Z75" s="4"/>
      <c r="AA75" s="4"/>
      <c r="AD75" s="4"/>
      <c r="AE75" s="4"/>
      <c r="AH75" s="4"/>
      <c r="AI75" s="4"/>
      <c r="AL75" s="4"/>
      <c r="AP75" s="4"/>
      <c r="AQ75" s="4"/>
      <c r="AT75" s="4"/>
      <c r="AU75" s="4"/>
    </row>
    <row r="76" spans="1:47" x14ac:dyDescent="0.25">
      <c r="A76" t="s">
        <v>125</v>
      </c>
      <c r="B76" s="4">
        <f t="shared" ref="B76" si="121">IF(B67,B63,B74)</f>
        <v>-14.5927638422596</v>
      </c>
      <c r="C76" s="4"/>
      <c r="E76" t="s">
        <v>125</v>
      </c>
      <c r="F76" s="4">
        <f t="shared" ref="F76" si="122">IF(F67,F63,F74)</f>
        <v>-18.356824925058781</v>
      </c>
      <c r="G76" s="4"/>
      <c r="I76" t="s">
        <v>125</v>
      </c>
      <c r="J76" s="4">
        <f t="shared" ref="J76" si="123">IF(J67,J63,J74)</f>
        <v>-23.948468185864261</v>
      </c>
      <c r="K76" s="4"/>
      <c r="M76" t="s">
        <v>125</v>
      </c>
      <c r="N76" s="4">
        <f t="shared" ref="N76" si="124">IF(N67,N63,N74)</f>
        <v>-32.607899962187552</v>
      </c>
      <c r="O76" s="4"/>
      <c r="Q76" t="s">
        <v>125</v>
      </c>
      <c r="R76" s="4">
        <f t="shared" ref="R76" si="125">IF(R67,R63,R74)</f>
        <v>-43.486918693814687</v>
      </c>
      <c r="S76" s="4"/>
      <c r="U76" t="s">
        <v>125</v>
      </c>
      <c r="V76" s="4">
        <f>IF(V67,V63,V74)</f>
        <v>-61.579957824930084</v>
      </c>
      <c r="W76" s="4"/>
      <c r="X76" s="34"/>
      <c r="Y76" t="s">
        <v>125</v>
      </c>
      <c r="Z76" s="4">
        <f t="shared" ref="Z76" si="126">IF(Z67,Z63,Z74)</f>
        <v>-23.377776033696723</v>
      </c>
      <c r="AA76" s="4"/>
      <c r="AC76" t="s">
        <v>125</v>
      </c>
      <c r="AD76" s="4">
        <f t="shared" ref="AD76" si="127">IF(AD67,AD63,AD74)</f>
        <v>-30.758504697163442</v>
      </c>
      <c r="AE76" s="4"/>
      <c r="AG76" t="s">
        <v>125</v>
      </c>
      <c r="AH76" s="4">
        <f t="shared" ref="AH76" si="128">IF(AH67,AH63,AH74)</f>
        <v>-42.533082432693796</v>
      </c>
      <c r="AI76" s="4"/>
      <c r="AK76" t="s">
        <v>125</v>
      </c>
      <c r="AL76" s="4">
        <f t="shared" ref="AL76" si="129">IF(AL67,AL63,AL74)</f>
        <v>-60.119199366744446</v>
      </c>
      <c r="AM76" s="4"/>
      <c r="AO76" t="s">
        <v>125</v>
      </c>
      <c r="AP76" s="4" t="e">
        <f t="shared" ref="AP76" si="130">IF(AP67,AP63,AP74)</f>
        <v>#NUM!</v>
      </c>
      <c r="AQ76" s="4"/>
      <c r="AS76" t="s">
        <v>125</v>
      </c>
      <c r="AT76" s="4" t="e">
        <f t="shared" ref="AT76" si="131">IF(AT67,AT63,AT74)</f>
        <v>#DIV/0!</v>
      </c>
      <c r="AU76" s="4"/>
    </row>
    <row r="77" spans="1:47" x14ac:dyDescent="0.25">
      <c r="A77" t="s">
        <v>126</v>
      </c>
      <c r="B77" s="4">
        <f>IF(B76&gt;B55,B55,B76)</f>
        <v>-14.5927638422596</v>
      </c>
      <c r="C77" s="4" t="s">
        <v>127</v>
      </c>
      <c r="E77" t="s">
        <v>126</v>
      </c>
      <c r="F77" s="4">
        <f t="shared" ref="F77" si="132">IF(F76&gt;F55,F55,F76)</f>
        <v>-18.356824925058781</v>
      </c>
      <c r="G77" s="4" t="s">
        <v>127</v>
      </c>
      <c r="I77" t="s">
        <v>126</v>
      </c>
      <c r="J77" s="4">
        <f t="shared" ref="J77" si="133">IF(J76&gt;J55,J55,J76)</f>
        <v>-23.948468185864261</v>
      </c>
      <c r="K77" s="4" t="s">
        <v>127</v>
      </c>
      <c r="M77" t="s">
        <v>126</v>
      </c>
      <c r="N77" s="4">
        <f t="shared" ref="N77" si="134">IF(N76&gt;N55,N55,N76)</f>
        <v>-32.607899962187552</v>
      </c>
      <c r="O77" s="4" t="s">
        <v>127</v>
      </c>
      <c r="Q77" t="s">
        <v>126</v>
      </c>
      <c r="R77" s="4">
        <f t="shared" ref="R77" si="135">IF(R76&gt;R55,R55,R76)</f>
        <v>-43.486918693814687</v>
      </c>
      <c r="S77" s="4" t="s">
        <v>127</v>
      </c>
      <c r="U77" t="s">
        <v>126</v>
      </c>
      <c r="V77" s="4">
        <f>IF(V76&gt;V55,V55,V76)</f>
        <v>-61.579957824930084</v>
      </c>
      <c r="W77" s="4" t="s">
        <v>127</v>
      </c>
      <c r="X77" s="34"/>
      <c r="Y77" t="s">
        <v>126</v>
      </c>
      <c r="Z77" s="4">
        <f t="shared" ref="Z77" si="136">IF(Z76&gt;Z55,Z55,Z76)</f>
        <v>-23.377776033696723</v>
      </c>
      <c r="AA77" s="4" t="s">
        <v>127</v>
      </c>
      <c r="AC77" t="s">
        <v>126</v>
      </c>
      <c r="AD77" s="4">
        <f t="shared" ref="AD77" si="137">IF(AD76&gt;AD55,AD55,AD76)</f>
        <v>-30.758504697163442</v>
      </c>
      <c r="AE77" s="4" t="s">
        <v>127</v>
      </c>
      <c r="AG77" t="s">
        <v>126</v>
      </c>
      <c r="AH77" s="4">
        <f t="shared" ref="AH77" si="138">IF(AH76&gt;AH55,AH55,AH76)</f>
        <v>-42.533082432693796</v>
      </c>
      <c r="AI77" s="4" t="s">
        <v>127</v>
      </c>
      <c r="AK77" t="s">
        <v>126</v>
      </c>
      <c r="AL77" s="4">
        <f t="shared" ref="AL77" si="139">IF(AL76&gt;AL55,AL55,AL76)</f>
        <v>-60.119199366744446</v>
      </c>
      <c r="AM77" s="4" t="s">
        <v>127</v>
      </c>
      <c r="AO77" t="s">
        <v>126</v>
      </c>
      <c r="AP77" s="4" t="e">
        <f t="shared" ref="AP77" si="140">IF(AP76&gt;AP55,AP55,AP76)</f>
        <v>#NUM!</v>
      </c>
      <c r="AQ77" s="4" t="s">
        <v>127</v>
      </c>
      <c r="AS77" t="s">
        <v>126</v>
      </c>
      <c r="AT77" s="4" t="e">
        <f t="shared" ref="AT77" si="141">IF(AT76&gt;AT55,AT55,AT76)</f>
        <v>#DIV/0!</v>
      </c>
      <c r="AU77" s="4" t="s">
        <v>127</v>
      </c>
    </row>
    <row r="78" spans="1:47" x14ac:dyDescent="0.25">
      <c r="B78" s="4"/>
      <c r="C78" s="4"/>
      <c r="F78" s="4"/>
      <c r="G78" s="4"/>
      <c r="J78" s="4"/>
      <c r="K78" s="4"/>
      <c r="N78" s="4"/>
      <c r="O78" s="4"/>
      <c r="R78" s="4"/>
      <c r="S78" s="4"/>
      <c r="V78" s="4"/>
      <c r="W78" s="4"/>
      <c r="X78" s="34"/>
      <c r="Z78" s="4"/>
      <c r="AA78" s="4"/>
      <c r="AD78" s="4"/>
      <c r="AE78" s="4"/>
      <c r="AH78" s="4"/>
      <c r="AI78" s="4"/>
      <c r="AL78" s="4"/>
      <c r="AP78" s="4"/>
      <c r="AQ78" s="4"/>
      <c r="AT78" s="4"/>
      <c r="AU78" s="4"/>
    </row>
    <row r="79" spans="1:47" x14ac:dyDescent="0.25">
      <c r="A79" t="s">
        <v>128</v>
      </c>
      <c r="B79" s="4">
        <f>IF(B67,B64,B70)</f>
        <v>20.837704321427577</v>
      </c>
      <c r="C79" s="4"/>
      <c r="E79" t="s">
        <v>128</v>
      </c>
      <c r="F79" s="4">
        <f>IF(F67,F64,F70)</f>
        <v>16.670163457142056</v>
      </c>
      <c r="G79" s="4"/>
      <c r="I79" t="s">
        <v>128</v>
      </c>
      <c r="J79" s="4">
        <f>IF(J67,J64,J70)</f>
        <v>12.933747509851598</v>
      </c>
      <c r="K79" s="4"/>
      <c r="M79" t="s">
        <v>128</v>
      </c>
      <c r="N79" s="4">
        <f>IF(N67,N64,N70)</f>
        <v>9.7423033191089914</v>
      </c>
      <c r="O79" s="4"/>
      <c r="Q79" t="s">
        <v>128</v>
      </c>
      <c r="R79" s="4">
        <f>IF(R67,R64,R70)</f>
        <v>7.6287188702175524</v>
      </c>
      <c r="S79" s="4"/>
      <c r="U79" t="s">
        <v>128</v>
      </c>
      <c r="V79" s="4">
        <f>IF(V67,V64,V70)</f>
        <v>5.969421927623813</v>
      </c>
      <c r="W79" s="4"/>
      <c r="X79" s="34"/>
      <c r="Y79" t="s">
        <v>128</v>
      </c>
      <c r="Z79" s="4">
        <f>IF(Z67,Z64,Z70)</f>
        <v>13.231117504174568</v>
      </c>
      <c r="AA79" s="4"/>
      <c r="AC79" t="s">
        <v>128</v>
      </c>
      <c r="AD79" s="4">
        <f>IF(AD67,AD64,AD70)</f>
        <v>10.265522201514754</v>
      </c>
      <c r="AE79" s="4"/>
      <c r="AG79" t="s">
        <v>128</v>
      </c>
      <c r="AH79" s="4">
        <f>IF(AH67,AH64,AH70)</f>
        <v>7.7660907089720297</v>
      </c>
      <c r="AI79" s="4"/>
      <c r="AK79" t="s">
        <v>128</v>
      </c>
      <c r="AL79" s="4">
        <f>IF(AL67,AL64,AL70)</f>
        <v>6.0549181798764984</v>
      </c>
      <c r="AO79" t="s">
        <v>128</v>
      </c>
      <c r="AP79" s="4" t="e">
        <f>IF(AP67,AP64,AP70)</f>
        <v>#NUM!</v>
      </c>
      <c r="AQ79" s="4"/>
      <c r="AS79" t="s">
        <v>128</v>
      </c>
      <c r="AT79" s="4" t="e">
        <f>IF(AT67,AT64,AT70)</f>
        <v>#DIV/0!</v>
      </c>
      <c r="AU79" s="4"/>
    </row>
    <row r="80" spans="1:47" x14ac:dyDescent="0.25">
      <c r="A80" t="s">
        <v>129</v>
      </c>
      <c r="B80" s="4">
        <f>IF(B67,B65,$B$15)</f>
        <v>20.165500772042371</v>
      </c>
      <c r="C80" s="4"/>
      <c r="E80" t="s">
        <v>129</v>
      </c>
      <c r="F80" s="4">
        <f>IF(F67,F65,$B$15)</f>
        <v>15.821878829261536</v>
      </c>
      <c r="G80" s="4"/>
      <c r="I80" t="s">
        <v>129</v>
      </c>
      <c r="J80" s="4">
        <f>IF(J67,J65,$B$15)</f>
        <v>11.820292917207778</v>
      </c>
      <c r="K80" s="4"/>
      <c r="M80" t="s">
        <v>129</v>
      </c>
      <c r="N80" s="4">
        <f>IF(N67,N65,$B$15)</f>
        <v>8.2067029897226131</v>
      </c>
      <c r="O80" s="4"/>
      <c r="Q80" t="s">
        <v>129</v>
      </c>
      <c r="R80" s="4">
        <f>IF(R67,R65,$B$15)</f>
        <v>5.5348759336423585</v>
      </c>
      <c r="S80" s="4"/>
      <c r="U80" t="s">
        <v>129</v>
      </c>
      <c r="V80" s="4">
        <f>IF(V67,V65,$B$15)</f>
        <v>2.8410382169193014</v>
      </c>
      <c r="W80" s="4"/>
      <c r="X80" s="34"/>
      <c r="Y80" t="s">
        <v>129</v>
      </c>
      <c r="Z80" s="4">
        <f>IF(Z67,Z65,$B$15)</f>
        <v>12.144956583260175</v>
      </c>
      <c r="AA80" s="4"/>
      <c r="AC80" t="s">
        <v>129</v>
      </c>
      <c r="AD80" s="4">
        <f>IF(AD67,AD65,$B$15)</f>
        <v>8.821476410997894</v>
      </c>
      <c r="AE80" s="4"/>
      <c r="AG80" t="s">
        <v>129</v>
      </c>
      <c r="AH80" s="4">
        <f>IF(AH67,AH65,$B$15)</f>
        <v>5.7227322932303659</v>
      </c>
      <c r="AI80" s="4"/>
      <c r="AK80" t="s">
        <v>129</v>
      </c>
      <c r="AL80" s="4">
        <f>IF(AL67,AL65,$B$15)</f>
        <v>3.0165434134119349</v>
      </c>
      <c r="AO80" t="s">
        <v>129</v>
      </c>
      <c r="AP80" s="4" t="e">
        <f>IF(AP67,AP65,$B$15)</f>
        <v>#NUM!</v>
      </c>
      <c r="AQ80" s="4"/>
      <c r="AS80" t="s">
        <v>129</v>
      </c>
      <c r="AT80" s="4" t="e">
        <f>IF(AT67,AT65,$B$15)</f>
        <v>#DIV/0!</v>
      </c>
      <c r="AU80" s="4"/>
    </row>
    <row r="81" spans="1:47" x14ac:dyDescent="0.25">
      <c r="B81" s="4"/>
      <c r="C81" s="4"/>
      <c r="F81" s="4"/>
      <c r="G81" s="4"/>
      <c r="J81" s="4"/>
      <c r="K81" s="4"/>
      <c r="N81" s="4"/>
      <c r="O81" s="4"/>
      <c r="R81" s="4"/>
      <c r="S81" s="4"/>
      <c r="V81" s="4"/>
      <c r="W81" s="4"/>
      <c r="X81" s="34"/>
      <c r="Z81" s="4"/>
      <c r="AA81" s="4"/>
      <c r="AD81" s="4"/>
      <c r="AE81" s="4"/>
      <c r="AH81" s="4"/>
      <c r="AI81" s="4"/>
      <c r="AL81" s="4"/>
      <c r="AP81" s="4"/>
      <c r="AQ81" s="4"/>
      <c r="AT81" s="4"/>
      <c r="AU81" s="4"/>
    </row>
    <row r="82" spans="1:47" x14ac:dyDescent="0.25">
      <c r="A82" t="s">
        <v>130</v>
      </c>
      <c r="B82">
        <f>B33*$B$22/(0.3*B79)</f>
        <v>0.10365825172875955</v>
      </c>
      <c r="E82" t="s">
        <v>130</v>
      </c>
      <c r="F82">
        <f>F33*$B$22/(0.3*F79)</f>
        <v>0.16196601832618682</v>
      </c>
      <c r="I82" t="s">
        <v>130</v>
      </c>
      <c r="J82">
        <f>J33*$B$22/(0.3*J79)</f>
        <v>0.26906354846878638</v>
      </c>
      <c r="M82" t="s">
        <v>130</v>
      </c>
      <c r="N82">
        <f>N33*$B$22/(0.3*N79)</f>
        <v>0.47422050501528984</v>
      </c>
      <c r="Q82" t="s">
        <v>130</v>
      </c>
      <c r="R82">
        <f>R33*$B$22/(0.3*R79)</f>
        <v>0.77339329189774519</v>
      </c>
      <c r="U82" t="s">
        <v>130</v>
      </c>
      <c r="V82">
        <f>V33*$B$22/(0.3*V79)</f>
        <v>1.2631038803118029</v>
      </c>
      <c r="X82" s="34"/>
      <c r="Y82" t="s">
        <v>130</v>
      </c>
      <c r="Z82">
        <f>Z33*$B$22/(0.3*Z79)</f>
        <v>0.2040643958568216</v>
      </c>
      <c r="AC82" t="s">
        <v>130</v>
      </c>
      <c r="AD82">
        <f>AD33*$B$22/(0.3*AD79)</f>
        <v>0.33899882847523338</v>
      </c>
      <c r="AG82" t="s">
        <v>130</v>
      </c>
      <c r="AH82">
        <f>AH33*$B$22/(0.3*AH79)</f>
        <v>0.59231860306314743</v>
      </c>
      <c r="AK82" t="s">
        <v>130</v>
      </c>
      <c r="AL82">
        <f>AL33*$B$22/(0.3*AL79)</f>
        <v>0.9744144883094592</v>
      </c>
      <c r="AO82" t="s">
        <v>130</v>
      </c>
      <c r="AP82" t="e">
        <f>AP33*$B$22/(0.3*AP79)</f>
        <v>#NUM!</v>
      </c>
      <c r="AS82" t="s">
        <v>130</v>
      </c>
      <c r="AT82" t="e">
        <f>AT33*$B$22/(0.3*AT79)</f>
        <v>#DIV/0!</v>
      </c>
    </row>
    <row r="83" spans="1:47" x14ac:dyDescent="0.25">
      <c r="A83" t="s">
        <v>131</v>
      </c>
      <c r="B83">
        <f>0.02*$B$22*B34/(13.6*B35^2)*($B$25/SQRT(B34))^3</f>
        <v>2.8497065647683146</v>
      </c>
      <c r="C83" s="2"/>
      <c r="E83" t="s">
        <v>131</v>
      </c>
      <c r="F83">
        <f>0.02*$B$22*F34/(13.6*F35^2)*($B$25/SQRT(F34))^3</f>
        <v>5.5658331343131211</v>
      </c>
      <c r="G83" s="2"/>
      <c r="I83" t="s">
        <v>131</v>
      </c>
      <c r="J83">
        <f>0.02*$B$22*J34/(13.6*J35^2)*($B$25/SQRT(J34))^3</f>
        <v>11.917265673548428</v>
      </c>
      <c r="K83" s="2"/>
      <c r="M83" t="s">
        <v>131</v>
      </c>
      <c r="N83">
        <f>0.02*$B$22*N34/(13.6*N35^2)*($B$25/SQRT(N34))^3</f>
        <v>27.884625495828491</v>
      </c>
      <c r="O83" s="2"/>
      <c r="Q83" t="s">
        <v>131</v>
      </c>
      <c r="R83">
        <f>0.02*$B$22*R34/(13.6*R35^2)*($B$25/SQRT(R34))^3</f>
        <v>58.075763008286025</v>
      </c>
      <c r="S83" s="2"/>
      <c r="U83" t="s">
        <v>131</v>
      </c>
      <c r="V83">
        <f>0.02*$B$22*V34/(13.6*V35^2)*($B$25/SQRT(V34))^3</f>
        <v>121.21404020734218</v>
      </c>
      <c r="W83" s="2"/>
      <c r="X83" s="34"/>
      <c r="Y83" t="s">
        <v>131</v>
      </c>
      <c r="Z83">
        <f>0.02*$B$22*Z34/(13.6*Z35^2)*($B$25/SQRT(Z34))^3</f>
        <v>5.5658331343131211</v>
      </c>
      <c r="AA83" s="2"/>
      <c r="AC83" t="s">
        <v>131</v>
      </c>
      <c r="AD83">
        <f>0.02*$B$22*AD34/(13.6*AD35^2)*($B$25/SQRT(AD34))^3</f>
        <v>11.917265673548428</v>
      </c>
      <c r="AE83" s="2"/>
      <c r="AG83" t="s">
        <v>131</v>
      </c>
      <c r="AH83">
        <f>0.02*$B$22*AH34/(13.6*AH35^2)*($B$25/SQRT(AH34))^3</f>
        <v>27.524052937128577</v>
      </c>
      <c r="AI83" s="2"/>
      <c r="AK83" t="s">
        <v>131</v>
      </c>
      <c r="AL83">
        <f>0.02*$B$22*AL34/(13.6*AL35^2)*($B$25/SQRT(AL34))^3</f>
        <v>58.075763008286025</v>
      </c>
      <c r="AO83" t="s">
        <v>131</v>
      </c>
      <c r="AP83">
        <f>0.02*$B$22*AP34/(13.6*AP35^2)*($B$25/SQRT(AP34))^3</f>
        <v>121.21404020734218</v>
      </c>
      <c r="AQ83" s="2"/>
      <c r="AS83" t="s">
        <v>131</v>
      </c>
      <c r="AT83" t="e">
        <f>0.02*$B$22*AT34/(13.6*AT35^2)*($B$25/SQRT(AT34))^3</f>
        <v>#DIV/0!</v>
      </c>
      <c r="AU83" s="2"/>
    </row>
    <row r="84" spans="1:47" x14ac:dyDescent="0.25">
      <c r="A84" s="3"/>
      <c r="B84" s="3"/>
      <c r="F84" s="4"/>
      <c r="G84" s="4"/>
      <c r="I84" s="3"/>
      <c r="J84" s="3"/>
      <c r="N84" s="4"/>
      <c r="O84" s="4"/>
      <c r="Q84" s="3"/>
      <c r="R84" s="3"/>
      <c r="V84" s="4"/>
      <c r="W84" s="4"/>
      <c r="X84" s="34"/>
      <c r="Z84" s="4"/>
      <c r="AA84" s="4"/>
      <c r="AC84" s="3"/>
      <c r="AD84" s="3"/>
      <c r="AH84" s="4"/>
      <c r="AI84" s="4"/>
      <c r="AK84" s="3"/>
      <c r="AL84" s="3"/>
      <c r="AP84" s="4"/>
      <c r="AQ84" s="4"/>
      <c r="AT84" s="4"/>
      <c r="AU84" s="4"/>
    </row>
    <row r="85" spans="1:47" x14ac:dyDescent="0.25">
      <c r="A85" t="s">
        <v>132</v>
      </c>
      <c r="B85" s="4">
        <f>B55-B77</f>
        <v>9.4729866387423485</v>
      </c>
      <c r="C85" s="4" t="s">
        <v>115</v>
      </c>
      <c r="E85" t="s">
        <v>132</v>
      </c>
      <c r="F85" s="4">
        <f>F55-F77</f>
        <v>19.707401829041483</v>
      </c>
      <c r="G85" s="4" t="s">
        <v>115</v>
      </c>
      <c r="I85" t="s">
        <v>132</v>
      </c>
      <c r="J85" s="4">
        <f>J55-J77</f>
        <v>40.026476095024336</v>
      </c>
      <c r="K85" s="4" t="s">
        <v>115</v>
      </c>
      <c r="M85" t="s">
        <v>132</v>
      </c>
      <c r="N85" s="4">
        <f>N55-N77</f>
        <v>76.245103542265412</v>
      </c>
      <c r="O85" s="4" t="s">
        <v>115</v>
      </c>
      <c r="Q85" t="s">
        <v>132</v>
      </c>
      <c r="R85" s="4">
        <f>R55-R77</f>
        <v>109.15520664345148</v>
      </c>
      <c r="S85" s="4" t="s">
        <v>115</v>
      </c>
      <c r="U85" t="s">
        <v>132</v>
      </c>
      <c r="V85" s="4">
        <f>V55-V77</f>
        <v>139.91152697111204</v>
      </c>
      <c r="W85" s="4" t="s">
        <v>115</v>
      </c>
      <c r="X85" s="34"/>
      <c r="Y85" t="s">
        <v>132</v>
      </c>
      <c r="Z85" s="4">
        <f>Z55-Z77</f>
        <v>37.709475549852357</v>
      </c>
      <c r="AA85" s="4" t="s">
        <v>115</v>
      </c>
      <c r="AC85" t="s">
        <v>132</v>
      </c>
      <c r="AD85" s="4">
        <f>AD55-AD77</f>
        <v>68.882339737632677</v>
      </c>
      <c r="AE85" s="4" t="s">
        <v>115</v>
      </c>
      <c r="AG85" t="s">
        <v>132</v>
      </c>
      <c r="AH85" s="4">
        <f>AH55-AH77</f>
        <v>106.9135651117337</v>
      </c>
      <c r="AI85" s="4" t="s">
        <v>115</v>
      </c>
      <c r="AK85" t="s">
        <v>132</v>
      </c>
      <c r="AL85" s="4">
        <f>AL55-AL77</f>
        <v>137.93486554243907</v>
      </c>
      <c r="AM85" s="4" t="s">
        <v>115</v>
      </c>
      <c r="AO85" t="s">
        <v>132</v>
      </c>
      <c r="AP85" s="4" t="e">
        <f>AP55-AP77</f>
        <v>#NUM!</v>
      </c>
      <c r="AQ85" s="4" t="s">
        <v>115</v>
      </c>
      <c r="AS85" t="s">
        <v>132</v>
      </c>
      <c r="AT85" s="4" t="e">
        <f>AT55-AT77</f>
        <v>#DIV/0!</v>
      </c>
      <c r="AU85" s="4"/>
    </row>
    <row r="86" spans="1:47" x14ac:dyDescent="0.25">
      <c r="A86" t="s">
        <v>133</v>
      </c>
      <c r="B86" s="4" t="b">
        <f t="shared" ref="B86" si="142">B55-B77&lt;40</f>
        <v>1</v>
      </c>
      <c r="C86" s="4"/>
      <c r="E86" t="s">
        <v>133</v>
      </c>
      <c r="F86" s="4" t="b">
        <f t="shared" ref="F86" si="143">F55-F77&lt;40</f>
        <v>1</v>
      </c>
      <c r="G86" s="4"/>
      <c r="I86" t="s">
        <v>133</v>
      </c>
      <c r="J86" s="4" t="b">
        <f t="shared" ref="J86" si="144">J55-J77&lt;40</f>
        <v>0</v>
      </c>
      <c r="K86" s="4"/>
      <c r="M86" t="s">
        <v>133</v>
      </c>
      <c r="N86" s="4" t="b">
        <f t="shared" ref="N86" si="145">N55-N77&lt;40</f>
        <v>0</v>
      </c>
      <c r="O86" s="4"/>
      <c r="Q86" t="s">
        <v>133</v>
      </c>
      <c r="R86" s="4" t="b">
        <f t="shared" ref="R86" si="146">R55-R77&lt;40</f>
        <v>0</v>
      </c>
      <c r="S86" s="4"/>
      <c r="U86" t="s">
        <v>133</v>
      </c>
      <c r="V86" s="4" t="b">
        <f>V55-V77&lt;40</f>
        <v>0</v>
      </c>
      <c r="W86" s="4"/>
      <c r="X86" s="34"/>
      <c r="Y86" t="s">
        <v>133</v>
      </c>
      <c r="Z86" s="4" t="b">
        <f t="shared" ref="Z86" si="147">Z55-Z77&lt;40</f>
        <v>1</v>
      </c>
      <c r="AA86" s="4"/>
      <c r="AC86" t="s">
        <v>133</v>
      </c>
      <c r="AD86" s="4" t="b">
        <f t="shared" ref="AD86" si="148">AD55-AD77&lt;40</f>
        <v>0</v>
      </c>
      <c r="AE86" s="4"/>
      <c r="AG86" t="s">
        <v>133</v>
      </c>
      <c r="AH86" s="4" t="b">
        <f t="shared" ref="AH86" si="149">AH55-AH77&lt;40</f>
        <v>0</v>
      </c>
      <c r="AI86" s="4"/>
      <c r="AK86" t="s">
        <v>133</v>
      </c>
      <c r="AL86" s="4" t="b">
        <f t="shared" ref="AL86" si="150">AL55-AL77&lt;40</f>
        <v>0</v>
      </c>
      <c r="AM86" s="4"/>
      <c r="AO86" t="s">
        <v>133</v>
      </c>
      <c r="AP86" s="4" t="e">
        <f t="shared" ref="AP86" si="151">AP55-AP77&lt;40</f>
        <v>#NUM!</v>
      </c>
      <c r="AQ86" s="4"/>
      <c r="AS86" t="s">
        <v>133</v>
      </c>
      <c r="AT86" s="4" t="e">
        <f t="shared" ref="AT86" si="152">AT55-AT77&lt;40</f>
        <v>#DIV/0!</v>
      </c>
      <c r="AU86" s="4"/>
    </row>
    <row r="87" spans="1:47" x14ac:dyDescent="0.25">
      <c r="A87" t="s">
        <v>134</v>
      </c>
      <c r="B87" s="4" t="b">
        <f t="shared" ref="B87" si="153">B55-B77&lt;60</f>
        <v>1</v>
      </c>
      <c r="C87" s="4"/>
      <c r="E87" t="s">
        <v>134</v>
      </c>
      <c r="F87" s="4" t="b">
        <f t="shared" ref="F87" si="154">F55-F77&lt;60</f>
        <v>1</v>
      </c>
      <c r="G87" s="4"/>
      <c r="I87" t="s">
        <v>134</v>
      </c>
      <c r="J87" s="4" t="b">
        <f t="shared" ref="J87" si="155">J55-J77&lt;60</f>
        <v>1</v>
      </c>
      <c r="K87" s="4"/>
      <c r="M87" t="s">
        <v>134</v>
      </c>
      <c r="N87" s="4" t="b">
        <f t="shared" ref="N87" si="156">N55-N77&lt;60</f>
        <v>0</v>
      </c>
      <c r="O87" s="4"/>
      <c r="Q87" t="s">
        <v>134</v>
      </c>
      <c r="R87" s="4" t="b">
        <f t="shared" ref="R87" si="157">R55-R77&lt;60</f>
        <v>0</v>
      </c>
      <c r="S87" s="4"/>
      <c r="U87" t="s">
        <v>134</v>
      </c>
      <c r="V87" s="4" t="b">
        <f>V55-V77&lt;60</f>
        <v>0</v>
      </c>
      <c r="W87" s="4"/>
      <c r="X87" s="34"/>
      <c r="Y87" t="s">
        <v>134</v>
      </c>
      <c r="Z87" s="4" t="b">
        <f t="shared" ref="Z87" si="158">Z55-Z77&lt;60</f>
        <v>1</v>
      </c>
      <c r="AA87" s="4"/>
      <c r="AC87" t="s">
        <v>134</v>
      </c>
      <c r="AD87" s="4" t="b">
        <f t="shared" ref="AD87" si="159">AD55-AD77&lt;60</f>
        <v>0</v>
      </c>
      <c r="AE87" s="4"/>
      <c r="AG87" t="s">
        <v>134</v>
      </c>
      <c r="AH87" s="4" t="b">
        <f t="shared" ref="AH87" si="160">AH55-AH77&lt;60</f>
        <v>0</v>
      </c>
      <c r="AI87" s="4"/>
      <c r="AK87" t="s">
        <v>134</v>
      </c>
      <c r="AL87" s="4" t="b">
        <f t="shared" ref="AL87" si="161">AL55-AL77&lt;60</f>
        <v>0</v>
      </c>
      <c r="AM87" s="4"/>
      <c r="AO87" t="s">
        <v>134</v>
      </c>
      <c r="AP87" s="4" t="e">
        <f t="shared" ref="AP87" si="162">AP55-AP77&lt;60</f>
        <v>#NUM!</v>
      </c>
      <c r="AQ87" s="4"/>
      <c r="AS87" t="s">
        <v>134</v>
      </c>
      <c r="AT87" s="4" t="e">
        <f t="shared" ref="AT87" si="163">AT55-AT77&lt;60</f>
        <v>#DIV/0!</v>
      </c>
      <c r="AU87" s="4"/>
    </row>
    <row r="88" spans="1:47" x14ac:dyDescent="0.25">
      <c r="A88" s="3"/>
      <c r="B88" s="3"/>
      <c r="F88" s="4"/>
      <c r="G88" s="4"/>
      <c r="I88" s="3"/>
      <c r="J88" s="3"/>
      <c r="N88" s="4"/>
      <c r="O88" s="4"/>
      <c r="Q88" s="3"/>
      <c r="R88" s="3"/>
      <c r="V88" s="4"/>
      <c r="W88" s="4"/>
      <c r="X88" s="34"/>
      <c r="Z88" s="4"/>
      <c r="AA88" s="4"/>
      <c r="AC88" s="3"/>
      <c r="AD88" s="3"/>
      <c r="AH88" s="4"/>
      <c r="AI88" s="4"/>
      <c r="AK88" s="3"/>
      <c r="AL88" s="3"/>
      <c r="AP88" s="4"/>
      <c r="AQ88" s="4"/>
      <c r="AT88" s="4"/>
      <c r="AU88" s="4"/>
    </row>
    <row r="89" spans="1:47" x14ac:dyDescent="0.25">
      <c r="A89" t="s">
        <v>135</v>
      </c>
      <c r="B89" s="4">
        <f>IF(B77&gt;-30,0,B77+30)</f>
        <v>0</v>
      </c>
      <c r="C89" s="4"/>
      <c r="E89" t="s">
        <v>135</v>
      </c>
      <c r="F89" s="4">
        <f>IF(F77&gt;-30,0,F77+30)</f>
        <v>0</v>
      </c>
      <c r="G89" s="4"/>
      <c r="I89" t="s">
        <v>135</v>
      </c>
      <c r="J89" s="4">
        <f>IF(J77&gt;-30,0,J77+30)</f>
        <v>0</v>
      </c>
      <c r="K89" s="4"/>
      <c r="M89" t="s">
        <v>135</v>
      </c>
      <c r="N89" s="4">
        <f>IF(N77&gt;-30,0,N77+30)</f>
        <v>-2.6078999621875525</v>
      </c>
      <c r="O89" s="4"/>
      <c r="Q89" t="s">
        <v>135</v>
      </c>
      <c r="R89" s="4">
        <f>IF(R77&gt;-30,0,R77+30)</f>
        <v>-13.486918693814687</v>
      </c>
      <c r="S89" s="4"/>
      <c r="U89" t="s">
        <v>135</v>
      </c>
      <c r="V89" s="4">
        <f>IF(V77&gt;-30,0,V77+30)</f>
        <v>-31.579957824930084</v>
      </c>
      <c r="W89" s="4"/>
      <c r="X89" s="34"/>
      <c r="Y89" t="s">
        <v>135</v>
      </c>
      <c r="Z89" s="4">
        <f>IF(Z77&gt;-30,0,Z77+30)</f>
        <v>0</v>
      </c>
      <c r="AA89" s="4"/>
      <c r="AC89" t="s">
        <v>135</v>
      </c>
      <c r="AD89" s="4">
        <f>IF(AD77&gt;-30,0,AD77+30)</f>
        <v>-0.75850469716344193</v>
      </c>
      <c r="AE89" s="4"/>
      <c r="AG89" t="s">
        <v>135</v>
      </c>
      <c r="AH89" s="4">
        <f>IF(AH77&gt;-30,0,AH77+30)</f>
        <v>-12.533082432693796</v>
      </c>
      <c r="AI89" s="4"/>
      <c r="AK89" t="s">
        <v>135</v>
      </c>
      <c r="AL89" s="4">
        <f>IF(AL77&gt;-30,0,AL77+30)</f>
        <v>-30.119199366744446</v>
      </c>
      <c r="AM89" s="4"/>
      <c r="AO89" t="s">
        <v>135</v>
      </c>
      <c r="AP89" s="4" t="e">
        <f>IF(AP77&gt;-30,0,AP77+30)</f>
        <v>#NUM!</v>
      </c>
      <c r="AQ89" s="4"/>
      <c r="AS89" t="s">
        <v>135</v>
      </c>
      <c r="AT89" s="4" t="e">
        <f>IF(AT77&gt;-30,0,AT77+30)</f>
        <v>#DIV/0!</v>
      </c>
      <c r="AU89" s="4"/>
    </row>
    <row r="90" spans="1:47" x14ac:dyDescent="0.25">
      <c r="A90" t="s">
        <v>136</v>
      </c>
      <c r="B90" s="4">
        <f>B33*$B$29</f>
        <v>0.32400000000000001</v>
      </c>
      <c r="C90" s="4"/>
      <c r="E90" t="s">
        <v>136</v>
      </c>
      <c r="F90" s="4">
        <f t="shared" ref="F90" si="164">F33*$B$29</f>
        <v>0.40500000000000003</v>
      </c>
      <c r="G90" s="4"/>
      <c r="I90" t="s">
        <v>136</v>
      </c>
      <c r="J90" s="4">
        <f t="shared" ref="J90" si="165">J33*$B$29</f>
        <v>0.52200000000000002</v>
      </c>
      <c r="K90" s="4"/>
      <c r="M90" t="s">
        <v>136</v>
      </c>
      <c r="N90" s="4">
        <f t="shared" ref="N90" si="166">N33*$B$29</f>
        <v>0.69300000000000006</v>
      </c>
      <c r="O90" s="4"/>
      <c r="Q90" t="s">
        <v>136</v>
      </c>
      <c r="R90" s="4">
        <f t="shared" ref="R90" si="167">R33*$B$29</f>
        <v>0.88500000000000001</v>
      </c>
      <c r="S90" s="4"/>
      <c r="U90" t="s">
        <v>136</v>
      </c>
      <c r="V90" s="4">
        <f t="shared" ref="V90" si="168">V33*$B$29</f>
        <v>1.131</v>
      </c>
      <c r="W90" s="4"/>
      <c r="Y90" t="s">
        <v>136</v>
      </c>
      <c r="Z90" s="4">
        <f t="shared" ref="Z90" si="169">Z33*$B$29</f>
        <v>0.40500000000000003</v>
      </c>
      <c r="AA90" s="4"/>
      <c r="AC90" t="s">
        <v>136</v>
      </c>
      <c r="AD90" s="4">
        <f t="shared" ref="AD90" si="170">AD33*$B$29</f>
        <v>0.52200000000000002</v>
      </c>
      <c r="AE90" s="4"/>
      <c r="AG90" t="s">
        <v>136</v>
      </c>
      <c r="AH90" s="4">
        <f t="shared" ref="AH90" si="171">AH33*$B$29</f>
        <v>0.69000000000000006</v>
      </c>
      <c r="AI90" s="4"/>
      <c r="AK90" t="s">
        <v>136</v>
      </c>
      <c r="AL90" s="4">
        <f t="shared" ref="AL90" si="172">AL33*$B$29</f>
        <v>0.88500000000000001</v>
      </c>
      <c r="AM90" s="4"/>
      <c r="AO90" t="s">
        <v>136</v>
      </c>
      <c r="AP90" s="4">
        <f t="shared" ref="AP90" si="173">AP33*$B$29</f>
        <v>1.131</v>
      </c>
      <c r="AQ90" s="4"/>
      <c r="AS90" t="s">
        <v>136</v>
      </c>
      <c r="AT90" s="4">
        <f t="shared" ref="AT90" si="174">AT33*$B$29</f>
        <v>0.25919999999999999</v>
      </c>
      <c r="AU90" s="4"/>
    </row>
    <row r="91" spans="1:47" x14ac:dyDescent="0.25">
      <c r="B91" s="4"/>
    </row>
    <row r="92" spans="1:47" x14ac:dyDescent="0.25">
      <c r="B92" s="4"/>
    </row>
    <row r="94" spans="1:47" x14ac:dyDescent="0.25">
      <c r="C94">
        <v>1</v>
      </c>
      <c r="D94">
        <v>2</v>
      </c>
      <c r="E94">
        <v>3</v>
      </c>
      <c r="F94">
        <v>4</v>
      </c>
      <c r="G94">
        <v>5</v>
      </c>
      <c r="H94">
        <v>6</v>
      </c>
      <c r="I94">
        <v>7</v>
      </c>
      <c r="J94">
        <v>8</v>
      </c>
      <c r="K94">
        <v>9</v>
      </c>
      <c r="L94">
        <v>10</v>
      </c>
      <c r="M94">
        <v>11</v>
      </c>
    </row>
    <row r="95" spans="1:47" ht="20.25" thickBot="1" x14ac:dyDescent="0.35">
      <c r="B95" s="1" t="s">
        <v>137</v>
      </c>
      <c r="C95" t="s">
        <v>138</v>
      </c>
      <c r="D95" t="s">
        <v>139</v>
      </c>
      <c r="E95" t="s">
        <v>140</v>
      </c>
      <c r="F95" t="s">
        <v>141</v>
      </c>
      <c r="G95" t="s">
        <v>142</v>
      </c>
      <c r="H95" t="s">
        <v>143</v>
      </c>
      <c r="I95" t="s">
        <v>144</v>
      </c>
      <c r="J95" t="s">
        <v>145</v>
      </c>
      <c r="K95" t="s">
        <v>146</v>
      </c>
      <c r="L95" t="s">
        <v>147</v>
      </c>
      <c r="M95" s="39" t="s">
        <v>148</v>
      </c>
      <c r="V95" s="39"/>
    </row>
    <row r="96" spans="1:47" ht="15.75" thickTop="1" x14ac:dyDescent="0.25">
      <c r="A96">
        <v>1</v>
      </c>
      <c r="B96" t="s">
        <v>6</v>
      </c>
      <c r="C96" s="4">
        <f>$B$6</f>
        <v>200</v>
      </c>
      <c r="D96" s="4">
        <f t="shared" ref="D96:M96" si="175">$B$6</f>
        <v>200</v>
      </c>
      <c r="E96" s="4">
        <f t="shared" si="175"/>
        <v>200</v>
      </c>
      <c r="F96" s="4">
        <f t="shared" si="175"/>
        <v>200</v>
      </c>
      <c r="G96" s="4">
        <f t="shared" si="175"/>
        <v>200</v>
      </c>
      <c r="H96" s="4">
        <f t="shared" si="175"/>
        <v>200</v>
      </c>
      <c r="I96" s="4">
        <f t="shared" si="175"/>
        <v>200</v>
      </c>
      <c r="J96" s="4">
        <f t="shared" si="175"/>
        <v>200</v>
      </c>
      <c r="K96" s="4">
        <f t="shared" si="175"/>
        <v>200</v>
      </c>
      <c r="L96" s="4">
        <f t="shared" si="175"/>
        <v>200</v>
      </c>
      <c r="M96" s="4">
        <f t="shared" si="175"/>
        <v>200</v>
      </c>
    </row>
    <row r="97" spans="1:14" x14ac:dyDescent="0.25">
      <c r="A97">
        <v>2</v>
      </c>
      <c r="B97" t="s">
        <v>149</v>
      </c>
      <c r="C97" s="4">
        <f>B42</f>
        <v>279.25661153365428</v>
      </c>
      <c r="D97" s="4">
        <f>F42</f>
        <v>106.37554156018585</v>
      </c>
      <c r="E97" s="4">
        <f>J42</f>
        <v>39.6378601291783</v>
      </c>
      <c r="F97" s="4">
        <f>N42</f>
        <v>12.670741597698925</v>
      </c>
      <c r="G97" s="4">
        <f>R42</f>
        <v>4.4357131791828017</v>
      </c>
      <c r="H97" s="4">
        <f>V42</f>
        <v>2.2558676088546017</v>
      </c>
      <c r="I97" s="40">
        <f>Z42</f>
        <v>169.65856702490237</v>
      </c>
      <c r="J97" s="4">
        <f>AD42</f>
        <v>63.351721601795987</v>
      </c>
      <c r="K97" s="4">
        <f>AH42</f>
        <v>20.39340826436559</v>
      </c>
      <c r="L97" s="4">
        <f>AL42</f>
        <v>7.1893745853250381</v>
      </c>
      <c r="M97" s="4">
        <f>AP42</f>
        <v>3.6177101843672679</v>
      </c>
      <c r="N97" s="4"/>
    </row>
    <row r="98" spans="1:14" x14ac:dyDescent="0.25">
      <c r="A98">
        <v>3</v>
      </c>
      <c r="B98" t="s">
        <v>93</v>
      </c>
      <c r="C98" s="4">
        <f>B38</f>
        <v>304.08030152602703</v>
      </c>
      <c r="D98" s="4">
        <f>F38</f>
        <v>116.54332498106173</v>
      </c>
      <c r="E98" s="4">
        <f>J38</f>
        <v>43.671936413660582</v>
      </c>
      <c r="F98" s="4">
        <f>N38</f>
        <v>14.222222222222221</v>
      </c>
      <c r="G98" s="4">
        <f>R38</f>
        <v>5.0711996429875441</v>
      </c>
      <c r="H98" s="4">
        <f>V38</f>
        <v>2.5079973766347443</v>
      </c>
      <c r="I98" s="40">
        <f>Z38</f>
        <v>179.82635044577825</v>
      </c>
      <c r="J98" s="4">
        <f>AD38</f>
        <v>67.385797886278269</v>
      </c>
      <c r="K98" s="4">
        <f>AH38</f>
        <v>21.944888888888887</v>
      </c>
      <c r="L98" s="4">
        <f>AL38</f>
        <v>7.8248610491297805</v>
      </c>
      <c r="M98" s="4">
        <f>AP38</f>
        <v>3.8698399521474105</v>
      </c>
      <c r="N98" s="3"/>
    </row>
    <row r="99" spans="1:14" x14ac:dyDescent="0.25">
      <c r="A99">
        <v>4</v>
      </c>
      <c r="B99" t="s">
        <v>150</v>
      </c>
      <c r="C99" s="4">
        <f t="shared" ref="C99:M99" si="176">$B$13</f>
        <v>60</v>
      </c>
      <c r="D99" s="4">
        <f t="shared" si="176"/>
        <v>60</v>
      </c>
      <c r="E99" s="4">
        <f t="shared" si="176"/>
        <v>60</v>
      </c>
      <c r="F99" s="4">
        <f t="shared" si="176"/>
        <v>60</v>
      </c>
      <c r="G99" s="4">
        <f t="shared" si="176"/>
        <v>60</v>
      </c>
      <c r="H99" s="4">
        <f t="shared" si="176"/>
        <v>60</v>
      </c>
      <c r="I99" s="40">
        <f t="shared" si="176"/>
        <v>60</v>
      </c>
      <c r="J99" s="4">
        <f t="shared" si="176"/>
        <v>60</v>
      </c>
      <c r="K99" s="4">
        <f t="shared" si="176"/>
        <v>60</v>
      </c>
      <c r="L99">
        <f t="shared" si="176"/>
        <v>60</v>
      </c>
      <c r="M99">
        <f t="shared" si="176"/>
        <v>60</v>
      </c>
    </row>
    <row r="100" spans="1:14" x14ac:dyDescent="0.25">
      <c r="A100">
        <v>5</v>
      </c>
      <c r="B100" t="s">
        <v>103</v>
      </c>
      <c r="C100" s="4">
        <f>B49</f>
        <v>51.489294688886005</v>
      </c>
      <c r="D100" s="4">
        <f>F49</f>
        <v>34.116914460862716</v>
      </c>
      <c r="E100" s="4">
        <f>J49</f>
        <v>16.389455311306428</v>
      </c>
      <c r="F100" s="4">
        <f>N49</f>
        <v>-3.3729251310153643</v>
      </c>
      <c r="G100" s="4">
        <f>R49</f>
        <v>-22.003736407125999</v>
      </c>
      <c r="H100" s="4">
        <f>V49</f>
        <v>-34.126411549221331</v>
      </c>
      <c r="I100" s="40">
        <f>Z49</f>
        <v>61.912357106762258</v>
      </c>
      <c r="J100" s="4">
        <f>AD49</f>
        <v>50.178551854806237</v>
      </c>
      <c r="K100" s="4">
        <f>AH49</f>
        <v>36.708826176058054</v>
      </c>
      <c r="L100" s="4">
        <f>AL49</f>
        <v>24.189585307641241</v>
      </c>
      <c r="M100" s="4">
        <f>AP49</f>
        <v>16.321853822998115</v>
      </c>
    </row>
    <row r="101" spans="1:14" x14ac:dyDescent="0.25">
      <c r="A101">
        <v>6</v>
      </c>
      <c r="B101" t="s">
        <v>151</v>
      </c>
      <c r="C101" s="4">
        <f>B44</f>
        <v>38.712176838953837</v>
      </c>
      <c r="D101" s="4">
        <f>F44</f>
        <v>30.969741471163061</v>
      </c>
      <c r="E101" s="4">
        <f>J44</f>
        <v>24.028247693143765</v>
      </c>
      <c r="F101" s="4">
        <f>N44</f>
        <v>18.099199561069319</v>
      </c>
      <c r="G101" s="4">
        <f>R44</f>
        <v>14.172593554600049</v>
      </c>
      <c r="H101" s="4">
        <f>V44</f>
        <v>11.089960473758659</v>
      </c>
      <c r="I101" s="40">
        <f>Z44</f>
        <v>16.740400795223277</v>
      </c>
      <c r="J101" s="4">
        <f>AD44</f>
        <v>12.988241996293926</v>
      </c>
      <c r="K101" s="4">
        <f>AH44</f>
        <v>9.8258874232832287</v>
      </c>
      <c r="L101" s="4">
        <f>AL44</f>
        <v>7.6608613808648904</v>
      </c>
      <c r="M101" s="4">
        <f>AP44</f>
        <v>5.9945732290587337</v>
      </c>
    </row>
    <row r="102" spans="1:14" x14ac:dyDescent="0.25">
      <c r="A102">
        <v>7</v>
      </c>
      <c r="B102" t="s">
        <v>100</v>
      </c>
      <c r="C102" s="4">
        <f>B45</f>
        <v>0.63164105217925715</v>
      </c>
      <c r="D102" s="4">
        <f>F45</f>
        <v>0.50531284174340552</v>
      </c>
      <c r="E102" s="4">
        <f>J45</f>
        <v>0.39205306686988373</v>
      </c>
      <c r="F102" s="4">
        <f>N45</f>
        <v>0.29531269972017199</v>
      </c>
      <c r="G102" s="4">
        <f>R45</f>
        <v>0.23124485978088052</v>
      </c>
      <c r="H102" s="4">
        <f>V45</f>
        <v>0.18094756932456171</v>
      </c>
      <c r="I102" s="40">
        <f>Z45</f>
        <v>0.25808117892635885</v>
      </c>
      <c r="J102" s="4">
        <f>AD45</f>
        <v>0.20023539744286473</v>
      </c>
      <c r="K102" s="4">
        <f>AH45</f>
        <v>0.15148243110894977</v>
      </c>
      <c r="L102">
        <f>AL45</f>
        <v>0.11810494628833375</v>
      </c>
      <c r="M102">
        <f>AP45</f>
        <v>9.2416337281322161E-2</v>
      </c>
    </row>
    <row r="103" spans="1:14" x14ac:dyDescent="0.25">
      <c r="A103">
        <v>8</v>
      </c>
      <c r="B103" t="s">
        <v>152</v>
      </c>
      <c r="C103" s="4">
        <f>B52</f>
        <v>-8.8108237776384463E-2</v>
      </c>
      <c r="D103" s="4">
        <f>F52</f>
        <v>-0.11013529722048059</v>
      </c>
      <c r="E103" s="4">
        <f>J52</f>
        <v>-0.14195216086195275</v>
      </c>
      <c r="F103" s="4">
        <f>N52</f>
        <v>-0.18845373079948899</v>
      </c>
      <c r="G103" s="4">
        <f>R52</f>
        <v>-0.24066601985216127</v>
      </c>
      <c r="H103" s="4">
        <f>V52</f>
        <v>-0.30756301520089763</v>
      </c>
      <c r="I103" s="40">
        <f>Z52</f>
        <v>-5.5067648610240293E-2</v>
      </c>
      <c r="J103" s="4">
        <f>AD52</f>
        <v>-7.0976080430976377E-2</v>
      </c>
      <c r="K103" s="4">
        <f>AH52</f>
        <v>-9.3818956891520491E-2</v>
      </c>
      <c r="L103">
        <f>AL52</f>
        <v>-0.12033300992608063</v>
      </c>
      <c r="M103">
        <f>AP52</f>
        <v>-0.15378150760044881</v>
      </c>
    </row>
    <row r="104" spans="1:14" x14ac:dyDescent="0.25">
      <c r="A104">
        <v>9</v>
      </c>
      <c r="B104" t="s">
        <v>153</v>
      </c>
      <c r="C104" s="4">
        <f>B82</f>
        <v>0.10365825172875955</v>
      </c>
      <c r="D104" s="4">
        <f>F82</f>
        <v>0.16196601832618682</v>
      </c>
      <c r="E104" s="4">
        <f>J82</f>
        <v>0.26906354846878638</v>
      </c>
      <c r="F104" s="4">
        <f>N82</f>
        <v>0.47422050501528984</v>
      </c>
      <c r="G104" s="4">
        <f>R82</f>
        <v>0.77339329189774519</v>
      </c>
      <c r="H104" s="4">
        <f>V82</f>
        <v>1.2631038803118029</v>
      </c>
      <c r="I104" s="40">
        <f>Z82</f>
        <v>0.2040643958568216</v>
      </c>
      <c r="J104" s="4">
        <f>AD82</f>
        <v>0.33899882847523338</v>
      </c>
      <c r="K104" s="4">
        <f>AH82</f>
        <v>0.59231860306314743</v>
      </c>
      <c r="L104">
        <f>AL82</f>
        <v>0.9744144883094592</v>
      </c>
      <c r="M104" t="e">
        <f>AP82</f>
        <v>#NUM!</v>
      </c>
    </row>
    <row r="105" spans="1:14" x14ac:dyDescent="0.25">
      <c r="A105">
        <v>10</v>
      </c>
      <c r="B105" t="s">
        <v>154</v>
      </c>
      <c r="C105" s="4">
        <f>B55</f>
        <v>-5.1197772035172511</v>
      </c>
      <c r="D105" s="4">
        <f>F55</f>
        <v>1.3505769039827016</v>
      </c>
      <c r="E105" s="4">
        <f>J55</f>
        <v>16.078007909160075</v>
      </c>
      <c r="F105" s="4">
        <f>N55</f>
        <v>43.637203580077866</v>
      </c>
      <c r="G105" s="4">
        <f>R55</f>
        <v>65.668287949636792</v>
      </c>
      <c r="H105" s="4">
        <f>V55</f>
        <v>78.331569146181948</v>
      </c>
      <c r="I105" s="40">
        <f>Z55</f>
        <v>14.331699516155636</v>
      </c>
      <c r="J105" s="4">
        <f>AD55</f>
        <v>38.123835040469238</v>
      </c>
      <c r="K105" s="4">
        <f>AH55</f>
        <v>64.380482679039901</v>
      </c>
      <c r="L105" s="4">
        <f>AL55</f>
        <v>77.815666175694631</v>
      </c>
      <c r="M105" s="4">
        <f>AP55</f>
        <v>84.227962814438683</v>
      </c>
    </row>
    <row r="106" spans="1:14" x14ac:dyDescent="0.25">
      <c r="A106">
        <v>11</v>
      </c>
      <c r="B106" t="s">
        <v>155</v>
      </c>
      <c r="C106" s="4">
        <f>B77</f>
        <v>-14.5927638422596</v>
      </c>
      <c r="D106" s="4">
        <f>F77</f>
        <v>-18.356824925058781</v>
      </c>
      <c r="E106" s="4">
        <f>J77</f>
        <v>-23.948468185864261</v>
      </c>
      <c r="F106" s="4">
        <f>N77</f>
        <v>-32.607899962187552</v>
      </c>
      <c r="G106" s="4">
        <f>R77</f>
        <v>-43.486918693814687</v>
      </c>
      <c r="H106" s="4">
        <f>V77</f>
        <v>-61.579957824930084</v>
      </c>
      <c r="I106" s="40">
        <f>Z77</f>
        <v>-23.377776033696723</v>
      </c>
      <c r="J106" s="4">
        <f>AD77</f>
        <v>-30.758504697163442</v>
      </c>
      <c r="K106" s="4">
        <f>AH77</f>
        <v>-42.533082432693796</v>
      </c>
      <c r="L106" s="4">
        <f>AL77</f>
        <v>-60.119199366744446</v>
      </c>
      <c r="M106" s="4" t="e">
        <f>AP77</f>
        <v>#NUM!</v>
      </c>
    </row>
    <row r="107" spans="1:14" x14ac:dyDescent="0.25">
      <c r="A107">
        <v>12</v>
      </c>
      <c r="B107" t="s">
        <v>156</v>
      </c>
      <c r="C107" s="4">
        <f>B85</f>
        <v>9.4729866387423485</v>
      </c>
      <c r="D107" s="4">
        <f>F85</f>
        <v>19.707401829041483</v>
      </c>
      <c r="E107" s="4">
        <f>J85</f>
        <v>40.026476095024336</v>
      </c>
      <c r="F107" s="4">
        <f>N85</f>
        <v>76.245103542265412</v>
      </c>
      <c r="G107" s="4">
        <f>R85</f>
        <v>109.15520664345148</v>
      </c>
      <c r="H107" s="4">
        <f>V85</f>
        <v>139.91152697111204</v>
      </c>
      <c r="I107" s="40">
        <f>Z85</f>
        <v>37.709475549852357</v>
      </c>
      <c r="J107" s="4">
        <f>AD85</f>
        <v>68.882339737632677</v>
      </c>
      <c r="K107" s="4">
        <f>AH85</f>
        <v>106.9135651117337</v>
      </c>
      <c r="L107" s="4">
        <f>AL85</f>
        <v>137.93486554243907</v>
      </c>
      <c r="M107" s="4" t="e">
        <f>AP85</f>
        <v>#NUM!</v>
      </c>
    </row>
    <row r="108" spans="1:14" x14ac:dyDescent="0.25">
      <c r="A108">
        <v>13</v>
      </c>
      <c r="B108" t="s">
        <v>157</v>
      </c>
      <c r="C108" s="4">
        <f>B89</f>
        <v>0</v>
      </c>
      <c r="D108" s="4">
        <f>F89</f>
        <v>0</v>
      </c>
      <c r="E108" s="4">
        <f>J89</f>
        <v>0</v>
      </c>
      <c r="F108" s="4">
        <f>N89</f>
        <v>-2.6078999621875525</v>
      </c>
      <c r="G108" s="4">
        <f>R89</f>
        <v>-13.486918693814687</v>
      </c>
      <c r="H108" s="4">
        <f>V89</f>
        <v>-31.579957824930084</v>
      </c>
      <c r="I108" s="40">
        <f>Z89</f>
        <v>0</v>
      </c>
      <c r="J108" s="4">
        <f>AD89</f>
        <v>-0.75850469716344193</v>
      </c>
      <c r="K108" s="4">
        <f>AH89</f>
        <v>-12.533082432693796</v>
      </c>
      <c r="L108" s="4">
        <f>AL89</f>
        <v>-30.119199366744446</v>
      </c>
      <c r="M108" s="4" t="e">
        <f>AP89</f>
        <v>#NUM!</v>
      </c>
    </row>
    <row r="109" spans="1:14" x14ac:dyDescent="0.25">
      <c r="A109">
        <v>14</v>
      </c>
      <c r="B109" s="86" t="s">
        <v>136</v>
      </c>
      <c r="C109" s="93">
        <f>B90</f>
        <v>0.32400000000000001</v>
      </c>
      <c r="D109" s="93">
        <f>F90</f>
        <v>0.40500000000000003</v>
      </c>
      <c r="E109" s="93">
        <f>J90</f>
        <v>0.52200000000000002</v>
      </c>
      <c r="F109" s="93">
        <f>N90</f>
        <v>0.69300000000000006</v>
      </c>
      <c r="G109" s="93">
        <f>R90</f>
        <v>0.88500000000000001</v>
      </c>
      <c r="H109" s="93">
        <f>V90</f>
        <v>1.131</v>
      </c>
      <c r="I109" s="94">
        <f>Z90</f>
        <v>0.40500000000000003</v>
      </c>
      <c r="J109" s="93">
        <f>AD90</f>
        <v>0.52200000000000002</v>
      </c>
      <c r="K109" s="93">
        <f>AH90</f>
        <v>0.69000000000000006</v>
      </c>
      <c r="L109" s="93">
        <f>AL90</f>
        <v>0.88500000000000001</v>
      </c>
      <c r="M109" s="93">
        <f>AP90</f>
        <v>1.131</v>
      </c>
    </row>
    <row r="110" spans="1:14" x14ac:dyDescent="0.25">
      <c r="A110">
        <v>15</v>
      </c>
      <c r="B110" t="s">
        <v>89</v>
      </c>
      <c r="C110" s="95">
        <f>B34</f>
        <v>9.1608841778678361E-3</v>
      </c>
      <c r="D110" s="95">
        <f>F34</f>
        <v>1.4313881527918496E-2</v>
      </c>
      <c r="E110" s="95">
        <f>J34</f>
        <v>2.3778714795021142E-2</v>
      </c>
      <c r="F110" s="95">
        <f>N34</f>
        <v>4.1909631397051242E-2</v>
      </c>
      <c r="G110" s="95">
        <f>R34</f>
        <v>6.8349275169662924E-2</v>
      </c>
      <c r="H110" s="95">
        <f>V34</f>
        <v>0.11162785556551592</v>
      </c>
      <c r="I110" s="95">
        <f>Z34</f>
        <v>1.4313881527918496E-2</v>
      </c>
      <c r="J110" s="95">
        <f>AD34</f>
        <v>2.3778714795021142E-2</v>
      </c>
      <c r="K110" s="95">
        <f>AH34</f>
        <v>4.1547562843725017E-2</v>
      </c>
      <c r="L110" s="4">
        <f>AL34</f>
        <v>6.8349275169662924E-2</v>
      </c>
      <c r="M110">
        <f>AP34</f>
        <v>0.11162785556551592</v>
      </c>
    </row>
    <row r="111" spans="1:14" x14ac:dyDescent="0.25">
      <c r="A111">
        <v>16</v>
      </c>
      <c r="B111" t="s">
        <v>90</v>
      </c>
      <c r="C111" s="4">
        <f>B35</f>
        <v>21.831953784896484</v>
      </c>
      <c r="D111" s="4">
        <f>F35</f>
        <v>13.972450422333745</v>
      </c>
      <c r="E111" s="4">
        <f>J35</f>
        <v>8.4108835033370521</v>
      </c>
      <c r="F111" s="4">
        <f>N35</f>
        <v>4.7721727281541293</v>
      </c>
      <c r="G111" s="4">
        <f>R35</f>
        <v>2.9261466124335835</v>
      </c>
      <c r="H111" s="4">
        <f>V35</f>
        <v>1.7916674918351114</v>
      </c>
      <c r="I111" s="4">
        <f>Z35</f>
        <v>13.972450422333745</v>
      </c>
      <c r="J111" s="4">
        <f>AD35</f>
        <v>8.4108835033370521</v>
      </c>
      <c r="K111" s="4">
        <f>AH35</f>
        <v>4.8137600935166827</v>
      </c>
      <c r="L111" s="4">
        <f>AL35</f>
        <v>2.9261466124335835</v>
      </c>
      <c r="M111">
        <f>AP35</f>
        <v>1.7916674918351114</v>
      </c>
    </row>
    <row r="112" spans="1:14" x14ac:dyDescent="0.25">
      <c r="A112">
        <v>17</v>
      </c>
      <c r="B112" t="s">
        <v>158</v>
      </c>
      <c r="C112" s="4">
        <f>B80</f>
        <v>20.165500772042371</v>
      </c>
      <c r="D112" s="4">
        <f>F80</f>
        <v>15.821878829261536</v>
      </c>
      <c r="E112" s="4">
        <f>J80</f>
        <v>11.820292917207778</v>
      </c>
      <c r="F112" s="4">
        <f>N80</f>
        <v>8.2067029897226131</v>
      </c>
      <c r="G112" s="4">
        <f>R80</f>
        <v>5.5348759336423585</v>
      </c>
      <c r="H112" s="4">
        <f>V80</f>
        <v>2.8410382169193014</v>
      </c>
      <c r="I112" s="4">
        <f>Z80</f>
        <v>12.144956583260175</v>
      </c>
      <c r="J112" s="4">
        <f>AD80</f>
        <v>8.821476410997894</v>
      </c>
      <c r="K112" s="4">
        <f>AH80</f>
        <v>5.7227322932303659</v>
      </c>
      <c r="L112" s="4">
        <f>AL80</f>
        <v>3.0165434134119349</v>
      </c>
      <c r="M112" s="4" t="e">
        <f>AP80</f>
        <v>#NUM!</v>
      </c>
    </row>
    <row r="113" spans="1:14" x14ac:dyDescent="0.25">
      <c r="A113">
        <v>18</v>
      </c>
      <c r="B113" t="s">
        <v>159</v>
      </c>
      <c r="C113" s="3">
        <f>B53</f>
        <v>-1.934142352264208E-4</v>
      </c>
      <c r="D113" s="3">
        <f>F53</f>
        <v>-3.7776217817660337E-4</v>
      </c>
      <c r="E113" s="3">
        <f>J53</f>
        <v>-8.0884427005095639E-4</v>
      </c>
      <c r="F113" s="3">
        <f>N53</f>
        <v>-1.8925750396652872E-3</v>
      </c>
      <c r="G113" s="3">
        <f>R53</f>
        <v>-3.9416968140899549E-3</v>
      </c>
      <c r="H113" s="3">
        <f>V53</f>
        <v>-8.2269947282497761E-3</v>
      </c>
      <c r="I113" s="3">
        <f>Z53</f>
        <v>-7.5552435635320675E-4</v>
      </c>
      <c r="J113" s="3">
        <f>AD53</f>
        <v>-1.6176885401019128E-3</v>
      </c>
      <c r="K113" s="3">
        <f>AH53</f>
        <v>-3.7362047833153344E-3</v>
      </c>
      <c r="L113" s="3">
        <f>AL53</f>
        <v>-7.8833936281799098E-3</v>
      </c>
      <c r="M113" s="3">
        <f>AP53</f>
        <v>-1.6453989456499552E-2</v>
      </c>
    </row>
    <row r="114" spans="1:14" x14ac:dyDescent="0.25">
      <c r="A114">
        <v>19</v>
      </c>
      <c r="B114" t="s">
        <v>160</v>
      </c>
      <c r="C114" s="3">
        <f>B59</f>
        <v>1.934142352264208E-4</v>
      </c>
      <c r="D114" s="3">
        <f>F59</f>
        <v>3.7776217817660337E-4</v>
      </c>
      <c r="E114" s="3">
        <f>J59</f>
        <v>8.0884427005095639E-4</v>
      </c>
      <c r="F114" s="3">
        <f>N59</f>
        <v>1.8925750396652872E-3</v>
      </c>
      <c r="G114" s="3">
        <f>R59</f>
        <v>3.9416968140899549E-3</v>
      </c>
      <c r="H114" s="3">
        <f>V59</f>
        <v>8.2269947282497761E-3</v>
      </c>
      <c r="I114" s="3">
        <f>Z59</f>
        <v>7.5552435635320675E-4</v>
      </c>
      <c r="J114" s="3">
        <f>AD59</f>
        <v>1.6176885401019128E-3</v>
      </c>
      <c r="K114" s="3">
        <f>AH59</f>
        <v>3.7362047833153344E-3</v>
      </c>
      <c r="L114" s="3">
        <f>AL59</f>
        <v>7.8833936281799098E-3</v>
      </c>
      <c r="M114" s="3">
        <f>AP59</f>
        <v>1.6453989456499552E-2</v>
      </c>
    </row>
    <row r="115" spans="1:14" x14ac:dyDescent="0.25">
      <c r="D115" s="4"/>
      <c r="E115" s="4"/>
      <c r="G115" s="4"/>
      <c r="H115" s="4"/>
    </row>
    <row r="116" spans="1:14" ht="20.25" thickBot="1" x14ac:dyDescent="0.35">
      <c r="B116" s="1" t="s">
        <v>161</v>
      </c>
      <c r="C116" t="str">
        <f t="shared" ref="C116:M116" si="177">C95</f>
        <v>DN200 [S0]</v>
      </c>
      <c r="D116" t="str">
        <f t="shared" si="177"/>
        <v>DN250 [S0]</v>
      </c>
      <c r="E116" t="str">
        <f t="shared" si="177"/>
        <v>DN315 [S0]</v>
      </c>
      <c r="F116" t="str">
        <f t="shared" si="177"/>
        <v>DN400 [S0]</v>
      </c>
      <c r="G116" t="str">
        <f t="shared" si="177"/>
        <v>DN500 [S0]</v>
      </c>
      <c r="H116" s="34" t="str">
        <f t="shared" si="177"/>
        <v>DN630 [S0]</v>
      </c>
      <c r="I116" t="str">
        <f t="shared" si="177"/>
        <v>DN250 [S1]</v>
      </c>
      <c r="J116" t="str">
        <f t="shared" si="177"/>
        <v>DN315 [S1]</v>
      </c>
      <c r="K116" t="str">
        <f t="shared" si="177"/>
        <v>DN400 [S1]</v>
      </c>
      <c r="L116" t="str">
        <f t="shared" si="177"/>
        <v>DN500 [S1]</v>
      </c>
      <c r="M116" t="str">
        <f t="shared" si="177"/>
        <v>DN630 [S1]</v>
      </c>
      <c r="N116" t="str">
        <f>""</f>
        <v/>
      </c>
    </row>
    <row r="117" spans="1:14" ht="15.75" thickTop="1" x14ac:dyDescent="0.25">
      <c r="B117" t="s">
        <v>6</v>
      </c>
      <c r="C117">
        <f t="shared" ref="C117:M117" si="178">C96</f>
        <v>200</v>
      </c>
      <c r="D117">
        <f t="shared" si="178"/>
        <v>200</v>
      </c>
      <c r="E117">
        <f t="shared" si="178"/>
        <v>200</v>
      </c>
      <c r="F117">
        <f t="shared" si="178"/>
        <v>200</v>
      </c>
      <c r="G117">
        <f t="shared" si="178"/>
        <v>200</v>
      </c>
      <c r="H117" s="34">
        <f t="shared" si="178"/>
        <v>200</v>
      </c>
      <c r="I117">
        <f t="shared" si="178"/>
        <v>200</v>
      </c>
      <c r="J117">
        <f t="shared" si="178"/>
        <v>200</v>
      </c>
      <c r="K117">
        <f t="shared" si="178"/>
        <v>200</v>
      </c>
      <c r="L117">
        <f t="shared" si="178"/>
        <v>200</v>
      </c>
      <c r="M117">
        <f t="shared" si="178"/>
        <v>200</v>
      </c>
      <c r="N117" t="str">
        <f>""</f>
        <v/>
      </c>
    </row>
    <row r="118" spans="1:14" x14ac:dyDescent="0.25">
      <c r="B118" t="s">
        <v>162</v>
      </c>
      <c r="C118" s="41">
        <f t="shared" ref="C118:M118" si="179">IF(ROUND(C97,1)&lt;3,"&lt; 3", ROUND(C97,1))</f>
        <v>279.3</v>
      </c>
      <c r="D118" s="41">
        <f t="shared" si="179"/>
        <v>106.4</v>
      </c>
      <c r="E118" s="41">
        <f t="shared" si="179"/>
        <v>39.6</v>
      </c>
      <c r="F118" s="41">
        <f t="shared" si="179"/>
        <v>12.7</v>
      </c>
      <c r="G118" s="41">
        <f t="shared" si="179"/>
        <v>4.4000000000000004</v>
      </c>
      <c r="H118" s="97" t="str">
        <f t="shared" si="179"/>
        <v>&lt; 3</v>
      </c>
      <c r="I118" s="41">
        <f t="shared" si="179"/>
        <v>169.7</v>
      </c>
      <c r="J118" s="41">
        <f t="shared" si="179"/>
        <v>63.4</v>
      </c>
      <c r="K118" s="41">
        <f t="shared" si="179"/>
        <v>20.399999999999999</v>
      </c>
      <c r="L118" s="41">
        <f t="shared" si="179"/>
        <v>7.2</v>
      </c>
      <c r="M118" s="41">
        <f t="shared" si="179"/>
        <v>3.6</v>
      </c>
      <c r="N118" t="str">
        <f>""</f>
        <v/>
      </c>
    </row>
    <row r="119" spans="1:14" x14ac:dyDescent="0.25">
      <c r="B119" t="s">
        <v>163</v>
      </c>
      <c r="C119" s="41">
        <f t="shared" ref="C119:M119" si="180">IF(ROUND(C98,1)&lt;3,"&lt; 3", ROUND(C98,1))</f>
        <v>304.10000000000002</v>
      </c>
      <c r="D119" s="41">
        <f t="shared" si="180"/>
        <v>116.5</v>
      </c>
      <c r="E119" s="41">
        <f t="shared" si="180"/>
        <v>43.7</v>
      </c>
      <c r="F119" s="41">
        <f t="shared" si="180"/>
        <v>14.2</v>
      </c>
      <c r="G119" s="41">
        <f t="shared" si="180"/>
        <v>5.0999999999999996</v>
      </c>
      <c r="H119" s="97" t="str">
        <f t="shared" si="180"/>
        <v>&lt; 3</v>
      </c>
      <c r="I119" s="41">
        <f t="shared" si="180"/>
        <v>179.8</v>
      </c>
      <c r="J119" s="41">
        <f t="shared" si="180"/>
        <v>67.400000000000006</v>
      </c>
      <c r="K119" s="41">
        <f t="shared" si="180"/>
        <v>21.9</v>
      </c>
      <c r="L119" s="41">
        <f t="shared" si="180"/>
        <v>7.8</v>
      </c>
      <c r="M119" s="41">
        <f t="shared" si="180"/>
        <v>3.9</v>
      </c>
      <c r="N119" t="str">
        <f>""</f>
        <v/>
      </c>
    </row>
    <row r="120" spans="1:14" x14ac:dyDescent="0.25">
      <c r="B120" t="s">
        <v>150</v>
      </c>
      <c r="C120">
        <f t="shared" ref="C120:M120" si="181">C99</f>
        <v>60</v>
      </c>
      <c r="D120">
        <f t="shared" si="181"/>
        <v>60</v>
      </c>
      <c r="E120">
        <f t="shared" si="181"/>
        <v>60</v>
      </c>
      <c r="F120">
        <f t="shared" si="181"/>
        <v>60</v>
      </c>
      <c r="G120">
        <f t="shared" si="181"/>
        <v>60</v>
      </c>
      <c r="H120" s="34">
        <f t="shared" si="181"/>
        <v>60</v>
      </c>
      <c r="I120">
        <f t="shared" si="181"/>
        <v>60</v>
      </c>
      <c r="J120">
        <f t="shared" si="181"/>
        <v>60</v>
      </c>
      <c r="K120">
        <f t="shared" si="181"/>
        <v>60</v>
      </c>
      <c r="L120">
        <f t="shared" si="181"/>
        <v>60</v>
      </c>
      <c r="M120">
        <f t="shared" si="181"/>
        <v>60</v>
      </c>
      <c r="N120" t="str">
        <f>""</f>
        <v/>
      </c>
    </row>
    <row r="121" spans="1:14" x14ac:dyDescent="0.25">
      <c r="B121" t="s">
        <v>103</v>
      </c>
      <c r="C121" s="41">
        <f t="shared" ref="C121:M121" si="182">IF(ROUND(C100,1)&lt;4, "&lt; 4", ROUND(C100,1))</f>
        <v>51.5</v>
      </c>
      <c r="D121" s="41">
        <f t="shared" si="182"/>
        <v>34.1</v>
      </c>
      <c r="E121" s="41">
        <f t="shared" si="182"/>
        <v>16.399999999999999</v>
      </c>
      <c r="F121" s="41" t="str">
        <f t="shared" si="182"/>
        <v>&lt; 4</v>
      </c>
      <c r="G121" s="41" t="str">
        <f t="shared" si="182"/>
        <v>&lt; 4</v>
      </c>
      <c r="H121" s="97" t="str">
        <f t="shared" si="182"/>
        <v>&lt; 4</v>
      </c>
      <c r="I121" s="41">
        <f t="shared" si="182"/>
        <v>61.9</v>
      </c>
      <c r="J121" s="41">
        <f t="shared" si="182"/>
        <v>50.2</v>
      </c>
      <c r="K121" s="41">
        <f t="shared" si="182"/>
        <v>36.700000000000003</v>
      </c>
      <c r="L121" s="41">
        <f t="shared" si="182"/>
        <v>24.2</v>
      </c>
      <c r="M121" s="41">
        <f t="shared" si="182"/>
        <v>16.3</v>
      </c>
      <c r="N121" t="str">
        <f>""</f>
        <v/>
      </c>
    </row>
    <row r="122" spans="1:14" x14ac:dyDescent="0.25">
      <c r="B122" t="s">
        <v>151</v>
      </c>
      <c r="C122" s="41">
        <f t="shared" ref="C122:M122" si="183">ROUND(C101,1)</f>
        <v>38.700000000000003</v>
      </c>
      <c r="D122" s="41">
        <f t="shared" si="183"/>
        <v>31</v>
      </c>
      <c r="E122" s="41">
        <f t="shared" si="183"/>
        <v>24</v>
      </c>
      <c r="F122" s="41">
        <f t="shared" si="183"/>
        <v>18.100000000000001</v>
      </c>
      <c r="G122" s="41">
        <f t="shared" si="183"/>
        <v>14.2</v>
      </c>
      <c r="H122" s="97">
        <f t="shared" si="183"/>
        <v>11.1</v>
      </c>
      <c r="I122" s="41">
        <f t="shared" si="183"/>
        <v>16.7</v>
      </c>
      <c r="J122" s="41">
        <f t="shared" si="183"/>
        <v>13</v>
      </c>
      <c r="K122" s="41">
        <f t="shared" si="183"/>
        <v>9.8000000000000007</v>
      </c>
      <c r="L122" s="41">
        <f t="shared" si="183"/>
        <v>7.7</v>
      </c>
      <c r="M122" s="41">
        <f t="shared" si="183"/>
        <v>6</v>
      </c>
      <c r="N122" t="str">
        <f>""</f>
        <v/>
      </c>
    </row>
    <row r="123" spans="1:14" x14ac:dyDescent="0.25">
      <c r="B123" t="s">
        <v>100</v>
      </c>
      <c r="C123" s="41">
        <f t="shared" ref="C123:M123" si="184">ROUND(C102,2)</f>
        <v>0.63</v>
      </c>
      <c r="D123" s="41">
        <f t="shared" si="184"/>
        <v>0.51</v>
      </c>
      <c r="E123" s="41">
        <f t="shared" si="184"/>
        <v>0.39</v>
      </c>
      <c r="F123" s="41">
        <f t="shared" si="184"/>
        <v>0.3</v>
      </c>
      <c r="G123" s="41">
        <f t="shared" si="184"/>
        <v>0.23</v>
      </c>
      <c r="H123" s="97">
        <f t="shared" si="184"/>
        <v>0.18</v>
      </c>
      <c r="I123" s="41">
        <f t="shared" si="184"/>
        <v>0.26</v>
      </c>
      <c r="J123" s="41">
        <f t="shared" si="184"/>
        <v>0.2</v>
      </c>
      <c r="K123" s="41">
        <f t="shared" si="184"/>
        <v>0.15</v>
      </c>
      <c r="L123" s="41">
        <f t="shared" si="184"/>
        <v>0.12</v>
      </c>
      <c r="M123" s="41">
        <f t="shared" si="184"/>
        <v>0.09</v>
      </c>
      <c r="N123" t="str">
        <f>""</f>
        <v/>
      </c>
    </row>
    <row r="124" spans="1:14" x14ac:dyDescent="0.25">
      <c r="B124" t="s">
        <v>152</v>
      </c>
      <c r="C124" s="41">
        <f t="shared" ref="C124:M124" si="185">ROUND(C103,1)</f>
        <v>-0.1</v>
      </c>
      <c r="D124" s="41">
        <f t="shared" si="185"/>
        <v>-0.1</v>
      </c>
      <c r="E124" s="41">
        <f t="shared" si="185"/>
        <v>-0.1</v>
      </c>
      <c r="F124" s="41">
        <f t="shared" si="185"/>
        <v>-0.2</v>
      </c>
      <c r="G124" s="41">
        <f t="shared" si="185"/>
        <v>-0.2</v>
      </c>
      <c r="H124" s="97">
        <f t="shared" si="185"/>
        <v>-0.3</v>
      </c>
      <c r="I124" s="41">
        <f t="shared" si="185"/>
        <v>-0.1</v>
      </c>
      <c r="J124" s="41">
        <f t="shared" si="185"/>
        <v>-0.1</v>
      </c>
      <c r="K124" s="41">
        <f t="shared" si="185"/>
        <v>-0.1</v>
      </c>
      <c r="L124" s="41">
        <f t="shared" si="185"/>
        <v>-0.1</v>
      </c>
      <c r="M124" s="41">
        <f t="shared" si="185"/>
        <v>-0.2</v>
      </c>
      <c r="N124" t="str">
        <f>""</f>
        <v/>
      </c>
    </row>
    <row r="125" spans="1:14" x14ac:dyDescent="0.25">
      <c r="B125" t="s">
        <v>153</v>
      </c>
      <c r="C125" s="41">
        <f t="shared" ref="C125:M125" si="186">ROUND(C104,1)</f>
        <v>0.1</v>
      </c>
      <c r="D125" s="41">
        <f t="shared" si="186"/>
        <v>0.2</v>
      </c>
      <c r="E125" s="41">
        <f t="shared" si="186"/>
        <v>0.3</v>
      </c>
      <c r="F125" s="41">
        <f t="shared" si="186"/>
        <v>0.5</v>
      </c>
      <c r="G125" s="41">
        <f t="shared" si="186"/>
        <v>0.8</v>
      </c>
      <c r="H125" s="97">
        <f t="shared" si="186"/>
        <v>1.3</v>
      </c>
      <c r="I125" s="41">
        <f t="shared" si="186"/>
        <v>0.2</v>
      </c>
      <c r="J125" s="41">
        <f t="shared" si="186"/>
        <v>0.3</v>
      </c>
      <c r="K125" s="41">
        <f t="shared" si="186"/>
        <v>0.6</v>
      </c>
      <c r="L125" s="41">
        <f t="shared" si="186"/>
        <v>1</v>
      </c>
      <c r="M125" s="41" t="e">
        <f t="shared" si="186"/>
        <v>#NUM!</v>
      </c>
      <c r="N125" t="str">
        <f>""</f>
        <v/>
      </c>
    </row>
    <row r="126" spans="1:14" x14ac:dyDescent="0.25">
      <c r="B126" t="s">
        <v>154</v>
      </c>
      <c r="C126" s="41">
        <f t="shared" ref="C126:M126" si="187">ROUND(C105,0)</f>
        <v>-5</v>
      </c>
      <c r="D126" s="41">
        <f t="shared" si="187"/>
        <v>1</v>
      </c>
      <c r="E126" s="41">
        <f t="shared" si="187"/>
        <v>16</v>
      </c>
      <c r="F126" s="41">
        <f t="shared" si="187"/>
        <v>44</v>
      </c>
      <c r="G126" s="41">
        <f t="shared" si="187"/>
        <v>66</v>
      </c>
      <c r="H126" s="97">
        <f t="shared" si="187"/>
        <v>78</v>
      </c>
      <c r="I126" s="41">
        <f t="shared" si="187"/>
        <v>14</v>
      </c>
      <c r="J126" s="41">
        <f t="shared" si="187"/>
        <v>38</v>
      </c>
      <c r="K126" s="41">
        <f t="shared" si="187"/>
        <v>64</v>
      </c>
      <c r="L126" s="41">
        <f t="shared" si="187"/>
        <v>78</v>
      </c>
      <c r="M126" s="41">
        <f t="shared" si="187"/>
        <v>84</v>
      </c>
      <c r="N126" t="str">
        <f>""</f>
        <v/>
      </c>
    </row>
    <row r="127" spans="1:14" x14ac:dyDescent="0.25">
      <c r="B127" t="s">
        <v>155</v>
      </c>
      <c r="C127" s="41">
        <f t="shared" ref="C127:M127" si="188">ROUND(C106,0)</f>
        <v>-15</v>
      </c>
      <c r="D127" s="41">
        <f t="shared" si="188"/>
        <v>-18</v>
      </c>
      <c r="E127" s="41">
        <f t="shared" si="188"/>
        <v>-24</v>
      </c>
      <c r="F127" s="41">
        <f t="shared" si="188"/>
        <v>-33</v>
      </c>
      <c r="G127" s="41">
        <f t="shared" si="188"/>
        <v>-43</v>
      </c>
      <c r="H127" s="97">
        <f t="shared" si="188"/>
        <v>-62</v>
      </c>
      <c r="I127" s="41">
        <f t="shared" si="188"/>
        <v>-23</v>
      </c>
      <c r="J127" s="41">
        <f t="shared" si="188"/>
        <v>-31</v>
      </c>
      <c r="K127" s="41">
        <f t="shared" si="188"/>
        <v>-43</v>
      </c>
      <c r="L127" s="41">
        <f t="shared" si="188"/>
        <v>-60</v>
      </c>
      <c r="M127" s="41" t="e">
        <f t="shared" si="188"/>
        <v>#NUM!</v>
      </c>
      <c r="N127" t="str">
        <f>""</f>
        <v/>
      </c>
    </row>
    <row r="128" spans="1:14" x14ac:dyDescent="0.25">
      <c r="B128" t="s">
        <v>156</v>
      </c>
      <c r="C128" s="4">
        <f t="shared" ref="C128:M128" si="189">ROUND(C107,0)</f>
        <v>9</v>
      </c>
      <c r="D128">
        <f t="shared" si="189"/>
        <v>20</v>
      </c>
      <c r="E128">
        <f t="shared" si="189"/>
        <v>40</v>
      </c>
      <c r="F128">
        <f t="shared" si="189"/>
        <v>76</v>
      </c>
      <c r="G128">
        <f t="shared" si="189"/>
        <v>109</v>
      </c>
      <c r="H128" s="34">
        <f t="shared" si="189"/>
        <v>140</v>
      </c>
      <c r="I128">
        <f t="shared" si="189"/>
        <v>38</v>
      </c>
      <c r="J128">
        <f t="shared" si="189"/>
        <v>69</v>
      </c>
      <c r="K128">
        <f t="shared" si="189"/>
        <v>107</v>
      </c>
      <c r="L128">
        <f t="shared" si="189"/>
        <v>138</v>
      </c>
      <c r="M128" t="e">
        <f t="shared" si="189"/>
        <v>#NUM!</v>
      </c>
      <c r="N128" t="str">
        <f>""</f>
        <v/>
      </c>
    </row>
    <row r="129" spans="2:14" x14ac:dyDescent="0.25">
      <c r="B129" t="s">
        <v>157</v>
      </c>
      <c r="C129" s="4">
        <f t="shared" ref="C129:M129" si="190">ROUND(C108,0)</f>
        <v>0</v>
      </c>
      <c r="D129">
        <f t="shared" si="190"/>
        <v>0</v>
      </c>
      <c r="E129">
        <f t="shared" si="190"/>
        <v>0</v>
      </c>
      <c r="F129">
        <f t="shared" si="190"/>
        <v>-3</v>
      </c>
      <c r="G129">
        <f t="shared" si="190"/>
        <v>-13</v>
      </c>
      <c r="H129" s="34">
        <f t="shared" si="190"/>
        <v>-32</v>
      </c>
      <c r="I129">
        <f t="shared" si="190"/>
        <v>0</v>
      </c>
      <c r="J129">
        <f t="shared" si="190"/>
        <v>-1</v>
      </c>
      <c r="K129">
        <f t="shared" si="190"/>
        <v>-13</v>
      </c>
      <c r="L129">
        <f t="shared" si="190"/>
        <v>-30</v>
      </c>
      <c r="M129" t="e">
        <f t="shared" si="190"/>
        <v>#NUM!</v>
      </c>
      <c r="N129" t="str">
        <f>""</f>
        <v/>
      </c>
    </row>
    <row r="130" spans="2:14" x14ac:dyDescent="0.25">
      <c r="B130" t="s">
        <v>136</v>
      </c>
      <c r="C130" s="4">
        <f>ROUND(C109,2)</f>
        <v>0.32</v>
      </c>
      <c r="D130" s="4">
        <f t="shared" ref="D130:M130" si="191">ROUND(D109,2)</f>
        <v>0.41</v>
      </c>
      <c r="E130" s="4">
        <f t="shared" si="191"/>
        <v>0.52</v>
      </c>
      <c r="F130" s="4">
        <f t="shared" si="191"/>
        <v>0.69</v>
      </c>
      <c r="G130" s="4">
        <f t="shared" si="191"/>
        <v>0.89</v>
      </c>
      <c r="H130" s="4">
        <f t="shared" si="191"/>
        <v>1.1299999999999999</v>
      </c>
      <c r="I130" s="4">
        <f t="shared" si="191"/>
        <v>0.41</v>
      </c>
      <c r="J130" s="4">
        <f t="shared" si="191"/>
        <v>0.52</v>
      </c>
      <c r="K130" s="4">
        <f t="shared" si="191"/>
        <v>0.69</v>
      </c>
      <c r="L130" s="4">
        <f t="shared" si="191"/>
        <v>0.89</v>
      </c>
      <c r="M130" s="4">
        <f t="shared" si="191"/>
        <v>1.1299999999999999</v>
      </c>
      <c r="N130" t="str">
        <f>""</f>
        <v/>
      </c>
    </row>
    <row r="131" spans="2:14" x14ac:dyDescent="0.25">
      <c r="B131" t="s">
        <v>164</v>
      </c>
      <c r="C131">
        <v>630</v>
      </c>
      <c r="D131">
        <v>500</v>
      </c>
      <c r="E131">
        <v>400</v>
      </c>
      <c r="F131">
        <v>315</v>
      </c>
      <c r="G131">
        <v>250</v>
      </c>
      <c r="H131" s="34">
        <v>200</v>
      </c>
      <c r="I131">
        <v>200</v>
      </c>
      <c r="J131">
        <v>200</v>
      </c>
      <c r="K131">
        <v>200</v>
      </c>
      <c r="L131">
        <v>200</v>
      </c>
      <c r="M131">
        <v>200</v>
      </c>
      <c r="N131" t="str">
        <f>""</f>
        <v/>
      </c>
    </row>
    <row r="132" spans="2:14" x14ac:dyDescent="0.25">
      <c r="B132" t="s">
        <v>165</v>
      </c>
      <c r="C132">
        <v>337</v>
      </c>
      <c r="D132">
        <v>277</v>
      </c>
      <c r="E132">
        <v>230</v>
      </c>
      <c r="F132">
        <v>174</v>
      </c>
      <c r="G132">
        <v>136</v>
      </c>
      <c r="H132" s="34">
        <v>108</v>
      </c>
      <c r="I132">
        <v>108</v>
      </c>
      <c r="J132">
        <v>108</v>
      </c>
      <c r="K132">
        <v>108</v>
      </c>
      <c r="L132">
        <v>108</v>
      </c>
      <c r="M132">
        <v>108</v>
      </c>
      <c r="N132" t="str">
        <f>""</f>
        <v/>
      </c>
    </row>
    <row r="134" spans="2:14" x14ac:dyDescent="0.25">
      <c r="C134">
        <v>1</v>
      </c>
      <c r="D134">
        <v>2</v>
      </c>
      <c r="E134">
        <v>3</v>
      </c>
      <c r="F134">
        <v>4</v>
      </c>
      <c r="G134">
        <v>5</v>
      </c>
      <c r="H134">
        <v>6</v>
      </c>
    </row>
    <row r="135" spans="2:14" ht="20.25" thickBot="1" x14ac:dyDescent="0.35">
      <c r="B135" s="1" t="s">
        <v>166</v>
      </c>
      <c r="C135" t="str">
        <f>IF($B$16,"",C116)</f>
        <v>DN200 [S0]</v>
      </c>
      <c r="D135" t="str">
        <f>IF($B$16,I116,D116)</f>
        <v>DN250 [S0]</v>
      </c>
      <c r="E135" t="str">
        <f t="shared" ref="E135:H135" si="192">IF($B$16,J116,E116)</f>
        <v>DN315 [S0]</v>
      </c>
      <c r="F135" t="str">
        <f t="shared" si="192"/>
        <v>DN400 [S0]</v>
      </c>
      <c r="G135" t="str">
        <f t="shared" si="192"/>
        <v>DN500 [S0]</v>
      </c>
      <c r="H135" t="str">
        <f t="shared" si="192"/>
        <v>DN630 [S0]</v>
      </c>
    </row>
    <row r="136" spans="2:14" ht="15.75" thickTop="1" x14ac:dyDescent="0.25">
      <c r="B136" t="s">
        <v>167</v>
      </c>
      <c r="C136">
        <f t="shared" ref="C136:C151" si="193">IF($B$16,"",C117)</f>
        <v>200</v>
      </c>
      <c r="D136">
        <f t="shared" ref="D136:D151" si="194">IF($B$16,I117,D117)</f>
        <v>200</v>
      </c>
      <c r="E136">
        <f t="shared" ref="E136:E151" si="195">IF($B$16,J117,E117)</f>
        <v>200</v>
      </c>
      <c r="F136">
        <f t="shared" ref="F136:F151" si="196">IF($B$16,K117,F117)</f>
        <v>200</v>
      </c>
      <c r="G136">
        <f t="shared" ref="G136:G151" si="197">IF($B$16,L117,G117)</f>
        <v>200</v>
      </c>
      <c r="H136">
        <f t="shared" ref="H136:H151" si="198">IF($B$16,M117,H117)</f>
        <v>200</v>
      </c>
    </row>
    <row r="137" spans="2:14" x14ac:dyDescent="0.25">
      <c r="B137" t="s">
        <v>168</v>
      </c>
      <c r="C137">
        <f t="shared" si="193"/>
        <v>279.3</v>
      </c>
      <c r="D137">
        <f t="shared" si="194"/>
        <v>106.4</v>
      </c>
      <c r="E137">
        <f t="shared" si="195"/>
        <v>39.6</v>
      </c>
      <c r="F137">
        <f t="shared" si="196"/>
        <v>12.7</v>
      </c>
      <c r="G137">
        <f t="shared" si="197"/>
        <v>4.4000000000000004</v>
      </c>
      <c r="H137" t="str">
        <f t="shared" si="198"/>
        <v>&lt; 3</v>
      </c>
    </row>
    <row r="138" spans="2:14" x14ac:dyDescent="0.25">
      <c r="B138" t="s">
        <v>169</v>
      </c>
      <c r="C138">
        <f t="shared" si="193"/>
        <v>304.10000000000002</v>
      </c>
      <c r="D138">
        <f t="shared" si="194"/>
        <v>116.5</v>
      </c>
      <c r="E138">
        <f t="shared" si="195"/>
        <v>43.7</v>
      </c>
      <c r="F138">
        <f t="shared" si="196"/>
        <v>14.2</v>
      </c>
      <c r="G138">
        <f t="shared" si="197"/>
        <v>5.0999999999999996</v>
      </c>
      <c r="H138" t="str">
        <f t="shared" si="198"/>
        <v>&lt; 3</v>
      </c>
    </row>
    <row r="139" spans="2:14" x14ac:dyDescent="0.25">
      <c r="B139" t="s">
        <v>170</v>
      </c>
      <c r="C139">
        <f t="shared" si="193"/>
        <v>60</v>
      </c>
      <c r="D139">
        <f t="shared" si="194"/>
        <v>60</v>
      </c>
      <c r="E139">
        <f t="shared" si="195"/>
        <v>60</v>
      </c>
      <c r="F139">
        <f t="shared" si="196"/>
        <v>60</v>
      </c>
      <c r="G139">
        <f t="shared" si="197"/>
        <v>60</v>
      </c>
      <c r="H139">
        <f t="shared" si="198"/>
        <v>60</v>
      </c>
    </row>
    <row r="140" spans="2:14" x14ac:dyDescent="0.25">
      <c r="B140" t="s">
        <v>171</v>
      </c>
      <c r="C140">
        <f t="shared" si="193"/>
        <v>51.5</v>
      </c>
      <c r="D140">
        <f t="shared" si="194"/>
        <v>34.1</v>
      </c>
      <c r="E140">
        <f t="shared" si="195"/>
        <v>16.399999999999999</v>
      </c>
      <c r="F140" t="str">
        <f t="shared" si="196"/>
        <v>&lt; 4</v>
      </c>
      <c r="G140" t="str">
        <f t="shared" si="197"/>
        <v>&lt; 4</v>
      </c>
      <c r="H140" t="str">
        <f t="shared" si="198"/>
        <v>&lt; 4</v>
      </c>
    </row>
    <row r="141" spans="2:14" x14ac:dyDescent="0.25">
      <c r="B141" t="s">
        <v>172</v>
      </c>
      <c r="C141">
        <f t="shared" si="193"/>
        <v>38.700000000000003</v>
      </c>
      <c r="D141">
        <f t="shared" si="194"/>
        <v>31</v>
      </c>
      <c r="E141">
        <f t="shared" si="195"/>
        <v>24</v>
      </c>
      <c r="F141">
        <f t="shared" si="196"/>
        <v>18.100000000000001</v>
      </c>
      <c r="G141">
        <f t="shared" si="197"/>
        <v>14.2</v>
      </c>
      <c r="H141">
        <f t="shared" si="198"/>
        <v>11.1</v>
      </c>
    </row>
    <row r="142" spans="2:14" x14ac:dyDescent="0.25">
      <c r="B142" t="str">
        <f>"Jet Velocity at " &amp; $B$15 &amp; "m"</f>
        <v>Jet Velocity at 24m</v>
      </c>
      <c r="C142">
        <f t="shared" si="193"/>
        <v>0.63</v>
      </c>
      <c r="D142">
        <f t="shared" si="194"/>
        <v>0.51</v>
      </c>
      <c r="E142">
        <f t="shared" si="195"/>
        <v>0.39</v>
      </c>
      <c r="F142">
        <f t="shared" si="196"/>
        <v>0.3</v>
      </c>
      <c r="G142">
        <f t="shared" si="197"/>
        <v>0.23</v>
      </c>
      <c r="H142">
        <f t="shared" si="198"/>
        <v>0.18</v>
      </c>
    </row>
    <row r="143" spans="2:14" x14ac:dyDescent="0.25">
      <c r="B143" t="str">
        <f>"Jet ΔT at " &amp; $B$15 &amp; " m (cooling)"</f>
        <v>Jet ΔT at 24 m (cooling)</v>
      </c>
      <c r="C143">
        <f t="shared" si="193"/>
        <v>-0.1</v>
      </c>
      <c r="D143">
        <f t="shared" si="194"/>
        <v>-0.1</v>
      </c>
      <c r="E143">
        <f t="shared" si="195"/>
        <v>-0.1</v>
      </c>
      <c r="F143">
        <f t="shared" si="196"/>
        <v>-0.2</v>
      </c>
      <c r="G143">
        <f t="shared" si="197"/>
        <v>-0.2</v>
      </c>
      <c r="H143">
        <f t="shared" si="198"/>
        <v>-0.3</v>
      </c>
    </row>
    <row r="144" spans="2:14" x14ac:dyDescent="0.25">
      <c r="B144" t="str">
        <f>"Jet ΔT at " &amp; $B$15 &amp; " m (heating)"</f>
        <v>Jet ΔT at 24 m (heating)</v>
      </c>
      <c r="C144">
        <f t="shared" si="193"/>
        <v>0.1</v>
      </c>
      <c r="D144">
        <f t="shared" si="194"/>
        <v>0.2</v>
      </c>
      <c r="E144">
        <f t="shared" si="195"/>
        <v>0.3</v>
      </c>
      <c r="F144">
        <f t="shared" si="196"/>
        <v>0.5</v>
      </c>
      <c r="G144">
        <f t="shared" si="197"/>
        <v>0.8</v>
      </c>
      <c r="H144">
        <f t="shared" si="198"/>
        <v>1.3</v>
      </c>
    </row>
    <row r="145" spans="2:8" x14ac:dyDescent="0.25">
      <c r="B145" t="s">
        <v>154</v>
      </c>
      <c r="C145">
        <f t="shared" si="193"/>
        <v>-5</v>
      </c>
      <c r="D145">
        <f t="shared" si="194"/>
        <v>1</v>
      </c>
      <c r="E145">
        <f t="shared" si="195"/>
        <v>16</v>
      </c>
      <c r="F145">
        <f t="shared" si="196"/>
        <v>44</v>
      </c>
      <c r="G145">
        <f t="shared" si="197"/>
        <v>66</v>
      </c>
      <c r="H145">
        <f t="shared" si="198"/>
        <v>78</v>
      </c>
    </row>
    <row r="146" spans="2:8" x14ac:dyDescent="0.25">
      <c r="B146" t="s">
        <v>155</v>
      </c>
      <c r="C146">
        <f t="shared" si="193"/>
        <v>-15</v>
      </c>
      <c r="D146">
        <f t="shared" si="194"/>
        <v>-18</v>
      </c>
      <c r="E146">
        <f t="shared" si="195"/>
        <v>-24</v>
      </c>
      <c r="F146">
        <f t="shared" si="196"/>
        <v>-33</v>
      </c>
      <c r="G146">
        <f t="shared" si="197"/>
        <v>-43</v>
      </c>
      <c r="H146">
        <f t="shared" si="198"/>
        <v>-62</v>
      </c>
    </row>
    <row r="147" spans="2:8" x14ac:dyDescent="0.25">
      <c r="B147" t="s">
        <v>156</v>
      </c>
      <c r="C147">
        <f t="shared" si="193"/>
        <v>9</v>
      </c>
      <c r="D147">
        <f t="shared" si="194"/>
        <v>20</v>
      </c>
      <c r="E147">
        <f t="shared" si="195"/>
        <v>40</v>
      </c>
      <c r="F147">
        <f t="shared" si="196"/>
        <v>76</v>
      </c>
      <c r="G147">
        <f t="shared" si="197"/>
        <v>109</v>
      </c>
      <c r="H147">
        <f t="shared" si="198"/>
        <v>140</v>
      </c>
    </row>
    <row r="148" spans="2:8" x14ac:dyDescent="0.25">
      <c r="B148" t="s">
        <v>157</v>
      </c>
      <c r="C148">
        <f t="shared" si="193"/>
        <v>0</v>
      </c>
      <c r="D148">
        <f t="shared" si="194"/>
        <v>0</v>
      </c>
      <c r="E148">
        <f t="shared" si="195"/>
        <v>0</v>
      </c>
      <c r="F148">
        <f t="shared" si="196"/>
        <v>-3</v>
      </c>
      <c r="G148">
        <f t="shared" si="197"/>
        <v>-13</v>
      </c>
      <c r="H148">
        <f t="shared" si="198"/>
        <v>-32</v>
      </c>
    </row>
    <row r="149" spans="2:8" x14ac:dyDescent="0.25">
      <c r="B149" t="str">
        <f>B130</f>
        <v>Min Centreline Dist</v>
      </c>
      <c r="C149">
        <f t="shared" si="193"/>
        <v>0.32</v>
      </c>
      <c r="D149">
        <f t="shared" si="194"/>
        <v>0.41</v>
      </c>
      <c r="E149">
        <f t="shared" si="195"/>
        <v>0.52</v>
      </c>
      <c r="F149">
        <f t="shared" si="196"/>
        <v>0.69</v>
      </c>
      <c r="G149">
        <f t="shared" si="197"/>
        <v>0.89</v>
      </c>
      <c r="H149">
        <f t="shared" si="198"/>
        <v>1.1299999999999999</v>
      </c>
    </row>
    <row r="150" spans="2:8" x14ac:dyDescent="0.25">
      <c r="B150" t="str">
        <f>B131</f>
        <v>Duct Diameter</v>
      </c>
      <c r="C150">
        <f t="shared" si="193"/>
        <v>630</v>
      </c>
      <c r="D150">
        <f t="shared" si="194"/>
        <v>500</v>
      </c>
      <c r="E150">
        <f t="shared" si="195"/>
        <v>400</v>
      </c>
      <c r="F150">
        <f t="shared" si="196"/>
        <v>315</v>
      </c>
      <c r="G150">
        <f t="shared" si="197"/>
        <v>250</v>
      </c>
      <c r="H150">
        <f t="shared" si="198"/>
        <v>200</v>
      </c>
    </row>
    <row r="151" spans="2:8" x14ac:dyDescent="0.25">
      <c r="B151" t="str">
        <f>B132</f>
        <v>Exit Diameter</v>
      </c>
      <c r="C151">
        <f t="shared" si="193"/>
        <v>337</v>
      </c>
      <c r="D151">
        <f t="shared" si="194"/>
        <v>277</v>
      </c>
      <c r="E151">
        <f t="shared" si="195"/>
        <v>230</v>
      </c>
      <c r="F151">
        <f t="shared" si="196"/>
        <v>174</v>
      </c>
      <c r="G151">
        <f t="shared" si="197"/>
        <v>136</v>
      </c>
      <c r="H151">
        <f t="shared" si="198"/>
        <v>108</v>
      </c>
    </row>
    <row r="154" spans="2:8" ht="20.25" thickBot="1" x14ac:dyDescent="0.35">
      <c r="B154" s="1" t="s">
        <v>173</v>
      </c>
      <c r="C154" t="str">
        <f t="shared" ref="C154:H154" si="199">C135</f>
        <v>DN200 [S0]</v>
      </c>
      <c r="D154" t="str">
        <f t="shared" si="199"/>
        <v>DN250 [S0]</v>
      </c>
      <c r="E154" t="str">
        <f t="shared" si="199"/>
        <v>DN315 [S0]</v>
      </c>
      <c r="F154" t="str">
        <f t="shared" si="199"/>
        <v>DN400 [S0]</v>
      </c>
      <c r="G154" t="str">
        <f t="shared" si="199"/>
        <v>DN500 [S0]</v>
      </c>
      <c r="H154" t="str">
        <f t="shared" si="199"/>
        <v>DN630 [S0]</v>
      </c>
    </row>
    <row r="155" spans="2:8" ht="15.75" thickTop="1" x14ac:dyDescent="0.25">
      <c r="B155" t="s">
        <v>167</v>
      </c>
      <c r="C155">
        <f>IFERROR(C136,"")</f>
        <v>200</v>
      </c>
      <c r="D155">
        <f t="shared" ref="D155:H155" si="200">IFERROR(D136,"")</f>
        <v>200</v>
      </c>
      <c r="E155">
        <f t="shared" si="200"/>
        <v>200</v>
      </c>
      <c r="F155">
        <f t="shared" si="200"/>
        <v>200</v>
      </c>
      <c r="G155">
        <f t="shared" si="200"/>
        <v>200</v>
      </c>
      <c r="H155">
        <f t="shared" si="200"/>
        <v>200</v>
      </c>
    </row>
    <row r="156" spans="2:8" x14ac:dyDescent="0.25">
      <c r="B156" t="s">
        <v>168</v>
      </c>
      <c r="C156">
        <f t="shared" ref="C156:H159" si="201">C137</f>
        <v>279.3</v>
      </c>
      <c r="D156">
        <f t="shared" si="201"/>
        <v>106.4</v>
      </c>
      <c r="E156">
        <f t="shared" si="201"/>
        <v>39.6</v>
      </c>
      <c r="F156">
        <f t="shared" si="201"/>
        <v>12.7</v>
      </c>
      <c r="G156">
        <f t="shared" si="201"/>
        <v>4.4000000000000004</v>
      </c>
      <c r="H156" t="str">
        <f t="shared" si="201"/>
        <v>&lt; 3</v>
      </c>
    </row>
    <row r="157" spans="2:8" x14ac:dyDescent="0.25">
      <c r="B157" t="s">
        <v>169</v>
      </c>
      <c r="C157">
        <f t="shared" si="201"/>
        <v>304.10000000000002</v>
      </c>
      <c r="D157">
        <f t="shared" si="201"/>
        <v>116.5</v>
      </c>
      <c r="E157">
        <f t="shared" si="201"/>
        <v>43.7</v>
      </c>
      <c r="F157">
        <f t="shared" si="201"/>
        <v>14.2</v>
      </c>
      <c r="G157">
        <f t="shared" si="201"/>
        <v>5.0999999999999996</v>
      </c>
      <c r="H157" t="str">
        <f t="shared" si="201"/>
        <v>&lt; 3</v>
      </c>
    </row>
    <row r="158" spans="2:8" x14ac:dyDescent="0.25">
      <c r="B158" t="s">
        <v>170</v>
      </c>
      <c r="C158">
        <f t="shared" si="201"/>
        <v>60</v>
      </c>
      <c r="D158">
        <f t="shared" si="201"/>
        <v>60</v>
      </c>
      <c r="E158">
        <f t="shared" si="201"/>
        <v>60</v>
      </c>
      <c r="F158">
        <f t="shared" si="201"/>
        <v>60</v>
      </c>
      <c r="G158">
        <f t="shared" si="201"/>
        <v>60</v>
      </c>
      <c r="H158">
        <f t="shared" si="201"/>
        <v>60</v>
      </c>
    </row>
    <row r="159" spans="2:8" x14ac:dyDescent="0.25">
      <c r="B159" t="s">
        <v>171</v>
      </c>
      <c r="C159">
        <f t="shared" si="201"/>
        <v>51.5</v>
      </c>
      <c r="D159">
        <f t="shared" si="201"/>
        <v>34.1</v>
      </c>
      <c r="E159">
        <f t="shared" si="201"/>
        <v>16.399999999999999</v>
      </c>
      <c r="F159" t="str">
        <f t="shared" si="201"/>
        <v>&lt; 4</v>
      </c>
      <c r="G159" t="str">
        <f t="shared" si="201"/>
        <v>&lt; 4</v>
      </c>
      <c r="H159" t="str">
        <f t="shared" si="201"/>
        <v>&lt; 4</v>
      </c>
    </row>
    <row r="160" spans="2:8" x14ac:dyDescent="0.25">
      <c r="B160" t="s">
        <v>172</v>
      </c>
      <c r="C160">
        <f>IFERROR(C141,"")</f>
        <v>38.700000000000003</v>
      </c>
      <c r="D160">
        <f t="shared" ref="D160:H164" si="202">D141</f>
        <v>31</v>
      </c>
      <c r="E160">
        <f t="shared" si="202"/>
        <v>24</v>
      </c>
      <c r="F160">
        <f t="shared" si="202"/>
        <v>18.100000000000001</v>
      </c>
      <c r="G160">
        <f t="shared" si="202"/>
        <v>14.2</v>
      </c>
      <c r="H160">
        <f t="shared" si="202"/>
        <v>11.1</v>
      </c>
    </row>
    <row r="161" spans="2:8" x14ac:dyDescent="0.25">
      <c r="B161" t="str">
        <f>"Jet Velocity at " &amp; $B$15 &amp; "m"</f>
        <v>Jet Velocity at 24m</v>
      </c>
      <c r="C161">
        <f>C142</f>
        <v>0.63</v>
      </c>
      <c r="D161">
        <f t="shared" si="202"/>
        <v>0.51</v>
      </c>
      <c r="E161">
        <f t="shared" si="202"/>
        <v>0.39</v>
      </c>
      <c r="F161">
        <f t="shared" si="202"/>
        <v>0.3</v>
      </c>
      <c r="G161">
        <f t="shared" si="202"/>
        <v>0.23</v>
      </c>
      <c r="H161">
        <f t="shared" si="202"/>
        <v>0.18</v>
      </c>
    </row>
    <row r="162" spans="2:8" x14ac:dyDescent="0.25">
      <c r="B162" t="str">
        <f>"Jet ΔT at " &amp; $B$15 &amp; " m (cooling)"</f>
        <v>Jet ΔT at 24 m (cooling)</v>
      </c>
      <c r="C162">
        <f>C143</f>
        <v>-0.1</v>
      </c>
      <c r="D162">
        <f t="shared" si="202"/>
        <v>-0.1</v>
      </c>
      <c r="E162">
        <f t="shared" si="202"/>
        <v>-0.1</v>
      </c>
      <c r="F162">
        <f t="shared" si="202"/>
        <v>-0.2</v>
      </c>
      <c r="G162">
        <f t="shared" si="202"/>
        <v>-0.2</v>
      </c>
      <c r="H162">
        <f t="shared" si="202"/>
        <v>-0.3</v>
      </c>
    </row>
    <row r="163" spans="2:8" x14ac:dyDescent="0.25">
      <c r="B163" t="s">
        <v>174</v>
      </c>
      <c r="C163">
        <f>IFERROR(C144,"")</f>
        <v>0.1</v>
      </c>
      <c r="D163">
        <f t="shared" ref="D163:H163" si="203">IFERROR(D144,"")</f>
        <v>0.2</v>
      </c>
      <c r="E163">
        <f t="shared" si="203"/>
        <v>0.3</v>
      </c>
      <c r="F163">
        <f t="shared" si="203"/>
        <v>0.5</v>
      </c>
      <c r="G163">
        <f t="shared" si="203"/>
        <v>0.8</v>
      </c>
      <c r="H163">
        <f t="shared" si="203"/>
        <v>1.3</v>
      </c>
    </row>
    <row r="164" spans="2:8" x14ac:dyDescent="0.25">
      <c r="B164" t="s">
        <v>154</v>
      </c>
      <c r="C164">
        <f>C145</f>
        <v>-5</v>
      </c>
      <c r="D164">
        <f t="shared" si="202"/>
        <v>1</v>
      </c>
      <c r="E164">
        <f t="shared" si="202"/>
        <v>16</v>
      </c>
      <c r="F164">
        <f t="shared" si="202"/>
        <v>44</v>
      </c>
      <c r="G164">
        <f t="shared" si="202"/>
        <v>66</v>
      </c>
      <c r="H164">
        <f t="shared" si="202"/>
        <v>78</v>
      </c>
    </row>
    <row r="165" spans="2:8" x14ac:dyDescent="0.25">
      <c r="B165" t="s">
        <v>155</v>
      </c>
      <c r="C165">
        <f>IFERROR(C146,"")</f>
        <v>-15</v>
      </c>
      <c r="D165">
        <f t="shared" ref="D165:H165" si="204">IFERROR(D146,"")</f>
        <v>-18</v>
      </c>
      <c r="E165">
        <f t="shared" si="204"/>
        <v>-24</v>
      </c>
      <c r="F165">
        <f t="shared" si="204"/>
        <v>-33</v>
      </c>
      <c r="G165">
        <f t="shared" si="204"/>
        <v>-43</v>
      </c>
      <c r="H165">
        <f t="shared" si="204"/>
        <v>-62</v>
      </c>
    </row>
    <row r="166" spans="2:8" x14ac:dyDescent="0.25">
      <c r="B166" t="str">
        <f t="shared" ref="B166:B167" si="205">B147</f>
        <v>Arc of Rotation</v>
      </c>
      <c r="C166">
        <f t="shared" ref="C166:H167" si="206">IFERROR(C147,"")</f>
        <v>9</v>
      </c>
      <c r="D166">
        <f t="shared" si="206"/>
        <v>20</v>
      </c>
      <c r="E166">
        <f t="shared" si="206"/>
        <v>40</v>
      </c>
      <c r="F166">
        <f t="shared" si="206"/>
        <v>76</v>
      </c>
      <c r="G166">
        <f t="shared" si="206"/>
        <v>109</v>
      </c>
      <c r="H166">
        <f t="shared" si="206"/>
        <v>140</v>
      </c>
    </row>
    <row r="167" spans="2:8" x14ac:dyDescent="0.25">
      <c r="B167" t="str">
        <f t="shared" si="205"/>
        <v>Mounting Angle</v>
      </c>
      <c r="C167">
        <f t="shared" si="206"/>
        <v>0</v>
      </c>
      <c r="D167">
        <f t="shared" si="206"/>
        <v>0</v>
      </c>
      <c r="E167">
        <f t="shared" si="206"/>
        <v>0</v>
      </c>
      <c r="F167">
        <f t="shared" si="206"/>
        <v>-3</v>
      </c>
      <c r="G167">
        <f t="shared" si="206"/>
        <v>-13</v>
      </c>
      <c r="H167">
        <f t="shared" si="206"/>
        <v>-32</v>
      </c>
    </row>
    <row r="168" spans="2:8" x14ac:dyDescent="0.25">
      <c r="B168" t="str">
        <f t="shared" ref="B168:H170" si="207">B149</f>
        <v>Min Centreline Dist</v>
      </c>
      <c r="C168">
        <f t="shared" si="207"/>
        <v>0.32</v>
      </c>
      <c r="D168">
        <f t="shared" si="207"/>
        <v>0.41</v>
      </c>
      <c r="E168">
        <f t="shared" si="207"/>
        <v>0.52</v>
      </c>
      <c r="F168">
        <f t="shared" si="207"/>
        <v>0.69</v>
      </c>
      <c r="G168">
        <f t="shared" si="207"/>
        <v>0.89</v>
      </c>
      <c r="H168">
        <f t="shared" si="207"/>
        <v>1.1299999999999999</v>
      </c>
    </row>
    <row r="169" spans="2:8" x14ac:dyDescent="0.25">
      <c r="B169" t="str">
        <f t="shared" si="207"/>
        <v>Duct Diameter</v>
      </c>
      <c r="C169">
        <f t="shared" si="207"/>
        <v>630</v>
      </c>
      <c r="D169">
        <f t="shared" si="207"/>
        <v>500</v>
      </c>
      <c r="E169">
        <f t="shared" si="207"/>
        <v>400</v>
      </c>
      <c r="F169">
        <f t="shared" si="207"/>
        <v>315</v>
      </c>
      <c r="G169">
        <f t="shared" si="207"/>
        <v>250</v>
      </c>
      <c r="H169">
        <f t="shared" si="207"/>
        <v>200</v>
      </c>
    </row>
    <row r="170" spans="2:8" x14ac:dyDescent="0.25">
      <c r="B170" t="str">
        <f t="shared" si="207"/>
        <v>Exit Diameter</v>
      </c>
      <c r="C170">
        <f t="shared" si="207"/>
        <v>337</v>
      </c>
      <c r="D170">
        <f t="shared" si="207"/>
        <v>277</v>
      </c>
      <c r="E170">
        <f t="shared" si="207"/>
        <v>230</v>
      </c>
      <c r="F170">
        <f t="shared" si="207"/>
        <v>174</v>
      </c>
      <c r="G170">
        <f t="shared" si="207"/>
        <v>136</v>
      </c>
      <c r="H170">
        <f t="shared" si="207"/>
        <v>108</v>
      </c>
    </row>
    <row r="173" spans="2:8" ht="20.25" thickBot="1" x14ac:dyDescent="0.35">
      <c r="B173" s="1" t="s">
        <v>175</v>
      </c>
    </row>
    <row r="174" spans="2:8" ht="15.75" thickTop="1" x14ac:dyDescent="0.25">
      <c r="B174" t="s">
        <v>176</v>
      </c>
      <c r="C174" t="b">
        <f t="shared" ref="C174:H174" si="208">(C138&gt;$B$13)</f>
        <v>1</v>
      </c>
      <c r="D174" t="b">
        <f t="shared" si="208"/>
        <v>1</v>
      </c>
      <c r="E174" t="b">
        <f t="shared" si="208"/>
        <v>0</v>
      </c>
      <c r="F174" t="b">
        <f t="shared" si="208"/>
        <v>0</v>
      </c>
      <c r="G174" t="b">
        <f t="shared" si="208"/>
        <v>0</v>
      </c>
      <c r="H174" t="b">
        <f t="shared" si="208"/>
        <v>1</v>
      </c>
    </row>
    <row r="175" spans="2:8" x14ac:dyDescent="0.25">
      <c r="B175" t="s">
        <v>177</v>
      </c>
      <c r="C175" t="b">
        <f>C157&lt;20</f>
        <v>0</v>
      </c>
      <c r="D175" t="b">
        <f t="shared" ref="D175:H175" si="209">D157&lt;20</f>
        <v>0</v>
      </c>
      <c r="E175" t="b">
        <f t="shared" si="209"/>
        <v>0</v>
      </c>
      <c r="F175" t="b">
        <f t="shared" si="209"/>
        <v>1</v>
      </c>
      <c r="G175" t="b">
        <f t="shared" si="209"/>
        <v>1</v>
      </c>
      <c r="H175" t="b">
        <f t="shared" si="209"/>
        <v>0</v>
      </c>
    </row>
    <row r="178" spans="1:11" x14ac:dyDescent="0.25">
      <c r="B178" t="s">
        <v>178</v>
      </c>
      <c r="C178" s="143">
        <f t="shared" ref="C178:H178" si="210">ABS($B$25-C160)/$B$15</f>
        <v>0.59102911065572827</v>
      </c>
      <c r="D178" s="143">
        <f t="shared" si="210"/>
        <v>0.2701957773223948</v>
      </c>
      <c r="E178" s="143">
        <f t="shared" si="210"/>
        <v>2.1470889344271882E-2</v>
      </c>
      <c r="F178" s="143">
        <f t="shared" si="210"/>
        <v>0.26730422267760517</v>
      </c>
      <c r="G178" s="143">
        <f t="shared" si="210"/>
        <v>0.42980422267760526</v>
      </c>
      <c r="H178" s="143">
        <f t="shared" si="210"/>
        <v>0.55897088934427186</v>
      </c>
    </row>
    <row r="179" spans="1:11" x14ac:dyDescent="0.25">
      <c r="C179" s="143"/>
      <c r="D179" s="143"/>
      <c r="E179" s="143"/>
      <c r="F179" s="143"/>
      <c r="G179" s="143"/>
      <c r="H179" s="143"/>
    </row>
    <row r="180" spans="1:11" x14ac:dyDescent="0.25">
      <c r="B180" t="s">
        <v>179</v>
      </c>
      <c r="C180" t="str">
        <f>IF(C178&gt;0.25,"R",IF(C178&gt;0.2,"Y",FALSE))</f>
        <v>R</v>
      </c>
      <c r="D180" t="str">
        <f t="shared" ref="D180:H180" si="211">IF(D178&gt;0.25,"R",IF(D178&gt;0.2,"Y",FALSE))</f>
        <v>R</v>
      </c>
      <c r="E180" t="b">
        <f t="shared" si="211"/>
        <v>0</v>
      </c>
      <c r="F180" t="str">
        <f t="shared" si="211"/>
        <v>R</v>
      </c>
      <c r="G180" t="str">
        <f t="shared" si="211"/>
        <v>R</v>
      </c>
      <c r="H180" t="str">
        <f t="shared" si="211"/>
        <v>R</v>
      </c>
    </row>
    <row r="181" spans="1:11" x14ac:dyDescent="0.25">
      <c r="B181" t="s">
        <v>180</v>
      </c>
      <c r="C181" t="str">
        <f ca="1">OFFSET(B180,0,'CNW-AD Data'!C2)</f>
        <v>Throw Distance Highlight</v>
      </c>
      <c r="D181">
        <f ca="1">IF(OR(C181="Y",C181="R"),1,0)</f>
        <v>0</v>
      </c>
    </row>
    <row r="183" spans="1:11" x14ac:dyDescent="0.25">
      <c r="B183" t="s">
        <v>105</v>
      </c>
      <c r="C183" t="b">
        <f t="shared" ref="C183:H183" si="212">C164&gt;45</f>
        <v>0</v>
      </c>
      <c r="D183" t="b">
        <f t="shared" si="212"/>
        <v>0</v>
      </c>
      <c r="E183" t="b">
        <f t="shared" si="212"/>
        <v>0</v>
      </c>
      <c r="F183" t="b">
        <f t="shared" si="212"/>
        <v>0</v>
      </c>
      <c r="G183" t="b">
        <f t="shared" si="212"/>
        <v>1</v>
      </c>
      <c r="H183" t="b">
        <f t="shared" si="212"/>
        <v>1</v>
      </c>
    </row>
    <row r="184" spans="1:11" x14ac:dyDescent="0.25">
      <c r="B184" t="s">
        <v>111</v>
      </c>
      <c r="C184" t="b">
        <f t="shared" ref="C184:H184" si="213">C165&lt;-45</f>
        <v>0</v>
      </c>
      <c r="D184" t="b">
        <f t="shared" si="213"/>
        <v>0</v>
      </c>
      <c r="E184" t="b">
        <f t="shared" si="213"/>
        <v>0</v>
      </c>
      <c r="F184" t="b">
        <f t="shared" si="213"/>
        <v>0</v>
      </c>
      <c r="G184" t="b">
        <f t="shared" si="213"/>
        <v>0</v>
      </c>
      <c r="H184" t="b">
        <f t="shared" si="213"/>
        <v>1</v>
      </c>
    </row>
    <row r="186" spans="1:11" x14ac:dyDescent="0.25">
      <c r="B186" t="s">
        <v>181</v>
      </c>
      <c r="C186" t="str">
        <f ca="1">IF(C166="","",IF(C166&gt;'CNW-AD Data'!$C$50+5,"R",IF(C166&gt;'CNW-AD Data'!$C$50,"Y","G")))</f>
        <v>G</v>
      </c>
      <c r="D186" t="str">
        <f ca="1">IF(D166&gt;'CNW-AD Data'!$C$50+5,"R",IF(D166&gt;'CNW-AD Data'!$C$50,"Y","G"))</f>
        <v>G</v>
      </c>
      <c r="E186" t="str">
        <f ca="1">IF(E166&gt;'CNW-AD Data'!$C$50+5,"R",IF(E166&gt;'CNW-AD Data'!$C$50,"Y","G"))</f>
        <v>G</v>
      </c>
      <c r="F186" t="str">
        <f ca="1">IF(F166&gt;'CNW-AD Data'!$C$50+5,"R",IF(F166&gt;'CNW-AD Data'!$C$50,"Y","G"))</f>
        <v>R</v>
      </c>
      <c r="G186" t="str">
        <f ca="1">IF(G166&gt;'CNW-AD Data'!$C$50+5,"R",IF(G166&gt;'CNW-AD Data'!$C$50,"Y","G"))</f>
        <v>R</v>
      </c>
      <c r="H186" t="str">
        <f ca="1">IF(H166&gt;'CNW-AD Data'!$C$50+5,"R",IF(H166&gt;'CNW-AD Data'!$C$50,"Y","G"))</f>
        <v>R</v>
      </c>
      <c r="I186" t="b">
        <f ca="1">COUNTIF(C186:H186,"R")+COUNTIF(C186:H186,"Y")&gt;0</f>
        <v>1</v>
      </c>
    </row>
    <row r="187" spans="1:11" x14ac:dyDescent="0.25">
      <c r="B187" t="s">
        <v>182</v>
      </c>
      <c r="C187" t="b">
        <f t="shared" ref="C187:H187" si="214">C174</f>
        <v>1</v>
      </c>
      <c r="D187" t="b">
        <f t="shared" si="214"/>
        <v>1</v>
      </c>
      <c r="E187" t="b">
        <f t="shared" si="214"/>
        <v>0</v>
      </c>
      <c r="F187" t="b">
        <f t="shared" si="214"/>
        <v>0</v>
      </c>
      <c r="G187" t="b">
        <f t="shared" si="214"/>
        <v>0</v>
      </c>
      <c r="H187" t="b">
        <f t="shared" si="214"/>
        <v>1</v>
      </c>
    </row>
    <row r="189" spans="1:11" x14ac:dyDescent="0.25">
      <c r="B189" t="s">
        <v>301</v>
      </c>
      <c r="C189" t="str">
        <f>IF(C161&gt;$K$189, "R",IF(C161&gt;$J$189,"O","B"))</f>
        <v>R</v>
      </c>
      <c r="D189" t="str">
        <f t="shared" ref="D189:H189" si="215">IF(D161&gt;$K$189, "R",IF(D161&gt;$J$189,"O","B"))</f>
        <v>O</v>
      </c>
      <c r="E189" t="str">
        <f t="shared" si="215"/>
        <v>B</v>
      </c>
      <c r="F189" t="str">
        <f t="shared" si="215"/>
        <v>B</v>
      </c>
      <c r="G189" t="str">
        <f t="shared" si="215"/>
        <v>B</v>
      </c>
      <c r="H189" t="str">
        <f t="shared" si="215"/>
        <v>B</v>
      </c>
      <c r="I189" t="s">
        <v>302</v>
      </c>
      <c r="J189">
        <f>B19+0.06</f>
        <v>0.46</v>
      </c>
      <c r="K189">
        <f>B19+0.16</f>
        <v>0.56000000000000005</v>
      </c>
    </row>
    <row r="192" spans="1:11" ht="20.25" thickBot="1" x14ac:dyDescent="0.35">
      <c r="A192" s="1" t="s">
        <v>183</v>
      </c>
    </row>
    <row r="193" spans="1:3" ht="15.75" thickTop="1" x14ac:dyDescent="0.25"/>
    <row r="194" spans="1:3" x14ac:dyDescent="0.25">
      <c r="C194" t="s">
        <v>184</v>
      </c>
    </row>
    <row r="195" spans="1:3" x14ac:dyDescent="0.25">
      <c r="C195">
        <f>'CNW-AD Data'!C2+IF(B16,5,0)</f>
        <v>0</v>
      </c>
    </row>
    <row r="196" spans="1:3" x14ac:dyDescent="0.25">
      <c r="A196">
        <v>1</v>
      </c>
      <c r="B196" t="s">
        <v>6</v>
      </c>
      <c r="C196" t="str">
        <f t="shared" ref="C196:C204" ca="1" si="216">OFFSET($C$95,A196,$C$195-1)</f>
        <v>Airflow Rate</v>
      </c>
    </row>
    <row r="197" spans="1:3" x14ac:dyDescent="0.25">
      <c r="A197">
        <v>2</v>
      </c>
      <c r="B197" t="s">
        <v>149</v>
      </c>
      <c r="C197" t="str">
        <f t="shared" ca="1" si="216"/>
        <v>Static Pressure</v>
      </c>
    </row>
    <row r="198" spans="1:3" x14ac:dyDescent="0.25">
      <c r="A198">
        <v>3</v>
      </c>
      <c r="B198" t="s">
        <v>93</v>
      </c>
      <c r="C198" t="str">
        <f t="shared" ca="1" si="216"/>
        <v>Total Pressure Loss (Pa)</v>
      </c>
    </row>
    <row r="199" spans="1:3" x14ac:dyDescent="0.25">
      <c r="A199">
        <v>4</v>
      </c>
      <c r="B199" t="s">
        <v>150</v>
      </c>
      <c r="C199" t="str">
        <f t="shared" ca="1" si="216"/>
        <v>Permissible Pressure</v>
      </c>
    </row>
    <row r="200" spans="1:3" x14ac:dyDescent="0.25">
      <c r="A200">
        <v>5</v>
      </c>
      <c r="B200" t="s">
        <v>103</v>
      </c>
      <c r="C200" t="str">
        <f t="shared" ca="1" si="216"/>
        <v>SWL (dB(A))</v>
      </c>
    </row>
    <row r="201" spans="1:3" x14ac:dyDescent="0.25">
      <c r="A201">
        <v>6</v>
      </c>
      <c r="B201" t="s">
        <v>151</v>
      </c>
      <c r="C201" t="str">
        <f t="shared" ca="1" si="216"/>
        <v>Throw (m)</v>
      </c>
    </row>
    <row r="202" spans="1:3" x14ac:dyDescent="0.25">
      <c r="A202">
        <v>7</v>
      </c>
      <c r="B202" t="s">
        <v>100</v>
      </c>
      <c r="C202" t="str">
        <f t="shared" ca="1" si="216"/>
        <v>Jet Velocity at Distance</v>
      </c>
    </row>
    <row r="203" spans="1:3" x14ac:dyDescent="0.25">
      <c r="A203">
        <v>8</v>
      </c>
      <c r="B203" t="s">
        <v>152</v>
      </c>
      <c r="C203" t="str">
        <f t="shared" ca="1" si="216"/>
        <v>Jet dT at Distance (cool)</v>
      </c>
    </row>
    <row r="204" spans="1:3" x14ac:dyDescent="0.25">
      <c r="A204">
        <v>9</v>
      </c>
      <c r="B204" t="s">
        <v>153</v>
      </c>
      <c r="C204" t="str">
        <f t="shared" ca="1" si="216"/>
        <v>Jet dT at Distance (heat)</v>
      </c>
    </row>
    <row r="205" spans="1:3" x14ac:dyDescent="0.25">
      <c r="A205">
        <v>10</v>
      </c>
      <c r="B205" t="s">
        <v>154</v>
      </c>
      <c r="C205">
        <f ca="1">IF($C$195=0,0,OFFSET($C$95,A205,$C$195-1))</f>
        <v>0</v>
      </c>
    </row>
    <row r="206" spans="1:3" x14ac:dyDescent="0.25">
      <c r="A206">
        <v>11</v>
      </c>
      <c r="B206" t="s">
        <v>155</v>
      </c>
      <c r="C206">
        <f ca="1">IF($C$195=0,0,OFFSET($C$95,A206,$C$195-1))</f>
        <v>0</v>
      </c>
    </row>
    <row r="207" spans="1:3" x14ac:dyDescent="0.25">
      <c r="A207">
        <v>12</v>
      </c>
      <c r="B207" t="s">
        <v>185</v>
      </c>
      <c r="C207" t="str">
        <f t="shared" ref="C207:C214" ca="1" si="217">OFFSET($C$95,A207,$C$195-1)</f>
        <v>Arc of Rotation</v>
      </c>
    </row>
    <row r="208" spans="1:3" x14ac:dyDescent="0.25">
      <c r="A208">
        <v>13</v>
      </c>
      <c r="B208" t="s">
        <v>186</v>
      </c>
      <c r="C208" t="str">
        <f t="shared" ca="1" si="217"/>
        <v>Mounting Angle</v>
      </c>
    </row>
    <row r="209" spans="1:37" x14ac:dyDescent="0.25">
      <c r="A209">
        <v>14</v>
      </c>
      <c r="B209" s="86" t="s">
        <v>136</v>
      </c>
      <c r="C209" t="str">
        <f t="shared" ca="1" si="217"/>
        <v>Min Centreline Dist</v>
      </c>
    </row>
    <row r="210" spans="1:37" x14ac:dyDescent="0.25">
      <c r="A210">
        <v>15</v>
      </c>
      <c r="B210" t="s">
        <v>89</v>
      </c>
      <c r="C210" t="str">
        <f t="shared" ca="1" si="217"/>
        <v>Area</v>
      </c>
    </row>
    <row r="211" spans="1:37" x14ac:dyDescent="0.25">
      <c r="A211">
        <v>16</v>
      </c>
      <c r="B211" t="s">
        <v>90</v>
      </c>
      <c r="C211" t="str">
        <f t="shared" ca="1" si="217"/>
        <v>Velocity</v>
      </c>
    </row>
    <row r="212" spans="1:37" x14ac:dyDescent="0.25">
      <c r="A212">
        <v>17</v>
      </c>
      <c r="B212" t="s">
        <v>187</v>
      </c>
      <c r="C212" t="str">
        <f t="shared" ca="1" si="217"/>
        <v>X dist heat location</v>
      </c>
    </row>
    <row r="213" spans="1:37" x14ac:dyDescent="0.25">
      <c r="A213">
        <v>18</v>
      </c>
      <c r="B213" t="s">
        <v>188</v>
      </c>
      <c r="C213" t="str">
        <f t="shared" ca="1" si="217"/>
        <v>deflection k (cool)</v>
      </c>
    </row>
    <row r="214" spans="1:37" x14ac:dyDescent="0.25">
      <c r="A214">
        <v>19</v>
      </c>
      <c r="B214" t="s">
        <v>189</v>
      </c>
      <c r="C214" s="3" t="str">
        <f t="shared" ca="1" si="217"/>
        <v>deflection k (heat)</v>
      </c>
    </row>
    <row r="216" spans="1:37" x14ac:dyDescent="0.25">
      <c r="C216" t="s">
        <v>190</v>
      </c>
    </row>
    <row r="217" spans="1:37" x14ac:dyDescent="0.25">
      <c r="C217" t="s">
        <v>191</v>
      </c>
      <c r="D217">
        <f>$B$15</f>
        <v>24</v>
      </c>
      <c r="E217">
        <v>0</v>
      </c>
      <c r="F217" s="39">
        <v>2</v>
      </c>
      <c r="G217">
        <v>4</v>
      </c>
      <c r="H217">
        <v>6</v>
      </c>
      <c r="I217">
        <v>8</v>
      </c>
      <c r="J217">
        <v>10</v>
      </c>
      <c r="K217">
        <v>12</v>
      </c>
      <c r="L217">
        <v>14</v>
      </c>
      <c r="M217">
        <v>16</v>
      </c>
      <c r="N217">
        <v>18</v>
      </c>
      <c r="O217">
        <v>20</v>
      </c>
      <c r="P217">
        <v>22</v>
      </c>
      <c r="Q217">
        <v>24</v>
      </c>
      <c r="R217">
        <v>26</v>
      </c>
      <c r="S217">
        <v>28</v>
      </c>
      <c r="T217">
        <v>30</v>
      </c>
      <c r="U217">
        <v>32</v>
      </c>
      <c r="V217">
        <v>36</v>
      </c>
      <c r="W217">
        <v>40</v>
      </c>
      <c r="X217">
        <v>44</v>
      </c>
      <c r="Y217">
        <v>48</v>
      </c>
      <c r="Z217">
        <v>52</v>
      </c>
      <c r="AA217">
        <v>56</v>
      </c>
      <c r="AB217">
        <v>60</v>
      </c>
      <c r="AC217">
        <v>65</v>
      </c>
      <c r="AD217">
        <v>70</v>
      </c>
      <c r="AE217">
        <v>75</v>
      </c>
      <c r="AF217">
        <v>80</v>
      </c>
      <c r="AG217">
        <v>85</v>
      </c>
      <c r="AH217">
        <v>90</v>
      </c>
      <c r="AI217">
        <v>95</v>
      </c>
      <c r="AJ217">
        <v>100</v>
      </c>
    </row>
    <row r="218" spans="1:37" x14ac:dyDescent="0.25">
      <c r="C218" t="s">
        <v>192</v>
      </c>
      <c r="D218" s="39">
        <f ca="1">D217*TAN(RADIANS($C$205))</f>
        <v>0</v>
      </c>
      <c r="E218" s="39"/>
      <c r="F218" s="39">
        <f t="shared" ref="F218:AJ218" ca="1" si="218">F217*TAN(RADIANS($C$205))</f>
        <v>0</v>
      </c>
      <c r="G218">
        <f t="shared" ca="1" si="218"/>
        <v>0</v>
      </c>
      <c r="H218">
        <f t="shared" ca="1" si="218"/>
        <v>0</v>
      </c>
      <c r="I218">
        <f t="shared" ca="1" si="218"/>
        <v>0</v>
      </c>
      <c r="J218">
        <f t="shared" ca="1" si="218"/>
        <v>0</v>
      </c>
      <c r="K218">
        <f t="shared" ca="1" si="218"/>
        <v>0</v>
      </c>
      <c r="L218">
        <f t="shared" ca="1" si="218"/>
        <v>0</v>
      </c>
      <c r="M218">
        <f t="shared" ca="1" si="218"/>
        <v>0</v>
      </c>
      <c r="N218">
        <f t="shared" ca="1" si="218"/>
        <v>0</v>
      </c>
      <c r="O218">
        <f t="shared" ca="1" si="218"/>
        <v>0</v>
      </c>
      <c r="P218">
        <f t="shared" ca="1" si="218"/>
        <v>0</v>
      </c>
      <c r="Q218">
        <f t="shared" ca="1" si="218"/>
        <v>0</v>
      </c>
      <c r="R218">
        <f t="shared" ca="1" si="218"/>
        <v>0</v>
      </c>
      <c r="S218">
        <f t="shared" ca="1" si="218"/>
        <v>0</v>
      </c>
      <c r="T218">
        <f t="shared" ca="1" si="218"/>
        <v>0</v>
      </c>
      <c r="U218">
        <f t="shared" ca="1" si="218"/>
        <v>0</v>
      </c>
      <c r="V218">
        <f t="shared" ca="1" si="218"/>
        <v>0</v>
      </c>
      <c r="W218">
        <f t="shared" ca="1" si="218"/>
        <v>0</v>
      </c>
      <c r="X218">
        <f t="shared" ca="1" si="218"/>
        <v>0</v>
      </c>
      <c r="Y218">
        <f t="shared" ca="1" si="218"/>
        <v>0</v>
      </c>
      <c r="Z218">
        <f t="shared" ca="1" si="218"/>
        <v>0</v>
      </c>
      <c r="AA218">
        <f t="shared" ca="1" si="218"/>
        <v>0</v>
      </c>
      <c r="AB218">
        <f t="shared" ca="1" si="218"/>
        <v>0</v>
      </c>
      <c r="AC218">
        <f t="shared" ca="1" si="218"/>
        <v>0</v>
      </c>
      <c r="AD218">
        <f t="shared" ca="1" si="218"/>
        <v>0</v>
      </c>
      <c r="AE218">
        <f t="shared" ca="1" si="218"/>
        <v>0</v>
      </c>
      <c r="AF218">
        <f t="shared" ca="1" si="218"/>
        <v>0</v>
      </c>
      <c r="AG218">
        <f t="shared" ca="1" si="218"/>
        <v>0</v>
      </c>
      <c r="AH218">
        <f t="shared" ca="1" si="218"/>
        <v>0</v>
      </c>
      <c r="AI218">
        <f t="shared" ca="1" si="218"/>
        <v>0</v>
      </c>
      <c r="AJ218">
        <f t="shared" ca="1" si="218"/>
        <v>0</v>
      </c>
    </row>
    <row r="219" spans="1:37" x14ac:dyDescent="0.25">
      <c r="C219" t="s">
        <v>193</v>
      </c>
      <c r="D219" s="39">
        <f ca="1">SQRT(D217^2+D218^2)</f>
        <v>24</v>
      </c>
      <c r="E219" s="39"/>
      <c r="F219" s="39">
        <f ca="1">SQRT(F217^2+F218^2)</f>
        <v>2</v>
      </c>
      <c r="G219">
        <f t="shared" ref="G219:AJ219" ca="1" si="219">SQRT(G217^2+G218^2)</f>
        <v>4</v>
      </c>
      <c r="H219">
        <f t="shared" ca="1" si="219"/>
        <v>6</v>
      </c>
      <c r="I219">
        <f t="shared" ca="1" si="219"/>
        <v>8</v>
      </c>
      <c r="J219">
        <f t="shared" ca="1" si="219"/>
        <v>10</v>
      </c>
      <c r="K219">
        <f t="shared" ca="1" si="219"/>
        <v>12</v>
      </c>
      <c r="L219">
        <f t="shared" ca="1" si="219"/>
        <v>14</v>
      </c>
      <c r="M219">
        <f t="shared" ca="1" si="219"/>
        <v>16</v>
      </c>
      <c r="N219">
        <f t="shared" ca="1" si="219"/>
        <v>18</v>
      </c>
      <c r="O219">
        <f t="shared" ca="1" si="219"/>
        <v>20</v>
      </c>
      <c r="P219">
        <f t="shared" ca="1" si="219"/>
        <v>22</v>
      </c>
      <c r="Q219">
        <f t="shared" ca="1" si="219"/>
        <v>24</v>
      </c>
      <c r="R219">
        <f t="shared" ca="1" si="219"/>
        <v>26</v>
      </c>
      <c r="S219">
        <f t="shared" ca="1" si="219"/>
        <v>28</v>
      </c>
      <c r="T219">
        <f t="shared" ca="1" si="219"/>
        <v>30</v>
      </c>
      <c r="U219">
        <f t="shared" ca="1" si="219"/>
        <v>32</v>
      </c>
      <c r="V219">
        <f t="shared" ca="1" si="219"/>
        <v>36</v>
      </c>
      <c r="W219">
        <f t="shared" ca="1" si="219"/>
        <v>40</v>
      </c>
      <c r="X219">
        <f t="shared" ca="1" si="219"/>
        <v>44</v>
      </c>
      <c r="Y219">
        <f t="shared" ca="1" si="219"/>
        <v>48</v>
      </c>
      <c r="Z219">
        <f t="shared" ca="1" si="219"/>
        <v>52</v>
      </c>
      <c r="AA219">
        <f t="shared" ca="1" si="219"/>
        <v>56</v>
      </c>
      <c r="AB219">
        <f t="shared" ca="1" si="219"/>
        <v>60</v>
      </c>
      <c r="AC219">
        <f t="shared" ca="1" si="219"/>
        <v>65</v>
      </c>
      <c r="AD219">
        <f t="shared" ca="1" si="219"/>
        <v>70</v>
      </c>
      <c r="AE219">
        <f t="shared" ca="1" si="219"/>
        <v>75</v>
      </c>
      <c r="AF219">
        <f t="shared" ca="1" si="219"/>
        <v>80</v>
      </c>
      <c r="AG219">
        <f t="shared" ca="1" si="219"/>
        <v>85</v>
      </c>
      <c r="AH219">
        <f t="shared" ca="1" si="219"/>
        <v>90</v>
      </c>
      <c r="AI219">
        <f t="shared" ca="1" si="219"/>
        <v>95</v>
      </c>
      <c r="AJ219">
        <f t="shared" ca="1" si="219"/>
        <v>100</v>
      </c>
    </row>
    <row r="220" spans="1:37" x14ac:dyDescent="0.25">
      <c r="C220" t="s">
        <v>194</v>
      </c>
      <c r="D220" s="39" t="e">
        <f ca="1">$B$14+D218+$C$213*D219^3</f>
        <v>#VALUE!</v>
      </c>
      <c r="E220" s="39">
        <f>B14</f>
        <v>5</v>
      </c>
      <c r="F220" s="39" t="e">
        <f t="shared" ref="F220:AJ220" ca="1" si="220">$B$14+F218+$C$213*F219^3</f>
        <v>#VALUE!</v>
      </c>
      <c r="G220" s="39" t="e">
        <f t="shared" ca="1" si="220"/>
        <v>#VALUE!</v>
      </c>
      <c r="H220" s="39" t="e">
        <f t="shared" ca="1" si="220"/>
        <v>#VALUE!</v>
      </c>
      <c r="I220" s="39" t="e">
        <f t="shared" ca="1" si="220"/>
        <v>#VALUE!</v>
      </c>
      <c r="J220" s="39" t="e">
        <f t="shared" ca="1" si="220"/>
        <v>#VALUE!</v>
      </c>
      <c r="K220" s="39" t="e">
        <f t="shared" ca="1" si="220"/>
        <v>#VALUE!</v>
      </c>
      <c r="L220" s="39" t="e">
        <f t="shared" ca="1" si="220"/>
        <v>#VALUE!</v>
      </c>
      <c r="M220" s="39" t="e">
        <f t="shared" ca="1" si="220"/>
        <v>#VALUE!</v>
      </c>
      <c r="N220" s="39" t="e">
        <f t="shared" ca="1" si="220"/>
        <v>#VALUE!</v>
      </c>
      <c r="O220" s="39" t="e">
        <f t="shared" ca="1" si="220"/>
        <v>#VALUE!</v>
      </c>
      <c r="P220" s="39" t="e">
        <f t="shared" ca="1" si="220"/>
        <v>#VALUE!</v>
      </c>
      <c r="Q220" s="39" t="e">
        <f t="shared" ca="1" si="220"/>
        <v>#VALUE!</v>
      </c>
      <c r="R220" s="39" t="e">
        <f t="shared" ca="1" si="220"/>
        <v>#VALUE!</v>
      </c>
      <c r="S220" s="39" t="e">
        <f t="shared" ca="1" si="220"/>
        <v>#VALUE!</v>
      </c>
      <c r="T220" s="39" t="e">
        <f t="shared" ca="1" si="220"/>
        <v>#VALUE!</v>
      </c>
      <c r="U220" s="39" t="e">
        <f t="shared" ca="1" si="220"/>
        <v>#VALUE!</v>
      </c>
      <c r="V220" s="39" t="e">
        <f t="shared" ca="1" si="220"/>
        <v>#VALUE!</v>
      </c>
      <c r="W220" s="39" t="e">
        <f t="shared" ca="1" si="220"/>
        <v>#VALUE!</v>
      </c>
      <c r="X220" s="39" t="e">
        <f t="shared" ca="1" si="220"/>
        <v>#VALUE!</v>
      </c>
      <c r="Y220" s="39" t="e">
        <f t="shared" ca="1" si="220"/>
        <v>#VALUE!</v>
      </c>
      <c r="Z220" s="39" t="e">
        <f t="shared" ca="1" si="220"/>
        <v>#VALUE!</v>
      </c>
      <c r="AA220" s="39" t="e">
        <f t="shared" ca="1" si="220"/>
        <v>#VALUE!</v>
      </c>
      <c r="AB220" s="39" t="e">
        <f t="shared" ca="1" si="220"/>
        <v>#VALUE!</v>
      </c>
      <c r="AC220" s="39" t="e">
        <f t="shared" ca="1" si="220"/>
        <v>#VALUE!</v>
      </c>
      <c r="AD220" s="39" t="e">
        <f t="shared" ca="1" si="220"/>
        <v>#VALUE!</v>
      </c>
      <c r="AE220" s="39" t="e">
        <f t="shared" ca="1" si="220"/>
        <v>#VALUE!</v>
      </c>
      <c r="AF220" s="39" t="e">
        <f t="shared" ca="1" si="220"/>
        <v>#VALUE!</v>
      </c>
      <c r="AG220" s="39" t="e">
        <f t="shared" ca="1" si="220"/>
        <v>#VALUE!</v>
      </c>
      <c r="AH220" s="39" t="e">
        <f t="shared" ca="1" si="220"/>
        <v>#VALUE!</v>
      </c>
      <c r="AI220" s="39" t="e">
        <f t="shared" ca="1" si="220"/>
        <v>#VALUE!</v>
      </c>
      <c r="AJ220" s="39" t="e">
        <f t="shared" ca="1" si="220"/>
        <v>#VALUE!</v>
      </c>
      <c r="AK220" s="39"/>
    </row>
    <row r="221" spans="1:37" x14ac:dyDescent="0.25"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F221" s="39"/>
      <c r="AG221" s="39"/>
      <c r="AH221" s="39"/>
      <c r="AI221" s="39"/>
      <c r="AJ221" s="39"/>
    </row>
    <row r="222" spans="1:37" x14ac:dyDescent="0.25">
      <c r="C222" t="s">
        <v>195</v>
      </c>
    </row>
    <row r="223" spans="1:37" x14ac:dyDescent="0.25">
      <c r="C223" t="s">
        <v>191</v>
      </c>
      <c r="D223" t="str">
        <f ca="1">C212</f>
        <v>X dist heat location</v>
      </c>
      <c r="E223">
        <v>0</v>
      </c>
      <c r="F223" s="39">
        <v>2</v>
      </c>
      <c r="G223">
        <v>4</v>
      </c>
      <c r="H223">
        <v>6</v>
      </c>
      <c r="I223">
        <v>8</v>
      </c>
      <c r="J223">
        <v>10</v>
      </c>
      <c r="K223">
        <v>12</v>
      </c>
      <c r="L223">
        <v>14</v>
      </c>
      <c r="M223">
        <v>16</v>
      </c>
      <c r="N223">
        <v>18</v>
      </c>
      <c r="O223">
        <v>20</v>
      </c>
      <c r="P223">
        <v>22</v>
      </c>
      <c r="Q223">
        <v>24</v>
      </c>
      <c r="R223">
        <v>26</v>
      </c>
      <c r="S223">
        <v>28</v>
      </c>
      <c r="T223">
        <v>30</v>
      </c>
      <c r="U223">
        <v>32</v>
      </c>
      <c r="V223">
        <v>36</v>
      </c>
      <c r="W223">
        <v>40</v>
      </c>
      <c r="X223">
        <v>44</v>
      </c>
      <c r="Y223">
        <v>48</v>
      </c>
      <c r="Z223">
        <v>52</v>
      </c>
      <c r="AA223">
        <v>56</v>
      </c>
      <c r="AB223">
        <v>60</v>
      </c>
      <c r="AC223">
        <v>65</v>
      </c>
      <c r="AD223">
        <v>70</v>
      </c>
      <c r="AE223">
        <v>75</v>
      </c>
      <c r="AF223">
        <v>80</v>
      </c>
      <c r="AG223">
        <v>85</v>
      </c>
      <c r="AH223">
        <v>90</v>
      </c>
      <c r="AI223">
        <v>95</v>
      </c>
      <c r="AJ223">
        <v>100</v>
      </c>
    </row>
    <row r="224" spans="1:37" x14ac:dyDescent="0.25">
      <c r="C224" t="s">
        <v>196</v>
      </c>
      <c r="D224" s="39" t="e">
        <f ca="1">D223*TAN(RADIANS($C$206))</f>
        <v>#VALUE!</v>
      </c>
      <c r="E224" s="39"/>
      <c r="F224" s="39">
        <f t="shared" ref="F224:AJ224" ca="1" si="221">F223*TAN(RADIANS($C$206))</f>
        <v>0</v>
      </c>
      <c r="G224">
        <f t="shared" ca="1" si="221"/>
        <v>0</v>
      </c>
      <c r="H224">
        <f t="shared" ca="1" si="221"/>
        <v>0</v>
      </c>
      <c r="I224">
        <f t="shared" ca="1" si="221"/>
        <v>0</v>
      </c>
      <c r="J224">
        <f t="shared" ca="1" si="221"/>
        <v>0</v>
      </c>
      <c r="K224">
        <f t="shared" ca="1" si="221"/>
        <v>0</v>
      </c>
      <c r="L224">
        <f t="shared" ca="1" si="221"/>
        <v>0</v>
      </c>
      <c r="M224">
        <f t="shared" ca="1" si="221"/>
        <v>0</v>
      </c>
      <c r="N224">
        <f t="shared" ca="1" si="221"/>
        <v>0</v>
      </c>
      <c r="O224">
        <f t="shared" ca="1" si="221"/>
        <v>0</v>
      </c>
      <c r="P224">
        <f t="shared" ca="1" si="221"/>
        <v>0</v>
      </c>
      <c r="Q224">
        <f t="shared" ca="1" si="221"/>
        <v>0</v>
      </c>
      <c r="R224">
        <f t="shared" ca="1" si="221"/>
        <v>0</v>
      </c>
      <c r="S224">
        <f t="shared" ca="1" si="221"/>
        <v>0</v>
      </c>
      <c r="T224">
        <f t="shared" ca="1" si="221"/>
        <v>0</v>
      </c>
      <c r="U224">
        <f t="shared" ca="1" si="221"/>
        <v>0</v>
      </c>
      <c r="V224">
        <f t="shared" ca="1" si="221"/>
        <v>0</v>
      </c>
      <c r="W224">
        <f t="shared" ca="1" si="221"/>
        <v>0</v>
      </c>
      <c r="X224">
        <f t="shared" ca="1" si="221"/>
        <v>0</v>
      </c>
      <c r="Y224">
        <f t="shared" ca="1" si="221"/>
        <v>0</v>
      </c>
      <c r="Z224">
        <f t="shared" ca="1" si="221"/>
        <v>0</v>
      </c>
      <c r="AA224">
        <f t="shared" ca="1" si="221"/>
        <v>0</v>
      </c>
      <c r="AB224">
        <f t="shared" ca="1" si="221"/>
        <v>0</v>
      </c>
      <c r="AC224">
        <f t="shared" ca="1" si="221"/>
        <v>0</v>
      </c>
      <c r="AD224">
        <f t="shared" ca="1" si="221"/>
        <v>0</v>
      </c>
      <c r="AE224">
        <f t="shared" ca="1" si="221"/>
        <v>0</v>
      </c>
      <c r="AF224">
        <f t="shared" ca="1" si="221"/>
        <v>0</v>
      </c>
      <c r="AG224">
        <f t="shared" ca="1" si="221"/>
        <v>0</v>
      </c>
      <c r="AH224">
        <f t="shared" ca="1" si="221"/>
        <v>0</v>
      </c>
      <c r="AI224">
        <f t="shared" ca="1" si="221"/>
        <v>0</v>
      </c>
      <c r="AJ224">
        <f t="shared" ca="1" si="221"/>
        <v>0</v>
      </c>
    </row>
    <row r="225" spans="3:36" x14ac:dyDescent="0.25">
      <c r="C225" t="s">
        <v>193</v>
      </c>
      <c r="D225" s="39" t="e">
        <f ca="1">SQRT(D223^2+D224^2)</f>
        <v>#VALUE!</v>
      </c>
      <c r="E225" s="39"/>
      <c r="F225" s="39">
        <f ca="1">SQRT(F223^2+F224^2)</f>
        <v>2</v>
      </c>
      <c r="G225">
        <f t="shared" ref="G225" ca="1" si="222">SQRT(G223^2+G224^2)</f>
        <v>4</v>
      </c>
      <c r="H225">
        <f t="shared" ref="H225" ca="1" si="223">SQRT(H223^2+H224^2)</f>
        <v>6</v>
      </c>
      <c r="I225">
        <f t="shared" ref="I225" ca="1" si="224">SQRT(I223^2+I224^2)</f>
        <v>8</v>
      </c>
      <c r="J225">
        <f t="shared" ref="J225" ca="1" si="225">SQRT(J223^2+J224^2)</f>
        <v>10</v>
      </c>
      <c r="K225">
        <f t="shared" ref="K225" ca="1" si="226">SQRT(K223^2+K224^2)</f>
        <v>12</v>
      </c>
      <c r="L225">
        <f t="shared" ref="L225" ca="1" si="227">SQRT(L223^2+L224^2)</f>
        <v>14</v>
      </c>
      <c r="M225">
        <f t="shared" ref="M225" ca="1" si="228">SQRT(M223^2+M224^2)</f>
        <v>16</v>
      </c>
      <c r="N225">
        <f t="shared" ref="N225" ca="1" si="229">SQRT(N223^2+N224^2)</f>
        <v>18</v>
      </c>
      <c r="O225">
        <f t="shared" ref="O225" ca="1" si="230">SQRT(O223^2+O224^2)</f>
        <v>20</v>
      </c>
      <c r="P225">
        <f t="shared" ref="P225" ca="1" si="231">SQRT(P223^2+P224^2)</f>
        <v>22</v>
      </c>
      <c r="Q225">
        <f t="shared" ref="Q225" ca="1" si="232">SQRT(Q223^2+Q224^2)</f>
        <v>24</v>
      </c>
      <c r="R225">
        <f t="shared" ref="R225" ca="1" si="233">SQRT(R223^2+R224^2)</f>
        <v>26</v>
      </c>
      <c r="S225">
        <f t="shared" ref="S225" ca="1" si="234">SQRT(S223^2+S224^2)</f>
        <v>28</v>
      </c>
      <c r="T225">
        <f t="shared" ref="T225" ca="1" si="235">SQRT(T223^2+T224^2)</f>
        <v>30</v>
      </c>
      <c r="U225">
        <f t="shared" ref="U225" ca="1" si="236">SQRT(U223^2+U224^2)</f>
        <v>32</v>
      </c>
      <c r="V225">
        <f t="shared" ref="V225" ca="1" si="237">SQRT(V223^2+V224^2)</f>
        <v>36</v>
      </c>
      <c r="W225">
        <f t="shared" ref="W225" ca="1" si="238">SQRT(W223^2+W224^2)</f>
        <v>40</v>
      </c>
      <c r="X225">
        <f t="shared" ref="X225" ca="1" si="239">SQRT(X223^2+X224^2)</f>
        <v>44</v>
      </c>
      <c r="Y225">
        <f t="shared" ref="Y225" ca="1" si="240">SQRT(Y223^2+Y224^2)</f>
        <v>48</v>
      </c>
      <c r="Z225">
        <f t="shared" ref="Z225" ca="1" si="241">SQRT(Z223^2+Z224^2)</f>
        <v>52</v>
      </c>
      <c r="AA225">
        <f t="shared" ref="AA225" ca="1" si="242">SQRT(AA223^2+AA224^2)</f>
        <v>56</v>
      </c>
      <c r="AB225">
        <f t="shared" ref="AB225" ca="1" si="243">SQRT(AB223^2+AB224^2)</f>
        <v>60</v>
      </c>
      <c r="AC225">
        <f t="shared" ref="AC225" ca="1" si="244">SQRT(AC223^2+AC224^2)</f>
        <v>65</v>
      </c>
      <c r="AD225">
        <f t="shared" ref="AD225" ca="1" si="245">SQRT(AD223^2+AD224^2)</f>
        <v>70</v>
      </c>
      <c r="AE225">
        <f t="shared" ref="AE225" ca="1" si="246">SQRT(AE223^2+AE224^2)</f>
        <v>75</v>
      </c>
      <c r="AF225">
        <f t="shared" ref="AF225" ca="1" si="247">SQRT(AF223^2+AF224^2)</f>
        <v>80</v>
      </c>
      <c r="AG225">
        <f t="shared" ref="AG225" ca="1" si="248">SQRT(AG223^2+AG224^2)</f>
        <v>85</v>
      </c>
      <c r="AH225">
        <f t="shared" ref="AH225" ca="1" si="249">SQRT(AH223^2+AH224^2)</f>
        <v>90</v>
      </c>
      <c r="AI225">
        <f t="shared" ref="AI225" ca="1" si="250">SQRT(AI223^2+AI224^2)</f>
        <v>95</v>
      </c>
      <c r="AJ225">
        <f t="shared" ref="AJ225" ca="1" si="251">SQRT(AJ223^2+AJ224^2)</f>
        <v>100</v>
      </c>
    </row>
    <row r="226" spans="3:36" x14ac:dyDescent="0.25">
      <c r="C226" t="s">
        <v>194</v>
      </c>
      <c r="D226" s="151" t="e">
        <f ca="1">$B$14+D224+$C$214*D225^3</f>
        <v>#VALUE!</v>
      </c>
      <c r="E226" s="39">
        <f>B14</f>
        <v>5</v>
      </c>
      <c r="F226" s="39" t="e">
        <f t="shared" ref="F226:AJ226" ca="1" si="252">$B$14+F224+$C$214*F225^3</f>
        <v>#VALUE!</v>
      </c>
      <c r="G226" s="39" t="e">
        <f t="shared" ca="1" si="252"/>
        <v>#VALUE!</v>
      </c>
      <c r="H226" s="39" t="e">
        <f t="shared" ca="1" si="252"/>
        <v>#VALUE!</v>
      </c>
      <c r="I226" s="39" t="e">
        <f t="shared" ca="1" si="252"/>
        <v>#VALUE!</v>
      </c>
      <c r="J226" s="39" t="e">
        <f t="shared" ca="1" si="252"/>
        <v>#VALUE!</v>
      </c>
      <c r="K226" s="39" t="e">
        <f t="shared" ca="1" si="252"/>
        <v>#VALUE!</v>
      </c>
      <c r="L226" s="39" t="e">
        <f t="shared" ca="1" si="252"/>
        <v>#VALUE!</v>
      </c>
      <c r="M226" s="39" t="e">
        <f t="shared" ca="1" si="252"/>
        <v>#VALUE!</v>
      </c>
      <c r="N226" s="39" t="e">
        <f t="shared" ca="1" si="252"/>
        <v>#VALUE!</v>
      </c>
      <c r="O226" s="39" t="e">
        <f t="shared" ca="1" si="252"/>
        <v>#VALUE!</v>
      </c>
      <c r="P226" s="39" t="e">
        <f t="shared" ca="1" si="252"/>
        <v>#VALUE!</v>
      </c>
      <c r="Q226" s="39" t="e">
        <f t="shared" ca="1" si="252"/>
        <v>#VALUE!</v>
      </c>
      <c r="R226" s="39" t="e">
        <f t="shared" ca="1" si="252"/>
        <v>#VALUE!</v>
      </c>
      <c r="S226" s="39" t="e">
        <f t="shared" ca="1" si="252"/>
        <v>#VALUE!</v>
      </c>
      <c r="T226" s="39" t="e">
        <f t="shared" ca="1" si="252"/>
        <v>#VALUE!</v>
      </c>
      <c r="U226" s="39" t="e">
        <f t="shared" ca="1" si="252"/>
        <v>#VALUE!</v>
      </c>
      <c r="V226" s="39" t="e">
        <f t="shared" ca="1" si="252"/>
        <v>#VALUE!</v>
      </c>
      <c r="W226" s="39" t="e">
        <f t="shared" ca="1" si="252"/>
        <v>#VALUE!</v>
      </c>
      <c r="X226" s="39" t="e">
        <f t="shared" ca="1" si="252"/>
        <v>#VALUE!</v>
      </c>
      <c r="Y226" s="39" t="e">
        <f t="shared" ca="1" si="252"/>
        <v>#VALUE!</v>
      </c>
      <c r="Z226" s="39" t="e">
        <f t="shared" ca="1" si="252"/>
        <v>#VALUE!</v>
      </c>
      <c r="AA226" s="39" t="e">
        <f t="shared" ca="1" si="252"/>
        <v>#VALUE!</v>
      </c>
      <c r="AB226" s="39" t="e">
        <f t="shared" ca="1" si="252"/>
        <v>#VALUE!</v>
      </c>
      <c r="AC226" s="39" t="e">
        <f t="shared" ca="1" si="252"/>
        <v>#VALUE!</v>
      </c>
      <c r="AD226" s="39" t="e">
        <f t="shared" ca="1" si="252"/>
        <v>#VALUE!</v>
      </c>
      <c r="AE226" s="39" t="e">
        <f t="shared" ca="1" si="252"/>
        <v>#VALUE!</v>
      </c>
      <c r="AF226" s="39" t="e">
        <f t="shared" ca="1" si="252"/>
        <v>#VALUE!</v>
      </c>
      <c r="AG226" s="39" t="e">
        <f t="shared" ca="1" si="252"/>
        <v>#VALUE!</v>
      </c>
      <c r="AH226" s="39" t="e">
        <f t="shared" ca="1" si="252"/>
        <v>#VALUE!</v>
      </c>
      <c r="AI226" s="39" t="e">
        <f t="shared" ca="1" si="252"/>
        <v>#VALUE!</v>
      </c>
      <c r="AJ226" s="39" t="e">
        <f t="shared" ca="1" si="252"/>
        <v>#VALUE!</v>
      </c>
    </row>
    <row r="229" spans="3:36" x14ac:dyDescent="0.25">
      <c r="C229" t="s">
        <v>197</v>
      </c>
    </row>
    <row r="230" spans="3:36" x14ac:dyDescent="0.25">
      <c r="C230" t="s">
        <v>198</v>
      </c>
      <c r="D230">
        <v>0</v>
      </c>
      <c r="E230">
        <f>B14</f>
        <v>5</v>
      </c>
    </row>
    <row r="232" spans="3:36" x14ac:dyDescent="0.25">
      <c r="C232" t="s">
        <v>199</v>
      </c>
    </row>
    <row r="233" spans="3:36" x14ac:dyDescent="0.25">
      <c r="C233" t="s">
        <v>191</v>
      </c>
      <c r="D233">
        <f>D217</f>
        <v>24</v>
      </c>
      <c r="E233">
        <v>0</v>
      </c>
      <c r="F233">
        <f t="shared" ref="F233:AJ233" si="253">IF(F217&lt;$D217,F217,NA())</f>
        <v>2</v>
      </c>
      <c r="G233">
        <f t="shared" si="253"/>
        <v>4</v>
      </c>
      <c r="H233">
        <f t="shared" si="253"/>
        <v>6</v>
      </c>
      <c r="I233">
        <f t="shared" si="253"/>
        <v>8</v>
      </c>
      <c r="J233">
        <f t="shared" si="253"/>
        <v>10</v>
      </c>
      <c r="K233">
        <f t="shared" si="253"/>
        <v>12</v>
      </c>
      <c r="L233">
        <f t="shared" si="253"/>
        <v>14</v>
      </c>
      <c r="M233">
        <f t="shared" si="253"/>
        <v>16</v>
      </c>
      <c r="N233">
        <f t="shared" si="253"/>
        <v>18</v>
      </c>
      <c r="O233">
        <f t="shared" si="253"/>
        <v>20</v>
      </c>
      <c r="P233">
        <f t="shared" si="253"/>
        <v>22</v>
      </c>
      <c r="Q233" t="e">
        <f t="shared" si="253"/>
        <v>#N/A</v>
      </c>
      <c r="R233" t="e">
        <f t="shared" si="253"/>
        <v>#N/A</v>
      </c>
      <c r="S233" t="e">
        <f t="shared" si="253"/>
        <v>#N/A</v>
      </c>
      <c r="T233" t="e">
        <f t="shared" si="253"/>
        <v>#N/A</v>
      </c>
      <c r="U233" t="e">
        <f t="shared" si="253"/>
        <v>#N/A</v>
      </c>
      <c r="V233" t="e">
        <f t="shared" si="253"/>
        <v>#N/A</v>
      </c>
      <c r="W233" t="e">
        <f t="shared" si="253"/>
        <v>#N/A</v>
      </c>
      <c r="X233" t="e">
        <f t="shared" si="253"/>
        <v>#N/A</v>
      </c>
      <c r="Y233" t="e">
        <f t="shared" si="253"/>
        <v>#N/A</v>
      </c>
      <c r="Z233" t="e">
        <f t="shared" si="253"/>
        <v>#N/A</v>
      </c>
      <c r="AA233" t="e">
        <f t="shared" si="253"/>
        <v>#N/A</v>
      </c>
      <c r="AB233" t="e">
        <f t="shared" si="253"/>
        <v>#N/A</v>
      </c>
      <c r="AC233" t="e">
        <f t="shared" si="253"/>
        <v>#N/A</v>
      </c>
      <c r="AD233" t="e">
        <f t="shared" si="253"/>
        <v>#N/A</v>
      </c>
      <c r="AE233" t="e">
        <f t="shared" si="253"/>
        <v>#N/A</v>
      </c>
      <c r="AF233" t="e">
        <f t="shared" si="253"/>
        <v>#N/A</v>
      </c>
      <c r="AG233" t="e">
        <f t="shared" si="253"/>
        <v>#N/A</v>
      </c>
      <c r="AH233" t="e">
        <f t="shared" si="253"/>
        <v>#N/A</v>
      </c>
      <c r="AI233" t="e">
        <f t="shared" si="253"/>
        <v>#N/A</v>
      </c>
      <c r="AJ233" t="e">
        <f t="shared" si="253"/>
        <v>#N/A</v>
      </c>
    </row>
    <row r="234" spans="3:36" x14ac:dyDescent="0.25">
      <c r="C234" t="s">
        <v>200</v>
      </c>
      <c r="D234" t="e">
        <f ca="1">D220</f>
        <v>#VALUE!</v>
      </c>
      <c r="E234">
        <f>B14</f>
        <v>5</v>
      </c>
      <c r="F234" t="e">
        <f t="shared" ref="F234:AJ234" ca="1" si="254">IF(ISNUMBER(F233),F220,NA())</f>
        <v>#VALUE!</v>
      </c>
      <c r="G234" t="e">
        <f t="shared" ca="1" si="254"/>
        <v>#VALUE!</v>
      </c>
      <c r="H234" t="e">
        <f t="shared" ca="1" si="254"/>
        <v>#VALUE!</v>
      </c>
      <c r="I234" t="e">
        <f t="shared" ca="1" si="254"/>
        <v>#VALUE!</v>
      </c>
      <c r="J234" t="e">
        <f t="shared" ca="1" si="254"/>
        <v>#VALUE!</v>
      </c>
      <c r="K234" t="e">
        <f t="shared" ca="1" si="254"/>
        <v>#VALUE!</v>
      </c>
      <c r="L234" t="e">
        <f t="shared" ca="1" si="254"/>
        <v>#VALUE!</v>
      </c>
      <c r="M234" t="e">
        <f t="shared" ca="1" si="254"/>
        <v>#VALUE!</v>
      </c>
      <c r="N234" t="e">
        <f t="shared" ca="1" si="254"/>
        <v>#VALUE!</v>
      </c>
      <c r="O234" t="e">
        <f t="shared" ca="1" si="254"/>
        <v>#VALUE!</v>
      </c>
      <c r="P234" t="e">
        <f t="shared" ca="1" si="254"/>
        <v>#VALUE!</v>
      </c>
      <c r="Q234" t="e">
        <f t="shared" si="254"/>
        <v>#N/A</v>
      </c>
      <c r="R234" t="e">
        <f t="shared" si="254"/>
        <v>#N/A</v>
      </c>
      <c r="S234" t="e">
        <f t="shared" si="254"/>
        <v>#N/A</v>
      </c>
      <c r="T234" t="e">
        <f t="shared" si="254"/>
        <v>#N/A</v>
      </c>
      <c r="U234" t="e">
        <f t="shared" si="254"/>
        <v>#N/A</v>
      </c>
      <c r="V234" t="e">
        <f t="shared" si="254"/>
        <v>#N/A</v>
      </c>
      <c r="W234" t="e">
        <f t="shared" si="254"/>
        <v>#N/A</v>
      </c>
      <c r="X234" t="e">
        <f t="shared" si="254"/>
        <v>#N/A</v>
      </c>
      <c r="Y234" t="e">
        <f t="shared" si="254"/>
        <v>#N/A</v>
      </c>
      <c r="Z234" t="e">
        <f t="shared" si="254"/>
        <v>#N/A</v>
      </c>
      <c r="AA234" t="e">
        <f t="shared" si="254"/>
        <v>#N/A</v>
      </c>
      <c r="AB234" t="e">
        <f t="shared" si="254"/>
        <v>#N/A</v>
      </c>
      <c r="AC234" t="e">
        <f t="shared" si="254"/>
        <v>#N/A</v>
      </c>
      <c r="AD234" t="e">
        <f t="shared" si="254"/>
        <v>#N/A</v>
      </c>
      <c r="AE234" t="e">
        <f t="shared" si="254"/>
        <v>#N/A</v>
      </c>
      <c r="AF234" t="e">
        <f t="shared" si="254"/>
        <v>#N/A</v>
      </c>
      <c r="AG234" t="e">
        <f t="shared" si="254"/>
        <v>#N/A</v>
      </c>
      <c r="AH234" t="e">
        <f t="shared" si="254"/>
        <v>#N/A</v>
      </c>
      <c r="AI234" t="e">
        <f t="shared" si="254"/>
        <v>#N/A</v>
      </c>
      <c r="AJ234" t="e">
        <f t="shared" si="254"/>
        <v>#N/A</v>
      </c>
    </row>
    <row r="236" spans="3:36" x14ac:dyDescent="0.25">
      <c r="C236" t="s">
        <v>201</v>
      </c>
    </row>
    <row r="237" spans="3:36" x14ac:dyDescent="0.25">
      <c r="C237" t="s">
        <v>191</v>
      </c>
      <c r="D237" t="str">
        <f ca="1">IF($B$22=0,NA(),D223)</f>
        <v>X dist heat location</v>
      </c>
      <c r="E237">
        <v>0</v>
      </c>
      <c r="F237">
        <f ca="1">IF(OR(F223&gt;$D223,E223&gt;$D223),NA(),F223)</f>
        <v>2</v>
      </c>
      <c r="G237">
        <f t="shared" ref="G237:AJ237" ca="1" si="255">IF(OR(G223&gt;$D223,F223&gt;$D223),NA(),G223)</f>
        <v>4</v>
      </c>
      <c r="H237">
        <f t="shared" ca="1" si="255"/>
        <v>6</v>
      </c>
      <c r="I237">
        <f t="shared" ca="1" si="255"/>
        <v>8</v>
      </c>
      <c r="J237">
        <f t="shared" ca="1" si="255"/>
        <v>10</v>
      </c>
      <c r="K237">
        <f t="shared" ca="1" si="255"/>
        <v>12</v>
      </c>
      <c r="L237">
        <f t="shared" ca="1" si="255"/>
        <v>14</v>
      </c>
      <c r="M237">
        <f t="shared" ca="1" si="255"/>
        <v>16</v>
      </c>
      <c r="N237">
        <f t="shared" ca="1" si="255"/>
        <v>18</v>
      </c>
      <c r="O237">
        <f t="shared" ca="1" si="255"/>
        <v>20</v>
      </c>
      <c r="P237">
        <f t="shared" ca="1" si="255"/>
        <v>22</v>
      </c>
      <c r="Q237">
        <f t="shared" ca="1" si="255"/>
        <v>24</v>
      </c>
      <c r="R237">
        <f t="shared" ca="1" si="255"/>
        <v>26</v>
      </c>
      <c r="S237">
        <f t="shared" ca="1" si="255"/>
        <v>28</v>
      </c>
      <c r="T237">
        <f t="shared" ca="1" si="255"/>
        <v>30</v>
      </c>
      <c r="U237">
        <f t="shared" ca="1" si="255"/>
        <v>32</v>
      </c>
      <c r="V237">
        <f t="shared" ca="1" si="255"/>
        <v>36</v>
      </c>
      <c r="W237">
        <f t="shared" ca="1" si="255"/>
        <v>40</v>
      </c>
      <c r="X237">
        <f t="shared" ca="1" si="255"/>
        <v>44</v>
      </c>
      <c r="Y237">
        <f t="shared" ca="1" si="255"/>
        <v>48</v>
      </c>
      <c r="Z237">
        <f t="shared" ca="1" si="255"/>
        <v>52</v>
      </c>
      <c r="AA237">
        <f t="shared" ca="1" si="255"/>
        <v>56</v>
      </c>
      <c r="AB237">
        <f t="shared" ca="1" si="255"/>
        <v>60</v>
      </c>
      <c r="AC237">
        <f t="shared" ca="1" si="255"/>
        <v>65</v>
      </c>
      <c r="AD237">
        <f t="shared" ca="1" si="255"/>
        <v>70</v>
      </c>
      <c r="AE237">
        <f t="shared" ca="1" si="255"/>
        <v>75</v>
      </c>
      <c r="AF237">
        <f t="shared" ca="1" si="255"/>
        <v>80</v>
      </c>
      <c r="AG237">
        <f t="shared" ca="1" si="255"/>
        <v>85</v>
      </c>
      <c r="AH237">
        <f t="shared" ca="1" si="255"/>
        <v>90</v>
      </c>
      <c r="AI237">
        <f t="shared" ca="1" si="255"/>
        <v>95</v>
      </c>
      <c r="AJ237">
        <f t="shared" ca="1" si="255"/>
        <v>100</v>
      </c>
    </row>
    <row r="238" spans="3:36" x14ac:dyDescent="0.25">
      <c r="C238" t="s">
        <v>200</v>
      </c>
      <c r="D238" t="e">
        <f ca="1">D226</f>
        <v>#VALUE!</v>
      </c>
      <c r="E238">
        <f>B14</f>
        <v>5</v>
      </c>
      <c r="F238" t="e">
        <f ca="1">IF(ISNUMBER(F237),F226,NA())</f>
        <v>#VALUE!</v>
      </c>
      <c r="G238" t="e">
        <f t="shared" ref="G238:AJ238" ca="1" si="256">IF(ISNUMBER(G237),G226,NA())</f>
        <v>#VALUE!</v>
      </c>
      <c r="H238" t="e">
        <f t="shared" ca="1" si="256"/>
        <v>#VALUE!</v>
      </c>
      <c r="I238" t="e">
        <f t="shared" ca="1" si="256"/>
        <v>#VALUE!</v>
      </c>
      <c r="J238" t="e">
        <f t="shared" ca="1" si="256"/>
        <v>#VALUE!</v>
      </c>
      <c r="K238" t="e">
        <f t="shared" ca="1" si="256"/>
        <v>#VALUE!</v>
      </c>
      <c r="L238" t="e">
        <f t="shared" ca="1" si="256"/>
        <v>#VALUE!</v>
      </c>
      <c r="M238" t="e">
        <f t="shared" ca="1" si="256"/>
        <v>#VALUE!</v>
      </c>
      <c r="N238" t="e">
        <f t="shared" ca="1" si="256"/>
        <v>#VALUE!</v>
      </c>
      <c r="O238" t="e">
        <f t="shared" ca="1" si="256"/>
        <v>#VALUE!</v>
      </c>
      <c r="P238" t="e">
        <f t="shared" ca="1" si="256"/>
        <v>#VALUE!</v>
      </c>
      <c r="Q238" t="e">
        <f t="shared" ca="1" si="256"/>
        <v>#VALUE!</v>
      </c>
      <c r="R238" t="e">
        <f t="shared" ca="1" si="256"/>
        <v>#VALUE!</v>
      </c>
      <c r="S238" t="e">
        <f t="shared" ca="1" si="256"/>
        <v>#VALUE!</v>
      </c>
      <c r="T238" t="e">
        <f t="shared" ca="1" si="256"/>
        <v>#VALUE!</v>
      </c>
      <c r="U238" t="e">
        <f t="shared" ca="1" si="256"/>
        <v>#VALUE!</v>
      </c>
      <c r="V238" t="e">
        <f t="shared" ca="1" si="256"/>
        <v>#VALUE!</v>
      </c>
      <c r="W238" t="e">
        <f t="shared" ca="1" si="256"/>
        <v>#VALUE!</v>
      </c>
      <c r="X238" t="e">
        <f t="shared" ca="1" si="256"/>
        <v>#VALUE!</v>
      </c>
      <c r="Y238" t="e">
        <f t="shared" ca="1" si="256"/>
        <v>#VALUE!</v>
      </c>
      <c r="Z238" t="e">
        <f t="shared" ca="1" si="256"/>
        <v>#VALUE!</v>
      </c>
      <c r="AA238" t="e">
        <f t="shared" ca="1" si="256"/>
        <v>#VALUE!</v>
      </c>
      <c r="AB238" t="e">
        <f t="shared" ca="1" si="256"/>
        <v>#VALUE!</v>
      </c>
      <c r="AC238" t="e">
        <f t="shared" ca="1" si="256"/>
        <v>#VALUE!</v>
      </c>
      <c r="AD238" t="e">
        <f t="shared" ca="1" si="256"/>
        <v>#VALUE!</v>
      </c>
      <c r="AE238" t="e">
        <f t="shared" ca="1" si="256"/>
        <v>#VALUE!</v>
      </c>
      <c r="AF238" t="e">
        <f t="shared" ca="1" si="256"/>
        <v>#VALUE!</v>
      </c>
      <c r="AG238" t="e">
        <f t="shared" ca="1" si="256"/>
        <v>#VALUE!</v>
      </c>
      <c r="AH238" t="e">
        <f t="shared" ca="1" si="256"/>
        <v>#VALUE!</v>
      </c>
      <c r="AI238" t="e">
        <f t="shared" ca="1" si="256"/>
        <v>#VALUE!</v>
      </c>
      <c r="AJ238" t="e">
        <f t="shared" ca="1" si="256"/>
        <v>#VALUE!</v>
      </c>
    </row>
  </sheetData>
  <sheetProtection selectLockedCells="1" selectUnlockedCells="1"/>
  <sortState xmlns:xlrd2="http://schemas.microsoft.com/office/spreadsheetml/2017/richdata2" ref="P95:U95">
    <sortCondition ref="P95"/>
  </sortState>
  <phoneticPr fontId="36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B1:Q43"/>
  <sheetViews>
    <sheetView zoomScaleNormal="100" workbookViewId="0">
      <selection activeCell="E8" sqref="E8:F8"/>
    </sheetView>
  </sheetViews>
  <sheetFormatPr defaultRowHeight="15" x14ac:dyDescent="0.25"/>
  <cols>
    <col min="15" max="15" width="9.140625" customWidth="1"/>
    <col min="16" max="16" width="5.5703125" customWidth="1"/>
  </cols>
  <sheetData>
    <row r="1" spans="2:17" x14ac:dyDescent="0.25"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9"/>
      <c r="P1" s="19"/>
      <c r="Q1" s="19"/>
    </row>
    <row r="2" spans="2:17" ht="21" x14ac:dyDescent="0.35">
      <c r="B2" s="16"/>
      <c r="C2" s="18" t="s">
        <v>0</v>
      </c>
      <c r="D2" s="16"/>
      <c r="E2" s="16"/>
      <c r="F2" s="16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2:17" ht="25.5" customHeight="1" x14ac:dyDescent="0.35">
      <c r="B3" s="16"/>
      <c r="C3" s="20" t="s">
        <v>202</v>
      </c>
      <c r="D3" s="16"/>
      <c r="E3" s="16"/>
      <c r="F3" s="16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2:17" ht="13.5" customHeight="1" x14ac:dyDescent="0.3">
      <c r="B4" s="16"/>
      <c r="C4" s="21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9"/>
      <c r="P4" s="19"/>
      <c r="Q4" s="19"/>
    </row>
    <row r="5" spans="2:17" x14ac:dyDescent="0.25">
      <c r="B5" s="185"/>
      <c r="C5" s="186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7"/>
    </row>
    <row r="6" spans="2:17" ht="20.25" thickBot="1" x14ac:dyDescent="0.35">
      <c r="B6" s="188"/>
      <c r="C6" s="183" t="s">
        <v>289</v>
      </c>
      <c r="D6" s="183"/>
      <c r="E6" s="183"/>
      <c r="F6" s="183"/>
      <c r="G6" s="183"/>
      <c r="H6" s="183"/>
      <c r="I6" s="184"/>
      <c r="J6" s="6"/>
      <c r="K6" s="6"/>
      <c r="L6" s="6"/>
      <c r="M6" s="6"/>
      <c r="N6" s="6"/>
      <c r="O6" s="6"/>
      <c r="P6" s="6"/>
      <c r="Q6" s="49"/>
    </row>
    <row r="7" spans="2:17" ht="15.75" thickTop="1" x14ac:dyDescent="0.25">
      <c r="B7" s="18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49"/>
    </row>
    <row r="8" spans="2:17" ht="18" customHeight="1" thickBot="1" x14ac:dyDescent="0.3">
      <c r="B8" s="188"/>
      <c r="C8" s="227" t="s">
        <v>203</v>
      </c>
      <c r="D8" s="228"/>
      <c r="E8" s="229" t="s">
        <v>219</v>
      </c>
      <c r="F8" s="230"/>
      <c r="G8" s="6"/>
      <c r="H8" s="6"/>
      <c r="I8" s="6"/>
      <c r="J8" s="6"/>
      <c r="K8" s="6"/>
      <c r="L8" s="6"/>
      <c r="M8" s="6"/>
      <c r="N8" s="6"/>
      <c r="O8" s="6"/>
      <c r="P8" s="6"/>
      <c r="Q8" s="49"/>
    </row>
    <row r="9" spans="2:17" ht="18" customHeight="1" thickTop="1" x14ac:dyDescent="0.25">
      <c r="B9" s="188"/>
      <c r="C9" s="189"/>
      <c r="D9" s="189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49"/>
    </row>
    <row r="10" spans="2:17" x14ac:dyDescent="0.25">
      <c r="B10" s="188"/>
      <c r="C10" s="6"/>
      <c r="D10" s="201"/>
      <c r="E10" s="201"/>
      <c r="F10" s="201"/>
      <c r="G10" s="201"/>
      <c r="H10" s="201"/>
      <c r="I10" s="201"/>
      <c r="J10" s="201"/>
      <c r="K10" s="201"/>
      <c r="L10" s="201"/>
      <c r="M10" s="201"/>
      <c r="N10" s="201"/>
      <c r="O10" s="201"/>
      <c r="P10" s="201"/>
      <c r="Q10" s="49"/>
    </row>
    <row r="11" spans="2:17" x14ac:dyDescent="0.25">
      <c r="B11" s="188"/>
      <c r="C11" s="6"/>
      <c r="D11" s="201"/>
      <c r="E11" s="201"/>
      <c r="F11" s="201"/>
      <c r="G11" s="201"/>
      <c r="H11" s="201"/>
      <c r="I11" s="201"/>
      <c r="J11" s="201"/>
      <c r="K11" s="201"/>
      <c r="L11" s="201"/>
      <c r="M11" s="201"/>
      <c r="N11" s="201"/>
      <c r="O11" s="201"/>
      <c r="P11" s="201"/>
      <c r="Q11" s="49"/>
    </row>
    <row r="12" spans="2:17" x14ac:dyDescent="0.25">
      <c r="B12" s="188"/>
      <c r="C12" s="6"/>
      <c r="D12" s="201"/>
      <c r="E12" s="201"/>
      <c r="F12" s="201"/>
      <c r="G12" s="201"/>
      <c r="H12" s="201"/>
      <c r="I12" s="201"/>
      <c r="J12" s="201"/>
      <c r="K12" s="201"/>
      <c r="L12" s="201"/>
      <c r="M12" s="201"/>
      <c r="N12" s="201"/>
      <c r="O12" s="201"/>
      <c r="P12" s="201"/>
      <c r="Q12" s="49"/>
    </row>
    <row r="13" spans="2:17" x14ac:dyDescent="0.25">
      <c r="B13" s="188"/>
      <c r="C13" s="6"/>
      <c r="D13" s="201"/>
      <c r="E13" s="201"/>
      <c r="F13" s="201"/>
      <c r="G13" s="201"/>
      <c r="H13" s="201"/>
      <c r="I13" s="201"/>
      <c r="J13" s="201"/>
      <c r="K13" s="201"/>
      <c r="L13" s="201"/>
      <c r="M13" s="201"/>
      <c r="N13" s="201"/>
      <c r="O13" s="201"/>
      <c r="P13" s="201"/>
      <c r="Q13" s="49"/>
    </row>
    <row r="14" spans="2:17" x14ac:dyDescent="0.25">
      <c r="B14" s="188"/>
      <c r="C14" s="6"/>
      <c r="D14" s="201"/>
      <c r="E14" s="201"/>
      <c r="F14" s="201"/>
      <c r="G14" s="201"/>
      <c r="H14" s="201"/>
      <c r="I14" s="201"/>
      <c r="J14" s="201"/>
      <c r="K14" s="201"/>
      <c r="L14" s="201"/>
      <c r="M14" s="201"/>
      <c r="N14" s="201"/>
      <c r="O14" s="201"/>
      <c r="P14" s="201"/>
      <c r="Q14" s="49"/>
    </row>
    <row r="15" spans="2:17" x14ac:dyDescent="0.25">
      <c r="B15" s="188"/>
      <c r="C15" s="6"/>
      <c r="D15" s="201"/>
      <c r="E15" s="201"/>
      <c r="F15" s="201"/>
      <c r="G15" s="201">
        <v>1</v>
      </c>
      <c r="H15" s="201" t="s">
        <v>205</v>
      </c>
      <c r="I15" s="201">
        <f t="shared" ref="I15:I20" ca="1" si="0">INDEX(INDIRECT("_"&amp;$E$8&amp;"size"),G15)</f>
        <v>248</v>
      </c>
      <c r="J15" s="201" t="str">
        <f ca="1">CONCATENATE(H15," = ",I15)</f>
        <v>D3 = 248</v>
      </c>
      <c r="K15" s="201"/>
      <c r="L15" s="201"/>
      <c r="M15" s="201"/>
      <c r="N15" s="201"/>
      <c r="O15" s="201"/>
      <c r="P15" s="201"/>
      <c r="Q15" s="49"/>
    </row>
    <row r="16" spans="2:17" x14ac:dyDescent="0.25">
      <c r="B16" s="188"/>
      <c r="C16" s="6"/>
      <c r="D16" s="201"/>
      <c r="E16" s="201"/>
      <c r="F16" s="201"/>
      <c r="G16" s="201">
        <v>2</v>
      </c>
      <c r="H16" s="201" t="s">
        <v>206</v>
      </c>
      <c r="I16" s="201">
        <f t="shared" ca="1" si="0"/>
        <v>136</v>
      </c>
      <c r="J16" s="201" t="str">
        <f ca="1">CONCATENATE(H16," = ",I16)</f>
        <v>D1 = 136</v>
      </c>
      <c r="K16" s="201"/>
      <c r="L16" s="201"/>
      <c r="M16" s="201"/>
      <c r="N16" s="201"/>
      <c r="O16" s="201"/>
      <c r="P16" s="201"/>
      <c r="Q16" s="49"/>
    </row>
    <row r="17" spans="2:17" x14ac:dyDescent="0.25">
      <c r="B17" s="188"/>
      <c r="C17" s="6"/>
      <c r="D17" s="201"/>
      <c r="E17" s="201"/>
      <c r="F17" s="201"/>
      <c r="G17" s="201">
        <v>3</v>
      </c>
      <c r="H17" s="201" t="s">
        <v>207</v>
      </c>
      <c r="I17" s="201">
        <f t="shared" ca="1" si="0"/>
        <v>302</v>
      </c>
      <c r="J17" s="201" t="str">
        <f ca="1">CONCATENATE(H17," = ",I17)</f>
        <v>D2 = 302</v>
      </c>
      <c r="K17" s="201"/>
      <c r="L17" s="201"/>
      <c r="M17" s="201"/>
      <c r="N17" s="201"/>
      <c r="O17" s="201"/>
      <c r="P17" s="201"/>
      <c r="Q17" s="49"/>
    </row>
    <row r="18" spans="2:17" x14ac:dyDescent="0.25">
      <c r="B18" s="188"/>
      <c r="C18" s="6"/>
      <c r="D18" s="201"/>
      <c r="E18" s="201"/>
      <c r="F18" s="201"/>
      <c r="G18" s="201">
        <v>4</v>
      </c>
      <c r="H18" s="201" t="s">
        <v>193</v>
      </c>
      <c r="I18" s="201">
        <f t="shared" ca="1" si="0"/>
        <v>164</v>
      </c>
      <c r="J18" s="201" t="str">
        <f ca="1">CONCATENATE(H18," = ",I18)</f>
        <v>L = 164</v>
      </c>
      <c r="K18" s="201"/>
      <c r="L18" s="201"/>
      <c r="M18" s="201"/>
      <c r="N18" s="201"/>
      <c r="O18" s="201"/>
      <c r="P18" s="201"/>
      <c r="Q18" s="49"/>
    </row>
    <row r="19" spans="2:17" x14ac:dyDescent="0.25">
      <c r="B19" s="188"/>
      <c r="C19" s="6"/>
      <c r="D19" s="201"/>
      <c r="E19" s="201"/>
      <c r="F19" s="201"/>
      <c r="G19" s="201">
        <v>5</v>
      </c>
      <c r="H19" s="201" t="s">
        <v>208</v>
      </c>
      <c r="I19" s="201">
        <f t="shared" ca="1" si="0"/>
        <v>24</v>
      </c>
      <c r="J19" s="201" t="str">
        <f ca="1">CONCATENATE(H19," = ",I19)</f>
        <v>E = 24</v>
      </c>
      <c r="K19" s="201"/>
      <c r="L19" s="201"/>
      <c r="M19" s="201"/>
      <c r="N19" s="201"/>
      <c r="O19" s="201"/>
      <c r="P19" s="201"/>
      <c r="Q19" s="49"/>
    </row>
    <row r="20" spans="2:17" ht="18" x14ac:dyDescent="0.35">
      <c r="B20" s="188"/>
      <c r="C20" s="6"/>
      <c r="D20" s="201"/>
      <c r="E20" s="201"/>
      <c r="F20" s="201"/>
      <c r="G20" s="201">
        <v>6</v>
      </c>
      <c r="H20" s="201" t="s">
        <v>209</v>
      </c>
      <c r="I20" s="201">
        <f t="shared" ca="1" si="0"/>
        <v>340</v>
      </c>
      <c r="J20" s="201" t="str">
        <f ca="1">CONCATENATE("Le"," = ",I20)</f>
        <v>Le = 340</v>
      </c>
      <c r="K20" s="201"/>
      <c r="L20" s="201"/>
      <c r="M20" s="201"/>
      <c r="N20" s="201"/>
      <c r="O20" s="201"/>
      <c r="P20" s="201"/>
      <c r="Q20" s="49"/>
    </row>
    <row r="21" spans="2:17" x14ac:dyDescent="0.25">
      <c r="B21" s="188"/>
      <c r="C21" s="6"/>
      <c r="D21" s="201"/>
      <c r="E21" s="201"/>
      <c r="F21" s="201"/>
      <c r="G21" s="201"/>
      <c r="H21" s="201"/>
      <c r="I21" s="201"/>
      <c r="J21" s="201"/>
      <c r="K21" s="201"/>
      <c r="L21" s="201"/>
      <c r="M21" s="201"/>
      <c r="N21" s="201"/>
      <c r="O21" s="201"/>
      <c r="P21" s="201"/>
      <c r="Q21" s="49"/>
    </row>
    <row r="22" spans="2:17" x14ac:dyDescent="0.25">
      <c r="B22" s="188"/>
      <c r="C22" s="6"/>
      <c r="D22" s="201"/>
      <c r="E22" s="201"/>
      <c r="F22" s="201"/>
      <c r="G22" s="201"/>
      <c r="H22" s="201"/>
      <c r="I22" s="201"/>
      <c r="J22" s="201"/>
      <c r="K22" s="201"/>
      <c r="L22" s="201"/>
      <c r="M22" s="201"/>
      <c r="N22" s="201"/>
      <c r="O22" s="201"/>
      <c r="P22" s="201"/>
      <c r="Q22" s="49"/>
    </row>
    <row r="23" spans="2:17" x14ac:dyDescent="0.25">
      <c r="B23" s="188"/>
      <c r="C23" s="6"/>
      <c r="D23" s="201"/>
      <c r="E23" s="201"/>
      <c r="F23" s="201"/>
      <c r="G23" s="201"/>
      <c r="H23" s="201"/>
      <c r="I23" s="201"/>
      <c r="J23" s="201"/>
      <c r="K23" s="201"/>
      <c r="L23" s="201"/>
      <c r="M23" s="201"/>
      <c r="N23" s="201"/>
      <c r="O23" s="201"/>
      <c r="P23" s="201"/>
      <c r="Q23" s="49"/>
    </row>
    <row r="24" spans="2:17" x14ac:dyDescent="0.25">
      <c r="B24" s="188"/>
      <c r="C24" s="6"/>
      <c r="D24" s="201"/>
      <c r="E24" s="201"/>
      <c r="F24" s="201"/>
      <c r="G24" s="201"/>
      <c r="H24" s="201"/>
      <c r="I24" s="201"/>
      <c r="J24" s="201"/>
      <c r="K24" s="201"/>
      <c r="L24" s="201"/>
      <c r="M24" s="201"/>
      <c r="N24" s="201"/>
      <c r="O24" s="201"/>
      <c r="P24" s="201"/>
      <c r="Q24" s="49"/>
    </row>
    <row r="25" spans="2:17" x14ac:dyDescent="0.25">
      <c r="B25" s="188"/>
      <c r="C25" s="6"/>
      <c r="D25" s="201"/>
      <c r="E25" s="201"/>
      <c r="F25" s="201"/>
      <c r="G25" s="201"/>
      <c r="H25" s="201"/>
      <c r="I25" s="201"/>
      <c r="J25" s="201"/>
      <c r="K25" s="201"/>
      <c r="L25" s="201"/>
      <c r="M25" s="201"/>
      <c r="N25" s="201"/>
      <c r="O25" s="201"/>
      <c r="P25" s="201"/>
      <c r="Q25" s="49"/>
    </row>
    <row r="26" spans="2:17" x14ac:dyDescent="0.25">
      <c r="B26" s="188"/>
      <c r="C26" s="6"/>
      <c r="D26" s="201"/>
      <c r="E26" s="201"/>
      <c r="F26" s="201"/>
      <c r="G26" s="201"/>
      <c r="H26" s="201"/>
      <c r="I26" s="201"/>
      <c r="J26" s="201"/>
      <c r="K26" s="201"/>
      <c r="L26" s="201"/>
      <c r="M26" s="201"/>
      <c r="N26" s="201"/>
      <c r="O26" s="201"/>
      <c r="P26" s="201"/>
      <c r="Q26" s="49"/>
    </row>
    <row r="27" spans="2:17" x14ac:dyDescent="0.25">
      <c r="B27" s="188"/>
      <c r="C27" s="6"/>
      <c r="D27" s="201"/>
      <c r="E27" s="201"/>
      <c r="F27" s="201"/>
      <c r="G27" s="201"/>
      <c r="H27" s="201"/>
      <c r="I27" s="201"/>
      <c r="J27" s="201"/>
      <c r="K27" s="201"/>
      <c r="L27" s="201"/>
      <c r="M27" s="201"/>
      <c r="N27" s="201"/>
      <c r="O27" s="201"/>
      <c r="P27" s="201"/>
      <c r="Q27" s="49"/>
    </row>
    <row r="28" spans="2:17" x14ac:dyDescent="0.25">
      <c r="B28" s="188"/>
      <c r="C28" s="6"/>
      <c r="D28" s="201"/>
      <c r="E28" s="201"/>
      <c r="F28" s="201"/>
      <c r="G28" s="201"/>
      <c r="H28" s="201"/>
      <c r="I28" s="201"/>
      <c r="J28" s="201"/>
      <c r="K28" s="201"/>
      <c r="L28" s="201"/>
      <c r="M28" s="201"/>
      <c r="N28" s="201"/>
      <c r="O28" s="201"/>
      <c r="P28" s="201"/>
      <c r="Q28" s="49"/>
    </row>
    <row r="29" spans="2:17" x14ac:dyDescent="0.25">
      <c r="B29" s="188"/>
      <c r="C29" s="6"/>
      <c r="D29" s="201"/>
      <c r="E29" s="201"/>
      <c r="F29" s="201"/>
      <c r="G29" s="201"/>
      <c r="H29" s="201"/>
      <c r="I29" s="201"/>
      <c r="J29" s="201"/>
      <c r="K29" s="201"/>
      <c r="L29" s="201"/>
      <c r="M29" s="201"/>
      <c r="N29" s="201"/>
      <c r="O29" s="201"/>
      <c r="P29" s="201"/>
      <c r="Q29" s="49"/>
    </row>
    <row r="30" spans="2:17" x14ac:dyDescent="0.25">
      <c r="B30" s="188"/>
      <c r="C30" s="6"/>
      <c r="D30" s="201"/>
      <c r="E30" s="201"/>
      <c r="F30" s="201"/>
      <c r="G30" s="201"/>
      <c r="H30" s="201"/>
      <c r="I30" s="201"/>
      <c r="J30" s="201"/>
      <c r="K30" s="201"/>
      <c r="L30" s="201"/>
      <c r="M30" s="201"/>
      <c r="N30" s="201"/>
      <c r="O30" s="201"/>
      <c r="P30" s="201"/>
      <c r="Q30" s="49"/>
    </row>
    <row r="31" spans="2:17" x14ac:dyDescent="0.25">
      <c r="B31" s="188"/>
      <c r="C31" s="6"/>
      <c r="D31" s="201"/>
      <c r="E31" s="201"/>
      <c r="F31" s="201"/>
      <c r="G31" s="201"/>
      <c r="H31" s="201"/>
      <c r="I31" s="201"/>
      <c r="J31" s="201"/>
      <c r="K31" s="201"/>
      <c r="L31" s="201"/>
      <c r="M31" s="201"/>
      <c r="N31" s="201"/>
      <c r="O31" s="201"/>
      <c r="P31" s="201"/>
      <c r="Q31" s="49"/>
    </row>
    <row r="32" spans="2:17" x14ac:dyDescent="0.25">
      <c r="B32" s="188"/>
      <c r="C32" s="6"/>
      <c r="D32" s="201"/>
      <c r="E32" s="201"/>
      <c r="F32" s="201"/>
      <c r="G32" s="201"/>
      <c r="H32" s="201"/>
      <c r="I32" s="201"/>
      <c r="J32" s="201"/>
      <c r="K32" s="201"/>
      <c r="L32" s="201"/>
      <c r="M32" s="201"/>
      <c r="N32" s="201"/>
      <c r="O32" s="201"/>
      <c r="P32" s="201"/>
      <c r="Q32" s="49"/>
    </row>
    <row r="33" spans="2:17" x14ac:dyDescent="0.25">
      <c r="B33" s="188"/>
      <c r="C33" s="6"/>
      <c r="D33" s="201"/>
      <c r="E33" s="201"/>
      <c r="F33" s="201"/>
      <c r="G33" s="201"/>
      <c r="H33" s="201"/>
      <c r="I33" s="201"/>
      <c r="J33" s="201"/>
      <c r="K33" s="201"/>
      <c r="L33" s="201"/>
      <c r="M33" s="201"/>
      <c r="N33" s="201"/>
      <c r="O33" s="201"/>
      <c r="P33" s="201"/>
      <c r="Q33" s="49"/>
    </row>
    <row r="34" spans="2:17" x14ac:dyDescent="0.25">
      <c r="B34" s="188"/>
      <c r="C34" s="6"/>
      <c r="D34" s="201"/>
      <c r="E34" s="201"/>
      <c r="F34" s="201"/>
      <c r="G34" s="201"/>
      <c r="H34" s="201"/>
      <c r="I34" s="201"/>
      <c r="J34" s="201"/>
      <c r="K34" s="201"/>
      <c r="L34" s="201"/>
      <c r="M34" s="201"/>
      <c r="N34" s="201"/>
      <c r="O34" s="201"/>
      <c r="P34" s="201"/>
      <c r="Q34" s="49"/>
    </row>
    <row r="35" spans="2:17" x14ac:dyDescent="0.25">
      <c r="B35" s="188"/>
      <c r="C35" s="6"/>
      <c r="D35" s="201"/>
      <c r="E35" s="201"/>
      <c r="F35" s="201"/>
      <c r="G35" s="201"/>
      <c r="H35" s="201"/>
      <c r="I35" s="201"/>
      <c r="J35" s="201"/>
      <c r="K35" s="201"/>
      <c r="L35" s="201"/>
      <c r="M35" s="201"/>
      <c r="N35" s="201"/>
      <c r="O35" s="201"/>
      <c r="P35" s="201"/>
      <c r="Q35" s="49"/>
    </row>
    <row r="36" spans="2:17" x14ac:dyDescent="0.25">
      <c r="B36" s="188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190" t="s">
        <v>210</v>
      </c>
      <c r="O36" s="6"/>
      <c r="P36" s="6"/>
      <c r="Q36" s="49"/>
    </row>
    <row r="37" spans="2:17" ht="20.25" thickBot="1" x14ac:dyDescent="0.35">
      <c r="B37" s="188"/>
      <c r="C37" s="183" t="s">
        <v>288</v>
      </c>
      <c r="D37" s="183"/>
      <c r="E37" s="183"/>
      <c r="F37" s="183"/>
      <c r="G37" s="183"/>
      <c r="H37" s="183"/>
      <c r="I37" s="184"/>
      <c r="J37" s="6"/>
      <c r="K37" s="6"/>
      <c r="L37" s="6"/>
      <c r="M37" s="6"/>
      <c r="N37" s="6"/>
      <c r="O37" s="6"/>
      <c r="P37" s="6"/>
      <c r="Q37" s="49"/>
    </row>
    <row r="38" spans="2:17" ht="16.5" thickTop="1" x14ac:dyDescent="0.25">
      <c r="B38" s="188"/>
      <c r="C38" s="200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49"/>
    </row>
    <row r="39" spans="2:17" ht="15.75" x14ac:dyDescent="0.25">
      <c r="B39" s="188"/>
      <c r="C39" s="194" t="s">
        <v>292</v>
      </c>
      <c r="D39" s="195"/>
      <c r="E39" s="195"/>
      <c r="F39" s="196"/>
      <c r="G39" s="197" t="s">
        <v>204</v>
      </c>
      <c r="H39" s="197" t="s">
        <v>219</v>
      </c>
      <c r="I39" s="197" t="s">
        <v>220</v>
      </c>
      <c r="J39" s="197" t="s">
        <v>221</v>
      </c>
      <c r="K39" s="197" t="s">
        <v>222</v>
      </c>
      <c r="L39" s="197" t="s">
        <v>223</v>
      </c>
      <c r="M39" s="6"/>
      <c r="N39" s="6"/>
      <c r="O39" s="6"/>
      <c r="P39" s="6"/>
      <c r="Q39" s="49"/>
    </row>
    <row r="40" spans="2:17" ht="15.75" x14ac:dyDescent="0.25">
      <c r="B40" s="188"/>
      <c r="C40" s="231" t="s">
        <v>293</v>
      </c>
      <c r="D40" s="232"/>
      <c r="E40" s="195" t="s">
        <v>291</v>
      </c>
      <c r="F40" s="195"/>
      <c r="G40" s="198">
        <v>0.32</v>
      </c>
      <c r="H40" s="198">
        <v>0.41</v>
      </c>
      <c r="I40" s="198">
        <v>0.52</v>
      </c>
      <c r="J40" s="198">
        <v>0.69</v>
      </c>
      <c r="K40" s="198">
        <v>0.89</v>
      </c>
      <c r="L40" s="198">
        <v>1.1299999999999999</v>
      </c>
      <c r="M40" s="6"/>
      <c r="N40" s="6"/>
      <c r="O40" s="6"/>
      <c r="P40" s="191"/>
      <c r="Q40" s="192"/>
    </row>
    <row r="41" spans="2:17" ht="15.75" x14ac:dyDescent="0.25">
      <c r="B41" s="188"/>
      <c r="C41" s="233"/>
      <c r="D41" s="234"/>
      <c r="E41" s="199" t="s">
        <v>290</v>
      </c>
      <c r="F41" s="199"/>
      <c r="G41" s="202" t="s">
        <v>294</v>
      </c>
      <c r="H41" s="198">
        <v>0.54</v>
      </c>
      <c r="I41" s="198">
        <v>0.7</v>
      </c>
      <c r="J41" s="198">
        <v>0.92</v>
      </c>
      <c r="K41" s="198">
        <v>1.18</v>
      </c>
      <c r="L41" s="198">
        <v>1.51</v>
      </c>
      <c r="M41" s="6"/>
      <c r="N41" s="6"/>
      <c r="O41" s="6"/>
      <c r="P41" s="6"/>
      <c r="Q41" s="49"/>
    </row>
    <row r="42" spans="2:17" x14ac:dyDescent="0.25">
      <c r="B42" s="188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49"/>
    </row>
    <row r="43" spans="2:17" x14ac:dyDescent="0.25">
      <c r="B43" s="19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3"/>
    </row>
  </sheetData>
  <sheetProtection algorithmName="SHA-512" hashValue="JQlv+DRCUG0UqdcHJ2gw+uhfCtk+UZVxCxrrLEdlVwhp66m8dmJ/guWFfo1ZAohYXrEUqsZs9+XPBQMOL3zPcA==" saltValue="gXOu+x0OlVWmWvOMK26Y8A==" spinCount="100000" sheet="1" selectLockedCells="1"/>
  <mergeCells count="3">
    <mergeCell ref="C8:D8"/>
    <mergeCell ref="E8:F8"/>
    <mergeCell ref="C40:D41"/>
  </mergeCells>
  <dataValidations count="1">
    <dataValidation type="list" allowBlank="1" showInputMessage="1" showErrorMessage="1" sqref="E8" xr:uid="{00000000-0002-0000-0200-000000000000}">
      <formula1>_sizes</formula1>
    </dataValidation>
  </dataValidations>
  <pageMargins left="0.7" right="0.7" top="0.75" bottom="0.75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5FEBD-DEEC-45FF-963B-34CB37996851}">
  <sheetPr codeName="Sheet3"/>
  <dimension ref="A2:Q109"/>
  <sheetViews>
    <sheetView topLeftCell="A73" workbookViewId="0">
      <selection activeCell="E94" sqref="E94"/>
    </sheetView>
  </sheetViews>
  <sheetFormatPr defaultRowHeight="15" x14ac:dyDescent="0.25"/>
  <cols>
    <col min="1" max="1" width="8" customWidth="1"/>
    <col min="2" max="2" width="18.7109375" customWidth="1"/>
    <col min="3" max="3" width="14.7109375" customWidth="1"/>
    <col min="4" max="4" width="11.28515625" customWidth="1"/>
    <col min="5" max="5" width="12.5703125" customWidth="1"/>
  </cols>
  <sheetData>
    <row r="2" spans="1:4" x14ac:dyDescent="0.25">
      <c r="B2" t="s">
        <v>211</v>
      </c>
      <c r="C2">
        <v>0</v>
      </c>
    </row>
    <row r="3" spans="1:4" x14ac:dyDescent="0.25">
      <c r="B3" t="s">
        <v>184</v>
      </c>
      <c r="C3">
        <f>C2+IF('CNW-ADequations'!B16,6,0)</f>
        <v>0</v>
      </c>
    </row>
    <row r="4" spans="1:4" x14ac:dyDescent="0.25">
      <c r="A4">
        <v>0</v>
      </c>
      <c r="C4" s="83" t="str">
        <f ca="1">OFFSET('CNW-ADequations'!$B$154,A4,$C$2)</f>
        <v>Results Units</v>
      </c>
    </row>
    <row r="5" spans="1:4" x14ac:dyDescent="0.25">
      <c r="A5">
        <v>1</v>
      </c>
      <c r="B5" t="s">
        <v>167</v>
      </c>
      <c r="C5" s="83" t="str">
        <f ca="1">OFFSET('CNW-ADequations'!$B$154,A5,$C$2)</f>
        <v>Selected Airflow Rate [L/s]</v>
      </c>
    </row>
    <row r="6" spans="1:4" x14ac:dyDescent="0.25">
      <c r="A6">
        <v>2</v>
      </c>
      <c r="B6" t="s">
        <v>168</v>
      </c>
      <c r="C6" s="83" t="str">
        <f ca="1">OFFSET('CNW-ADequations'!$B$154,A6,$C$2)</f>
        <v>Static Pressure @ Airflow [Pa]</v>
      </c>
    </row>
    <row r="7" spans="1:4" x14ac:dyDescent="0.25">
      <c r="A7">
        <v>3</v>
      </c>
      <c r="B7" t="s">
        <v>169</v>
      </c>
      <c r="C7" s="83" t="str">
        <f ca="1">OFFSET('CNW-ADequations'!$B$154,A7,$C$2)</f>
        <v>Total Pressure @ Airflow [Pa]</v>
      </c>
    </row>
    <row r="8" spans="1:4" x14ac:dyDescent="0.25">
      <c r="A8">
        <v>4</v>
      </c>
      <c r="B8" t="s">
        <v>170</v>
      </c>
      <c r="C8" s="83" t="str">
        <f ca="1">OFFSET('CNW-ADequations'!$B$154,A8,$C$2)</f>
        <v>Max Selected Pressure [Pa]</v>
      </c>
    </row>
    <row r="9" spans="1:4" x14ac:dyDescent="0.25">
      <c r="A9">
        <v>5</v>
      </c>
      <c r="B9" t="s">
        <v>171</v>
      </c>
      <c r="C9" s="83" t="str">
        <f ca="1">OFFSET('CNW-ADequations'!$B$154,A9,$C$2)</f>
        <v xml:space="preserve">SWL </v>
      </c>
    </row>
    <row r="10" spans="1:4" x14ac:dyDescent="0.25">
      <c r="A10">
        <v>6</v>
      </c>
      <c r="B10" t="s">
        <v>172</v>
      </c>
      <c r="C10" s="83" t="str">
        <f ca="1">OFFSET('CNW-ADequations'!$B$154,A10,$C$2)</f>
        <v>Max Throw Distance [m]</v>
      </c>
    </row>
    <row r="11" spans="1:4" x14ac:dyDescent="0.25">
      <c r="A11">
        <v>7</v>
      </c>
      <c r="B11" t="s">
        <v>212</v>
      </c>
      <c r="C11" s="83" t="str">
        <f ca="1">OFFSET('CNW-ADequations'!$B$154,A11,$C$2)</f>
        <v>Jet Velocity at 24m</v>
      </c>
    </row>
    <row r="12" spans="1:4" x14ac:dyDescent="0.25">
      <c r="A12">
        <v>8</v>
      </c>
      <c r="B12" t="s">
        <v>213</v>
      </c>
      <c r="C12" s="83" t="str">
        <f ca="1">OFFSET('CNW-ADequations'!$B$154,A12,$C$2)</f>
        <v>Jet ΔT at 24 m (cooling)</v>
      </c>
      <c r="D12" t="str">
        <f t="shared" ref="D12:D13" ca="1" si="0">IF(C12&gt;0, "+"&amp;C12,C12)</f>
        <v>+Jet ΔT at 24 m (cooling)</v>
      </c>
    </row>
    <row r="13" spans="1:4" x14ac:dyDescent="0.25">
      <c r="A13">
        <v>9</v>
      </c>
      <c r="B13" t="s">
        <v>174</v>
      </c>
      <c r="C13" s="83" t="str">
        <f ca="1">OFFSET('CNW-ADequations'!$B$154,A13,$C$2)</f>
        <v>Jet ΔT at floor level (heating)</v>
      </c>
      <c r="D13" t="str">
        <f t="shared" ca="1" si="0"/>
        <v>+Jet ΔT at floor level (heating)</v>
      </c>
    </row>
    <row r="14" spans="1:4" x14ac:dyDescent="0.25">
      <c r="A14">
        <v>10</v>
      </c>
      <c r="B14" t="s">
        <v>154</v>
      </c>
      <c r="C14" s="83" t="str">
        <f ca="1">OFFSET('CNW-ADequations'!$B$154,A14,$C$2)</f>
        <v>Recommended Cooling Angle</v>
      </c>
      <c r="D14" t="str">
        <f ca="1">IF(C14&gt;0, "+"&amp;C14,C14)</f>
        <v>+Recommended Cooling Angle</v>
      </c>
    </row>
    <row r="15" spans="1:4" x14ac:dyDescent="0.25">
      <c r="A15">
        <v>11</v>
      </c>
      <c r="B15" t="s">
        <v>155</v>
      </c>
      <c r="C15" s="83" t="str">
        <f ca="1">OFFSET('CNW-ADequations'!$B$154,A15,$C$2)</f>
        <v>Recommended Heating Angle</v>
      </c>
      <c r="D15" t="str">
        <f ca="1">IF(C15&gt;0, "+"&amp;C15,C15)</f>
        <v>+Recommended Heating Angle</v>
      </c>
    </row>
    <row r="16" spans="1:4" x14ac:dyDescent="0.25">
      <c r="A16">
        <v>12</v>
      </c>
      <c r="B16" t="s">
        <v>156</v>
      </c>
      <c r="C16" s="83" t="str">
        <f ca="1">OFFSET('CNW-ADequations'!$B$154,A16,$C$2)</f>
        <v>Arc of Rotation</v>
      </c>
    </row>
    <row r="17" spans="1:17" x14ac:dyDescent="0.25">
      <c r="A17">
        <v>13</v>
      </c>
      <c r="B17" t="s">
        <v>157</v>
      </c>
      <c r="C17" s="83" t="str">
        <f ca="1">OFFSET('CNW-ADequations'!$B$154,A17,$C$2)</f>
        <v>Mounting Angle</v>
      </c>
      <c r="D17" t="str">
        <f ca="1">IF(C17&gt;0, "+"&amp;C17,C17)</f>
        <v>+Mounting Angle</v>
      </c>
    </row>
    <row r="18" spans="1:17" x14ac:dyDescent="0.25">
      <c r="A18">
        <v>14</v>
      </c>
      <c r="B18" t="s">
        <v>136</v>
      </c>
      <c r="C18" s="83" t="str">
        <f ca="1">OFFSET('CNW-ADequations'!$B$154,A18,$C$2)</f>
        <v>Min Centreline Dist</v>
      </c>
    </row>
    <row r="19" spans="1:17" x14ac:dyDescent="0.25">
      <c r="A19">
        <v>15</v>
      </c>
      <c r="B19" t="s">
        <v>164</v>
      </c>
      <c r="C19" s="83" t="str">
        <f ca="1">OFFSET('CNW-ADequations'!$B$154,A19,$C$2)</f>
        <v>Duct Diameter</v>
      </c>
    </row>
    <row r="20" spans="1:17" x14ac:dyDescent="0.25">
      <c r="A20">
        <v>16</v>
      </c>
      <c r="B20" t="s">
        <v>165</v>
      </c>
      <c r="C20" s="83" t="str">
        <f ca="1">OFFSET('CNW-ADequations'!$B$154,A20,$C$2)</f>
        <v>Exit Diameter</v>
      </c>
    </row>
    <row r="21" spans="1:17" x14ac:dyDescent="0.25">
      <c r="C21" s="83"/>
    </row>
    <row r="22" spans="1:17" x14ac:dyDescent="0.25">
      <c r="C22" s="83"/>
    </row>
    <row r="23" spans="1:17" x14ac:dyDescent="0.25">
      <c r="B23" t="s">
        <v>214</v>
      </c>
      <c r="C23" s="83"/>
    </row>
    <row r="24" spans="1:17" x14ac:dyDescent="0.25">
      <c r="B24" s="2" t="s">
        <v>215</v>
      </c>
      <c r="C24" s="83">
        <f>'CNW-ADequations'!B15</f>
        <v>24</v>
      </c>
    </row>
    <row r="25" spans="1:17" x14ac:dyDescent="0.25">
      <c r="B25" t="s">
        <v>199</v>
      </c>
      <c r="C25" s="83">
        <f>'CNW-AD'!J11</f>
        <v>-6</v>
      </c>
    </row>
    <row r="26" spans="1:17" x14ac:dyDescent="0.25">
      <c r="B26" t="s">
        <v>216</v>
      </c>
      <c r="C26" s="83">
        <f>'CNW-AD'!J13</f>
        <v>6</v>
      </c>
      <c r="D26" t="str">
        <f>IF(C26&gt;0, "+"&amp;C26,C26)</f>
        <v>+6</v>
      </c>
    </row>
    <row r="27" spans="1:17" x14ac:dyDescent="0.25">
      <c r="C27" s="83"/>
    </row>
    <row r="28" spans="1:17" x14ac:dyDescent="0.25">
      <c r="B28" s="2" t="s">
        <v>217</v>
      </c>
    </row>
    <row r="30" spans="1:17" x14ac:dyDescent="0.25">
      <c r="B30" t="s">
        <v>218</v>
      </c>
      <c r="C30">
        <v>1</v>
      </c>
      <c r="D30">
        <v>2</v>
      </c>
      <c r="E30">
        <v>3</v>
      </c>
      <c r="F30">
        <v>4</v>
      </c>
      <c r="G30">
        <v>5</v>
      </c>
      <c r="H30">
        <v>6</v>
      </c>
      <c r="I30">
        <v>0</v>
      </c>
    </row>
    <row r="31" spans="1:17" x14ac:dyDescent="0.25">
      <c r="C31" t="s">
        <v>204</v>
      </c>
      <c r="D31" t="s">
        <v>219</v>
      </c>
      <c r="E31" t="s">
        <v>220</v>
      </c>
      <c r="F31" t="s">
        <v>221</v>
      </c>
      <c r="G31" t="s">
        <v>222</v>
      </c>
      <c r="H31" t="s">
        <v>223</v>
      </c>
      <c r="I31" t="s">
        <v>224</v>
      </c>
      <c r="L31" t="s">
        <v>223</v>
      </c>
      <c r="M31" t="s">
        <v>222</v>
      </c>
      <c r="N31" t="s">
        <v>221</v>
      </c>
      <c r="O31" t="s">
        <v>220</v>
      </c>
      <c r="P31" t="s">
        <v>219</v>
      </c>
      <c r="Q31" t="s">
        <v>204</v>
      </c>
    </row>
    <row r="32" spans="1:17" x14ac:dyDescent="0.25">
      <c r="B32" t="s">
        <v>225</v>
      </c>
      <c r="C32" t="str">
        <f>IF('CNW-ADequations'!$B$16,"N/A",'CNW-AD Data'!C31)</f>
        <v>DN200</v>
      </c>
      <c r="D32" t="str">
        <f>IF('CNW-ADequations'!$B$16,D31,'CNW-AD Data'!D31)</f>
        <v>DN250</v>
      </c>
      <c r="E32" t="str">
        <f>IF('CNW-ADequations'!$B$16,E31,'CNW-AD Data'!E31)</f>
        <v>DN315</v>
      </c>
      <c r="F32" t="str">
        <f>IF('CNW-ADequations'!$B$16,F31,'CNW-AD Data'!F31)</f>
        <v>DN400</v>
      </c>
      <c r="G32" t="str">
        <f>IF('CNW-ADequations'!$B$16,G31,'CNW-AD Data'!G31)</f>
        <v>DN500</v>
      </c>
      <c r="H32" t="str">
        <f>IF('CNW-ADequations'!$B$16,H31,'CNW-AD Data'!H31)</f>
        <v>DN630</v>
      </c>
      <c r="I32" t="str">
        <f>IF('CNW-ADequations'!$B$16,I31,'CNW-AD Data'!I31)</f>
        <v>N/A</v>
      </c>
    </row>
    <row r="34" spans="2:14" x14ac:dyDescent="0.25">
      <c r="B34" s="2" t="s">
        <v>226</v>
      </c>
      <c r="C34" t="str">
        <f>HLOOKUP(C2,C30:I32,3,0)</f>
        <v>N/A</v>
      </c>
      <c r="D34" t="str">
        <f>RIGHT(C34,3)</f>
        <v>N/A</v>
      </c>
    </row>
    <row r="35" spans="2:14" x14ac:dyDescent="0.25">
      <c r="B35" s="2" t="s">
        <v>74</v>
      </c>
      <c r="C35" t="str">
        <f>IF('CNW-ADequations'!B16,"S1","S0")</f>
        <v>S0</v>
      </c>
    </row>
    <row r="39" spans="2:14" x14ac:dyDescent="0.25">
      <c r="B39" s="2" t="s">
        <v>227</v>
      </c>
      <c r="D39" t="s">
        <v>228</v>
      </c>
    </row>
    <row r="40" spans="2:14" x14ac:dyDescent="0.25">
      <c r="B40">
        <v>0</v>
      </c>
      <c r="D40" t="s">
        <v>229</v>
      </c>
      <c r="E40" t="s">
        <v>208</v>
      </c>
      <c r="F40" t="s">
        <v>230</v>
      </c>
    </row>
    <row r="41" spans="2:14" x14ac:dyDescent="0.25">
      <c r="B41">
        <v>1</v>
      </c>
      <c r="C41" t="str">
        <f>C32</f>
        <v>DN200</v>
      </c>
      <c r="D41" t="s">
        <v>229</v>
      </c>
      <c r="E41" t="s">
        <v>208</v>
      </c>
      <c r="F41" t="s">
        <v>230</v>
      </c>
      <c r="H41" t="s">
        <v>229</v>
      </c>
      <c r="I41" t="s">
        <v>231</v>
      </c>
    </row>
    <row r="42" spans="2:14" x14ac:dyDescent="0.25">
      <c r="B42">
        <v>2</v>
      </c>
      <c r="C42" t="str">
        <f>D32</f>
        <v>DN250</v>
      </c>
      <c r="D42" t="s">
        <v>229</v>
      </c>
      <c r="E42" t="s">
        <v>208</v>
      </c>
      <c r="F42" t="s">
        <v>230</v>
      </c>
      <c r="H42" t="s">
        <v>208</v>
      </c>
      <c r="I42" t="s">
        <v>232</v>
      </c>
    </row>
    <row r="43" spans="2:14" x14ac:dyDescent="0.25">
      <c r="B43">
        <v>3</v>
      </c>
      <c r="C43" t="str">
        <f>E32</f>
        <v>DN315</v>
      </c>
      <c r="D43" t="s">
        <v>229</v>
      </c>
      <c r="E43" t="s">
        <v>208</v>
      </c>
      <c r="F43" t="s">
        <v>230</v>
      </c>
      <c r="H43" t="s">
        <v>230</v>
      </c>
      <c r="I43" t="s">
        <v>233</v>
      </c>
    </row>
    <row r="44" spans="2:14" x14ac:dyDescent="0.25">
      <c r="B44">
        <v>4</v>
      </c>
      <c r="C44" t="str">
        <f>F32</f>
        <v>DN400</v>
      </c>
      <c r="D44" t="s">
        <v>229</v>
      </c>
      <c r="E44" t="s">
        <v>208</v>
      </c>
      <c r="F44" t="s">
        <v>230</v>
      </c>
      <c r="H44" t="s">
        <v>234</v>
      </c>
      <c r="I44" t="s">
        <v>235</v>
      </c>
    </row>
    <row r="45" spans="2:14" x14ac:dyDescent="0.25">
      <c r="B45">
        <v>5</v>
      </c>
      <c r="C45" t="str">
        <f>G32</f>
        <v>DN500</v>
      </c>
      <c r="D45" t="s">
        <v>229</v>
      </c>
      <c r="E45" t="s">
        <v>208</v>
      </c>
      <c r="F45" t="s">
        <v>230</v>
      </c>
      <c r="N45" s="86"/>
    </row>
    <row r="46" spans="2:14" x14ac:dyDescent="0.25">
      <c r="B46" s="86">
        <v>6</v>
      </c>
      <c r="C46" s="86" t="str">
        <f>H32</f>
        <v>DN630</v>
      </c>
      <c r="D46" s="86" t="s">
        <v>229</v>
      </c>
      <c r="E46" s="86" t="s">
        <v>208</v>
      </c>
      <c r="F46" s="86" t="s">
        <v>230</v>
      </c>
    </row>
    <row r="47" spans="2:14" x14ac:dyDescent="0.25">
      <c r="B47">
        <f>C2</f>
        <v>0</v>
      </c>
      <c r="C47">
        <f ca="1">OFFSET(C40,$B$47,0)</f>
        <v>0</v>
      </c>
      <c r="D47" t="str">
        <f ca="1">OFFSET(D40,$B$47,0)</f>
        <v>M</v>
      </c>
      <c r="E47" t="str">
        <f ca="1">OFFSET(E40,$B$47,0)</f>
        <v>E</v>
      </c>
      <c r="F47" t="str">
        <f ca="1">OFFSET(F40,$B$47,0)</f>
        <v>T</v>
      </c>
    </row>
    <row r="48" spans="2:14" x14ac:dyDescent="0.25">
      <c r="B48" s="101"/>
      <c r="C48" s="101"/>
      <c r="D48" s="101" t="str">
        <f ca="1">VLOOKUP(D47,$H$41:$I$43,2,0)</f>
        <v>Manual</v>
      </c>
      <c r="E48" s="101" t="str">
        <f ca="1">VLOOKUP(E47,$H$41:$I$44,2,0)</f>
        <v>Electric Motor</v>
      </c>
      <c r="F48" s="101" t="str">
        <f ca="1">VLOOKUP(F47,$H$41:$I$44,2,0)</f>
        <v>Thermal Element</v>
      </c>
    </row>
    <row r="49" spans="2:5" x14ac:dyDescent="0.25">
      <c r="B49" t="s">
        <v>236</v>
      </c>
      <c r="C49">
        <v>1</v>
      </c>
      <c r="D49" t="str">
        <f ca="1">OFFSET(C47,0,C49)</f>
        <v>M</v>
      </c>
      <c r="E49" t="str">
        <f ca="1">OFFSET(C47,1,C49)</f>
        <v>Manual</v>
      </c>
    </row>
    <row r="50" spans="2:5" x14ac:dyDescent="0.25">
      <c r="B50" t="s">
        <v>237</v>
      </c>
      <c r="C50">
        <f ca="1">IF(D49="T",40,60)</f>
        <v>60</v>
      </c>
    </row>
    <row r="51" spans="2:5" x14ac:dyDescent="0.25">
      <c r="B51" t="s">
        <v>238</v>
      </c>
      <c r="C51" t="b">
        <f ca="1">C16&gt;C50</f>
        <v>1</v>
      </c>
    </row>
    <row r="53" spans="2:5" x14ac:dyDescent="0.25">
      <c r="B53" s="2" t="s">
        <v>239</v>
      </c>
      <c r="C53">
        <v>1</v>
      </c>
      <c r="D53" t="s">
        <v>57</v>
      </c>
      <c r="E53" t="s">
        <v>240</v>
      </c>
    </row>
    <row r="54" spans="2:5" x14ac:dyDescent="0.25">
      <c r="B54" s="2"/>
      <c r="C54">
        <v>2</v>
      </c>
      <c r="D54" t="s">
        <v>58</v>
      </c>
      <c r="E54" t="s">
        <v>241</v>
      </c>
    </row>
    <row r="55" spans="2:5" x14ac:dyDescent="0.25">
      <c r="B55" s="2"/>
      <c r="C55" s="101">
        <v>3</v>
      </c>
      <c r="D55" s="101" t="s">
        <v>242</v>
      </c>
      <c r="E55" s="101" t="s">
        <v>243</v>
      </c>
    </row>
    <row r="56" spans="2:5" x14ac:dyDescent="0.25">
      <c r="B56" t="s">
        <v>184</v>
      </c>
      <c r="C56">
        <v>1</v>
      </c>
      <c r="D56" t="str">
        <f ca="1">OFFSET(D53,C56-1,0)</f>
        <v>RAL9003</v>
      </c>
      <c r="E56" t="str">
        <f ca="1">OFFSET(E53,C56-1,0)</f>
        <v>RAL9003 - Signal White</v>
      </c>
    </row>
    <row r="58" spans="2:5" x14ac:dyDescent="0.25">
      <c r="B58" s="2" t="s">
        <v>244</v>
      </c>
      <c r="C58" s="2" t="str">
        <f>IF(C2=0,"please select a valid size in row 41","SMARTEMP CNW-AD-"&amp;C34&amp;"-"&amp;C35&amp;"-"&amp;D49&amp;"-"&amp;D56)</f>
        <v>please select a valid size in row 41</v>
      </c>
    </row>
    <row r="59" spans="2:5" x14ac:dyDescent="0.25">
      <c r="B59" s="2"/>
    </row>
    <row r="60" spans="2:5" x14ac:dyDescent="0.25">
      <c r="B60" s="2" t="s">
        <v>245</v>
      </c>
    </row>
    <row r="61" spans="2:5" x14ac:dyDescent="0.25">
      <c r="B61" t="s">
        <v>246</v>
      </c>
      <c r="C61" t="str">
        <f>IF(C3=0,"please select a valid size on CNW-AD page",C34 &amp; IF('CNW-ADequations'!B16, " with swirl element", ""))</f>
        <v>please select a valid size on CNW-AD page</v>
      </c>
    </row>
    <row r="62" spans="2:5" x14ac:dyDescent="0.25">
      <c r="B62" t="s">
        <v>247</v>
      </c>
      <c r="C62" t="str">
        <f>IF($C$2=0,"",D62)</f>
        <v/>
      </c>
      <c r="D62" t="str">
        <f ca="1">C5 &amp;" " &amp; 'CNW-ADequations'!D3 &amp; " @ " &amp; C6 &amp; " Pa static (" &amp;C7&amp;" Pa total)"</f>
        <v>Selected Airflow Rate [L/s] L/s @ Static Pressure @ Airflow [Pa] Pa static (Total Pressure @ Airflow [Pa] Pa total)</v>
      </c>
    </row>
    <row r="63" spans="2:5" x14ac:dyDescent="0.25">
      <c r="B63" t="s">
        <v>248</v>
      </c>
      <c r="C63" t="str">
        <f t="shared" ref="C63:C66" si="1">IF($C$2=0,"",D63)</f>
        <v/>
      </c>
      <c r="D63" t="str">
        <f ca="1">C24 &amp; " m ("&amp;C10&amp; " m recommended @ "&amp; C5 &amp; 'CNW-ADequations'!D3&amp;")"</f>
        <v>24 m (Max Throw Distance [m] m recommended @ Selected Airflow Rate [L/s]L/s)</v>
      </c>
    </row>
    <row r="64" spans="2:5" x14ac:dyDescent="0.25">
      <c r="B64" t="s">
        <v>249</v>
      </c>
      <c r="C64" t="str">
        <f t="shared" si="1"/>
        <v/>
      </c>
      <c r="D64" t="str">
        <f ca="1" xml:space="preserve"> C11 &amp;" m/s at "&amp;C24&amp;" m from discharge"</f>
        <v>Jet Velocity at 24m m/s at 24 m from discharge</v>
      </c>
    </row>
    <row r="65" spans="2:4" x14ac:dyDescent="0.25">
      <c r="B65" t="s">
        <v>250</v>
      </c>
      <c r="C65" t="str">
        <f t="shared" si="1"/>
        <v/>
      </c>
      <c r="D65" t="str">
        <f ca="1">"ΔT = " &amp; D12 &amp; " K at " &amp;C24 &amp; " m"</f>
        <v>ΔT = +Jet ΔT at 24 m (cooling) K at 24 m</v>
      </c>
    </row>
    <row r="66" spans="2:4" x14ac:dyDescent="0.25">
      <c r="B66" t="s">
        <v>251</v>
      </c>
      <c r="C66" t="str">
        <f t="shared" si="1"/>
        <v/>
      </c>
      <c r="D66" t="str">
        <f ca="1">"ΔT = " &amp; D13 &amp; " K at occupancy level"</f>
        <v>ΔT = +Jet ΔT at floor level (heating) K at occupancy level</v>
      </c>
    </row>
    <row r="67" spans="2:4" x14ac:dyDescent="0.25">
      <c r="B67" s="2"/>
    </row>
    <row r="68" spans="2:4" x14ac:dyDescent="0.25">
      <c r="B68" t="s">
        <v>35</v>
      </c>
      <c r="C68" t="str">
        <f ca="1">C9 &amp; " dB(A)"</f>
        <v>SWL  dB(A)</v>
      </c>
    </row>
    <row r="69" spans="2:4" x14ac:dyDescent="0.25">
      <c r="B69" s="2"/>
    </row>
    <row r="70" spans="2:4" x14ac:dyDescent="0.25">
      <c r="B70" s="2" t="s">
        <v>198</v>
      </c>
    </row>
    <row r="71" spans="2:4" x14ac:dyDescent="0.25">
      <c r="B71" t="s">
        <v>199</v>
      </c>
      <c r="C71" t="str">
        <f ca="1">D14&amp; "° recommended discharge angle for cooling at ΔT = " &amp;C25&amp; " K (relative to horizontal)"</f>
        <v>+Recommended Cooling Angle° recommended discharge angle for cooling at ΔT = -6 K (relative to horizontal)</v>
      </c>
    </row>
    <row r="72" spans="2:4" x14ac:dyDescent="0.25">
      <c r="B72" t="s">
        <v>201</v>
      </c>
      <c r="C72" t="str">
        <f ca="1">D15&amp; "° recommended discharge angle for heating at ΔT = " &amp;D26&amp; " K (relative to horizontal)"</f>
        <v>+Recommended Heating Angle° recommended discharge angle for heating at ΔT = +6 K (relative to horizontal)</v>
      </c>
    </row>
    <row r="73" spans="2:4" x14ac:dyDescent="0.25">
      <c r="B73" t="s">
        <v>252</v>
      </c>
      <c r="C73" t="str">
        <f ca="1">D17 &amp;" ° recommended face mounting angle (relative to vertical)"</f>
        <v>+Mounting Angle ° recommended face mounting angle (relative to vertical)</v>
      </c>
    </row>
    <row r="74" spans="2:4" x14ac:dyDescent="0.25">
      <c r="B74" s="2"/>
    </row>
    <row r="75" spans="2:4" x14ac:dyDescent="0.25">
      <c r="B75" s="2" t="s">
        <v>253</v>
      </c>
    </row>
    <row r="76" spans="2:4" x14ac:dyDescent="0.25">
      <c r="B76" s="2" t="s">
        <v>226</v>
      </c>
      <c r="C76" t="str">
        <f>"Nozzle diffuser with neck size "&amp; D34 &amp; " mm"</f>
        <v>Nozzle diffuser with neck size N/A mm</v>
      </c>
    </row>
    <row r="77" spans="2:4" x14ac:dyDescent="0.25">
      <c r="B77" s="2"/>
      <c r="C77" t="str">
        <f>IF('CNW-ADequations'!B16,"With swirl element","No swirl element")</f>
        <v>No swirl element</v>
      </c>
    </row>
    <row r="78" spans="2:4" x14ac:dyDescent="0.25">
      <c r="B78" s="2"/>
      <c r="C78" t="str">
        <f ca="1">IF(D49="M","Manual direction adjustment",E49&amp; " adjustment to " &amp; C16 &amp; "° rotation")</f>
        <v>Manual direction adjustment</v>
      </c>
    </row>
    <row r="79" spans="2:4" x14ac:dyDescent="0.25">
      <c r="B79" s="2"/>
      <c r="C79" t="str">
        <f ca="1">"Powder coated to "&amp;E56</f>
        <v>Powder coated to RAL9003 - Signal White</v>
      </c>
    </row>
    <row r="80" spans="2:4" x14ac:dyDescent="0.25">
      <c r="B80" s="2"/>
    </row>
    <row r="81" spans="2:4" x14ac:dyDescent="0.25">
      <c r="B81" s="2"/>
    </row>
    <row r="82" spans="2:4" x14ac:dyDescent="0.25">
      <c r="B82" s="2"/>
    </row>
    <row r="83" spans="2:4" x14ac:dyDescent="0.25">
      <c r="B83" s="2" t="s">
        <v>254</v>
      </c>
    </row>
    <row r="84" spans="2:4" x14ac:dyDescent="0.25">
      <c r="B84" s="2"/>
    </row>
    <row r="85" spans="2:4" x14ac:dyDescent="0.25">
      <c r="B85" s="2" t="s">
        <v>255</v>
      </c>
    </row>
    <row r="86" spans="2:4" x14ac:dyDescent="0.25">
      <c r="B86" t="s">
        <v>165</v>
      </c>
      <c r="C86" t="e">
        <f ca="1">C18/1000</f>
        <v>#VALUE!</v>
      </c>
    </row>
    <row r="87" spans="2:4" x14ac:dyDescent="0.25">
      <c r="B87" t="s">
        <v>89</v>
      </c>
      <c r="C87" t="e">
        <f ca="1">PI()/4*C86^2</f>
        <v>#VALUE!</v>
      </c>
    </row>
    <row r="88" spans="2:4" x14ac:dyDescent="0.25">
      <c r="B88" t="s">
        <v>90</v>
      </c>
      <c r="C88" t="e">
        <f ca="1">$C$5/(1000*C87)</f>
        <v>#VALUE!</v>
      </c>
    </row>
    <row r="89" spans="2:4" x14ac:dyDescent="0.25">
      <c r="B89" s="2"/>
    </row>
    <row r="90" spans="2:4" x14ac:dyDescent="0.25">
      <c r="D90" s="85" t="s">
        <v>9</v>
      </c>
    </row>
    <row r="91" spans="2:4" x14ac:dyDescent="0.25">
      <c r="B91" s="84" t="s">
        <v>256</v>
      </c>
      <c r="C91" s="84">
        <f>C24/4</f>
        <v>6</v>
      </c>
      <c r="D91" s="84" t="e">
        <f ca="1">($C$88*10.8*SQRT($C$87))/(SQRT(2)*C91)</f>
        <v>#VALUE!</v>
      </c>
    </row>
    <row r="92" spans="2:4" x14ac:dyDescent="0.25">
      <c r="B92" s="84" t="s">
        <v>257</v>
      </c>
      <c r="C92" s="84">
        <f>C24/2</f>
        <v>12</v>
      </c>
      <c r="D92" s="84" t="e">
        <f t="shared" ref="D92:D94" ca="1" si="2">($C$88*10.8*SQRT($C$87))/(SQRT(2)*C92)</f>
        <v>#VALUE!</v>
      </c>
    </row>
    <row r="93" spans="2:4" x14ac:dyDescent="0.25">
      <c r="B93" s="84" t="s">
        <v>258</v>
      </c>
      <c r="C93" s="84">
        <f>C24/4*3</f>
        <v>18</v>
      </c>
      <c r="D93" s="84" t="e">
        <f t="shared" ca="1" si="2"/>
        <v>#VALUE!</v>
      </c>
    </row>
    <row r="94" spans="2:4" x14ac:dyDescent="0.25">
      <c r="B94" s="84" t="s">
        <v>259</v>
      </c>
      <c r="C94" s="84">
        <f>C24</f>
        <v>24</v>
      </c>
      <c r="D94" s="84" t="e">
        <f t="shared" ca="1" si="2"/>
        <v>#VALUE!</v>
      </c>
    </row>
    <row r="96" spans="2:4" x14ac:dyDescent="0.25">
      <c r="B96" s="2" t="s">
        <v>260</v>
      </c>
    </row>
    <row r="98" spans="2:4" x14ac:dyDescent="0.25">
      <c r="B98" t="s">
        <v>261</v>
      </c>
      <c r="C98">
        <f>C24</f>
        <v>24</v>
      </c>
    </row>
    <row r="99" spans="2:4" x14ac:dyDescent="0.25">
      <c r="B99" t="s">
        <v>262</v>
      </c>
      <c r="C99" t="e">
        <f>#REF!+#REF!</f>
        <v>#REF!</v>
      </c>
      <c r="D99" t="s">
        <v>263</v>
      </c>
    </row>
    <row r="100" spans="2:4" x14ac:dyDescent="0.25">
      <c r="B100" t="s">
        <v>264</v>
      </c>
      <c r="C100" t="e">
        <f>C98*SIN(C99)</f>
        <v>#REF!</v>
      </c>
    </row>
    <row r="101" spans="2:4" x14ac:dyDescent="0.25">
      <c r="B101" t="s">
        <v>265</v>
      </c>
      <c r="C101" t="e">
        <f>C98*COS(C99)</f>
        <v>#REF!</v>
      </c>
    </row>
    <row r="103" spans="2:4" x14ac:dyDescent="0.25">
      <c r="B103" s="86" t="s">
        <v>199</v>
      </c>
    </row>
    <row r="104" spans="2:4" x14ac:dyDescent="0.25">
      <c r="B104" t="s">
        <v>266</v>
      </c>
      <c r="C104" t="e">
        <f ca="1">C100+C13</f>
        <v>#REF!</v>
      </c>
    </row>
    <row r="105" spans="2:4" x14ac:dyDescent="0.25">
      <c r="B105" t="s">
        <v>73</v>
      </c>
      <c r="C105" t="e">
        <f ca="1">SQRT(C98^2-(C104)^2)</f>
        <v>#REF!</v>
      </c>
    </row>
    <row r="107" spans="2:4" x14ac:dyDescent="0.25">
      <c r="B107" s="86" t="s">
        <v>201</v>
      </c>
    </row>
    <row r="108" spans="2:4" x14ac:dyDescent="0.25">
      <c r="B108" t="s">
        <v>266</v>
      </c>
      <c r="C108" t="e">
        <f ca="1">C100+C15</f>
        <v>#REF!</v>
      </c>
    </row>
    <row r="109" spans="2:4" x14ac:dyDescent="0.25">
      <c r="B109" t="s">
        <v>73</v>
      </c>
      <c r="C109" t="e">
        <f ca="1">SQRT(C98^2-(C108)^2)</f>
        <v>#REF!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G15"/>
  <sheetViews>
    <sheetView workbookViewId="0">
      <selection activeCell="C15" sqref="C15"/>
    </sheetView>
  </sheetViews>
  <sheetFormatPr defaultRowHeight="15" x14ac:dyDescent="0.25"/>
  <sheetData>
    <row r="1" spans="1:7" x14ac:dyDescent="0.25">
      <c r="A1" t="s">
        <v>204</v>
      </c>
    </row>
    <row r="2" spans="1:7" x14ac:dyDescent="0.25">
      <c r="A2" t="s">
        <v>219</v>
      </c>
    </row>
    <row r="3" spans="1:7" x14ac:dyDescent="0.25">
      <c r="A3" t="s">
        <v>220</v>
      </c>
    </row>
    <row r="4" spans="1:7" x14ac:dyDescent="0.25">
      <c r="A4" t="s">
        <v>221</v>
      </c>
    </row>
    <row r="5" spans="1:7" x14ac:dyDescent="0.25">
      <c r="A5" t="s">
        <v>222</v>
      </c>
    </row>
    <row r="6" spans="1:7" x14ac:dyDescent="0.25">
      <c r="A6" t="s">
        <v>223</v>
      </c>
    </row>
    <row r="9" spans="1:7" x14ac:dyDescent="0.25">
      <c r="B9" s="2" t="s">
        <v>204</v>
      </c>
      <c r="C9" s="2" t="s">
        <v>219</v>
      </c>
      <c r="D9" s="2" t="s">
        <v>220</v>
      </c>
      <c r="E9" s="2" t="s">
        <v>221</v>
      </c>
      <c r="F9" s="2" t="s">
        <v>222</v>
      </c>
      <c r="G9" s="2" t="s">
        <v>223</v>
      </c>
    </row>
    <row r="10" spans="1:7" x14ac:dyDescent="0.25">
      <c r="A10" s="2" t="s">
        <v>205</v>
      </c>
      <c r="B10">
        <v>198</v>
      </c>
      <c r="C10">
        <v>248</v>
      </c>
      <c r="D10">
        <v>313</v>
      </c>
      <c r="E10">
        <v>398</v>
      </c>
      <c r="F10">
        <v>498</v>
      </c>
      <c r="G10">
        <v>628</v>
      </c>
    </row>
    <row r="11" spans="1:7" x14ac:dyDescent="0.25">
      <c r="A11" s="2" t="s">
        <v>206</v>
      </c>
      <c r="B11">
        <v>108</v>
      </c>
      <c r="C11">
        <v>136</v>
      </c>
      <c r="D11">
        <v>174</v>
      </c>
      <c r="E11">
        <v>230</v>
      </c>
      <c r="F11">
        <v>295</v>
      </c>
      <c r="G11">
        <v>377</v>
      </c>
    </row>
    <row r="12" spans="1:7" x14ac:dyDescent="0.25">
      <c r="A12" s="2" t="s">
        <v>207</v>
      </c>
      <c r="B12">
        <v>257</v>
      </c>
      <c r="C12">
        <v>302</v>
      </c>
      <c r="D12">
        <v>384</v>
      </c>
      <c r="E12">
        <v>467</v>
      </c>
      <c r="F12">
        <v>600</v>
      </c>
      <c r="G12">
        <v>733</v>
      </c>
    </row>
    <row r="13" spans="1:7" x14ac:dyDescent="0.25">
      <c r="A13" s="2" t="s">
        <v>193</v>
      </c>
      <c r="B13">
        <v>140</v>
      </c>
      <c r="C13">
        <v>164</v>
      </c>
      <c r="D13">
        <v>177</v>
      </c>
      <c r="E13">
        <v>194</v>
      </c>
      <c r="F13">
        <v>258</v>
      </c>
      <c r="G13">
        <v>240</v>
      </c>
    </row>
    <row r="14" spans="1:7" x14ac:dyDescent="0.25">
      <c r="A14" s="2" t="s">
        <v>208</v>
      </c>
      <c r="B14">
        <v>20</v>
      </c>
      <c r="C14">
        <v>24</v>
      </c>
      <c r="D14">
        <v>24</v>
      </c>
      <c r="E14">
        <v>24</v>
      </c>
      <c r="F14">
        <v>28</v>
      </c>
      <c r="G14">
        <v>32</v>
      </c>
    </row>
    <row r="15" spans="1:7" x14ac:dyDescent="0.25">
      <c r="A15" s="2" t="s">
        <v>267</v>
      </c>
      <c r="B15" t="s">
        <v>224</v>
      </c>
      <c r="C15">
        <v>340</v>
      </c>
      <c r="D15">
        <v>340</v>
      </c>
      <c r="E15">
        <v>340</v>
      </c>
      <c r="F15">
        <v>415</v>
      </c>
      <c r="G15">
        <v>460</v>
      </c>
    </row>
  </sheetData>
  <sheetProtection selectLockedCells="1" selectUnlockedCell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45623-F17E-4932-9D14-301C41846582}">
  <dimension ref="A1:G48"/>
  <sheetViews>
    <sheetView view="pageLayout" zoomScaleNormal="100" workbookViewId="0">
      <selection activeCell="B3" sqref="B3:G3"/>
    </sheetView>
  </sheetViews>
  <sheetFormatPr defaultRowHeight="15" x14ac:dyDescent="0.25"/>
  <cols>
    <col min="1" max="1" width="23.7109375" customWidth="1"/>
    <col min="7" max="7" width="17.5703125" customWidth="1"/>
  </cols>
  <sheetData>
    <row r="1" spans="1:7" ht="20.25" x14ac:dyDescent="0.25">
      <c r="A1" s="107"/>
      <c r="B1" s="119" t="s">
        <v>268</v>
      </c>
      <c r="C1" s="108"/>
      <c r="D1" s="108"/>
      <c r="E1" s="108"/>
      <c r="F1" s="108"/>
      <c r="G1" s="108"/>
    </row>
    <row r="2" spans="1:7" x14ac:dyDescent="0.25">
      <c r="A2" s="109"/>
      <c r="B2" s="109"/>
      <c r="C2" s="109"/>
      <c r="D2" s="109"/>
      <c r="E2" s="109"/>
      <c r="F2" s="109"/>
      <c r="G2" s="109"/>
    </row>
    <row r="3" spans="1:7" x14ac:dyDescent="0.25">
      <c r="A3" s="110" t="s">
        <v>269</v>
      </c>
      <c r="B3" s="235" t="str">
        <f>'CNW-AD'!D5</f>
        <v>&lt;Project Name&gt;</v>
      </c>
      <c r="C3" s="235"/>
      <c r="D3" s="235"/>
      <c r="E3" s="235"/>
      <c r="F3" s="235"/>
      <c r="G3" s="235"/>
    </row>
    <row r="4" spans="1:7" x14ac:dyDescent="0.25">
      <c r="A4" s="110" t="s">
        <v>270</v>
      </c>
      <c r="B4" s="235" t="s">
        <v>271</v>
      </c>
      <c r="C4" s="235"/>
      <c r="D4" s="235"/>
      <c r="E4" s="235"/>
      <c r="F4" s="235"/>
      <c r="G4" s="235"/>
    </row>
    <row r="5" spans="1:7" x14ac:dyDescent="0.25">
      <c r="A5" s="110" t="s">
        <v>272</v>
      </c>
      <c r="B5" s="235" t="s">
        <v>271</v>
      </c>
      <c r="C5" s="235"/>
      <c r="D5" s="235"/>
      <c r="E5" s="235"/>
      <c r="F5" s="235"/>
      <c r="G5" s="235"/>
    </row>
    <row r="7" spans="1:7" x14ac:dyDescent="0.25">
      <c r="A7" s="114" t="s">
        <v>273</v>
      </c>
      <c r="B7" s="109" t="s">
        <v>274</v>
      </c>
      <c r="C7" s="117"/>
      <c r="D7" s="117"/>
      <c r="E7" s="117"/>
      <c r="F7" s="117"/>
      <c r="G7" s="117"/>
    </row>
    <row r="8" spans="1:7" x14ac:dyDescent="0.25">
      <c r="A8" s="115" t="s">
        <v>226</v>
      </c>
      <c r="B8" s="109" t="str">
        <f>'CNW-AD Data'!C61</f>
        <v>please select a valid size on CNW-AD page</v>
      </c>
      <c r="C8" s="117"/>
      <c r="D8" s="117"/>
      <c r="E8" s="117"/>
      <c r="F8" s="117"/>
      <c r="G8" s="117"/>
    </row>
    <row r="9" spans="1:7" x14ac:dyDescent="0.25">
      <c r="A9" s="115" t="s">
        <v>275</v>
      </c>
      <c r="B9" s="109"/>
      <c r="C9" s="117"/>
      <c r="D9" s="117"/>
      <c r="E9" s="117"/>
      <c r="F9" s="117"/>
      <c r="G9" s="117"/>
    </row>
    <row r="10" spans="1:7" x14ac:dyDescent="0.25">
      <c r="A10" s="114" t="s">
        <v>245</v>
      </c>
      <c r="B10" s="109"/>
      <c r="C10" s="117"/>
      <c r="D10" s="117"/>
      <c r="E10" s="117"/>
      <c r="F10" s="117"/>
      <c r="G10" s="117"/>
    </row>
    <row r="11" spans="1:7" x14ac:dyDescent="0.25">
      <c r="A11" s="115" t="s">
        <v>247</v>
      </c>
      <c r="B11" s="109" t="str">
        <f>'CNW-AD Data'!C62</f>
        <v/>
      </c>
      <c r="C11" s="117"/>
      <c r="D11" s="117"/>
      <c r="E11" s="117"/>
      <c r="F11" s="117"/>
      <c r="G11" s="117"/>
    </row>
    <row r="12" spans="1:7" x14ac:dyDescent="0.25">
      <c r="A12" s="115" t="s">
        <v>299</v>
      </c>
      <c r="B12" s="109" t="str">
        <f>'CNW-AD Data'!C63</f>
        <v/>
      </c>
      <c r="C12" s="117"/>
      <c r="D12" s="117"/>
      <c r="E12" s="117"/>
      <c r="F12" s="117"/>
      <c r="G12" s="117"/>
    </row>
    <row r="13" spans="1:7" x14ac:dyDescent="0.25">
      <c r="A13" s="115" t="s">
        <v>276</v>
      </c>
      <c r="B13" s="109" t="str">
        <f>'CNW-AD Data'!C64</f>
        <v/>
      </c>
      <c r="C13" s="117"/>
      <c r="D13" s="117"/>
      <c r="E13" s="117"/>
      <c r="F13" s="117"/>
      <c r="G13" s="117"/>
    </row>
    <row r="14" spans="1:7" x14ac:dyDescent="0.25">
      <c r="A14" s="115" t="s">
        <v>277</v>
      </c>
      <c r="B14" s="109" t="str">
        <f>'CNW-AD Data'!C65</f>
        <v/>
      </c>
      <c r="C14" s="117"/>
      <c r="D14" s="117"/>
      <c r="E14" s="117"/>
      <c r="F14" s="117"/>
      <c r="G14" s="117"/>
    </row>
    <row r="15" spans="1:7" x14ac:dyDescent="0.25">
      <c r="A15" s="115" t="s">
        <v>278</v>
      </c>
      <c r="B15" s="109" t="str">
        <f>'CNW-AD Data'!C66</f>
        <v/>
      </c>
      <c r="C15" s="117"/>
      <c r="D15" s="117"/>
      <c r="E15" s="117"/>
      <c r="F15" s="117"/>
      <c r="G15" s="117"/>
    </row>
    <row r="16" spans="1:7" x14ac:dyDescent="0.25">
      <c r="A16" s="115"/>
      <c r="B16" s="109"/>
      <c r="C16" s="117"/>
      <c r="D16" s="117"/>
      <c r="E16" s="117"/>
      <c r="F16" s="117"/>
      <c r="G16" s="117"/>
    </row>
    <row r="17" spans="1:7" x14ac:dyDescent="0.25">
      <c r="A17" s="114" t="s">
        <v>279</v>
      </c>
      <c r="B17" s="117"/>
      <c r="C17" s="117"/>
      <c r="D17" s="117"/>
      <c r="E17" s="117"/>
      <c r="F17" s="117"/>
      <c r="G17" s="117"/>
    </row>
    <row r="18" spans="1:7" x14ac:dyDescent="0.25">
      <c r="A18" s="115" t="s">
        <v>280</v>
      </c>
      <c r="B18" s="109" t="str">
        <f ca="1">'CNW-AD Data'!C68</f>
        <v>SWL  dB(A)</v>
      </c>
      <c r="C18" s="117"/>
      <c r="D18" s="109"/>
      <c r="E18" s="117"/>
      <c r="F18" s="117"/>
      <c r="G18" s="118" t="s">
        <v>281</v>
      </c>
    </row>
    <row r="19" spans="1:7" x14ac:dyDescent="0.25">
      <c r="A19" s="116"/>
    </row>
    <row r="20" spans="1:7" x14ac:dyDescent="0.25">
      <c r="A20" s="110" t="s">
        <v>282</v>
      </c>
    </row>
    <row r="44" spans="1:6" x14ac:dyDescent="0.25">
      <c r="A44" s="110" t="s">
        <v>283</v>
      </c>
      <c r="B44" s="109" t="str">
        <f>'CNW-AD Data'!C76</f>
        <v>Nozzle diffuser with neck size N/A mm</v>
      </c>
    </row>
    <row r="45" spans="1:6" x14ac:dyDescent="0.25">
      <c r="A45" s="109"/>
      <c r="B45" s="109" t="str">
        <f>'CNW-AD Data'!C77</f>
        <v>No swirl element</v>
      </c>
    </row>
    <row r="46" spans="1:6" x14ac:dyDescent="0.25">
      <c r="A46" s="109"/>
      <c r="B46" s="109" t="str">
        <f ca="1">'CNW-AD Data'!C78</f>
        <v>Manual direction adjustment</v>
      </c>
    </row>
    <row r="47" spans="1:6" x14ac:dyDescent="0.25">
      <c r="A47" s="109"/>
      <c r="B47" s="109" t="str">
        <f ca="1">'CNW-AD Data'!C79</f>
        <v>Powder coated to RAL9003 - Signal White</v>
      </c>
    </row>
    <row r="48" spans="1:6" x14ac:dyDescent="0.25">
      <c r="A48" s="110" t="s">
        <v>60</v>
      </c>
      <c r="B48" s="236" t="str">
        <f>_order_code</f>
        <v>please select a valid size in row 41</v>
      </c>
      <c r="C48" s="236"/>
      <c r="D48" s="236"/>
      <c r="E48" s="236"/>
      <c r="F48" s="236"/>
    </row>
  </sheetData>
  <sheetProtection algorithmName="SHA-512" hashValue="6eF4/cdGExnjPeBZ009flwr1H4x2sNnUJoUGExlGWliCyn/0mrc4j5NCbgsm8Ir5v2nVafWiHvW4UnHdnvM5Lw==" saltValue="Iirp180/IBHRvhrhi7ExaA==" spinCount="100000" sheet="1" objects="1" selectLockedCells="1"/>
  <mergeCells count="4">
    <mergeCell ref="B3:G3"/>
    <mergeCell ref="B4:G4"/>
    <mergeCell ref="B5:G5"/>
    <mergeCell ref="B48:F48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Visio.Drawing.15" shapeId="5123" r:id="rId4">
          <objectPr defaultSize="0" autoPict="0" r:id="rId5">
            <anchor moveWithCells="1">
              <from>
                <xdr:col>0</xdr:col>
                <xdr:colOff>857250</xdr:colOff>
                <xdr:row>18</xdr:row>
                <xdr:rowOff>133350</xdr:rowOff>
              </from>
              <to>
                <xdr:col>6</xdr:col>
                <xdr:colOff>390525</xdr:colOff>
                <xdr:row>24</xdr:row>
                <xdr:rowOff>28575</xdr:rowOff>
              </to>
            </anchor>
          </objectPr>
        </oleObject>
      </mc:Choice>
      <mc:Fallback>
        <oleObject progId="Visio.Drawing.15" shapeId="5123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4504A946ECCA4C952722432686889E" ma:contentTypeVersion="17" ma:contentTypeDescription="Create a new document." ma:contentTypeScope="" ma:versionID="4b4308356513f8fb23395f6c831143c1">
  <xsd:schema xmlns:xsd="http://www.w3.org/2001/XMLSchema" xmlns:xs="http://www.w3.org/2001/XMLSchema" xmlns:p="http://schemas.microsoft.com/office/2006/metadata/properties" xmlns:ns2="14bbb3e3-3c65-4cbd-bb41-bc965094d10a" xmlns:ns3="376dd4ba-df4a-4846-a89c-1b53ce3cc703" targetNamespace="http://schemas.microsoft.com/office/2006/metadata/properties" ma:root="true" ma:fieldsID="f76162dec667dc3b7892dcf8c08ef3d7" ns2:_="" ns3:_="">
    <xsd:import namespace="14bbb3e3-3c65-4cbd-bb41-bc965094d10a"/>
    <xsd:import namespace="376dd4ba-df4a-4846-a89c-1b53ce3cc7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bb3e3-3c65-4cbd-bb41-bc965094d1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5099de3-f43e-464c-81e1-892210f71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6dd4ba-df4a-4846-a89c-1b53ce3cc7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a1b3306-80d9-4625-86be-7037c69e3b39}" ma:internalName="TaxCatchAll" ma:showField="CatchAllData" ma:web="376dd4ba-df4a-4846-a89c-1b53ce3cc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bbb3e3-3c65-4cbd-bb41-bc965094d10a">
      <Terms xmlns="http://schemas.microsoft.com/office/infopath/2007/PartnerControls"/>
    </lcf76f155ced4ddcb4097134ff3c332f>
    <TaxCatchAll xmlns="376dd4ba-df4a-4846-a89c-1b53ce3cc703" xsi:nil="true"/>
  </documentManagement>
</p:properties>
</file>

<file path=customXml/itemProps1.xml><?xml version="1.0" encoding="utf-8"?>
<ds:datastoreItem xmlns:ds="http://schemas.openxmlformats.org/officeDocument/2006/customXml" ds:itemID="{142267D1-98B1-4367-A5A0-408F4C57E0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bbb3e3-3c65-4cbd-bb41-bc965094d10a"/>
    <ds:schemaRef ds:uri="376dd4ba-df4a-4846-a89c-1b53ce3cc7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9E56FA-7C8A-49FF-8B6F-E29A2B5CB8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371725-2C7D-4AED-AC4B-0A458FFD5793}">
  <ds:schemaRefs>
    <ds:schemaRef ds:uri="http://schemas.microsoft.com/office/2006/metadata/properties"/>
    <ds:schemaRef ds:uri="http://schemas.microsoft.com/office/infopath/2007/PartnerControls"/>
    <ds:schemaRef ds:uri="14bbb3e3-3c65-4cbd-bb41-bc965094d10a"/>
    <ds:schemaRef ds:uri="376dd4ba-df4a-4846-a89c-1b53ce3cc70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8</vt:i4>
      </vt:variant>
    </vt:vector>
  </HeadingPairs>
  <TitlesOfParts>
    <vt:vector size="14" baseType="lpstr">
      <vt:lpstr>CNW-AD</vt:lpstr>
      <vt:lpstr>CNW-ADequations</vt:lpstr>
      <vt:lpstr>Notes</vt:lpstr>
      <vt:lpstr>CNW-AD Data</vt:lpstr>
      <vt:lpstr>CNW-ADsizing</vt:lpstr>
      <vt:lpstr>Selection Summary</vt:lpstr>
      <vt:lpstr>_DN200size</vt:lpstr>
      <vt:lpstr>_DN250size</vt:lpstr>
      <vt:lpstr>_DN315size</vt:lpstr>
      <vt:lpstr>_DN400size</vt:lpstr>
      <vt:lpstr>_DN500size</vt:lpstr>
      <vt:lpstr>_DN630size</vt:lpstr>
      <vt:lpstr>_order_code</vt:lpstr>
      <vt:lpstr>_sizes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Smartair Diffusion;Peter Tran</dc:creator>
  <cp:keywords/>
  <dc:description/>
  <cp:lastModifiedBy>Peter Tran</cp:lastModifiedBy>
  <cp:revision/>
  <dcterms:created xsi:type="dcterms:W3CDTF">2016-09-15T03:33:21Z</dcterms:created>
  <dcterms:modified xsi:type="dcterms:W3CDTF">2025-03-18T12:55:08Z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0x010100E34504A946ECCA4C952722432686889E</vt:lpwstr>
  </property>
  <property fmtid="{D5CDD505-2E9C-101B-9397-08002B2CF9AE}" pid="3" name="MediaServiceImageTags">
    <vt:lpwstr/>
  </property>
</Properties>
</file>